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20" windowWidth="15480" windowHeight="8565"/>
  </bookViews>
  <sheets>
    <sheet name="FALTANTES Y SOBRANTES" sheetId="10" r:id="rId1"/>
    <sheet name="DATOS" sheetId="17" state="hidden" r:id="rId2"/>
    <sheet name="BODEGA MATERIA PRIMA" sheetId="8" r:id="rId3"/>
    <sheet name="BODEGA CENTRAL" sheetId="1" r:id="rId4"/>
    <sheet name="STO DOMINGO " sheetId="3" r:id="rId5"/>
    <sheet name="QUITO" sheetId="2" r:id="rId6"/>
    <sheet name="CONSIGNACIONES" sheetId="11" r:id="rId7"/>
    <sheet name="NUEVOS ITEMS" sheetId="15" r:id="rId8"/>
    <sheet name="TipoCompra" sheetId="18" state="hidden" r:id="rId9"/>
  </sheets>
  <definedNames>
    <definedName name="RANGOTIPOCOMPRA">TipoCompra!$A$1:$A$3</definedName>
  </definedNames>
  <calcPr calcId="125725" calcOnSave="0"/>
</workbook>
</file>

<file path=xl/calcChain.xml><?xml version="1.0" encoding="utf-8"?>
<calcChain xmlns="http://schemas.openxmlformats.org/spreadsheetml/2006/main">
  <c r="H456" i="10"/>
  <c r="H457"/>
  <c r="I456"/>
  <c r="I457"/>
  <c r="M456" a="1"/>
  <c r="M456" s="1"/>
  <c r="M457" a="1"/>
  <c r="M457" s="1"/>
  <c r="N456" a="1"/>
  <c r="N456" s="1"/>
  <c r="N457" a="1"/>
  <c r="N457" s="1"/>
  <c r="P456"/>
  <c r="P457"/>
  <c r="Q456"/>
  <c r="Q457"/>
  <c r="O457" s="1" a="1"/>
  <c r="O457" s="1"/>
  <c r="AC456" a="1"/>
  <c r="AC456" s="1"/>
  <c r="L456" s="1"/>
  <c r="AC457" a="1"/>
  <c r="AC457" s="1"/>
  <c r="L457" s="1"/>
  <c r="AD456" a="1"/>
  <c r="AD456" s="1"/>
  <c r="AD457" a="1"/>
  <c r="AD457" s="1"/>
  <c r="AF456"/>
  <c r="AF457"/>
  <c r="AG456"/>
  <c r="AG457"/>
  <c r="AE457" s="1" a="1"/>
  <c r="AE457" s="1"/>
  <c r="AS456" a="1"/>
  <c r="AS456" s="1"/>
  <c r="AS457" a="1"/>
  <c r="AS457" s="1"/>
  <c r="AT456" a="1"/>
  <c r="AT456" s="1"/>
  <c r="AT457" a="1"/>
  <c r="AT457" s="1"/>
  <c r="AV456"/>
  <c r="AV457"/>
  <c r="AW456"/>
  <c r="AU456" s="1" a="1"/>
  <c r="AU456" s="1"/>
  <c r="AW457"/>
  <c r="AU457" s="1" a="1"/>
  <c r="AU457" s="1"/>
  <c r="BI456" a="1"/>
  <c r="BI456" s="1"/>
  <c r="BI457" a="1"/>
  <c r="BI457" s="1"/>
  <c r="BJ456" a="1"/>
  <c r="BJ456" s="1"/>
  <c r="BJ457" a="1"/>
  <c r="BJ457" s="1"/>
  <c r="BL456"/>
  <c r="BL457"/>
  <c r="BM456"/>
  <c r="BK456" s="1" a="1"/>
  <c r="BK456" s="1"/>
  <c r="BM457"/>
  <c r="BK457" s="1" a="1"/>
  <c r="BK457" s="1"/>
  <c r="BY456" a="1"/>
  <c r="BY456" s="1"/>
  <c r="BY457" a="1"/>
  <c r="BY457" s="1"/>
  <c r="BZ456" a="1"/>
  <c r="BZ456" s="1"/>
  <c r="BZ457" a="1"/>
  <c r="BZ457" s="1"/>
  <c r="CB456"/>
  <c r="CB457"/>
  <c r="CC456"/>
  <c r="CA456" s="1" a="1"/>
  <c r="CA456" s="1"/>
  <c r="CC457"/>
  <c r="CA457" s="1" a="1"/>
  <c r="CA457" s="1"/>
  <c r="CO456" a="1"/>
  <c r="CO456" s="1"/>
  <c r="CO457" a="1"/>
  <c r="CO457" s="1"/>
  <c r="CP456" a="1"/>
  <c r="CP456" s="1"/>
  <c r="CP457" a="1"/>
  <c r="CP457" s="1"/>
  <c r="CR456"/>
  <c r="CR457"/>
  <c r="CS456"/>
  <c r="CQ456" s="1" a="1"/>
  <c r="CQ456" s="1"/>
  <c r="CS457"/>
  <c r="CQ457" s="1" a="1"/>
  <c r="CQ457" s="1"/>
  <c r="DE456" a="1"/>
  <c r="DE456" s="1"/>
  <c r="DE457" a="1"/>
  <c r="DE457" s="1"/>
  <c r="DF456" a="1"/>
  <c r="DF456" s="1"/>
  <c r="DF457" a="1"/>
  <c r="DF457" s="1"/>
  <c r="DH456"/>
  <c r="DH457"/>
  <c r="DI456"/>
  <c r="DI457"/>
  <c r="DG457" s="1" a="1"/>
  <c r="DG457" s="1"/>
  <c r="DU456" a="1"/>
  <c r="DU456" s="1"/>
  <c r="DU457" a="1"/>
  <c r="DU457" s="1"/>
  <c r="DV456" a="1"/>
  <c r="DV456" s="1"/>
  <c r="DV457" a="1"/>
  <c r="DV457" s="1"/>
  <c r="DX456"/>
  <c r="DX457"/>
  <c r="DY456"/>
  <c r="DY457"/>
  <c r="DW457" s="1" a="1"/>
  <c r="DW457" s="1"/>
  <c r="EK456" a="1"/>
  <c r="EK456" s="1"/>
  <c r="EK457" a="1"/>
  <c r="EK457" s="1"/>
  <c r="EL456" a="1"/>
  <c r="EL456" s="1"/>
  <c r="EL457" a="1"/>
  <c r="EL457" s="1"/>
  <c r="EN456"/>
  <c r="EN457"/>
  <c r="EO456"/>
  <c r="EM456" s="1" a="1"/>
  <c r="EM456" s="1"/>
  <c r="EO457"/>
  <c r="EM457" s="1" a="1"/>
  <c r="EM457" s="1"/>
  <c r="FA456" a="1"/>
  <c r="FA456" s="1"/>
  <c r="FA457" a="1"/>
  <c r="FA457" s="1"/>
  <c r="FB456" a="1"/>
  <c r="FB456" s="1"/>
  <c r="FB457" a="1"/>
  <c r="FB457" s="1"/>
  <c r="FD456"/>
  <c r="FD457"/>
  <c r="FE456"/>
  <c r="FC456" s="1" a="1"/>
  <c r="FC456" s="1"/>
  <c r="FE457"/>
  <c r="FC457" s="1" a="1"/>
  <c r="FC457" s="1"/>
  <c r="H455"/>
  <c r="I455"/>
  <c r="M455" a="1"/>
  <c r="M455" s="1"/>
  <c r="N455" a="1"/>
  <c r="N455" s="1"/>
  <c r="P455"/>
  <c r="Q455"/>
  <c r="AC455" a="1"/>
  <c r="AC455" s="1"/>
  <c r="L455" s="1"/>
  <c r="AD455" a="1"/>
  <c r="AD455" s="1"/>
  <c r="AF455"/>
  <c r="AG455"/>
  <c r="AS455" a="1"/>
  <c r="AS455" s="1"/>
  <c r="AT455" a="1"/>
  <c r="AT455" s="1"/>
  <c r="AV455"/>
  <c r="AW455"/>
  <c r="BI455" a="1"/>
  <c r="BI455" s="1"/>
  <c r="BJ455" a="1"/>
  <c r="BJ455" s="1"/>
  <c r="BL455"/>
  <c r="BM455"/>
  <c r="BY455" a="1"/>
  <c r="BY455" s="1"/>
  <c r="BZ455" a="1"/>
  <c r="BZ455" s="1"/>
  <c r="CB455"/>
  <c r="CC455"/>
  <c r="CO455" a="1"/>
  <c r="CO455" s="1"/>
  <c r="CP455" a="1"/>
  <c r="CP455" s="1"/>
  <c r="CR455"/>
  <c r="CS455"/>
  <c r="DE455" a="1"/>
  <c r="DE455" s="1"/>
  <c r="DF455" a="1"/>
  <c r="DF455" s="1"/>
  <c r="DH455"/>
  <c r="DI455"/>
  <c r="DU455" a="1"/>
  <c r="DU455" s="1"/>
  <c r="DV455" a="1"/>
  <c r="DV455" s="1"/>
  <c r="DX455"/>
  <c r="DY455"/>
  <c r="EK455" a="1"/>
  <c r="EK455" s="1"/>
  <c r="EL455" a="1"/>
  <c r="EL455" s="1"/>
  <c r="EN455"/>
  <c r="EO455"/>
  <c r="FA455" a="1"/>
  <c r="FA455" s="1"/>
  <c r="FB455" a="1"/>
  <c r="FB455" s="1"/>
  <c r="FD455"/>
  <c r="FE455"/>
  <c r="H454"/>
  <c r="I454"/>
  <c r="M454" a="1"/>
  <c r="M454" s="1"/>
  <c r="N454" a="1"/>
  <c r="N454" s="1"/>
  <c r="P454"/>
  <c r="Q454"/>
  <c r="AC454" a="1"/>
  <c r="AC454" s="1"/>
  <c r="L454" s="1"/>
  <c r="AD454" a="1"/>
  <c r="AD454" s="1"/>
  <c r="AF454"/>
  <c r="AG454"/>
  <c r="AS454" a="1"/>
  <c r="AS454" s="1"/>
  <c r="AT454" a="1"/>
  <c r="AT454" s="1"/>
  <c r="AV454"/>
  <c r="AW454"/>
  <c r="BI454" a="1"/>
  <c r="BI454" s="1"/>
  <c r="BJ454" a="1"/>
  <c r="BJ454" s="1"/>
  <c r="BL454"/>
  <c r="BM454"/>
  <c r="BY454" a="1"/>
  <c r="BY454" s="1"/>
  <c r="BZ454" a="1"/>
  <c r="BZ454" s="1"/>
  <c r="CB454"/>
  <c r="CC454"/>
  <c r="CO454" a="1"/>
  <c r="CO454" s="1"/>
  <c r="CP454" a="1"/>
  <c r="CP454" s="1"/>
  <c r="CR454"/>
  <c r="CS454"/>
  <c r="DE454" a="1"/>
  <c r="DE454" s="1"/>
  <c r="DF454" a="1"/>
  <c r="DF454" s="1"/>
  <c r="DH454"/>
  <c r="DI454"/>
  <c r="DU454" a="1"/>
  <c r="DU454" s="1"/>
  <c r="DV454" a="1"/>
  <c r="DV454" s="1"/>
  <c r="DX454"/>
  <c r="DY454"/>
  <c r="EK454" a="1"/>
  <c r="EK454" s="1"/>
  <c r="EL454" a="1"/>
  <c r="EL454" s="1"/>
  <c r="EN454"/>
  <c r="EO454"/>
  <c r="FA454" a="1"/>
  <c r="FA454" s="1"/>
  <c r="FB454" a="1"/>
  <c r="FB454" s="1"/>
  <c r="FD454"/>
  <c r="FE454"/>
  <c r="H453"/>
  <c r="I453"/>
  <c r="M453" a="1"/>
  <c r="M453" s="1"/>
  <c r="N453" a="1"/>
  <c r="N453" s="1"/>
  <c r="P453"/>
  <c r="Q453"/>
  <c r="AC453" a="1"/>
  <c r="AC453" s="1"/>
  <c r="L453" s="1"/>
  <c r="AD453" a="1"/>
  <c r="AD453" s="1"/>
  <c r="AF453"/>
  <c r="AG453"/>
  <c r="AS453" a="1"/>
  <c r="AS453" s="1"/>
  <c r="AT453" a="1"/>
  <c r="AT453" s="1"/>
  <c r="AV453"/>
  <c r="AW453"/>
  <c r="BI453" a="1"/>
  <c r="BI453" s="1"/>
  <c r="BJ453" a="1"/>
  <c r="BJ453" s="1"/>
  <c r="BL453"/>
  <c r="BM453"/>
  <c r="BY453" a="1"/>
  <c r="BY453" s="1"/>
  <c r="BZ453" a="1"/>
  <c r="BZ453" s="1"/>
  <c r="CB453"/>
  <c r="CC453"/>
  <c r="CO453" a="1"/>
  <c r="CO453" s="1"/>
  <c r="CP453" a="1"/>
  <c r="CP453" s="1"/>
  <c r="CR453"/>
  <c r="CS453"/>
  <c r="DE453" a="1"/>
  <c r="DE453" s="1"/>
  <c r="DF453" a="1"/>
  <c r="DF453" s="1"/>
  <c r="DH453"/>
  <c r="DI453"/>
  <c r="DU453" a="1"/>
  <c r="DU453" s="1"/>
  <c r="DV453" a="1"/>
  <c r="DV453" s="1"/>
  <c r="DX453"/>
  <c r="DY453"/>
  <c r="EK453" a="1"/>
  <c r="EK453" s="1"/>
  <c r="EL453" a="1"/>
  <c r="EL453" s="1"/>
  <c r="EN453"/>
  <c r="EO453"/>
  <c r="FA453" a="1"/>
  <c r="FA453" s="1"/>
  <c r="FB453" a="1"/>
  <c r="FB453" s="1"/>
  <c r="FD453"/>
  <c r="FE453"/>
  <c r="H452"/>
  <c r="I452"/>
  <c r="M452" a="1"/>
  <c r="M452" s="1"/>
  <c r="N452" a="1"/>
  <c r="N452" s="1"/>
  <c r="P452"/>
  <c r="Q452"/>
  <c r="AC452" a="1"/>
  <c r="AC452" s="1"/>
  <c r="L452" s="1"/>
  <c r="AD452" a="1"/>
  <c r="AD452" s="1"/>
  <c r="AF452"/>
  <c r="AG452"/>
  <c r="AS452" a="1"/>
  <c r="AS452" s="1"/>
  <c r="AT452" a="1"/>
  <c r="AT452" s="1"/>
  <c r="AV452"/>
  <c r="AW452"/>
  <c r="BI452" a="1"/>
  <c r="BI452" s="1"/>
  <c r="BJ452" a="1"/>
  <c r="BJ452" s="1"/>
  <c r="BL452"/>
  <c r="BM452"/>
  <c r="BY452" a="1"/>
  <c r="BY452" s="1"/>
  <c r="BZ452" a="1"/>
  <c r="BZ452" s="1"/>
  <c r="CB452"/>
  <c r="CC452"/>
  <c r="CO452" a="1"/>
  <c r="CO452" s="1"/>
  <c r="CP452" a="1"/>
  <c r="CP452" s="1"/>
  <c r="CR452"/>
  <c r="CS452"/>
  <c r="DE452" a="1"/>
  <c r="DE452" s="1"/>
  <c r="DF452" a="1"/>
  <c r="DF452" s="1"/>
  <c r="DH452"/>
  <c r="DI452"/>
  <c r="DU452" a="1"/>
  <c r="DU452" s="1"/>
  <c r="DV452" a="1"/>
  <c r="DV452" s="1"/>
  <c r="DX452"/>
  <c r="DY452"/>
  <c r="EK452" a="1"/>
  <c r="EK452" s="1"/>
  <c r="EL452" a="1"/>
  <c r="EL452" s="1"/>
  <c r="EN452"/>
  <c r="EO452"/>
  <c r="FA452" a="1"/>
  <c r="FA452" s="1"/>
  <c r="FB452" a="1"/>
  <c r="FB452" s="1"/>
  <c r="FD452"/>
  <c r="FE452"/>
  <c r="H451"/>
  <c r="I451"/>
  <c r="M451" a="1"/>
  <c r="M451" s="1"/>
  <c r="N451" a="1"/>
  <c r="N451" s="1"/>
  <c r="P451"/>
  <c r="Q451"/>
  <c r="AC451" a="1"/>
  <c r="AC451" s="1"/>
  <c r="L451" s="1"/>
  <c r="AD451" a="1"/>
  <c r="AD451" s="1"/>
  <c r="AF451"/>
  <c r="AG451"/>
  <c r="AS451" a="1"/>
  <c r="AS451" s="1"/>
  <c r="AT451" a="1"/>
  <c r="AT451" s="1"/>
  <c r="AV451"/>
  <c r="AW451"/>
  <c r="BI451" a="1"/>
  <c r="BI451" s="1"/>
  <c r="BJ451" a="1"/>
  <c r="BJ451" s="1"/>
  <c r="BL451"/>
  <c r="BM451"/>
  <c r="BY451" a="1"/>
  <c r="BY451" s="1"/>
  <c r="BZ451" a="1"/>
  <c r="BZ451" s="1"/>
  <c r="CB451"/>
  <c r="CC451"/>
  <c r="CO451" a="1"/>
  <c r="CO451" s="1"/>
  <c r="CP451" a="1"/>
  <c r="CP451" s="1"/>
  <c r="CR451"/>
  <c r="CS451"/>
  <c r="DE451" a="1"/>
  <c r="DE451" s="1"/>
  <c r="DF451" a="1"/>
  <c r="DF451" s="1"/>
  <c r="DH451"/>
  <c r="DI451"/>
  <c r="DU451" a="1"/>
  <c r="DU451" s="1"/>
  <c r="DV451" a="1"/>
  <c r="DV451" s="1"/>
  <c r="DX451"/>
  <c r="DY451"/>
  <c r="EK451" a="1"/>
  <c r="EK451" s="1"/>
  <c r="EL451" a="1"/>
  <c r="EL451" s="1"/>
  <c r="EN451"/>
  <c r="EO451"/>
  <c r="FA451" a="1"/>
  <c r="FA451" s="1"/>
  <c r="FB451" a="1"/>
  <c r="FB451" s="1"/>
  <c r="FD451"/>
  <c r="FE451"/>
  <c r="H450"/>
  <c r="I450"/>
  <c r="M450" a="1"/>
  <c r="M450" s="1"/>
  <c r="N450" a="1"/>
  <c r="N450" s="1"/>
  <c r="P450"/>
  <c r="Q450"/>
  <c r="AC450" a="1"/>
  <c r="AC450" s="1"/>
  <c r="L450" s="1"/>
  <c r="AD450" a="1"/>
  <c r="AD450" s="1"/>
  <c r="AF450"/>
  <c r="AG450"/>
  <c r="AS450" a="1"/>
  <c r="AS450" s="1"/>
  <c r="AT450" a="1"/>
  <c r="AT450" s="1"/>
  <c r="AV450"/>
  <c r="AW450"/>
  <c r="BI450" a="1"/>
  <c r="BI450" s="1"/>
  <c r="BJ450" a="1"/>
  <c r="BJ450" s="1"/>
  <c r="BL450"/>
  <c r="BM450"/>
  <c r="BY450" a="1"/>
  <c r="BY450" s="1"/>
  <c r="BZ450" a="1"/>
  <c r="BZ450" s="1"/>
  <c r="CB450"/>
  <c r="CC450"/>
  <c r="CO450" a="1"/>
  <c r="CO450" s="1"/>
  <c r="CP450" a="1"/>
  <c r="CP450" s="1"/>
  <c r="CR450"/>
  <c r="CS450"/>
  <c r="DE450" a="1"/>
  <c r="DE450" s="1"/>
  <c r="DF450" a="1"/>
  <c r="DF450" s="1"/>
  <c r="DH450"/>
  <c r="DI450"/>
  <c r="DU450" a="1"/>
  <c r="DU450" s="1"/>
  <c r="DV450" a="1"/>
  <c r="DV450" s="1"/>
  <c r="DX450"/>
  <c r="DY450"/>
  <c r="EK450" a="1"/>
  <c r="EK450" s="1"/>
  <c r="EL450" a="1"/>
  <c r="EL450" s="1"/>
  <c r="EN450"/>
  <c r="EO450"/>
  <c r="FA450" a="1"/>
  <c r="FA450" s="1"/>
  <c r="FB450" a="1"/>
  <c r="FB450" s="1"/>
  <c r="FD450"/>
  <c r="FE450"/>
  <c r="H449"/>
  <c r="I449"/>
  <c r="M449" a="1"/>
  <c r="M449" s="1"/>
  <c r="N449" a="1"/>
  <c r="N449" s="1"/>
  <c r="P449"/>
  <c r="Q449"/>
  <c r="AC449" a="1"/>
  <c r="AC449" s="1"/>
  <c r="L449" s="1"/>
  <c r="AD449" a="1"/>
  <c r="AD449" s="1"/>
  <c r="AF449"/>
  <c r="AG449"/>
  <c r="AS449" a="1"/>
  <c r="AS449" s="1"/>
  <c r="AT449" a="1"/>
  <c r="AT449" s="1"/>
  <c r="AV449"/>
  <c r="AW449"/>
  <c r="BI449" a="1"/>
  <c r="BI449" s="1"/>
  <c r="BJ449" a="1"/>
  <c r="BJ449" s="1"/>
  <c r="BL449"/>
  <c r="BM449"/>
  <c r="BY449" a="1"/>
  <c r="BY449" s="1"/>
  <c r="BZ449" a="1"/>
  <c r="BZ449" s="1"/>
  <c r="CB449"/>
  <c r="CC449"/>
  <c r="CO449" a="1"/>
  <c r="CO449" s="1"/>
  <c r="CP449" a="1"/>
  <c r="CP449" s="1"/>
  <c r="CR449"/>
  <c r="CS449"/>
  <c r="DE449" a="1"/>
  <c r="DE449" s="1"/>
  <c r="DF449" a="1"/>
  <c r="DF449" s="1"/>
  <c r="DH449"/>
  <c r="DI449"/>
  <c r="DU449" a="1"/>
  <c r="DU449" s="1"/>
  <c r="DV449" a="1"/>
  <c r="DV449" s="1"/>
  <c r="DX449"/>
  <c r="DY449"/>
  <c r="EK449" a="1"/>
  <c r="EK449" s="1"/>
  <c r="EL449" a="1"/>
  <c r="EL449" s="1"/>
  <c r="EN449"/>
  <c r="EO449"/>
  <c r="FA449" a="1"/>
  <c r="FA449" s="1"/>
  <c r="FB449" a="1"/>
  <c r="FB449" s="1"/>
  <c r="FD449"/>
  <c r="FE449"/>
  <c r="CA452" l="1" a="1"/>
  <c r="CA452" s="1"/>
  <c r="EM453" a="1"/>
  <c r="EM453" s="1"/>
  <c r="DW453" a="1"/>
  <c r="DW453" s="1"/>
  <c r="DG453" a="1"/>
  <c r="DG453" s="1"/>
  <c r="CQ453" a="1"/>
  <c r="CQ453" s="1"/>
  <c r="CA453" a="1"/>
  <c r="CA453" s="1"/>
  <c r="BK453" a="1"/>
  <c r="BK453" s="1"/>
  <c r="AU453" a="1"/>
  <c r="AU453" s="1"/>
  <c r="AE453" a="1"/>
  <c r="AE453" s="1"/>
  <c r="O453" a="1"/>
  <c r="O453" s="1"/>
  <c r="FC454" a="1"/>
  <c r="FC454" s="1"/>
  <c r="EM454" a="1"/>
  <c r="EM454" s="1"/>
  <c r="DW454" a="1"/>
  <c r="DW454" s="1"/>
  <c r="DG454" a="1"/>
  <c r="DG454" s="1"/>
  <c r="CQ454" a="1"/>
  <c r="CQ454" s="1"/>
  <c r="CA454" a="1"/>
  <c r="CA454" s="1"/>
  <c r="BK454" a="1"/>
  <c r="BK454" s="1"/>
  <c r="AU454" a="1"/>
  <c r="AU454" s="1"/>
  <c r="AE454" a="1"/>
  <c r="AE454" s="1"/>
  <c r="O454" a="1"/>
  <c r="O454" s="1"/>
  <c r="FC455" a="1"/>
  <c r="FC455" s="1"/>
  <c r="EM455" a="1"/>
  <c r="EM455" s="1"/>
  <c r="DW455" a="1"/>
  <c r="DW455" s="1"/>
  <c r="DG455" a="1"/>
  <c r="DG455" s="1"/>
  <c r="CQ455" a="1"/>
  <c r="CQ455" s="1"/>
  <c r="CA455" a="1"/>
  <c r="CA455" s="1"/>
  <c r="BK455" a="1"/>
  <c r="BK455" s="1"/>
  <c r="AU455" a="1"/>
  <c r="AU455" s="1"/>
  <c r="AE455" a="1"/>
  <c r="AE455" s="1"/>
  <c r="O455" a="1"/>
  <c r="O455" s="1"/>
  <c r="DW456" a="1"/>
  <c r="DW456" s="1"/>
  <c r="AE456" a="1"/>
  <c r="AE456" s="1"/>
  <c r="DG456" a="1"/>
  <c r="DG456" s="1"/>
  <c r="O456" a="1"/>
  <c r="O456" s="1"/>
  <c r="FF456"/>
  <c r="FG456"/>
  <c r="EP456"/>
  <c r="EQ456"/>
  <c r="DZ457"/>
  <c r="EA457"/>
  <c r="DJ456"/>
  <c r="DK456"/>
  <c r="CT456"/>
  <c r="CU456"/>
  <c r="CD456"/>
  <c r="CE456"/>
  <c r="AX456"/>
  <c r="AY456"/>
  <c r="AH457"/>
  <c r="AI457"/>
  <c r="R456"/>
  <c r="S456"/>
  <c r="FF457"/>
  <c r="FG457"/>
  <c r="EP457"/>
  <c r="EQ457"/>
  <c r="EA456"/>
  <c r="DZ456"/>
  <c r="DJ457"/>
  <c r="DK457"/>
  <c r="CT457"/>
  <c r="CU457"/>
  <c r="CD457"/>
  <c r="CE457"/>
  <c r="AX457"/>
  <c r="AY457"/>
  <c r="AH456"/>
  <c r="AI456"/>
  <c r="R457"/>
  <c r="S457"/>
  <c r="FF455"/>
  <c r="FG455"/>
  <c r="EP455"/>
  <c r="EQ455"/>
  <c r="DZ455"/>
  <c r="EA455"/>
  <c r="DJ455"/>
  <c r="DK455"/>
  <c r="CT455"/>
  <c r="CU455"/>
  <c r="CD455"/>
  <c r="CE455"/>
  <c r="AX455"/>
  <c r="AY455"/>
  <c r="AH455"/>
  <c r="AI455"/>
  <c r="R455"/>
  <c r="S455"/>
  <c r="FC452" a="1"/>
  <c r="FC452" s="1"/>
  <c r="DW452" a="1"/>
  <c r="DW452" s="1"/>
  <c r="CQ452" a="1"/>
  <c r="CQ452" s="1"/>
  <c r="FF454"/>
  <c r="FG454"/>
  <c r="EP454"/>
  <c r="EQ454"/>
  <c r="DZ454"/>
  <c r="EA454"/>
  <c r="DJ454"/>
  <c r="DK454"/>
  <c r="CT454"/>
  <c r="CU454"/>
  <c r="CD454"/>
  <c r="CE454"/>
  <c r="AX454"/>
  <c r="AY454"/>
  <c r="AH454"/>
  <c r="AI454"/>
  <c r="R454"/>
  <c r="S454"/>
  <c r="BK452" a="1"/>
  <c r="BK452" s="1"/>
  <c r="FC453" a="1"/>
  <c r="FC453" s="1"/>
  <c r="EM452" a="1"/>
  <c r="EM452" s="1"/>
  <c r="DG452" a="1"/>
  <c r="DG452" s="1"/>
  <c r="AU452" a="1"/>
  <c r="AU452" s="1"/>
  <c r="AE452" a="1"/>
  <c r="AE452" s="1"/>
  <c r="O452" a="1"/>
  <c r="O452" s="1"/>
  <c r="FG453"/>
  <c r="FF453"/>
  <c r="EP453"/>
  <c r="EQ453"/>
  <c r="DZ453"/>
  <c r="EA453"/>
  <c r="DJ453"/>
  <c r="DK453"/>
  <c r="CT453"/>
  <c r="CU453"/>
  <c r="CD453"/>
  <c r="CE453"/>
  <c r="AX453"/>
  <c r="AY453"/>
  <c r="AH453"/>
  <c r="AI453"/>
  <c r="R453"/>
  <c r="S453"/>
  <c r="BK450" a="1"/>
  <c r="BK450" s="1"/>
  <c r="AU450" a="1"/>
  <c r="AU450" s="1"/>
  <c r="AE450" a="1"/>
  <c r="AE450" s="1"/>
  <c r="O450" a="1"/>
  <c r="O450" s="1"/>
  <c r="FC451" a="1"/>
  <c r="FC451" s="1"/>
  <c r="EM451" a="1"/>
  <c r="EM451" s="1"/>
  <c r="DW451" a="1"/>
  <c r="DW451" s="1"/>
  <c r="DG451" a="1"/>
  <c r="DG451" s="1"/>
  <c r="CQ451" a="1"/>
  <c r="CQ451" s="1"/>
  <c r="CA451" a="1"/>
  <c r="CA451" s="1"/>
  <c r="BK451" a="1"/>
  <c r="BK451" s="1"/>
  <c r="AU451" a="1"/>
  <c r="AU451" s="1"/>
  <c r="AE451" a="1"/>
  <c r="AE451" s="1"/>
  <c r="O451" a="1"/>
  <c r="O451" s="1"/>
  <c r="EQ452"/>
  <c r="EP452"/>
  <c r="DK452"/>
  <c r="DJ452"/>
  <c r="CE452"/>
  <c r="CD452"/>
  <c r="FF452"/>
  <c r="FG452"/>
  <c r="DZ452"/>
  <c r="EA452"/>
  <c r="CT452"/>
  <c r="CU452"/>
  <c r="AX452"/>
  <c r="AY452"/>
  <c r="AH452"/>
  <c r="AI452"/>
  <c r="R452"/>
  <c r="S452"/>
  <c r="FF451"/>
  <c r="FG451"/>
  <c r="EP451"/>
  <c r="EQ451"/>
  <c r="DZ451"/>
  <c r="EA451"/>
  <c r="DJ451"/>
  <c r="DK451"/>
  <c r="CT451"/>
  <c r="CU451"/>
  <c r="CD451"/>
  <c r="CE451"/>
  <c r="AX451"/>
  <c r="AY451"/>
  <c r="AH451"/>
  <c r="AI451"/>
  <c r="R451"/>
  <c r="S451"/>
  <c r="FC449" a="1"/>
  <c r="FC449" s="1"/>
  <c r="DW449" a="1"/>
  <c r="DW449" s="1"/>
  <c r="CQ449" a="1"/>
  <c r="CQ449" s="1"/>
  <c r="BK449" a="1"/>
  <c r="BK449" s="1"/>
  <c r="O449" a="1"/>
  <c r="O449" s="1"/>
  <c r="FC450" a="1"/>
  <c r="FC450" s="1"/>
  <c r="EM450" a="1"/>
  <c r="EM450" s="1"/>
  <c r="DW450" a="1"/>
  <c r="DW450" s="1"/>
  <c r="DG450" a="1"/>
  <c r="DG450" s="1"/>
  <c r="CQ450" a="1"/>
  <c r="CQ450" s="1"/>
  <c r="CA450" a="1"/>
  <c r="CA450" s="1"/>
  <c r="EM449" a="1"/>
  <c r="EM449" s="1"/>
  <c r="CA449" a="1"/>
  <c r="CA449" s="1"/>
  <c r="DG449" a="1"/>
  <c r="DG449" s="1"/>
  <c r="AU449" a="1"/>
  <c r="AU449" s="1"/>
  <c r="AE449" a="1"/>
  <c r="AE449" s="1"/>
  <c r="FF450"/>
  <c r="FG450"/>
  <c r="DZ450"/>
  <c r="EA450"/>
  <c r="CT450"/>
  <c r="CU450"/>
  <c r="EQ450"/>
  <c r="EP450"/>
  <c r="DK450"/>
  <c r="DJ450"/>
  <c r="CE450"/>
  <c r="CD450"/>
  <c r="AX450"/>
  <c r="AY450"/>
  <c r="AH450"/>
  <c r="AI450"/>
  <c r="R450"/>
  <c r="S450"/>
  <c r="AH449"/>
  <c r="AI449"/>
  <c r="EQ449"/>
  <c r="EP449"/>
  <c r="DK449"/>
  <c r="DJ449"/>
  <c r="CD449"/>
  <c r="CE449"/>
  <c r="FG449"/>
  <c r="FF449"/>
  <c r="EA449"/>
  <c r="DZ449"/>
  <c r="CT449"/>
  <c r="CU449"/>
  <c r="AX449"/>
  <c r="AY449"/>
  <c r="S449"/>
  <c r="R449"/>
  <c r="H448" l="1"/>
  <c r="I448"/>
  <c r="M448" a="1"/>
  <c r="M448" s="1"/>
  <c r="N448" a="1"/>
  <c r="N448" s="1"/>
  <c r="P448"/>
  <c r="O448" s="1" a="1"/>
  <c r="O448" s="1"/>
  <c r="Q448"/>
  <c r="AC448" a="1"/>
  <c r="AC448" s="1"/>
  <c r="L448" s="1"/>
  <c r="AD448" a="1"/>
  <c r="AD448" s="1"/>
  <c r="AF448"/>
  <c r="AE448" s="1" a="1"/>
  <c r="AE448" s="1"/>
  <c r="AG448"/>
  <c r="AS448" a="1"/>
  <c r="AS448" s="1"/>
  <c r="AT448" a="1"/>
  <c r="AT448" s="1"/>
  <c r="AV448"/>
  <c r="AU448" s="1" a="1"/>
  <c r="AU448" s="1"/>
  <c r="AW448"/>
  <c r="BI448" a="1"/>
  <c r="BI448" s="1"/>
  <c r="BJ448" a="1"/>
  <c r="BJ448" s="1"/>
  <c r="BL448"/>
  <c r="BK448" s="1" a="1"/>
  <c r="BK448" s="1"/>
  <c r="BM448"/>
  <c r="BY448" a="1"/>
  <c r="BY448" s="1"/>
  <c r="BZ448" a="1"/>
  <c r="BZ448" s="1"/>
  <c r="CB448"/>
  <c r="CA448" s="1" a="1"/>
  <c r="CA448" s="1"/>
  <c r="CC448"/>
  <c r="CO448" a="1"/>
  <c r="CO448" s="1"/>
  <c r="CP448" a="1"/>
  <c r="CP448" s="1"/>
  <c r="CR448"/>
  <c r="CQ448" s="1" a="1"/>
  <c r="CQ448" s="1"/>
  <c r="CS448"/>
  <c r="DE448" a="1"/>
  <c r="DE448" s="1"/>
  <c r="DF448" a="1"/>
  <c r="DF448" s="1"/>
  <c r="DH448"/>
  <c r="DG448" s="1" a="1"/>
  <c r="DG448" s="1"/>
  <c r="DI448"/>
  <c r="DU448" a="1"/>
  <c r="DU448" s="1"/>
  <c r="DV448" a="1"/>
  <c r="DV448" s="1"/>
  <c r="DX448"/>
  <c r="DW448" s="1" a="1"/>
  <c r="DW448" s="1"/>
  <c r="DY448"/>
  <c r="EK448" a="1"/>
  <c r="EK448" s="1"/>
  <c r="EL448" a="1"/>
  <c r="EL448" s="1"/>
  <c r="EN448"/>
  <c r="EM448" s="1" a="1"/>
  <c r="EM448" s="1"/>
  <c r="EO448"/>
  <c r="FA448" a="1"/>
  <c r="FA448" s="1"/>
  <c r="FB448" a="1"/>
  <c r="FB448" s="1"/>
  <c r="FD448"/>
  <c r="FC448" s="1" a="1"/>
  <c r="FC448" s="1"/>
  <c r="FE448"/>
  <c r="H447"/>
  <c r="I447"/>
  <c r="M447" a="1"/>
  <c r="M447" s="1"/>
  <c r="N447" a="1"/>
  <c r="N447" s="1"/>
  <c r="P447"/>
  <c r="O447" s="1" a="1"/>
  <c r="O447" s="1"/>
  <c r="Q447"/>
  <c r="AC447" a="1"/>
  <c r="AC447" s="1"/>
  <c r="L447" s="1"/>
  <c r="AD447" a="1"/>
  <c r="AD447" s="1"/>
  <c r="AF447"/>
  <c r="AE447" s="1" a="1"/>
  <c r="AE447" s="1"/>
  <c r="AG447"/>
  <c r="AS447" a="1"/>
  <c r="AS447" s="1"/>
  <c r="AT447" a="1"/>
  <c r="AT447" s="1"/>
  <c r="AV447"/>
  <c r="AU447" s="1" a="1"/>
  <c r="AU447" s="1"/>
  <c r="AW447"/>
  <c r="BI447" a="1"/>
  <c r="BI447" s="1"/>
  <c r="BJ447" a="1"/>
  <c r="BJ447" s="1"/>
  <c r="BL447"/>
  <c r="BK447" s="1" a="1"/>
  <c r="BK447" s="1"/>
  <c r="BM447"/>
  <c r="BY447" a="1"/>
  <c r="BY447" s="1"/>
  <c r="BZ447" a="1"/>
  <c r="BZ447" s="1"/>
  <c r="CB447"/>
  <c r="CA447" s="1" a="1"/>
  <c r="CA447" s="1"/>
  <c r="CC447"/>
  <c r="CO447" a="1"/>
  <c r="CO447" s="1"/>
  <c r="CP447" a="1"/>
  <c r="CP447" s="1"/>
  <c r="CR447"/>
  <c r="CQ447" s="1" a="1"/>
  <c r="CQ447" s="1"/>
  <c r="CS447"/>
  <c r="DE447" a="1"/>
  <c r="DE447" s="1"/>
  <c r="DF447" a="1"/>
  <c r="DF447" s="1"/>
  <c r="DH447"/>
  <c r="DG447" s="1" a="1"/>
  <c r="DG447" s="1"/>
  <c r="DI447"/>
  <c r="DU447" a="1"/>
  <c r="DU447" s="1"/>
  <c r="DV447" a="1"/>
  <c r="DV447" s="1"/>
  <c r="DX447"/>
  <c r="DW447" s="1" a="1"/>
  <c r="DW447" s="1"/>
  <c r="DY447"/>
  <c r="EK447" a="1"/>
  <c r="EK447" s="1"/>
  <c r="EL447" a="1"/>
  <c r="EL447" s="1"/>
  <c r="EN447"/>
  <c r="EM447" s="1" a="1"/>
  <c r="EM447" s="1"/>
  <c r="EO447"/>
  <c r="FA447" a="1"/>
  <c r="FA447" s="1"/>
  <c r="FB447" a="1"/>
  <c r="FB447" s="1"/>
  <c r="FD447"/>
  <c r="FC447" s="1" a="1"/>
  <c r="FC447" s="1"/>
  <c r="FE447"/>
  <c r="H446"/>
  <c r="I446"/>
  <c r="M446" a="1"/>
  <c r="M446" s="1"/>
  <c r="N446" a="1"/>
  <c r="N446" s="1"/>
  <c r="P446"/>
  <c r="O446" s="1" a="1"/>
  <c r="O446" s="1"/>
  <c r="Q446"/>
  <c r="AC446" a="1"/>
  <c r="AC446" s="1"/>
  <c r="L446" s="1"/>
  <c r="AD446" a="1"/>
  <c r="AD446" s="1"/>
  <c r="AF446"/>
  <c r="AE446" s="1" a="1"/>
  <c r="AE446" s="1"/>
  <c r="AG446"/>
  <c r="AS446" a="1"/>
  <c r="AS446" s="1"/>
  <c r="AT446" a="1"/>
  <c r="AT446" s="1"/>
  <c r="AV446"/>
  <c r="AU446" s="1" a="1"/>
  <c r="AU446" s="1"/>
  <c r="AW446"/>
  <c r="BI446" a="1"/>
  <c r="BI446" s="1"/>
  <c r="BJ446" a="1"/>
  <c r="BJ446" s="1"/>
  <c r="BL446"/>
  <c r="BK446" s="1" a="1"/>
  <c r="BK446" s="1"/>
  <c r="BM446"/>
  <c r="BY446" a="1"/>
  <c r="BY446" s="1"/>
  <c r="BZ446" a="1"/>
  <c r="BZ446" s="1"/>
  <c r="CB446"/>
  <c r="CA446" s="1" a="1"/>
  <c r="CA446" s="1"/>
  <c r="CC446"/>
  <c r="CO446" a="1"/>
  <c r="CO446" s="1"/>
  <c r="CP446" a="1"/>
  <c r="CP446" s="1"/>
  <c r="CR446"/>
  <c r="CQ446" s="1" a="1"/>
  <c r="CQ446" s="1"/>
  <c r="CS446"/>
  <c r="DE446" a="1"/>
  <c r="DE446" s="1"/>
  <c r="DF446" a="1"/>
  <c r="DF446" s="1"/>
  <c r="DH446"/>
  <c r="DG446" s="1" a="1"/>
  <c r="DG446" s="1"/>
  <c r="DI446"/>
  <c r="DU446" a="1"/>
  <c r="DU446" s="1"/>
  <c r="DV446" a="1"/>
  <c r="DV446" s="1"/>
  <c r="DX446"/>
  <c r="DW446" s="1" a="1"/>
  <c r="DW446" s="1"/>
  <c r="DY446"/>
  <c r="EK446" a="1"/>
  <c r="EK446" s="1"/>
  <c r="EL446" a="1"/>
  <c r="EL446" s="1"/>
  <c r="EN446"/>
  <c r="EM446" s="1" a="1"/>
  <c r="EM446" s="1"/>
  <c r="EO446"/>
  <c r="FA446" a="1"/>
  <c r="FA446" s="1"/>
  <c r="FB446" a="1"/>
  <c r="FB446" s="1"/>
  <c r="FD446"/>
  <c r="FC446" s="1" a="1"/>
  <c r="FC446" s="1"/>
  <c r="FE446"/>
  <c r="H445"/>
  <c r="I445"/>
  <c r="M445" a="1"/>
  <c r="M445" s="1"/>
  <c r="N445" a="1"/>
  <c r="N445" s="1"/>
  <c r="P445"/>
  <c r="O445" s="1" a="1"/>
  <c r="O445" s="1"/>
  <c r="Q445"/>
  <c r="AC445" a="1"/>
  <c r="AC445" s="1"/>
  <c r="L445" s="1"/>
  <c r="AD445" a="1"/>
  <c r="AD445" s="1"/>
  <c r="AF445"/>
  <c r="AE445" s="1" a="1"/>
  <c r="AE445" s="1"/>
  <c r="AG445"/>
  <c r="AS445" a="1"/>
  <c r="AS445" s="1"/>
  <c r="AT445" a="1"/>
  <c r="AT445" s="1"/>
  <c r="AV445"/>
  <c r="AU445" s="1" a="1"/>
  <c r="AU445" s="1"/>
  <c r="AW445"/>
  <c r="BI445" a="1"/>
  <c r="BI445" s="1"/>
  <c r="BJ445" a="1"/>
  <c r="BJ445" s="1"/>
  <c r="BL445"/>
  <c r="BK445" s="1" a="1"/>
  <c r="BK445" s="1"/>
  <c r="BM445"/>
  <c r="BY445" a="1"/>
  <c r="BY445" s="1"/>
  <c r="BZ445" a="1"/>
  <c r="BZ445" s="1"/>
  <c r="CB445"/>
  <c r="CA445" s="1" a="1"/>
  <c r="CA445" s="1"/>
  <c r="CC445"/>
  <c r="CO445" a="1"/>
  <c r="CO445" s="1"/>
  <c r="CP445" a="1"/>
  <c r="CP445" s="1"/>
  <c r="CR445"/>
  <c r="CQ445" s="1" a="1"/>
  <c r="CQ445" s="1"/>
  <c r="CS445"/>
  <c r="DE445" a="1"/>
  <c r="DE445" s="1"/>
  <c r="DF445" a="1"/>
  <c r="DF445" s="1"/>
  <c r="DH445"/>
  <c r="DG445" s="1" a="1"/>
  <c r="DG445" s="1"/>
  <c r="DI445"/>
  <c r="DU445" a="1"/>
  <c r="DU445" s="1"/>
  <c r="DV445" a="1"/>
  <c r="DV445" s="1"/>
  <c r="DX445"/>
  <c r="DW445" s="1" a="1"/>
  <c r="DW445" s="1"/>
  <c r="DY445"/>
  <c r="EK445" a="1"/>
  <c r="EK445" s="1"/>
  <c r="EL445" a="1"/>
  <c r="EL445" s="1"/>
  <c r="EN445"/>
  <c r="EM445" s="1" a="1"/>
  <c r="EM445" s="1"/>
  <c r="EO445"/>
  <c r="FA445" a="1"/>
  <c r="FA445" s="1"/>
  <c r="FB445" a="1"/>
  <c r="FB445" s="1"/>
  <c r="FD445"/>
  <c r="FC445" s="1" a="1"/>
  <c r="FC445" s="1"/>
  <c r="FE445"/>
  <c r="H444"/>
  <c r="I444"/>
  <c r="M444" a="1"/>
  <c r="M444" s="1"/>
  <c r="N444" a="1"/>
  <c r="N444" s="1"/>
  <c r="P444"/>
  <c r="Q444"/>
  <c r="AC444" a="1"/>
  <c r="AC444" s="1"/>
  <c r="L444" s="1"/>
  <c r="AD444" a="1"/>
  <c r="AD444" s="1"/>
  <c r="AF444"/>
  <c r="AG444"/>
  <c r="AS444" a="1"/>
  <c r="AS444" s="1"/>
  <c r="AT444" a="1"/>
  <c r="AT444" s="1"/>
  <c r="AV444"/>
  <c r="AW444"/>
  <c r="BI444" a="1"/>
  <c r="BI444" s="1"/>
  <c r="BJ444" a="1"/>
  <c r="BJ444" s="1"/>
  <c r="BL444"/>
  <c r="BM444"/>
  <c r="BY444" a="1"/>
  <c r="BY444" s="1"/>
  <c r="BZ444" a="1"/>
  <c r="BZ444" s="1"/>
  <c r="CB444"/>
  <c r="CC444"/>
  <c r="CO444" a="1"/>
  <c r="CO444" s="1"/>
  <c r="CP444" a="1"/>
  <c r="CP444" s="1"/>
  <c r="CR444"/>
  <c r="CS444"/>
  <c r="DE444" a="1"/>
  <c r="DE444" s="1"/>
  <c r="DF444" a="1"/>
  <c r="DF444" s="1"/>
  <c r="DH444"/>
  <c r="DI444"/>
  <c r="DU444" a="1"/>
  <c r="DU444" s="1"/>
  <c r="DV444" a="1"/>
  <c r="DV444" s="1"/>
  <c r="DX444"/>
  <c r="DY444"/>
  <c r="EK444" a="1"/>
  <c r="EK444" s="1"/>
  <c r="EL444" a="1"/>
  <c r="EL444" s="1"/>
  <c r="EN444"/>
  <c r="EO444"/>
  <c r="FA444" a="1"/>
  <c r="FA444" s="1"/>
  <c r="FB444" a="1"/>
  <c r="FB444" s="1"/>
  <c r="FD444"/>
  <c r="FE444"/>
  <c r="H438"/>
  <c r="H439"/>
  <c r="H440"/>
  <c r="H441"/>
  <c r="H442"/>
  <c r="H443"/>
  <c r="I438"/>
  <c r="I439"/>
  <c r="I440"/>
  <c r="I441"/>
  <c r="I442"/>
  <c r="I443"/>
  <c r="M438" a="1"/>
  <c r="M438" s="1"/>
  <c r="M439" a="1"/>
  <c r="M439" s="1"/>
  <c r="M440" a="1"/>
  <c r="M440" s="1"/>
  <c r="M441" a="1"/>
  <c r="M441" s="1"/>
  <c r="M442" a="1"/>
  <c r="M442" s="1"/>
  <c r="M443" a="1"/>
  <c r="M443" s="1"/>
  <c r="N438" a="1"/>
  <c r="N438" s="1"/>
  <c r="N439" a="1"/>
  <c r="N439" s="1"/>
  <c r="N440" a="1"/>
  <c r="N440" s="1"/>
  <c r="N441" a="1"/>
  <c r="N441" s="1"/>
  <c r="N442" a="1"/>
  <c r="N442" s="1"/>
  <c r="N443" a="1"/>
  <c r="N443" s="1"/>
  <c r="P438"/>
  <c r="P439"/>
  <c r="P440"/>
  <c r="P441"/>
  <c r="P442"/>
  <c r="P443"/>
  <c r="Q438"/>
  <c r="Q439"/>
  <c r="O439" s="1" a="1"/>
  <c r="O439" s="1"/>
  <c r="Q440"/>
  <c r="Q441"/>
  <c r="O441" s="1" a="1"/>
  <c r="O441" s="1"/>
  <c r="Q442"/>
  <c r="Q443"/>
  <c r="O443" s="1" a="1"/>
  <c r="O443" s="1"/>
  <c r="AC438" a="1"/>
  <c r="AC438" s="1"/>
  <c r="L438" s="1"/>
  <c r="AC439" a="1"/>
  <c r="AC439" s="1"/>
  <c r="L439" s="1"/>
  <c r="AC440" a="1"/>
  <c r="AC440" s="1"/>
  <c r="L440" s="1"/>
  <c r="AC441" a="1"/>
  <c r="AC441" s="1"/>
  <c r="L441" s="1"/>
  <c r="AC442" a="1"/>
  <c r="AC442" s="1"/>
  <c r="L442" s="1"/>
  <c r="AC443" a="1"/>
  <c r="AC443" s="1"/>
  <c r="L443" s="1"/>
  <c r="AD438" a="1"/>
  <c r="AD438" s="1"/>
  <c r="AD439" a="1"/>
  <c r="AD439" s="1"/>
  <c r="AD440" a="1"/>
  <c r="AD440" s="1"/>
  <c r="AD441" a="1"/>
  <c r="AD441" s="1"/>
  <c r="AD442" a="1"/>
  <c r="AD442" s="1"/>
  <c r="AD443" a="1"/>
  <c r="AD443" s="1"/>
  <c r="AF438"/>
  <c r="AF439"/>
  <c r="AF440"/>
  <c r="AF441"/>
  <c r="AF442"/>
  <c r="AF443"/>
  <c r="AG438"/>
  <c r="AG439"/>
  <c r="AE439" s="1" a="1"/>
  <c r="AE439" s="1"/>
  <c r="AG440"/>
  <c r="AG441"/>
  <c r="AE441" s="1" a="1"/>
  <c r="AE441" s="1"/>
  <c r="AG442"/>
  <c r="AG443"/>
  <c r="AE443" s="1" a="1"/>
  <c r="AE443" s="1"/>
  <c r="AS438" a="1"/>
  <c r="AS438" s="1"/>
  <c r="AS439" a="1"/>
  <c r="AS439" s="1"/>
  <c r="AS440" a="1"/>
  <c r="AS440" s="1"/>
  <c r="AS441" a="1"/>
  <c r="AS441" s="1"/>
  <c r="AS442" a="1"/>
  <c r="AS442" s="1"/>
  <c r="AS443" a="1"/>
  <c r="AS443" s="1"/>
  <c r="AT438" a="1"/>
  <c r="AT438" s="1"/>
  <c r="AT439" a="1"/>
  <c r="AT439" s="1"/>
  <c r="AT440" a="1"/>
  <c r="AT440" s="1"/>
  <c r="AT441" a="1"/>
  <c r="AT441" s="1"/>
  <c r="AT442" a="1"/>
  <c r="AT442" s="1"/>
  <c r="AT443" a="1"/>
  <c r="AT443" s="1"/>
  <c r="AV438"/>
  <c r="AV439"/>
  <c r="AV440"/>
  <c r="AV441"/>
  <c r="AV442"/>
  <c r="AV443"/>
  <c r="AW438"/>
  <c r="AW439"/>
  <c r="AU439" s="1" a="1"/>
  <c r="AU439" s="1"/>
  <c r="AW440"/>
  <c r="AW441"/>
  <c r="AU441" s="1" a="1"/>
  <c r="AU441" s="1"/>
  <c r="AW442"/>
  <c r="AW443"/>
  <c r="AU443" s="1" a="1"/>
  <c r="AU443" s="1"/>
  <c r="BI438" a="1"/>
  <c r="BI438" s="1"/>
  <c r="BI439" a="1"/>
  <c r="BI439" s="1"/>
  <c r="BI440" a="1"/>
  <c r="BI440" s="1"/>
  <c r="BI441" a="1"/>
  <c r="BI441" s="1"/>
  <c r="BI442" a="1"/>
  <c r="BI442" s="1"/>
  <c r="BI443" a="1"/>
  <c r="BI443" s="1"/>
  <c r="BJ438" a="1"/>
  <c r="BJ438" s="1"/>
  <c r="BJ439" a="1"/>
  <c r="BJ439" s="1"/>
  <c r="BJ440" a="1"/>
  <c r="BJ440" s="1"/>
  <c r="BJ441" a="1"/>
  <c r="BJ441" s="1"/>
  <c r="BJ442" a="1"/>
  <c r="BJ442" s="1"/>
  <c r="BJ443" a="1"/>
  <c r="BJ443" s="1"/>
  <c r="BL438"/>
  <c r="BL439"/>
  <c r="BL440"/>
  <c r="BL441"/>
  <c r="BL442"/>
  <c r="BL443"/>
  <c r="BM438"/>
  <c r="BM439"/>
  <c r="BK439" s="1" a="1"/>
  <c r="BK439" s="1"/>
  <c r="BM440"/>
  <c r="BM441"/>
  <c r="BK441" s="1" a="1"/>
  <c r="BK441" s="1"/>
  <c r="BM442"/>
  <c r="BM443"/>
  <c r="BK443" s="1" a="1"/>
  <c r="BK443" s="1"/>
  <c r="BY438" a="1"/>
  <c r="BY438" s="1"/>
  <c r="BY439" a="1"/>
  <c r="BY439" s="1"/>
  <c r="BY440" a="1"/>
  <c r="BY440" s="1"/>
  <c r="BY441" a="1"/>
  <c r="BY441" s="1"/>
  <c r="BY442" a="1"/>
  <c r="BY442" s="1"/>
  <c r="BY443" a="1"/>
  <c r="BY443" s="1"/>
  <c r="BZ438" a="1"/>
  <c r="BZ438" s="1"/>
  <c r="BZ439" a="1"/>
  <c r="BZ439" s="1"/>
  <c r="BZ440" a="1"/>
  <c r="BZ440" s="1"/>
  <c r="BZ441" a="1"/>
  <c r="BZ441" s="1"/>
  <c r="BZ442" a="1"/>
  <c r="BZ442" s="1"/>
  <c r="BZ443" a="1"/>
  <c r="BZ443" s="1"/>
  <c r="CB438"/>
  <c r="CB439"/>
  <c r="CB440"/>
  <c r="CB441"/>
  <c r="CB442"/>
  <c r="CB443"/>
  <c r="CC438"/>
  <c r="CC439"/>
  <c r="CA439" s="1" a="1"/>
  <c r="CA439" s="1"/>
  <c r="CC440"/>
  <c r="CC441"/>
  <c r="CA441" s="1" a="1"/>
  <c r="CA441" s="1"/>
  <c r="CC442"/>
  <c r="CC443"/>
  <c r="CA443" s="1" a="1"/>
  <c r="CA443" s="1"/>
  <c r="CO438" a="1"/>
  <c r="CO438" s="1"/>
  <c r="CO439" a="1"/>
  <c r="CO439" s="1"/>
  <c r="CO440" a="1"/>
  <c r="CO440" s="1"/>
  <c r="CO441" a="1"/>
  <c r="CO441" s="1"/>
  <c r="CO442" a="1"/>
  <c r="CO442" s="1"/>
  <c r="CO443" a="1"/>
  <c r="CO443" s="1"/>
  <c r="CP438" a="1"/>
  <c r="CP438" s="1"/>
  <c r="CP439" a="1"/>
  <c r="CP439" s="1"/>
  <c r="CP440" a="1"/>
  <c r="CP440" s="1"/>
  <c r="CP441" a="1"/>
  <c r="CP441" s="1"/>
  <c r="CP442" a="1"/>
  <c r="CP442" s="1"/>
  <c r="CP443" a="1"/>
  <c r="CP443" s="1"/>
  <c r="CR438"/>
  <c r="CR439"/>
  <c r="CR440"/>
  <c r="CR441"/>
  <c r="CR442"/>
  <c r="CR443"/>
  <c r="CS438"/>
  <c r="CS439"/>
  <c r="CQ439" s="1" a="1"/>
  <c r="CQ439" s="1"/>
  <c r="CS440"/>
  <c r="CS441"/>
  <c r="CQ441" s="1" a="1"/>
  <c r="CQ441" s="1"/>
  <c r="CS442"/>
  <c r="CS443"/>
  <c r="CQ443" s="1" a="1"/>
  <c r="CQ443" s="1"/>
  <c r="DE438" a="1"/>
  <c r="DE438" s="1"/>
  <c r="DE439" a="1"/>
  <c r="DE439" s="1"/>
  <c r="DE440" a="1"/>
  <c r="DE440" s="1"/>
  <c r="DE441" a="1"/>
  <c r="DE441" s="1"/>
  <c r="DE442" a="1"/>
  <c r="DE442" s="1"/>
  <c r="DE443" a="1"/>
  <c r="DE443" s="1"/>
  <c r="DF438" a="1"/>
  <c r="DF438" s="1"/>
  <c r="DF439" a="1"/>
  <c r="DF439" s="1"/>
  <c r="DF440" a="1"/>
  <c r="DF440" s="1"/>
  <c r="DF441" a="1"/>
  <c r="DF441" s="1"/>
  <c r="DF442" a="1"/>
  <c r="DF442" s="1"/>
  <c r="DF443" a="1"/>
  <c r="DF443" s="1"/>
  <c r="DH438"/>
  <c r="DH439"/>
  <c r="DH440"/>
  <c r="DH441"/>
  <c r="DH442"/>
  <c r="DH443"/>
  <c r="DI438"/>
  <c r="DI439"/>
  <c r="DG439" s="1" a="1"/>
  <c r="DG439" s="1"/>
  <c r="DI440"/>
  <c r="DI441"/>
  <c r="DG441" s="1" a="1"/>
  <c r="DG441" s="1"/>
  <c r="DI442"/>
  <c r="DI443"/>
  <c r="DG443" s="1" a="1"/>
  <c r="DG443" s="1"/>
  <c r="DU438" a="1"/>
  <c r="DU438" s="1"/>
  <c r="DU439" a="1"/>
  <c r="DU439" s="1"/>
  <c r="DU440" a="1"/>
  <c r="DU440" s="1"/>
  <c r="DU441" a="1"/>
  <c r="DU441" s="1"/>
  <c r="DU442" a="1"/>
  <c r="DU442" s="1"/>
  <c r="DU443" a="1"/>
  <c r="DU443" s="1"/>
  <c r="DV438" a="1"/>
  <c r="DV438" s="1"/>
  <c r="DV439" a="1"/>
  <c r="DV439" s="1"/>
  <c r="DV440" a="1"/>
  <c r="DV440" s="1"/>
  <c r="DV441" a="1"/>
  <c r="DV441" s="1"/>
  <c r="DV442" a="1"/>
  <c r="DV442" s="1"/>
  <c r="DV443" a="1"/>
  <c r="DV443" s="1"/>
  <c r="DX438"/>
  <c r="DX439"/>
  <c r="DX440"/>
  <c r="DX441"/>
  <c r="DX442"/>
  <c r="DX443"/>
  <c r="DY438"/>
  <c r="DY439"/>
  <c r="DW439" s="1" a="1"/>
  <c r="DW439" s="1"/>
  <c r="DY440"/>
  <c r="DY441"/>
  <c r="DW441" s="1" a="1"/>
  <c r="DW441" s="1"/>
  <c r="DY442"/>
  <c r="DY443"/>
  <c r="DW443" s="1" a="1"/>
  <c r="DW443" s="1"/>
  <c r="EK438" a="1"/>
  <c r="EK438" s="1"/>
  <c r="EK439" a="1"/>
  <c r="EK439" s="1"/>
  <c r="EK440" a="1"/>
  <c r="EK440" s="1"/>
  <c r="EK441" a="1"/>
  <c r="EK441" s="1"/>
  <c r="EK442" a="1"/>
  <c r="EK442" s="1"/>
  <c r="EK443" a="1"/>
  <c r="EK443" s="1"/>
  <c r="EL438" a="1"/>
  <c r="EL438" s="1"/>
  <c r="EL439" a="1"/>
  <c r="EL439" s="1"/>
  <c r="EL440" a="1"/>
  <c r="EL440" s="1"/>
  <c r="EL441" a="1"/>
  <c r="EL441" s="1"/>
  <c r="EL442" a="1"/>
  <c r="EL442" s="1"/>
  <c r="EL443" a="1"/>
  <c r="EL443" s="1"/>
  <c r="EN438"/>
  <c r="EN439"/>
  <c r="EN440"/>
  <c r="EN441"/>
  <c r="EN442"/>
  <c r="EN443"/>
  <c r="EO438"/>
  <c r="EO439"/>
  <c r="EM439" s="1" a="1"/>
  <c r="EM439" s="1"/>
  <c r="EO440"/>
  <c r="EO441"/>
  <c r="EM441" s="1" a="1"/>
  <c r="EM441" s="1"/>
  <c r="EO442"/>
  <c r="EO443"/>
  <c r="EM443" s="1" a="1"/>
  <c r="EM443" s="1"/>
  <c r="FA438" a="1"/>
  <c r="FA438" s="1"/>
  <c r="FA439" a="1"/>
  <c r="FA439" s="1"/>
  <c r="FA440" a="1"/>
  <c r="FA440" s="1"/>
  <c r="FA441" a="1"/>
  <c r="FA441" s="1"/>
  <c r="FA442" a="1"/>
  <c r="FA442" s="1"/>
  <c r="FA443" a="1"/>
  <c r="FA443" s="1"/>
  <c r="FB438" a="1"/>
  <c r="FB438" s="1"/>
  <c r="FB439" a="1"/>
  <c r="FB439" s="1"/>
  <c r="FB440" a="1"/>
  <c r="FB440" s="1"/>
  <c r="FB441" a="1"/>
  <c r="FB441" s="1"/>
  <c r="FB442" a="1"/>
  <c r="FB442" s="1"/>
  <c r="FB443" a="1"/>
  <c r="FB443" s="1"/>
  <c r="FD438"/>
  <c r="FD439"/>
  <c r="FD440"/>
  <c r="FD441"/>
  <c r="FD442"/>
  <c r="FD443"/>
  <c r="FE438"/>
  <c r="FE439"/>
  <c r="FC439" s="1" a="1"/>
  <c r="FC439" s="1"/>
  <c r="FE440"/>
  <c r="FE441"/>
  <c r="FC441" s="1" a="1"/>
  <c r="FC441" s="1"/>
  <c r="FE442"/>
  <c r="FE443"/>
  <c r="FC443" s="1" a="1"/>
  <c r="FC443" s="1"/>
  <c r="H437"/>
  <c r="I437"/>
  <c r="M437" a="1"/>
  <c r="M437" s="1"/>
  <c r="N437" a="1"/>
  <c r="N437" s="1"/>
  <c r="P437"/>
  <c r="Q437"/>
  <c r="AC437" a="1"/>
  <c r="AC437" s="1"/>
  <c r="L437" s="1"/>
  <c r="AD437" a="1"/>
  <c r="AD437" s="1"/>
  <c r="AF437"/>
  <c r="AG437"/>
  <c r="AS437" a="1"/>
  <c r="AS437" s="1"/>
  <c r="AT437" a="1"/>
  <c r="AT437" s="1"/>
  <c r="AV437"/>
  <c r="AW437"/>
  <c r="BI437" a="1"/>
  <c r="BI437" s="1"/>
  <c r="BJ437" a="1"/>
  <c r="BJ437" s="1"/>
  <c r="BL437"/>
  <c r="BM437"/>
  <c r="BY437" a="1"/>
  <c r="BY437" s="1"/>
  <c r="BZ437" a="1"/>
  <c r="BZ437" s="1"/>
  <c r="CB437"/>
  <c r="CC437"/>
  <c r="CO437" a="1"/>
  <c r="CO437" s="1"/>
  <c r="CP437" a="1"/>
  <c r="CP437" s="1"/>
  <c r="CR437"/>
  <c r="CS437"/>
  <c r="DE437" a="1"/>
  <c r="DE437" s="1"/>
  <c r="DF437" a="1"/>
  <c r="DF437" s="1"/>
  <c r="DH437"/>
  <c r="DI437"/>
  <c r="DU437" a="1"/>
  <c r="DU437" s="1"/>
  <c r="DV437" a="1"/>
  <c r="DV437" s="1"/>
  <c r="DX437"/>
  <c r="DY437"/>
  <c r="EK437" a="1"/>
  <c r="EK437" s="1"/>
  <c r="EL437" a="1"/>
  <c r="EL437" s="1"/>
  <c r="EN437"/>
  <c r="EO437"/>
  <c r="FA437" a="1"/>
  <c r="FA437" s="1"/>
  <c r="FB437" a="1"/>
  <c r="FB437" s="1"/>
  <c r="FD437"/>
  <c r="FE437"/>
  <c r="H436"/>
  <c r="I436"/>
  <c r="M436" a="1"/>
  <c r="M436" s="1"/>
  <c r="N436" a="1"/>
  <c r="N436" s="1"/>
  <c r="P436"/>
  <c r="Q436"/>
  <c r="AC436" a="1"/>
  <c r="AC436" s="1"/>
  <c r="L436" s="1"/>
  <c r="AD436" a="1"/>
  <c r="AD436" s="1"/>
  <c r="AF436"/>
  <c r="AG436"/>
  <c r="AS436" a="1"/>
  <c r="AS436" s="1"/>
  <c r="AT436" a="1"/>
  <c r="AT436" s="1"/>
  <c r="AV436"/>
  <c r="AW436"/>
  <c r="BI436" a="1"/>
  <c r="BI436" s="1"/>
  <c r="BJ436" a="1"/>
  <c r="BJ436" s="1"/>
  <c r="BL436"/>
  <c r="BM436"/>
  <c r="BY436" a="1"/>
  <c r="BY436" s="1"/>
  <c r="BZ436" a="1"/>
  <c r="BZ436" s="1"/>
  <c r="CB436"/>
  <c r="CC436"/>
  <c r="CO436" a="1"/>
  <c r="CO436" s="1"/>
  <c r="CP436" a="1"/>
  <c r="CP436" s="1"/>
  <c r="CR436"/>
  <c r="CS436"/>
  <c r="DE436" a="1"/>
  <c r="DE436" s="1"/>
  <c r="DF436" a="1"/>
  <c r="DF436" s="1"/>
  <c r="DH436"/>
  <c r="DI436"/>
  <c r="DU436" a="1"/>
  <c r="DU436" s="1"/>
  <c r="DV436" a="1"/>
  <c r="DV436" s="1"/>
  <c r="DX436"/>
  <c r="DY436"/>
  <c r="EK436" a="1"/>
  <c r="EK436" s="1"/>
  <c r="EL436" a="1"/>
  <c r="EL436" s="1"/>
  <c r="EN436"/>
  <c r="EO436"/>
  <c r="FA436" a="1"/>
  <c r="FA436" s="1"/>
  <c r="FB436" a="1"/>
  <c r="FB436" s="1"/>
  <c r="FD436"/>
  <c r="FE436"/>
  <c r="H435"/>
  <c r="I435"/>
  <c r="M435" a="1"/>
  <c r="M435" s="1"/>
  <c r="N435" a="1"/>
  <c r="N435" s="1"/>
  <c r="P435"/>
  <c r="Q435"/>
  <c r="AC435" a="1"/>
  <c r="AC435" s="1"/>
  <c r="L435" s="1"/>
  <c r="AD435" a="1"/>
  <c r="AD435" s="1"/>
  <c r="AF435"/>
  <c r="AG435"/>
  <c r="AS435" a="1"/>
  <c r="AS435" s="1"/>
  <c r="AT435" a="1"/>
  <c r="AT435" s="1"/>
  <c r="AV435"/>
  <c r="AW435"/>
  <c r="BI435" a="1"/>
  <c r="BI435" s="1"/>
  <c r="BJ435" a="1"/>
  <c r="BJ435" s="1"/>
  <c r="BL435"/>
  <c r="BM435"/>
  <c r="BY435" a="1"/>
  <c r="BY435" s="1"/>
  <c r="BZ435" a="1"/>
  <c r="BZ435" s="1"/>
  <c r="CB435"/>
  <c r="CC435"/>
  <c r="CO435" a="1"/>
  <c r="CO435" s="1"/>
  <c r="CP435" a="1"/>
  <c r="CP435" s="1"/>
  <c r="CR435"/>
  <c r="CS435"/>
  <c r="DE435" a="1"/>
  <c r="DE435" s="1"/>
  <c r="DF435" a="1"/>
  <c r="DF435" s="1"/>
  <c r="DH435"/>
  <c r="DI435"/>
  <c r="DU435" a="1"/>
  <c r="DU435" s="1"/>
  <c r="DV435" a="1"/>
  <c r="DV435" s="1"/>
  <c r="DX435"/>
  <c r="DY435"/>
  <c r="EK435" a="1"/>
  <c r="EK435" s="1"/>
  <c r="EL435" a="1"/>
  <c r="EL435" s="1"/>
  <c r="EN435"/>
  <c r="EO435"/>
  <c r="FA435" a="1"/>
  <c r="FA435" s="1"/>
  <c r="FB435" a="1"/>
  <c r="FB435" s="1"/>
  <c r="FD435"/>
  <c r="FE435"/>
  <c r="H434"/>
  <c r="I434"/>
  <c r="M434" a="1"/>
  <c r="M434" s="1"/>
  <c r="N434" a="1"/>
  <c r="N434" s="1"/>
  <c r="P434"/>
  <c r="Q434"/>
  <c r="AC434" a="1"/>
  <c r="AC434" s="1"/>
  <c r="L434" s="1"/>
  <c r="AD434" a="1"/>
  <c r="AD434" s="1"/>
  <c r="AF434"/>
  <c r="AG434"/>
  <c r="AS434" a="1"/>
  <c r="AS434" s="1"/>
  <c r="AT434" a="1"/>
  <c r="AT434" s="1"/>
  <c r="AV434"/>
  <c r="AW434"/>
  <c r="BI434" a="1"/>
  <c r="BI434" s="1"/>
  <c r="BJ434" a="1"/>
  <c r="BJ434" s="1"/>
  <c r="BL434"/>
  <c r="BM434"/>
  <c r="BY434" a="1"/>
  <c r="BY434" s="1"/>
  <c r="BZ434" a="1"/>
  <c r="BZ434" s="1"/>
  <c r="CB434"/>
  <c r="CC434"/>
  <c r="CO434" a="1"/>
  <c r="CO434" s="1"/>
  <c r="CP434" a="1"/>
  <c r="CP434" s="1"/>
  <c r="CR434"/>
  <c r="CS434"/>
  <c r="DE434" a="1"/>
  <c r="DE434" s="1"/>
  <c r="DF434" a="1"/>
  <c r="DF434" s="1"/>
  <c r="DH434"/>
  <c r="DI434"/>
  <c r="DU434" a="1"/>
  <c r="DU434" s="1"/>
  <c r="DV434" a="1"/>
  <c r="DV434" s="1"/>
  <c r="DX434"/>
  <c r="DY434"/>
  <c r="EK434" a="1"/>
  <c r="EK434" s="1"/>
  <c r="EL434" a="1"/>
  <c r="EL434" s="1"/>
  <c r="EN434"/>
  <c r="EO434"/>
  <c r="FA434" a="1"/>
  <c r="FA434" s="1"/>
  <c r="FB434" a="1"/>
  <c r="FB434" s="1"/>
  <c r="FD434"/>
  <c r="FE434"/>
  <c r="H432"/>
  <c r="H433"/>
  <c r="I432"/>
  <c r="I433"/>
  <c r="M432" a="1"/>
  <c r="M432" s="1"/>
  <c r="M433" a="1"/>
  <c r="M433" s="1"/>
  <c r="N432" a="1"/>
  <c r="N432" s="1"/>
  <c r="N433" a="1"/>
  <c r="N433" s="1"/>
  <c r="P432"/>
  <c r="P433"/>
  <c r="Q432"/>
  <c r="Q433"/>
  <c r="O433" s="1" a="1"/>
  <c r="O433" s="1"/>
  <c r="AC432" a="1"/>
  <c r="AC432" s="1"/>
  <c r="L432" s="1"/>
  <c r="AC433" a="1"/>
  <c r="AC433" s="1"/>
  <c r="L433" s="1"/>
  <c r="AD432" a="1"/>
  <c r="AD432" s="1"/>
  <c r="AD433" a="1"/>
  <c r="AD433" s="1"/>
  <c r="AF432"/>
  <c r="AF433"/>
  <c r="AG432"/>
  <c r="AG433"/>
  <c r="AE433" s="1" a="1"/>
  <c r="AE433" s="1"/>
  <c r="AS432" a="1"/>
  <c r="AS432" s="1"/>
  <c r="AS433" a="1"/>
  <c r="AS433" s="1"/>
  <c r="AT432" a="1"/>
  <c r="AT432" s="1"/>
  <c r="AT433" a="1"/>
  <c r="AT433" s="1"/>
  <c r="AV432"/>
  <c r="AV433"/>
  <c r="AW432"/>
  <c r="AW433"/>
  <c r="AU433" s="1" a="1"/>
  <c r="AU433" s="1"/>
  <c r="BI432" a="1"/>
  <c r="BI432" s="1"/>
  <c r="BI433" a="1"/>
  <c r="BI433" s="1"/>
  <c r="BJ432" a="1"/>
  <c r="BJ432" s="1"/>
  <c r="BJ433" a="1"/>
  <c r="BJ433" s="1"/>
  <c r="BL432"/>
  <c r="BL433"/>
  <c r="BM432"/>
  <c r="BM433"/>
  <c r="BK433" s="1" a="1"/>
  <c r="BK433" s="1"/>
  <c r="BY432" a="1"/>
  <c r="BY432" s="1"/>
  <c r="BY433" a="1"/>
  <c r="BY433" s="1"/>
  <c r="BZ432" a="1"/>
  <c r="BZ432" s="1"/>
  <c r="BZ433" a="1"/>
  <c r="BZ433" s="1"/>
  <c r="CB432"/>
  <c r="CB433"/>
  <c r="CC432"/>
  <c r="CC433"/>
  <c r="CA433" s="1" a="1"/>
  <c r="CA433" s="1"/>
  <c r="CO432" a="1"/>
  <c r="CO432" s="1"/>
  <c r="CO433" a="1"/>
  <c r="CO433" s="1"/>
  <c r="CP432" a="1"/>
  <c r="CP432" s="1"/>
  <c r="CP433" a="1"/>
  <c r="CP433" s="1"/>
  <c r="CR432"/>
  <c r="CR433"/>
  <c r="CS432"/>
  <c r="CS433"/>
  <c r="CQ433" s="1" a="1"/>
  <c r="CQ433" s="1"/>
  <c r="DE432" a="1"/>
  <c r="DE432" s="1"/>
  <c r="DE433" a="1"/>
  <c r="DE433" s="1"/>
  <c r="DF432" a="1"/>
  <c r="DF432" s="1"/>
  <c r="DF433" a="1"/>
  <c r="DF433" s="1"/>
  <c r="DH432"/>
  <c r="DH433"/>
  <c r="DI432"/>
  <c r="DI433"/>
  <c r="DG433" s="1" a="1"/>
  <c r="DG433" s="1"/>
  <c r="DU432" a="1"/>
  <c r="DU432" s="1"/>
  <c r="DU433" a="1"/>
  <c r="DU433" s="1"/>
  <c r="DV432" a="1"/>
  <c r="DV432" s="1"/>
  <c r="DV433" a="1"/>
  <c r="DV433" s="1"/>
  <c r="DX432"/>
  <c r="DX433"/>
  <c r="DY432"/>
  <c r="DY433"/>
  <c r="DW433" s="1" a="1"/>
  <c r="DW433" s="1"/>
  <c r="EK432" a="1"/>
  <c r="EK432" s="1"/>
  <c r="EK433" a="1"/>
  <c r="EK433" s="1"/>
  <c r="EL432" a="1"/>
  <c r="EL432" s="1"/>
  <c r="EL433" a="1"/>
  <c r="EL433" s="1"/>
  <c r="EN432"/>
  <c r="EN433"/>
  <c r="EO432"/>
  <c r="EO433"/>
  <c r="EM433" s="1" a="1"/>
  <c r="EM433" s="1"/>
  <c r="FA432" a="1"/>
  <c r="FA432" s="1"/>
  <c r="FA433" a="1"/>
  <c r="FA433" s="1"/>
  <c r="FB432" a="1"/>
  <c r="FB432" s="1"/>
  <c r="FB433" a="1"/>
  <c r="FB433" s="1"/>
  <c r="FD432"/>
  <c r="FD433"/>
  <c r="FE432"/>
  <c r="FE433"/>
  <c r="FC433" s="1" a="1"/>
  <c r="FC433" s="1"/>
  <c r="H431"/>
  <c r="I431"/>
  <c r="M431" a="1"/>
  <c r="M431" s="1"/>
  <c r="N431" a="1"/>
  <c r="N431" s="1"/>
  <c r="P431"/>
  <c r="Q431"/>
  <c r="L431"/>
  <c r="AD431" a="1"/>
  <c r="AD431" s="1"/>
  <c r="AF431"/>
  <c r="AG431"/>
  <c r="AS431" a="1"/>
  <c r="AS431" s="1"/>
  <c r="AT431" a="1"/>
  <c r="AT431" s="1"/>
  <c r="AV431"/>
  <c r="AW431"/>
  <c r="BI431" a="1"/>
  <c r="BI431" s="1"/>
  <c r="BJ431" a="1"/>
  <c r="BJ431" s="1"/>
  <c r="BL431"/>
  <c r="BM431"/>
  <c r="BY431" a="1"/>
  <c r="BY431" s="1"/>
  <c r="BZ431" a="1"/>
  <c r="BZ431" s="1"/>
  <c r="CB431"/>
  <c r="CC431"/>
  <c r="CO431" a="1"/>
  <c r="CO431" s="1"/>
  <c r="CP431" a="1"/>
  <c r="CP431" s="1"/>
  <c r="CR431"/>
  <c r="CS431"/>
  <c r="DE431" a="1"/>
  <c r="DE431" s="1"/>
  <c r="DF431" a="1"/>
  <c r="DF431" s="1"/>
  <c r="DH431"/>
  <c r="DI431"/>
  <c r="DU431" a="1"/>
  <c r="DU431" s="1"/>
  <c r="DV431" a="1"/>
  <c r="DV431" s="1"/>
  <c r="DX431"/>
  <c r="DY431"/>
  <c r="EK431" a="1"/>
  <c r="EK431" s="1"/>
  <c r="EL431" a="1"/>
  <c r="EL431" s="1"/>
  <c r="EN431"/>
  <c r="EO431"/>
  <c r="FA431" a="1"/>
  <c r="FA431" s="1"/>
  <c r="FB431" a="1"/>
  <c r="FB431" s="1"/>
  <c r="FD431"/>
  <c r="FE431"/>
  <c r="H430"/>
  <c r="I430"/>
  <c r="N430" a="1"/>
  <c r="N430" s="1"/>
  <c r="P430"/>
  <c r="Q430"/>
  <c r="AC430" a="1"/>
  <c r="AC430" s="1"/>
  <c r="L430" s="1"/>
  <c r="AD430" a="1"/>
  <c r="AD430" s="1"/>
  <c r="AF430"/>
  <c r="AG430"/>
  <c r="AS430" a="1"/>
  <c r="AS430" s="1"/>
  <c r="AT430" a="1"/>
  <c r="AT430" s="1"/>
  <c r="AV430"/>
  <c r="AW430"/>
  <c r="BI430" a="1"/>
  <c r="BI430" s="1"/>
  <c r="BJ430" a="1"/>
  <c r="BJ430" s="1"/>
  <c r="BL430"/>
  <c r="BM430"/>
  <c r="BY430" a="1"/>
  <c r="BY430" s="1"/>
  <c r="BZ430" a="1"/>
  <c r="BZ430" s="1"/>
  <c r="CB430"/>
  <c r="CC430"/>
  <c r="CO430" a="1"/>
  <c r="CO430" s="1"/>
  <c r="CP430" a="1"/>
  <c r="CP430" s="1"/>
  <c r="CR430"/>
  <c r="CS430"/>
  <c r="DE430" a="1"/>
  <c r="DE430" s="1"/>
  <c r="DF430" a="1"/>
  <c r="DF430" s="1"/>
  <c r="DH430"/>
  <c r="DI430"/>
  <c r="DU430" a="1"/>
  <c r="DU430" s="1"/>
  <c r="DV430" a="1"/>
  <c r="DV430" s="1"/>
  <c r="DX430"/>
  <c r="DY430"/>
  <c r="EK430" a="1"/>
  <c r="EK430" s="1"/>
  <c r="EL430" a="1"/>
  <c r="EL430" s="1"/>
  <c r="EN430"/>
  <c r="EO430"/>
  <c r="FA430" a="1"/>
  <c r="FA430" s="1"/>
  <c r="FB430" a="1"/>
  <c r="FB430" s="1"/>
  <c r="FD430"/>
  <c r="FE430"/>
  <c r="H429"/>
  <c r="I429"/>
  <c r="N429" a="1"/>
  <c r="N429" s="1"/>
  <c r="P429"/>
  <c r="Q429"/>
  <c r="AC429" a="1"/>
  <c r="AC429" s="1"/>
  <c r="L429" s="1"/>
  <c r="AD429" a="1"/>
  <c r="AD429" s="1"/>
  <c r="AF429"/>
  <c r="AG429"/>
  <c r="AS429" a="1"/>
  <c r="AS429" s="1"/>
  <c r="AT429" a="1"/>
  <c r="AT429" s="1"/>
  <c r="AV429"/>
  <c r="AW429"/>
  <c r="BI429" a="1"/>
  <c r="BI429" s="1"/>
  <c r="BJ429" a="1"/>
  <c r="BJ429" s="1"/>
  <c r="BL429"/>
  <c r="BM429"/>
  <c r="BY429" a="1"/>
  <c r="BY429" s="1"/>
  <c r="BZ429" a="1"/>
  <c r="BZ429" s="1"/>
  <c r="CB429"/>
  <c r="CC429"/>
  <c r="CO429" a="1"/>
  <c r="CO429" s="1"/>
  <c r="CP429" a="1"/>
  <c r="CP429" s="1"/>
  <c r="CR429"/>
  <c r="CS429"/>
  <c r="DE429" a="1"/>
  <c r="DE429" s="1"/>
  <c r="DF429" a="1"/>
  <c r="DF429" s="1"/>
  <c r="DH429"/>
  <c r="DI429"/>
  <c r="DU429" a="1"/>
  <c r="DU429" s="1"/>
  <c r="DV429" a="1"/>
  <c r="DV429" s="1"/>
  <c r="DX429"/>
  <c r="DY429"/>
  <c r="EK429" a="1"/>
  <c r="EK429" s="1"/>
  <c r="EL429" a="1"/>
  <c r="EL429" s="1"/>
  <c r="EN429"/>
  <c r="EO429"/>
  <c r="FA429" a="1"/>
  <c r="FA429" s="1"/>
  <c r="FB429" a="1"/>
  <c r="FB429" s="1"/>
  <c r="FD429"/>
  <c r="FE429"/>
  <c r="H428"/>
  <c r="I428"/>
  <c r="M428" a="1"/>
  <c r="M428" s="1"/>
  <c r="N428" a="1"/>
  <c r="N428" s="1"/>
  <c r="P428"/>
  <c r="Q428"/>
  <c r="L428"/>
  <c r="AD428" a="1"/>
  <c r="AD428" s="1"/>
  <c r="AF428"/>
  <c r="AG428"/>
  <c r="AS428" a="1"/>
  <c r="AS428" s="1"/>
  <c r="AT428" a="1"/>
  <c r="AT428" s="1"/>
  <c r="AV428"/>
  <c r="AW428"/>
  <c r="BI428" a="1"/>
  <c r="BI428" s="1"/>
  <c r="BJ428" a="1"/>
  <c r="BJ428" s="1"/>
  <c r="BL428"/>
  <c r="BM428"/>
  <c r="BY428" a="1"/>
  <c r="BY428" s="1"/>
  <c r="BZ428" a="1"/>
  <c r="BZ428" s="1"/>
  <c r="CB428"/>
  <c r="CC428"/>
  <c r="CO428" a="1"/>
  <c r="CO428" s="1"/>
  <c r="CP428" a="1"/>
  <c r="CP428" s="1"/>
  <c r="CR428"/>
  <c r="CS428"/>
  <c r="DE428" a="1"/>
  <c r="DE428" s="1"/>
  <c r="DF428" a="1"/>
  <c r="DF428" s="1"/>
  <c r="DH428"/>
  <c r="DI428"/>
  <c r="DU428" a="1"/>
  <c r="DU428" s="1"/>
  <c r="DV428" a="1"/>
  <c r="DV428" s="1"/>
  <c r="DX428"/>
  <c r="DY428"/>
  <c r="EK428" a="1"/>
  <c r="EK428" s="1"/>
  <c r="EL428" a="1"/>
  <c r="EL428" s="1"/>
  <c r="EN428"/>
  <c r="EO428"/>
  <c r="FA428" a="1"/>
  <c r="FA428" s="1"/>
  <c r="FB428" a="1"/>
  <c r="FB428" s="1"/>
  <c r="FD428"/>
  <c r="FE428"/>
  <c r="H427"/>
  <c r="I427"/>
  <c r="N427" a="1"/>
  <c r="N427" s="1"/>
  <c r="P427"/>
  <c r="Q427"/>
  <c r="L427"/>
  <c r="AD427" a="1"/>
  <c r="AD427" s="1"/>
  <c r="AF427"/>
  <c r="AG427"/>
  <c r="AS427" a="1"/>
  <c r="AS427" s="1"/>
  <c r="AT427" a="1"/>
  <c r="AT427" s="1"/>
  <c r="AV427"/>
  <c r="AW427"/>
  <c r="BI427" a="1"/>
  <c r="BI427" s="1"/>
  <c r="BJ427" a="1"/>
  <c r="BJ427" s="1"/>
  <c r="BL427"/>
  <c r="BM427"/>
  <c r="BY427" a="1"/>
  <c r="BY427" s="1"/>
  <c r="BZ427" a="1"/>
  <c r="BZ427" s="1"/>
  <c r="CB427"/>
  <c r="CC427"/>
  <c r="CO427" a="1"/>
  <c r="CO427" s="1"/>
  <c r="CP427" a="1"/>
  <c r="CP427" s="1"/>
  <c r="CR427"/>
  <c r="CS427"/>
  <c r="DE427" a="1"/>
  <c r="DE427" s="1"/>
  <c r="DF427" a="1"/>
  <c r="DF427" s="1"/>
  <c r="DH427"/>
  <c r="DI427"/>
  <c r="DU427" a="1"/>
  <c r="DU427" s="1"/>
  <c r="DV427" a="1"/>
  <c r="DV427" s="1"/>
  <c r="DX427"/>
  <c r="DY427"/>
  <c r="EK427" a="1"/>
  <c r="EK427" s="1"/>
  <c r="EL427" a="1"/>
  <c r="EL427" s="1"/>
  <c r="EN427"/>
  <c r="EO427"/>
  <c r="FA427" a="1"/>
  <c r="FA427" s="1"/>
  <c r="FB427" a="1"/>
  <c r="FB427" s="1"/>
  <c r="FD427"/>
  <c r="FE427"/>
  <c r="H426"/>
  <c r="I426"/>
  <c r="N426" a="1"/>
  <c r="N426" s="1"/>
  <c r="P426"/>
  <c r="Q426"/>
  <c r="AC426" a="1"/>
  <c r="AC426" s="1"/>
  <c r="L426" s="1"/>
  <c r="AD426" a="1"/>
  <c r="AD426" s="1"/>
  <c r="AF426"/>
  <c r="AG426"/>
  <c r="AS426" a="1"/>
  <c r="AS426" s="1"/>
  <c r="AT426" a="1"/>
  <c r="AT426" s="1"/>
  <c r="AV426"/>
  <c r="AW426"/>
  <c r="BI426" a="1"/>
  <c r="BI426" s="1"/>
  <c r="BJ426" a="1"/>
  <c r="BJ426" s="1"/>
  <c r="BL426"/>
  <c r="BM426"/>
  <c r="BY426" a="1"/>
  <c r="BY426" s="1"/>
  <c r="BZ426" a="1"/>
  <c r="BZ426" s="1"/>
  <c r="CB426"/>
  <c r="CC426"/>
  <c r="CO426" a="1"/>
  <c r="CO426" s="1"/>
  <c r="CP426" a="1"/>
  <c r="CP426" s="1"/>
  <c r="CR426"/>
  <c r="CS426"/>
  <c r="DE426" a="1"/>
  <c r="DE426" s="1"/>
  <c r="DF426" a="1"/>
  <c r="DF426" s="1"/>
  <c r="DH426"/>
  <c r="DI426"/>
  <c r="DU426" a="1"/>
  <c r="DU426" s="1"/>
  <c r="DV426" a="1"/>
  <c r="DV426" s="1"/>
  <c r="DX426"/>
  <c r="DY426"/>
  <c r="EK426" a="1"/>
  <c r="EK426" s="1"/>
  <c r="EL426" a="1"/>
  <c r="EL426" s="1"/>
  <c r="EN426"/>
  <c r="EO426"/>
  <c r="FA426" a="1"/>
  <c r="FA426" s="1"/>
  <c r="FB426" a="1"/>
  <c r="FB426" s="1"/>
  <c r="FD426"/>
  <c r="FE426"/>
  <c r="H425"/>
  <c r="I425"/>
  <c r="N425" a="1"/>
  <c r="N425" s="1"/>
  <c r="P425"/>
  <c r="Q425"/>
  <c r="AC425" a="1"/>
  <c r="AC425" s="1"/>
  <c r="L425" s="1"/>
  <c r="AD425" a="1"/>
  <c r="AD425" s="1"/>
  <c r="AF425"/>
  <c r="AG425"/>
  <c r="AS425" a="1"/>
  <c r="AS425" s="1"/>
  <c r="AT425" a="1"/>
  <c r="AT425" s="1"/>
  <c r="AV425"/>
  <c r="AW425"/>
  <c r="BI425" a="1"/>
  <c r="BI425" s="1"/>
  <c r="BJ425" a="1"/>
  <c r="BJ425" s="1"/>
  <c r="BL425"/>
  <c r="BM425"/>
  <c r="BY425" a="1"/>
  <c r="BY425" s="1"/>
  <c r="BZ425" a="1"/>
  <c r="BZ425" s="1"/>
  <c r="CB425"/>
  <c r="CC425"/>
  <c r="CO425" a="1"/>
  <c r="CO425" s="1"/>
  <c r="CP425" a="1"/>
  <c r="CP425" s="1"/>
  <c r="CR425"/>
  <c r="CS425"/>
  <c r="DE425" a="1"/>
  <c r="DE425" s="1"/>
  <c r="DF425" a="1"/>
  <c r="DF425" s="1"/>
  <c r="DH425"/>
  <c r="DI425"/>
  <c r="DU425" a="1"/>
  <c r="DU425" s="1"/>
  <c r="DV425" a="1"/>
  <c r="DV425" s="1"/>
  <c r="DX425"/>
  <c r="DY425"/>
  <c r="EK425" a="1"/>
  <c r="EK425" s="1"/>
  <c r="EL425" a="1"/>
  <c r="EL425" s="1"/>
  <c r="EN425"/>
  <c r="EO425"/>
  <c r="FA425" a="1"/>
  <c r="FA425" s="1"/>
  <c r="FB425" a="1"/>
  <c r="FB425" s="1"/>
  <c r="FD425"/>
  <c r="FE425"/>
  <c r="H424"/>
  <c r="I424"/>
  <c r="N424" a="1"/>
  <c r="N424" s="1"/>
  <c r="P424"/>
  <c r="Q424"/>
  <c r="AC424" a="1"/>
  <c r="AC424" s="1"/>
  <c r="L424" s="1"/>
  <c r="AD424" a="1"/>
  <c r="AD424" s="1"/>
  <c r="AF424"/>
  <c r="AG424"/>
  <c r="AS424" a="1"/>
  <c r="AS424" s="1"/>
  <c r="AT424" a="1"/>
  <c r="AT424" s="1"/>
  <c r="AV424"/>
  <c r="AW424"/>
  <c r="BI424" a="1"/>
  <c r="BI424" s="1"/>
  <c r="BJ424" a="1"/>
  <c r="BJ424" s="1"/>
  <c r="BL424"/>
  <c r="BM424"/>
  <c r="BY424" a="1"/>
  <c r="BY424" s="1"/>
  <c r="BZ424" a="1"/>
  <c r="BZ424" s="1"/>
  <c r="CB424"/>
  <c r="CC424"/>
  <c r="CO424" a="1"/>
  <c r="CO424" s="1"/>
  <c r="CP424" a="1"/>
  <c r="CP424" s="1"/>
  <c r="CR424"/>
  <c r="CS424"/>
  <c r="DE424" a="1"/>
  <c r="DE424" s="1"/>
  <c r="DF424" a="1"/>
  <c r="DF424" s="1"/>
  <c r="DH424"/>
  <c r="DI424"/>
  <c r="DU424" a="1"/>
  <c r="DU424" s="1"/>
  <c r="DV424" a="1"/>
  <c r="DV424" s="1"/>
  <c r="DX424"/>
  <c r="DY424"/>
  <c r="EK424" a="1"/>
  <c r="EK424" s="1"/>
  <c r="EL424" a="1"/>
  <c r="EL424" s="1"/>
  <c r="EN424"/>
  <c r="EO424"/>
  <c r="FA424" a="1"/>
  <c r="FA424" s="1"/>
  <c r="FB424" a="1"/>
  <c r="FB424" s="1"/>
  <c r="FD424"/>
  <c r="FE424"/>
  <c r="FF448" l="1"/>
  <c r="FG448"/>
  <c r="EP448"/>
  <c r="EQ448"/>
  <c r="DZ448"/>
  <c r="EA448"/>
  <c r="DJ448"/>
  <c r="DK448"/>
  <c r="CT448"/>
  <c r="CU448"/>
  <c r="CD448"/>
  <c r="CE448"/>
  <c r="AX448"/>
  <c r="AY448"/>
  <c r="AH448"/>
  <c r="AI448"/>
  <c r="R448"/>
  <c r="S448"/>
  <c r="FF447"/>
  <c r="FG447"/>
  <c r="EP447"/>
  <c r="EQ447"/>
  <c r="DZ447"/>
  <c r="EA447"/>
  <c r="DJ447"/>
  <c r="DK447"/>
  <c r="CT447"/>
  <c r="CU447"/>
  <c r="CD447"/>
  <c r="CE447"/>
  <c r="AX447"/>
  <c r="AY447"/>
  <c r="AH447"/>
  <c r="AI447"/>
  <c r="R447"/>
  <c r="S447"/>
  <c r="FF446"/>
  <c r="FG446"/>
  <c r="EP446"/>
  <c r="EQ446"/>
  <c r="DZ446"/>
  <c r="EA446"/>
  <c r="DJ446"/>
  <c r="DK446"/>
  <c r="CT446"/>
  <c r="CU446"/>
  <c r="CD446"/>
  <c r="CE446"/>
  <c r="AX446"/>
  <c r="AY446"/>
  <c r="AH446"/>
  <c r="AI446"/>
  <c r="R446"/>
  <c r="S446"/>
  <c r="FF445"/>
  <c r="FG445"/>
  <c r="EP445"/>
  <c r="EQ445"/>
  <c r="DZ445"/>
  <c r="EA445"/>
  <c r="DJ445"/>
  <c r="DK445"/>
  <c r="CT445"/>
  <c r="CU445"/>
  <c r="CD445"/>
  <c r="CE445"/>
  <c r="AX445"/>
  <c r="AY445"/>
  <c r="AH445"/>
  <c r="AI445"/>
  <c r="R445"/>
  <c r="S445"/>
  <c r="FC444" a="1"/>
  <c r="FC444" s="1"/>
  <c r="EM444" a="1"/>
  <c r="EM444" s="1"/>
  <c r="DW444" a="1"/>
  <c r="DW444" s="1"/>
  <c r="DG444" a="1"/>
  <c r="DG444" s="1"/>
  <c r="CQ444" a="1"/>
  <c r="CQ444" s="1"/>
  <c r="CA444" a="1"/>
  <c r="CA444" s="1"/>
  <c r="BK444" a="1"/>
  <c r="BK444" s="1"/>
  <c r="AU444" a="1"/>
  <c r="AU444" s="1"/>
  <c r="AE444" a="1"/>
  <c r="AE444" s="1"/>
  <c r="O444" a="1"/>
  <c r="O444" s="1"/>
  <c r="FF444"/>
  <c r="FG444"/>
  <c r="EP444"/>
  <c r="EQ444"/>
  <c r="DZ444"/>
  <c r="EA444"/>
  <c r="DJ444"/>
  <c r="DK444"/>
  <c r="CT444"/>
  <c r="CU444"/>
  <c r="CD444"/>
  <c r="CE444"/>
  <c r="AX444"/>
  <c r="AY444"/>
  <c r="AH444"/>
  <c r="AI444"/>
  <c r="R444"/>
  <c r="S444"/>
  <c r="EP425"/>
  <c r="DJ425"/>
  <c r="CD425"/>
  <c r="AH425"/>
  <c r="FC430" a="1"/>
  <c r="FC430" s="1"/>
  <c r="EM430" a="1"/>
  <c r="EM430" s="1"/>
  <c r="DW430" a="1"/>
  <c r="DW430" s="1"/>
  <c r="DG430" a="1"/>
  <c r="DG430" s="1"/>
  <c r="CQ430" a="1"/>
  <c r="CQ430" s="1"/>
  <c r="CA430" a="1"/>
  <c r="CA430" s="1"/>
  <c r="BK430" a="1"/>
  <c r="BK430" s="1"/>
  <c r="AU430" a="1"/>
  <c r="AU430" s="1"/>
  <c r="FC434" a="1"/>
  <c r="FC434" s="1"/>
  <c r="EM434" a="1"/>
  <c r="EM434" s="1"/>
  <c r="DW434" a="1"/>
  <c r="DW434" s="1"/>
  <c r="DG434" a="1"/>
  <c r="DG434" s="1"/>
  <c r="CQ434" a="1"/>
  <c r="CQ434" s="1"/>
  <c r="BK435" a="1"/>
  <c r="BK435" s="1"/>
  <c r="AU435" a="1"/>
  <c r="AU435" s="1"/>
  <c r="AE435" a="1"/>
  <c r="AE435" s="1"/>
  <c r="O435" a="1"/>
  <c r="O435" s="1"/>
  <c r="FC436" a="1"/>
  <c r="FC436" s="1"/>
  <c r="EM436" a="1"/>
  <c r="EM436" s="1"/>
  <c r="DW436" a="1"/>
  <c r="DW436" s="1"/>
  <c r="DG436" a="1"/>
  <c r="DG436" s="1"/>
  <c r="CQ436" a="1"/>
  <c r="CQ436" s="1"/>
  <c r="CA436" a="1"/>
  <c r="CA436" s="1"/>
  <c r="BK436" a="1"/>
  <c r="BK436" s="1"/>
  <c r="AU436" a="1"/>
  <c r="AU436" s="1"/>
  <c r="AE436" a="1"/>
  <c r="AE436" s="1"/>
  <c r="O436" a="1"/>
  <c r="O436" s="1"/>
  <c r="FC437" a="1"/>
  <c r="FC437" s="1"/>
  <c r="EM437" a="1"/>
  <c r="EM437" s="1"/>
  <c r="DW437" a="1"/>
  <c r="DW437" s="1"/>
  <c r="DG437" a="1"/>
  <c r="DG437" s="1"/>
  <c r="CQ437" a="1"/>
  <c r="CQ437" s="1"/>
  <c r="CA437" a="1"/>
  <c r="CA437" s="1"/>
  <c r="BK437" a="1"/>
  <c r="BK437" s="1"/>
  <c r="AU437" a="1"/>
  <c r="AU437" s="1"/>
  <c r="AE437" a="1"/>
  <c r="AE437" s="1"/>
  <c r="O437" a="1"/>
  <c r="O437" s="1"/>
  <c r="FC442" a="1"/>
  <c r="FC442" s="1"/>
  <c r="FC440" a="1"/>
  <c r="FC440" s="1"/>
  <c r="FC438" a="1"/>
  <c r="FC438" s="1"/>
  <c r="DW442" a="1"/>
  <c r="DW442" s="1"/>
  <c r="DW440" a="1"/>
  <c r="DW440" s="1"/>
  <c r="DW438" a="1"/>
  <c r="DW438" s="1"/>
  <c r="CQ442" a="1"/>
  <c r="CQ442" s="1"/>
  <c r="CQ440" a="1"/>
  <c r="CQ440" s="1"/>
  <c r="CQ438" a="1"/>
  <c r="CQ438" s="1"/>
  <c r="BK442" a="1"/>
  <c r="BK442" s="1"/>
  <c r="BK440" a="1"/>
  <c r="BK440" s="1"/>
  <c r="BK438" a="1"/>
  <c r="BK438" s="1"/>
  <c r="AE442" a="1"/>
  <c r="AE442" s="1"/>
  <c r="AE440" a="1"/>
  <c r="AE440" s="1"/>
  <c r="AE438" a="1"/>
  <c r="AE438" s="1"/>
  <c r="EM442" a="1"/>
  <c r="EM442" s="1"/>
  <c r="EM440" a="1"/>
  <c r="EM440" s="1"/>
  <c r="EM438" a="1"/>
  <c r="EM438" s="1"/>
  <c r="DG442" a="1"/>
  <c r="DG442" s="1"/>
  <c r="DG440" a="1"/>
  <c r="DG440" s="1"/>
  <c r="DG438" a="1"/>
  <c r="DG438" s="1"/>
  <c r="CA442" a="1"/>
  <c r="CA442" s="1"/>
  <c r="CA440" a="1"/>
  <c r="CA440" s="1"/>
  <c r="CA438" a="1"/>
  <c r="CA438" s="1"/>
  <c r="AU442" a="1"/>
  <c r="AU442" s="1"/>
  <c r="AU440" a="1"/>
  <c r="AU440" s="1"/>
  <c r="AU438" a="1"/>
  <c r="AU438" s="1"/>
  <c r="O442" a="1"/>
  <c r="O442" s="1"/>
  <c r="O440" a="1"/>
  <c r="O440" s="1"/>
  <c r="O438" a="1"/>
  <c r="O438" s="1"/>
  <c r="DZ443"/>
  <c r="EA443"/>
  <c r="DZ441"/>
  <c r="EA441"/>
  <c r="DZ439"/>
  <c r="EA439"/>
  <c r="DJ442"/>
  <c r="DK442"/>
  <c r="DJ440"/>
  <c r="DK440"/>
  <c r="DJ438"/>
  <c r="DK438"/>
  <c r="CT443"/>
  <c r="CU443"/>
  <c r="CT441"/>
  <c r="CU441"/>
  <c r="CT439"/>
  <c r="CU439"/>
  <c r="CD442"/>
  <c r="CE442"/>
  <c r="CD440"/>
  <c r="CE440"/>
  <c r="CD438"/>
  <c r="CE438"/>
  <c r="AH443"/>
  <c r="AI443"/>
  <c r="AH441"/>
  <c r="AI441"/>
  <c r="AH439"/>
  <c r="AI439"/>
  <c r="R442"/>
  <c r="S442"/>
  <c r="R440"/>
  <c r="S440"/>
  <c r="R438"/>
  <c r="S438"/>
  <c r="FF443"/>
  <c r="FG443"/>
  <c r="FF441"/>
  <c r="FG441"/>
  <c r="FF439"/>
  <c r="FG439"/>
  <c r="EP442"/>
  <c r="EQ442"/>
  <c r="EP440"/>
  <c r="EQ440"/>
  <c r="EP438"/>
  <c r="EQ438"/>
  <c r="AX442"/>
  <c r="AY442"/>
  <c r="AX440"/>
  <c r="AY440"/>
  <c r="AX438"/>
  <c r="AY438"/>
  <c r="FF442"/>
  <c r="FG442"/>
  <c r="FF440"/>
  <c r="FG440"/>
  <c r="FF438"/>
  <c r="FG438"/>
  <c r="EP443"/>
  <c r="EQ443"/>
  <c r="EP441"/>
  <c r="EQ441"/>
  <c r="EP439"/>
  <c r="EQ439"/>
  <c r="DZ442"/>
  <c r="EA442"/>
  <c r="DZ440"/>
  <c r="EA440"/>
  <c r="DZ438"/>
  <c r="EA438"/>
  <c r="DJ443"/>
  <c r="DK443"/>
  <c r="DJ441"/>
  <c r="DK441"/>
  <c r="DJ439"/>
  <c r="DK439"/>
  <c r="CT442"/>
  <c r="CU442"/>
  <c r="CT440"/>
  <c r="CU440"/>
  <c r="CT438"/>
  <c r="CU438"/>
  <c r="CD443"/>
  <c r="CE443"/>
  <c r="CD441"/>
  <c r="CE441"/>
  <c r="CD439"/>
  <c r="CE439"/>
  <c r="AX443"/>
  <c r="AY443"/>
  <c r="AX441"/>
  <c r="AY441"/>
  <c r="AX439"/>
  <c r="AY439"/>
  <c r="AH442"/>
  <c r="AI442"/>
  <c r="AH440"/>
  <c r="AI440"/>
  <c r="AH438"/>
  <c r="AI438"/>
  <c r="R443"/>
  <c r="S443"/>
  <c r="R441"/>
  <c r="S441"/>
  <c r="R439"/>
  <c r="S439"/>
  <c r="FF437"/>
  <c r="FG437"/>
  <c r="EP437"/>
  <c r="EQ437"/>
  <c r="DZ437"/>
  <c r="EA437"/>
  <c r="DJ437"/>
  <c r="DK437"/>
  <c r="CT437"/>
  <c r="CU437"/>
  <c r="CD437"/>
  <c r="CE437"/>
  <c r="AX437"/>
  <c r="AY437"/>
  <c r="AH437"/>
  <c r="AI437"/>
  <c r="R437"/>
  <c r="S437"/>
  <c r="FF436"/>
  <c r="FG436"/>
  <c r="EP436"/>
  <c r="EQ436"/>
  <c r="DZ436"/>
  <c r="EA436"/>
  <c r="DJ436"/>
  <c r="DK436"/>
  <c r="CT436"/>
  <c r="CU436"/>
  <c r="CD436"/>
  <c r="CE436"/>
  <c r="AX436"/>
  <c r="AY436"/>
  <c r="AH436"/>
  <c r="AI436"/>
  <c r="R436"/>
  <c r="S436"/>
  <c r="FC435" a="1"/>
  <c r="FC435" s="1"/>
  <c r="EM435" a="1"/>
  <c r="EM435" s="1"/>
  <c r="DW435" a="1"/>
  <c r="DW435" s="1"/>
  <c r="DG435" a="1"/>
  <c r="DG435" s="1"/>
  <c r="CQ435" a="1"/>
  <c r="CQ435" s="1"/>
  <c r="CA435" a="1"/>
  <c r="CA435" s="1"/>
  <c r="CA434" a="1"/>
  <c r="CA434" s="1"/>
  <c r="BK434" a="1"/>
  <c r="BK434" s="1"/>
  <c r="AU434" a="1"/>
  <c r="AU434" s="1"/>
  <c r="AE434" a="1"/>
  <c r="AE434" s="1"/>
  <c r="O434" a="1"/>
  <c r="O434" s="1"/>
  <c r="FG435"/>
  <c r="FF435"/>
  <c r="DZ435"/>
  <c r="EA435"/>
  <c r="CU435"/>
  <c r="CT435"/>
  <c r="EQ435"/>
  <c r="EP435"/>
  <c r="DJ435"/>
  <c r="DK435"/>
  <c r="CE435"/>
  <c r="CD435"/>
  <c r="AX435"/>
  <c r="AY435"/>
  <c r="AH435"/>
  <c r="AI435"/>
  <c r="R435"/>
  <c r="S435"/>
  <c r="FF434"/>
  <c r="FG434"/>
  <c r="EP434"/>
  <c r="EQ434"/>
  <c r="DZ434"/>
  <c r="EA434"/>
  <c r="DJ434"/>
  <c r="DK434"/>
  <c r="CT434"/>
  <c r="CU434"/>
  <c r="CD434"/>
  <c r="CE434"/>
  <c r="AX434"/>
  <c r="AY434"/>
  <c r="AH434"/>
  <c r="AI434"/>
  <c r="R434"/>
  <c r="S434"/>
  <c r="AU431" a="1"/>
  <c r="AU431" s="1"/>
  <c r="AE431" a="1"/>
  <c r="AE431" s="1"/>
  <c r="O431" a="1"/>
  <c r="O431" s="1"/>
  <c r="FC432" a="1"/>
  <c r="FC432" s="1"/>
  <c r="DW432" a="1"/>
  <c r="DW432" s="1"/>
  <c r="CQ432" a="1"/>
  <c r="CQ432" s="1"/>
  <c r="BK432" a="1"/>
  <c r="BK432" s="1"/>
  <c r="AE432" a="1"/>
  <c r="AE432" s="1"/>
  <c r="EM432" a="1"/>
  <c r="EM432" s="1"/>
  <c r="DG432" a="1"/>
  <c r="DG432" s="1"/>
  <c r="CA432" a="1"/>
  <c r="CA432" s="1"/>
  <c r="AU432" a="1"/>
  <c r="AU432" s="1"/>
  <c r="O432" a="1"/>
  <c r="O432" s="1"/>
  <c r="FF432"/>
  <c r="FG432"/>
  <c r="FF433"/>
  <c r="FG433"/>
  <c r="EP432"/>
  <c r="EQ432"/>
  <c r="DZ433"/>
  <c r="EA433"/>
  <c r="DJ432"/>
  <c r="DK432"/>
  <c r="CT433"/>
  <c r="CU433"/>
  <c r="CD432"/>
  <c r="CE432"/>
  <c r="AX432"/>
  <c r="AY432"/>
  <c r="AH433"/>
  <c r="AI433"/>
  <c r="R432"/>
  <c r="S432"/>
  <c r="EP433"/>
  <c r="EQ433"/>
  <c r="DZ432"/>
  <c r="EA432"/>
  <c r="DJ433"/>
  <c r="DK433"/>
  <c r="CT432"/>
  <c r="CU432"/>
  <c r="CD433"/>
  <c r="CE433"/>
  <c r="AX433"/>
  <c r="AY433"/>
  <c r="AH432"/>
  <c r="AI432"/>
  <c r="R433"/>
  <c r="S433"/>
  <c r="FC429" a="1"/>
  <c r="FC429" s="1"/>
  <c r="EM429" a="1"/>
  <c r="EM429" s="1"/>
  <c r="DW429" a="1"/>
  <c r="DW429" s="1"/>
  <c r="DG429" a="1"/>
  <c r="DG429" s="1"/>
  <c r="CQ429" a="1"/>
  <c r="CQ429" s="1"/>
  <c r="CA429" a="1"/>
  <c r="CA429" s="1"/>
  <c r="BK429" a="1"/>
  <c r="BK429" s="1"/>
  <c r="FC431" a="1"/>
  <c r="FC431" s="1"/>
  <c r="EM431" a="1"/>
  <c r="EM431" s="1"/>
  <c r="DW431" a="1"/>
  <c r="DW431" s="1"/>
  <c r="DG431" a="1"/>
  <c r="DG431" s="1"/>
  <c r="CQ431" a="1"/>
  <c r="CQ431" s="1"/>
  <c r="CA431" a="1"/>
  <c r="CA431" s="1"/>
  <c r="BK431" a="1"/>
  <c r="BK431" s="1"/>
  <c r="EQ431"/>
  <c r="EP431"/>
  <c r="DK431"/>
  <c r="DJ431"/>
  <c r="CE431"/>
  <c r="CD431"/>
  <c r="FF431"/>
  <c r="FG431"/>
  <c r="DZ431"/>
  <c r="EA431"/>
  <c r="CT431"/>
  <c r="CU431"/>
  <c r="AX431"/>
  <c r="AY431"/>
  <c r="AH431"/>
  <c r="AI431"/>
  <c r="R431"/>
  <c r="S431"/>
  <c r="AE430" a="1"/>
  <c r="AE430" s="1"/>
  <c r="O430" a="1"/>
  <c r="O430" s="1"/>
  <c r="FF430"/>
  <c r="FG430"/>
  <c r="DZ430"/>
  <c r="EA430"/>
  <c r="CT430"/>
  <c r="CU430"/>
  <c r="EQ430"/>
  <c r="EP430"/>
  <c r="DK430"/>
  <c r="DJ430"/>
  <c r="CE430"/>
  <c r="CD430"/>
  <c r="AY430"/>
  <c r="AX430"/>
  <c r="AH430"/>
  <c r="AI430"/>
  <c r="R430"/>
  <c r="S430"/>
  <c r="FC427" a="1"/>
  <c r="FC427" s="1"/>
  <c r="EM427" a="1"/>
  <c r="EM427" s="1"/>
  <c r="DW427" a="1"/>
  <c r="DW427" s="1"/>
  <c r="DG427" a="1"/>
  <c r="DG427" s="1"/>
  <c r="AU429" a="1"/>
  <c r="AU429" s="1"/>
  <c r="AE429" a="1"/>
  <c r="AE429" s="1"/>
  <c r="O429" a="1"/>
  <c r="O429" s="1"/>
  <c r="EP429"/>
  <c r="EQ429"/>
  <c r="DK429"/>
  <c r="DJ429"/>
  <c r="CD429"/>
  <c r="CE429"/>
  <c r="FF429"/>
  <c r="FG429"/>
  <c r="EA429"/>
  <c r="DZ429"/>
  <c r="CT429"/>
  <c r="CU429"/>
  <c r="AX429"/>
  <c r="AY429"/>
  <c r="AH429"/>
  <c r="AI429"/>
  <c r="R429"/>
  <c r="S429"/>
  <c r="FC428" a="1"/>
  <c r="FC428" s="1"/>
  <c r="EM428" a="1"/>
  <c r="EM428" s="1"/>
  <c r="DW428" a="1"/>
  <c r="DW428" s="1"/>
  <c r="DG428" a="1"/>
  <c r="DG428" s="1"/>
  <c r="CQ428" a="1"/>
  <c r="CQ428" s="1"/>
  <c r="CA428" a="1"/>
  <c r="CA428" s="1"/>
  <c r="AU428" a="1"/>
  <c r="AU428" s="1"/>
  <c r="AE428" a="1"/>
  <c r="AE428" s="1"/>
  <c r="O428" a="1"/>
  <c r="O428" s="1"/>
  <c r="CQ427" a="1"/>
  <c r="CQ427" s="1"/>
  <c r="CA427" a="1"/>
  <c r="CA427" s="1"/>
  <c r="BK427" a="1"/>
  <c r="BK427" s="1"/>
  <c r="AU427" a="1"/>
  <c r="AU427" s="1"/>
  <c r="AE427" a="1"/>
  <c r="AE427" s="1"/>
  <c r="O427" a="1"/>
  <c r="O427" s="1"/>
  <c r="BK428" a="1"/>
  <c r="BK428" s="1"/>
  <c r="FG428"/>
  <c r="FF428"/>
  <c r="EA428"/>
  <c r="DZ428"/>
  <c r="CU428"/>
  <c r="CT428"/>
  <c r="EP428"/>
  <c r="EQ428"/>
  <c r="DJ428"/>
  <c r="DK428"/>
  <c r="CE428"/>
  <c r="CD428"/>
  <c r="AH428"/>
  <c r="AI428"/>
  <c r="AY428"/>
  <c r="AX428"/>
  <c r="S428"/>
  <c r="R428"/>
  <c r="FF427"/>
  <c r="FG427"/>
  <c r="EA427"/>
  <c r="DZ427"/>
  <c r="EP427"/>
  <c r="EQ427"/>
  <c r="DJ427"/>
  <c r="DK427"/>
  <c r="CT427"/>
  <c r="CU427"/>
  <c r="CD427"/>
  <c r="CE427"/>
  <c r="AX427"/>
  <c r="AY427"/>
  <c r="AH427"/>
  <c r="AI427"/>
  <c r="R427"/>
  <c r="S427"/>
  <c r="FC425" a="1"/>
  <c r="FC425" s="1"/>
  <c r="EM425" a="1"/>
  <c r="EM425" s="1"/>
  <c r="DW425" a="1"/>
  <c r="DW425" s="1"/>
  <c r="DG425" a="1"/>
  <c r="DG425" s="1"/>
  <c r="CQ425" a="1"/>
  <c r="CQ425" s="1"/>
  <c r="CA425" a="1"/>
  <c r="CA425" s="1"/>
  <c r="BK425" a="1"/>
  <c r="BK425" s="1"/>
  <c r="AU425" a="1"/>
  <c r="AU425" s="1"/>
  <c r="AE425" a="1"/>
  <c r="AE425" s="1"/>
  <c r="O425" a="1"/>
  <c r="O425" s="1"/>
  <c r="FC426" a="1"/>
  <c r="FC426" s="1"/>
  <c r="EM426" a="1"/>
  <c r="EM426" s="1"/>
  <c r="DW426" a="1"/>
  <c r="DW426" s="1"/>
  <c r="DG426" a="1"/>
  <c r="DG426" s="1"/>
  <c r="CQ426" a="1"/>
  <c r="CQ426" s="1"/>
  <c r="CA426" a="1"/>
  <c r="CA426" s="1"/>
  <c r="BK426" a="1"/>
  <c r="BK426" s="1"/>
  <c r="AU426" a="1"/>
  <c r="AU426" s="1"/>
  <c r="AE426" a="1"/>
  <c r="AE426" s="1"/>
  <c r="O426" a="1"/>
  <c r="O426" s="1"/>
  <c r="FF425"/>
  <c r="FG425"/>
  <c r="DZ425"/>
  <c r="EA425"/>
  <c r="CT425"/>
  <c r="CU425"/>
  <c r="AX425"/>
  <c r="AY425"/>
  <c r="R425"/>
  <c r="S425"/>
  <c r="EQ425"/>
  <c r="DK425"/>
  <c r="CE425"/>
  <c r="AI425"/>
  <c r="FF426"/>
  <c r="FG426"/>
  <c r="EP426"/>
  <c r="EQ426"/>
  <c r="DZ426"/>
  <c r="EA426"/>
  <c r="DJ426"/>
  <c r="DK426"/>
  <c r="CT426"/>
  <c r="CU426"/>
  <c r="CD426"/>
  <c r="CE426"/>
  <c r="AX426"/>
  <c r="AY426"/>
  <c r="AH426"/>
  <c r="AI426"/>
  <c r="R426"/>
  <c r="S426"/>
  <c r="FC424" a="1"/>
  <c r="FC424" s="1"/>
  <c r="EM424" a="1"/>
  <c r="EM424" s="1"/>
  <c r="DW424" a="1"/>
  <c r="DW424" s="1"/>
  <c r="DG424" a="1"/>
  <c r="DG424" s="1"/>
  <c r="CQ424" a="1"/>
  <c r="CQ424" s="1"/>
  <c r="CA424" a="1"/>
  <c r="CA424" s="1"/>
  <c r="AU424" a="1"/>
  <c r="AU424" s="1"/>
  <c r="AE424" a="1"/>
  <c r="AE424" s="1"/>
  <c r="O424" a="1"/>
  <c r="O424" s="1"/>
  <c r="BK424" a="1"/>
  <c r="BK424" s="1"/>
  <c r="AY424"/>
  <c r="AX424"/>
  <c r="EQ424"/>
  <c r="EP424"/>
  <c r="DJ424"/>
  <c r="DK424"/>
  <c r="CE424"/>
  <c r="CD424"/>
  <c r="AH424"/>
  <c r="AI424"/>
  <c r="FG424"/>
  <c r="FF424"/>
  <c r="DZ424"/>
  <c r="EA424"/>
  <c r="CU424"/>
  <c r="CT424"/>
  <c r="S424"/>
  <c r="R424"/>
  <c r="H423"/>
  <c r="I423"/>
  <c r="N423" a="1"/>
  <c r="N423" s="1"/>
  <c r="P423"/>
  <c r="Q423"/>
  <c r="AC423" a="1"/>
  <c r="AC423" s="1"/>
  <c r="L423" s="1"/>
  <c r="AD423" a="1"/>
  <c r="AD423" s="1"/>
  <c r="AF423"/>
  <c r="AG423"/>
  <c r="AS423" a="1"/>
  <c r="AS423" s="1"/>
  <c r="AT423" a="1"/>
  <c r="AT423" s="1"/>
  <c r="AV423"/>
  <c r="AW423"/>
  <c r="BI423" a="1"/>
  <c r="BI423" s="1"/>
  <c r="BJ423" a="1"/>
  <c r="BJ423" s="1"/>
  <c r="BL423"/>
  <c r="BM423"/>
  <c r="BY423" a="1"/>
  <c r="BY423" s="1"/>
  <c r="BZ423" a="1"/>
  <c r="BZ423" s="1"/>
  <c r="CB423"/>
  <c r="CC423"/>
  <c r="CO423" a="1"/>
  <c r="CO423" s="1"/>
  <c r="CP423" a="1"/>
  <c r="CP423" s="1"/>
  <c r="CR423"/>
  <c r="CS423"/>
  <c r="DE423" a="1"/>
  <c r="DE423" s="1"/>
  <c r="DF423" a="1"/>
  <c r="DF423" s="1"/>
  <c r="DH423"/>
  <c r="DI423"/>
  <c r="DU423" a="1"/>
  <c r="DU423" s="1"/>
  <c r="DV423" a="1"/>
  <c r="DV423" s="1"/>
  <c r="DX423"/>
  <c r="DY423"/>
  <c r="EK423" a="1"/>
  <c r="EK423" s="1"/>
  <c r="EL423" a="1"/>
  <c r="EL423" s="1"/>
  <c r="EN423"/>
  <c r="EO423"/>
  <c r="FA423" a="1"/>
  <c r="FA423" s="1"/>
  <c r="FB423" a="1"/>
  <c r="FB423" s="1"/>
  <c r="FD423"/>
  <c r="FE423"/>
  <c r="H422"/>
  <c r="I422"/>
  <c r="N422" a="1"/>
  <c r="N422" s="1"/>
  <c r="P422"/>
  <c r="Q422"/>
  <c r="AC422" a="1"/>
  <c r="AC422" s="1"/>
  <c r="L422" s="1"/>
  <c r="AD422" a="1"/>
  <c r="AD422" s="1"/>
  <c r="AF422"/>
  <c r="AG422"/>
  <c r="AS422" a="1"/>
  <c r="AS422" s="1"/>
  <c r="AT422" a="1"/>
  <c r="AT422" s="1"/>
  <c r="AV422"/>
  <c r="AW422"/>
  <c r="BI422" a="1"/>
  <c r="BI422" s="1"/>
  <c r="BJ422" a="1"/>
  <c r="BJ422" s="1"/>
  <c r="BL422"/>
  <c r="BM422"/>
  <c r="BY422" a="1"/>
  <c r="BY422" s="1"/>
  <c r="BZ422" a="1"/>
  <c r="BZ422" s="1"/>
  <c r="CB422"/>
  <c r="CC422"/>
  <c r="CO422" a="1"/>
  <c r="CO422" s="1"/>
  <c r="CP422" a="1"/>
  <c r="CP422" s="1"/>
  <c r="CR422"/>
  <c r="CS422"/>
  <c r="DE422" a="1"/>
  <c r="DE422" s="1"/>
  <c r="DF422" a="1"/>
  <c r="DF422" s="1"/>
  <c r="DH422"/>
  <c r="DI422"/>
  <c r="DU422" a="1"/>
  <c r="DU422" s="1"/>
  <c r="DV422" a="1"/>
  <c r="DV422" s="1"/>
  <c r="DX422"/>
  <c r="DY422"/>
  <c r="EK422" a="1"/>
  <c r="EK422" s="1"/>
  <c r="EL422" a="1"/>
  <c r="EL422" s="1"/>
  <c r="EN422"/>
  <c r="EO422"/>
  <c r="FA422" a="1"/>
  <c r="FA422" s="1"/>
  <c r="FB422" a="1"/>
  <c r="FB422" s="1"/>
  <c r="FD422"/>
  <c r="FE422"/>
  <c r="H421"/>
  <c r="I421"/>
  <c r="N421" a="1"/>
  <c r="N421" s="1"/>
  <c r="P421"/>
  <c r="Q421"/>
  <c r="AC421" a="1"/>
  <c r="AC421" s="1"/>
  <c r="L421" s="1"/>
  <c r="AD421" a="1"/>
  <c r="AD421" s="1"/>
  <c r="AF421"/>
  <c r="AG421"/>
  <c r="AS421" a="1"/>
  <c r="AS421" s="1"/>
  <c r="AT421" a="1"/>
  <c r="AT421" s="1"/>
  <c r="AV421"/>
  <c r="AW421"/>
  <c r="BI421" a="1"/>
  <c r="BI421" s="1"/>
  <c r="BJ421" a="1"/>
  <c r="BJ421" s="1"/>
  <c r="BL421"/>
  <c r="BM421"/>
  <c r="BY421" a="1"/>
  <c r="BY421" s="1"/>
  <c r="BZ421" a="1"/>
  <c r="BZ421" s="1"/>
  <c r="CB421"/>
  <c r="CC421"/>
  <c r="CO421" a="1"/>
  <c r="CO421" s="1"/>
  <c r="CP421" a="1"/>
  <c r="CP421" s="1"/>
  <c r="CR421"/>
  <c r="CS421"/>
  <c r="DE421" a="1"/>
  <c r="DE421" s="1"/>
  <c r="DF421" a="1"/>
  <c r="DF421" s="1"/>
  <c r="DH421"/>
  <c r="DI421"/>
  <c r="DU421" a="1"/>
  <c r="DU421" s="1"/>
  <c r="DV421" a="1"/>
  <c r="DV421" s="1"/>
  <c r="DX421"/>
  <c r="DY421"/>
  <c r="EK421" a="1"/>
  <c r="EK421" s="1"/>
  <c r="EL421" a="1"/>
  <c r="EL421" s="1"/>
  <c r="EN421"/>
  <c r="EO421"/>
  <c r="FA421" a="1"/>
  <c r="FA421" s="1"/>
  <c r="FB421" a="1"/>
  <c r="FB421" s="1"/>
  <c r="FD421"/>
  <c r="FE421"/>
  <c r="H420"/>
  <c r="I420"/>
  <c r="N420" a="1"/>
  <c r="N420" s="1"/>
  <c r="P420"/>
  <c r="Q420"/>
  <c r="AC420" a="1"/>
  <c r="AC420" s="1"/>
  <c r="L420" s="1"/>
  <c r="AD420" a="1"/>
  <c r="AD420" s="1"/>
  <c r="AF420"/>
  <c r="AG420"/>
  <c r="AS420" a="1"/>
  <c r="AS420" s="1"/>
  <c r="AT420" a="1"/>
  <c r="AT420" s="1"/>
  <c r="AV420"/>
  <c r="AW420"/>
  <c r="BI420" a="1"/>
  <c r="BI420" s="1"/>
  <c r="BJ420" a="1"/>
  <c r="BJ420" s="1"/>
  <c r="BL420"/>
  <c r="BM420"/>
  <c r="BY420" a="1"/>
  <c r="BY420" s="1"/>
  <c r="BZ420" a="1"/>
  <c r="BZ420" s="1"/>
  <c r="CB420"/>
  <c r="CC420"/>
  <c r="CO420" a="1"/>
  <c r="CO420" s="1"/>
  <c r="CP420" a="1"/>
  <c r="CP420" s="1"/>
  <c r="CR420"/>
  <c r="CS420"/>
  <c r="DE420" a="1"/>
  <c r="DE420" s="1"/>
  <c r="DF420" a="1"/>
  <c r="DF420" s="1"/>
  <c r="DH420"/>
  <c r="DI420"/>
  <c r="DU420" a="1"/>
  <c r="DU420" s="1"/>
  <c r="DV420" a="1"/>
  <c r="DV420" s="1"/>
  <c r="DX420"/>
  <c r="DY420"/>
  <c r="EK420" a="1"/>
  <c r="EK420" s="1"/>
  <c r="EL420" a="1"/>
  <c r="EL420" s="1"/>
  <c r="EN420"/>
  <c r="EO420"/>
  <c r="FA420" a="1"/>
  <c r="FA420" s="1"/>
  <c r="FB420" a="1"/>
  <c r="FB420" s="1"/>
  <c r="FD420"/>
  <c r="FE420"/>
  <c r="H419"/>
  <c r="I419"/>
  <c r="N419" a="1"/>
  <c r="N419" s="1"/>
  <c r="P419"/>
  <c r="Q419"/>
  <c r="L419"/>
  <c r="AD419" a="1"/>
  <c r="AD419" s="1"/>
  <c r="AF419"/>
  <c r="AG419"/>
  <c r="AS419" a="1"/>
  <c r="AS419" s="1"/>
  <c r="AT419" a="1"/>
  <c r="AT419" s="1"/>
  <c r="AV419"/>
  <c r="AW419"/>
  <c r="BI419" a="1"/>
  <c r="BI419" s="1"/>
  <c r="BJ419" a="1"/>
  <c r="BJ419" s="1"/>
  <c r="BL419"/>
  <c r="BM419"/>
  <c r="BY419" a="1"/>
  <c r="BY419" s="1"/>
  <c r="BZ419" a="1"/>
  <c r="BZ419" s="1"/>
  <c r="CB419"/>
  <c r="CC419"/>
  <c r="CO419" a="1"/>
  <c r="CO419" s="1"/>
  <c r="CP419" a="1"/>
  <c r="CP419" s="1"/>
  <c r="CR419"/>
  <c r="CS419"/>
  <c r="DE419" a="1"/>
  <c r="DE419" s="1"/>
  <c r="DF419" a="1"/>
  <c r="DF419" s="1"/>
  <c r="DH419"/>
  <c r="DI419"/>
  <c r="DU419" a="1"/>
  <c r="DU419" s="1"/>
  <c r="DV419" a="1"/>
  <c r="DV419" s="1"/>
  <c r="DX419"/>
  <c r="DY419"/>
  <c r="EK419" a="1"/>
  <c r="EK419" s="1"/>
  <c r="EL419" a="1"/>
  <c r="EL419" s="1"/>
  <c r="EN419"/>
  <c r="EO419"/>
  <c r="FA419" a="1"/>
  <c r="FA419" s="1"/>
  <c r="FB419" a="1"/>
  <c r="FB419" s="1"/>
  <c r="FD419"/>
  <c r="FE419"/>
  <c r="H418"/>
  <c r="I418"/>
  <c r="N418" a="1"/>
  <c r="N418" s="1"/>
  <c r="P418"/>
  <c r="Q418"/>
  <c r="L418"/>
  <c r="AD418" a="1"/>
  <c r="AD418" s="1"/>
  <c r="AF418"/>
  <c r="AG418"/>
  <c r="AS418" a="1"/>
  <c r="AS418" s="1"/>
  <c r="AT418" a="1"/>
  <c r="AT418" s="1"/>
  <c r="AV418"/>
  <c r="AW418"/>
  <c r="BI418" a="1"/>
  <c r="BI418" s="1"/>
  <c r="BJ418" a="1"/>
  <c r="BJ418" s="1"/>
  <c r="BL418"/>
  <c r="BM418"/>
  <c r="BY418" a="1"/>
  <c r="BY418" s="1"/>
  <c r="BZ418" a="1"/>
  <c r="BZ418" s="1"/>
  <c r="CB418"/>
  <c r="CC418"/>
  <c r="CO418" a="1"/>
  <c r="CO418" s="1"/>
  <c r="CP418" a="1"/>
  <c r="CP418" s="1"/>
  <c r="CR418"/>
  <c r="CS418"/>
  <c r="DE418" a="1"/>
  <c r="DE418" s="1"/>
  <c r="DF418" a="1"/>
  <c r="DF418" s="1"/>
  <c r="DH418"/>
  <c r="DI418"/>
  <c r="DU418" a="1"/>
  <c r="DU418" s="1"/>
  <c r="DV418" a="1"/>
  <c r="DV418" s="1"/>
  <c r="DX418"/>
  <c r="DY418"/>
  <c r="EK418" a="1"/>
  <c r="EK418" s="1"/>
  <c r="EL418" a="1"/>
  <c r="EL418" s="1"/>
  <c r="EN418"/>
  <c r="EO418"/>
  <c r="FA418" a="1"/>
  <c r="FA418" s="1"/>
  <c r="FB418" a="1"/>
  <c r="FB418" s="1"/>
  <c r="FD418"/>
  <c r="FE418"/>
  <c r="H417"/>
  <c r="I417"/>
  <c r="N417" a="1"/>
  <c r="N417" s="1"/>
  <c r="P417"/>
  <c r="Q417"/>
  <c r="L417"/>
  <c r="AD417" a="1"/>
  <c r="AD417" s="1"/>
  <c r="AF417"/>
  <c r="AG417"/>
  <c r="AS417" a="1"/>
  <c r="AS417" s="1"/>
  <c r="AT417" a="1"/>
  <c r="AT417" s="1"/>
  <c r="AV417"/>
  <c r="AW417"/>
  <c r="BI417" a="1"/>
  <c r="BI417" s="1"/>
  <c r="BJ417" a="1"/>
  <c r="BJ417" s="1"/>
  <c r="BL417"/>
  <c r="BM417"/>
  <c r="BY417" a="1"/>
  <c r="BY417" s="1"/>
  <c r="BZ417" a="1"/>
  <c r="BZ417" s="1"/>
  <c r="CB417"/>
  <c r="CC417"/>
  <c r="CO417" a="1"/>
  <c r="CO417" s="1"/>
  <c r="CP417" a="1"/>
  <c r="CP417" s="1"/>
  <c r="CR417"/>
  <c r="CS417"/>
  <c r="DE417" a="1"/>
  <c r="DE417" s="1"/>
  <c r="DF417" a="1"/>
  <c r="DF417" s="1"/>
  <c r="DH417"/>
  <c r="DI417"/>
  <c r="DU417" a="1"/>
  <c r="DU417" s="1"/>
  <c r="DV417" a="1"/>
  <c r="DV417" s="1"/>
  <c r="DX417"/>
  <c r="DY417"/>
  <c r="EK417" a="1"/>
  <c r="EK417" s="1"/>
  <c r="EL417" a="1"/>
  <c r="EL417" s="1"/>
  <c r="EN417"/>
  <c r="EO417"/>
  <c r="FA417" a="1"/>
  <c r="FA417" s="1"/>
  <c r="FB417" a="1"/>
  <c r="FB417" s="1"/>
  <c r="FD417"/>
  <c r="FE417"/>
  <c r="H416"/>
  <c r="I416"/>
  <c r="N416" a="1"/>
  <c r="N416" s="1"/>
  <c r="P416"/>
  <c r="Q416"/>
  <c r="AC416" a="1"/>
  <c r="AC416" s="1"/>
  <c r="L416" s="1"/>
  <c r="AD416" a="1"/>
  <c r="AD416" s="1"/>
  <c r="AF416"/>
  <c r="AG416"/>
  <c r="AS416" a="1"/>
  <c r="AS416" s="1"/>
  <c r="AT416" a="1"/>
  <c r="AT416" s="1"/>
  <c r="AV416"/>
  <c r="AW416"/>
  <c r="BI416" a="1"/>
  <c r="BI416" s="1"/>
  <c r="BJ416" a="1"/>
  <c r="BJ416" s="1"/>
  <c r="BL416"/>
  <c r="BM416"/>
  <c r="BY416" a="1"/>
  <c r="BY416" s="1"/>
  <c r="BZ416" a="1"/>
  <c r="BZ416" s="1"/>
  <c r="CB416"/>
  <c r="CC416"/>
  <c r="CO416" a="1"/>
  <c r="CO416" s="1"/>
  <c r="CP416" a="1"/>
  <c r="CP416" s="1"/>
  <c r="CR416"/>
  <c r="CS416"/>
  <c r="DE416" a="1"/>
  <c r="DE416" s="1"/>
  <c r="DF416" a="1"/>
  <c r="DF416" s="1"/>
  <c r="DH416"/>
  <c r="DI416"/>
  <c r="DU416" a="1"/>
  <c r="DU416" s="1"/>
  <c r="DV416" a="1"/>
  <c r="DV416" s="1"/>
  <c r="DX416"/>
  <c r="DY416"/>
  <c r="EK416" a="1"/>
  <c r="EK416" s="1"/>
  <c r="EL416" a="1"/>
  <c r="EL416" s="1"/>
  <c r="EN416"/>
  <c r="EO416"/>
  <c r="FA416" a="1"/>
  <c r="FA416" s="1"/>
  <c r="FB416" a="1"/>
  <c r="FB416" s="1"/>
  <c r="FD416"/>
  <c r="FE416"/>
  <c r="FC423" l="1" a="1"/>
  <c r="FC423" s="1"/>
  <c r="EM423" a="1"/>
  <c r="EM423" s="1"/>
  <c r="DW423" a="1"/>
  <c r="DW423" s="1"/>
  <c r="DG423" a="1"/>
  <c r="DG423" s="1"/>
  <c r="CQ423" a="1"/>
  <c r="CQ423" s="1"/>
  <c r="CA423" a="1"/>
  <c r="CA423" s="1"/>
  <c r="BK423" a="1"/>
  <c r="BK423" s="1"/>
  <c r="AU423" a="1"/>
  <c r="AU423" s="1"/>
  <c r="AE423" a="1"/>
  <c r="AE423" s="1"/>
  <c r="O423" a="1"/>
  <c r="O423" s="1"/>
  <c r="FC422" a="1"/>
  <c r="FC422" s="1"/>
  <c r="EM422" a="1"/>
  <c r="EM422" s="1"/>
  <c r="DW422" a="1"/>
  <c r="DW422" s="1"/>
  <c r="DG422" a="1"/>
  <c r="DG422" s="1"/>
  <c r="EP423"/>
  <c r="EQ423"/>
  <c r="DK423"/>
  <c r="DJ423"/>
  <c r="CE423"/>
  <c r="CD423"/>
  <c r="AY423"/>
  <c r="AX423"/>
  <c r="S423"/>
  <c r="R423"/>
  <c r="FF423"/>
  <c r="FG423"/>
  <c r="EA423"/>
  <c r="DZ423"/>
  <c r="CT423"/>
  <c r="CU423"/>
  <c r="AH423"/>
  <c r="AI423"/>
  <c r="AU422" a="1"/>
  <c r="AU422" s="1"/>
  <c r="AE422" a="1"/>
  <c r="AE422" s="1"/>
  <c r="CQ422" a="1"/>
  <c r="CQ422" s="1"/>
  <c r="FC421" a="1"/>
  <c r="FC421" s="1"/>
  <c r="EM421" a="1"/>
  <c r="EM421" s="1"/>
  <c r="DW421" a="1"/>
  <c r="DW421" s="1"/>
  <c r="CA422" a="1"/>
  <c r="CA422" s="1"/>
  <c r="BK422" a="1"/>
  <c r="BK422" s="1"/>
  <c r="DG421" a="1"/>
  <c r="DG421" s="1"/>
  <c r="CQ421" a="1"/>
  <c r="CQ421" s="1"/>
  <c r="CA421" a="1"/>
  <c r="CA421" s="1"/>
  <c r="BK421" a="1"/>
  <c r="BK421" s="1"/>
  <c r="O422" a="1"/>
  <c r="O422" s="1"/>
  <c r="EP422"/>
  <c r="EQ422"/>
  <c r="DJ422"/>
  <c r="DK422"/>
  <c r="CD422"/>
  <c r="CE422"/>
  <c r="FG422"/>
  <c r="FF422"/>
  <c r="EA422"/>
  <c r="DZ422"/>
  <c r="CU422"/>
  <c r="CT422"/>
  <c r="AX422"/>
  <c r="AY422"/>
  <c r="AH422"/>
  <c r="AI422"/>
  <c r="R422"/>
  <c r="S422"/>
  <c r="FC418" a="1"/>
  <c r="FC418" s="1"/>
  <c r="EM418" a="1"/>
  <c r="EM418" s="1"/>
  <c r="DW418" a="1"/>
  <c r="DW418" s="1"/>
  <c r="DG418" a="1"/>
  <c r="DG418" s="1"/>
  <c r="CQ418" a="1"/>
  <c r="CQ418" s="1"/>
  <c r="CA418" a="1"/>
  <c r="CA418" s="1"/>
  <c r="AU421" a="1"/>
  <c r="AU421" s="1"/>
  <c r="AE421" a="1"/>
  <c r="AE421" s="1"/>
  <c r="O421" a="1"/>
  <c r="O421" s="1"/>
  <c r="O419" a="1"/>
  <c r="O419" s="1"/>
  <c r="EP421"/>
  <c r="EQ421"/>
  <c r="DJ421"/>
  <c r="DK421"/>
  <c r="CD421"/>
  <c r="CE421"/>
  <c r="FG421"/>
  <c r="FF421"/>
  <c r="EA421"/>
  <c r="DZ421"/>
  <c r="CU421"/>
  <c r="CT421"/>
  <c r="AX421"/>
  <c r="AY421"/>
  <c r="AH421"/>
  <c r="AI421"/>
  <c r="R421"/>
  <c r="S421"/>
  <c r="FC420" a="1"/>
  <c r="FC420" s="1"/>
  <c r="EM420" a="1"/>
  <c r="EM420" s="1"/>
  <c r="DW420" a="1"/>
  <c r="DW420" s="1"/>
  <c r="DG420" a="1"/>
  <c r="DG420" s="1"/>
  <c r="CQ420" a="1"/>
  <c r="CQ420" s="1"/>
  <c r="CA420" a="1"/>
  <c r="CA420" s="1"/>
  <c r="BK420" a="1"/>
  <c r="BK420" s="1"/>
  <c r="AU420" a="1"/>
  <c r="AU420" s="1"/>
  <c r="AE420" a="1"/>
  <c r="AE420" s="1"/>
  <c r="O420" a="1"/>
  <c r="O420" s="1"/>
  <c r="FF420"/>
  <c r="FG420"/>
  <c r="EP420"/>
  <c r="EQ420"/>
  <c r="DZ420"/>
  <c r="EA420"/>
  <c r="DJ420"/>
  <c r="DK420"/>
  <c r="CT420"/>
  <c r="CU420"/>
  <c r="CD420"/>
  <c r="CE420"/>
  <c r="AX420"/>
  <c r="AY420"/>
  <c r="AH420"/>
  <c r="AI420"/>
  <c r="R420"/>
  <c r="S420"/>
  <c r="FC419" a="1"/>
  <c r="FC419" s="1"/>
  <c r="EM419" a="1"/>
  <c r="EM419" s="1"/>
  <c r="DW419" a="1"/>
  <c r="DW419" s="1"/>
  <c r="DG419" a="1"/>
  <c r="DG419" s="1"/>
  <c r="CQ419" a="1"/>
  <c r="CQ419" s="1"/>
  <c r="CA419" a="1"/>
  <c r="CA419" s="1"/>
  <c r="BK419" a="1"/>
  <c r="BK419" s="1"/>
  <c r="AU419" a="1"/>
  <c r="AU419" s="1"/>
  <c r="AE419" a="1"/>
  <c r="AE419" s="1"/>
  <c r="EQ419"/>
  <c r="EP419"/>
  <c r="DK419"/>
  <c r="DJ419"/>
  <c r="CD419"/>
  <c r="CE419"/>
  <c r="AY419"/>
  <c r="AX419"/>
  <c r="FF419"/>
  <c r="FG419"/>
  <c r="DZ419"/>
  <c r="EA419"/>
  <c r="CT419"/>
  <c r="CU419"/>
  <c r="AI419"/>
  <c r="AH419"/>
  <c r="R419"/>
  <c r="S419"/>
  <c r="EM417" a="1"/>
  <c r="EM417" s="1"/>
  <c r="DG417" a="1"/>
  <c r="DG417" s="1"/>
  <c r="BK418" a="1"/>
  <c r="BK418" s="1"/>
  <c r="AU418" a="1"/>
  <c r="AU418" s="1"/>
  <c r="AE418" a="1"/>
  <c r="AE418" s="1"/>
  <c r="O418" a="1"/>
  <c r="O418" s="1"/>
  <c r="FC417" a="1"/>
  <c r="FC417" s="1"/>
  <c r="CQ417" a="1"/>
  <c r="CQ417" s="1"/>
  <c r="CA417" a="1"/>
  <c r="CA417" s="1"/>
  <c r="BK417" a="1"/>
  <c r="BK417" s="1"/>
  <c r="AU417" a="1"/>
  <c r="AU417" s="1"/>
  <c r="AE417" a="1"/>
  <c r="AE417" s="1"/>
  <c r="O417" a="1"/>
  <c r="O417" s="1"/>
  <c r="DW417" a="1"/>
  <c r="DW417" s="1"/>
  <c r="FG418"/>
  <c r="FF418"/>
  <c r="EA418"/>
  <c r="DZ418"/>
  <c r="CU418"/>
  <c r="CT418"/>
  <c r="EP418"/>
  <c r="EQ418"/>
  <c r="DJ418"/>
  <c r="DK418"/>
  <c r="CE418"/>
  <c r="CD418"/>
  <c r="AX418"/>
  <c r="AY418"/>
  <c r="AH418"/>
  <c r="AI418"/>
  <c r="R418"/>
  <c r="S418"/>
  <c r="FG417"/>
  <c r="FF417"/>
  <c r="EA417"/>
  <c r="DZ417"/>
  <c r="EP417"/>
  <c r="EQ417"/>
  <c r="DJ417"/>
  <c r="DK417"/>
  <c r="CT417"/>
  <c r="CU417"/>
  <c r="CD417"/>
  <c r="CE417"/>
  <c r="AX417"/>
  <c r="AY417"/>
  <c r="AH417"/>
  <c r="AI417"/>
  <c r="R417"/>
  <c r="S417"/>
  <c r="FC416" a="1"/>
  <c r="FC416" s="1"/>
  <c r="EM416" a="1"/>
  <c r="EM416" s="1"/>
  <c r="DW416" a="1"/>
  <c r="DW416" s="1"/>
  <c r="DG416" a="1"/>
  <c r="DG416" s="1"/>
  <c r="CQ416" a="1"/>
  <c r="CQ416" s="1"/>
  <c r="CA416" a="1"/>
  <c r="CA416" s="1"/>
  <c r="BK416" a="1"/>
  <c r="BK416" s="1"/>
  <c r="AU416" a="1"/>
  <c r="AU416" s="1"/>
  <c r="AE416" a="1"/>
  <c r="AE416" s="1"/>
  <c r="O416" a="1"/>
  <c r="O416" s="1"/>
  <c r="FF416"/>
  <c r="FG416"/>
  <c r="EA416"/>
  <c r="DZ416"/>
  <c r="CT416"/>
  <c r="CU416"/>
  <c r="AH416"/>
  <c r="AI416"/>
  <c r="EP416"/>
  <c r="EQ416"/>
  <c r="DK416"/>
  <c r="DJ416"/>
  <c r="CE416"/>
  <c r="CD416"/>
  <c r="AY416"/>
  <c r="AX416"/>
  <c r="S416"/>
  <c r="R416"/>
  <c r="H415" l="1"/>
  <c r="I415"/>
  <c r="N415" a="1"/>
  <c r="N415" s="1"/>
  <c r="P415"/>
  <c r="Q415"/>
  <c r="AC415" a="1"/>
  <c r="AC415" s="1"/>
  <c r="L415" s="1"/>
  <c r="AD415" a="1"/>
  <c r="AD415" s="1"/>
  <c r="AF415"/>
  <c r="AG415"/>
  <c r="AS415" a="1"/>
  <c r="AS415" s="1"/>
  <c r="AT415" a="1"/>
  <c r="AT415" s="1"/>
  <c r="AV415"/>
  <c r="AW415"/>
  <c r="BI415" a="1"/>
  <c r="BI415" s="1"/>
  <c r="BJ415" a="1"/>
  <c r="BJ415" s="1"/>
  <c r="BL415"/>
  <c r="BM415"/>
  <c r="BY415" a="1"/>
  <c r="BY415" s="1"/>
  <c r="BZ415" a="1"/>
  <c r="BZ415" s="1"/>
  <c r="CB415"/>
  <c r="CC415"/>
  <c r="CO415" a="1"/>
  <c r="CO415" s="1"/>
  <c r="CP415" a="1"/>
  <c r="CP415" s="1"/>
  <c r="CR415"/>
  <c r="CS415"/>
  <c r="DE415" a="1"/>
  <c r="DE415" s="1"/>
  <c r="DF415" a="1"/>
  <c r="DF415" s="1"/>
  <c r="DH415"/>
  <c r="DI415"/>
  <c r="DU415" a="1"/>
  <c r="DU415" s="1"/>
  <c r="DV415" a="1"/>
  <c r="DV415" s="1"/>
  <c r="DX415"/>
  <c r="DY415"/>
  <c r="EK415" a="1"/>
  <c r="EK415" s="1"/>
  <c r="EL415" a="1"/>
  <c r="EL415" s="1"/>
  <c r="EN415"/>
  <c r="EO415"/>
  <c r="FA415" a="1"/>
  <c r="FA415" s="1"/>
  <c r="FB415" a="1"/>
  <c r="FB415" s="1"/>
  <c r="FD415"/>
  <c r="FE415"/>
  <c r="H414"/>
  <c r="I414"/>
  <c r="N414" a="1"/>
  <c r="N414" s="1"/>
  <c r="P414"/>
  <c r="Q414"/>
  <c r="AC414" a="1"/>
  <c r="AC414" s="1"/>
  <c r="L414" s="1"/>
  <c r="AD414" a="1"/>
  <c r="AD414" s="1"/>
  <c r="AF414"/>
  <c r="AG414"/>
  <c r="AS414" a="1"/>
  <c r="AS414" s="1"/>
  <c r="AT414" a="1"/>
  <c r="AT414" s="1"/>
  <c r="AV414"/>
  <c r="AW414"/>
  <c r="BI414" a="1"/>
  <c r="BI414" s="1"/>
  <c r="BJ414" a="1"/>
  <c r="BJ414" s="1"/>
  <c r="BL414"/>
  <c r="BM414"/>
  <c r="BY414" a="1"/>
  <c r="BY414" s="1"/>
  <c r="BZ414" a="1"/>
  <c r="BZ414" s="1"/>
  <c r="CB414"/>
  <c r="CC414"/>
  <c r="CO414" a="1"/>
  <c r="CO414" s="1"/>
  <c r="CP414" a="1"/>
  <c r="CP414" s="1"/>
  <c r="CR414"/>
  <c r="CS414"/>
  <c r="DE414" a="1"/>
  <c r="DE414" s="1"/>
  <c r="DF414" a="1"/>
  <c r="DF414" s="1"/>
  <c r="DH414"/>
  <c r="DI414"/>
  <c r="DU414" a="1"/>
  <c r="DU414" s="1"/>
  <c r="DV414" a="1"/>
  <c r="DV414" s="1"/>
  <c r="DX414"/>
  <c r="DY414"/>
  <c r="EK414" a="1"/>
  <c r="EK414" s="1"/>
  <c r="EL414" a="1"/>
  <c r="EL414" s="1"/>
  <c r="EN414"/>
  <c r="EO414"/>
  <c r="FA414" a="1"/>
  <c r="FA414" s="1"/>
  <c r="FB414" a="1"/>
  <c r="FB414" s="1"/>
  <c r="FD414"/>
  <c r="FE414"/>
  <c r="H413"/>
  <c r="I413"/>
  <c r="N413" a="1"/>
  <c r="N413" s="1"/>
  <c r="P413"/>
  <c r="Q413"/>
  <c r="AC413" a="1"/>
  <c r="AC413" s="1"/>
  <c r="L413" s="1"/>
  <c r="AD413" a="1"/>
  <c r="AD413" s="1"/>
  <c r="AF413"/>
  <c r="AG413"/>
  <c r="AS413" a="1"/>
  <c r="AS413" s="1"/>
  <c r="AT413" a="1"/>
  <c r="AT413" s="1"/>
  <c r="AV413"/>
  <c r="AW413"/>
  <c r="BI413" a="1"/>
  <c r="BI413" s="1"/>
  <c r="BJ413" a="1"/>
  <c r="BJ413" s="1"/>
  <c r="BL413"/>
  <c r="BM413"/>
  <c r="BY413" a="1"/>
  <c r="BY413" s="1"/>
  <c r="BZ413" a="1"/>
  <c r="BZ413" s="1"/>
  <c r="CB413"/>
  <c r="CC413"/>
  <c r="CO413" a="1"/>
  <c r="CO413" s="1"/>
  <c r="CP413" a="1"/>
  <c r="CP413" s="1"/>
  <c r="CR413"/>
  <c r="CS413"/>
  <c r="DE413" a="1"/>
  <c r="DE413" s="1"/>
  <c r="DF413" a="1"/>
  <c r="DF413" s="1"/>
  <c r="DH413"/>
  <c r="DI413"/>
  <c r="DU413" a="1"/>
  <c r="DU413" s="1"/>
  <c r="DV413" a="1"/>
  <c r="DV413" s="1"/>
  <c r="DX413"/>
  <c r="DY413"/>
  <c r="EK413" a="1"/>
  <c r="EK413" s="1"/>
  <c r="EL413" a="1"/>
  <c r="EL413" s="1"/>
  <c r="EN413"/>
  <c r="EO413"/>
  <c r="FA413" a="1"/>
  <c r="FA413" s="1"/>
  <c r="FB413" a="1"/>
  <c r="FB413" s="1"/>
  <c r="FD413"/>
  <c r="FE413"/>
  <c r="H412"/>
  <c r="I412"/>
  <c r="N412" a="1"/>
  <c r="N412" s="1"/>
  <c r="P412"/>
  <c r="Q412"/>
  <c r="AC412" a="1"/>
  <c r="AC412" s="1"/>
  <c r="L412" s="1"/>
  <c r="AD412" a="1"/>
  <c r="AD412" s="1"/>
  <c r="AF412"/>
  <c r="AG412"/>
  <c r="AS412" a="1"/>
  <c r="AS412" s="1"/>
  <c r="AT412" a="1"/>
  <c r="AT412" s="1"/>
  <c r="AV412"/>
  <c r="AW412"/>
  <c r="BI412" a="1"/>
  <c r="BI412" s="1"/>
  <c r="BJ412" a="1"/>
  <c r="BJ412" s="1"/>
  <c r="BL412"/>
  <c r="BM412"/>
  <c r="BY412" a="1"/>
  <c r="BY412" s="1"/>
  <c r="BZ412" a="1"/>
  <c r="BZ412" s="1"/>
  <c r="CB412"/>
  <c r="CC412"/>
  <c r="CO412" a="1"/>
  <c r="CO412" s="1"/>
  <c r="CP412" a="1"/>
  <c r="CP412" s="1"/>
  <c r="CR412"/>
  <c r="CS412"/>
  <c r="DE412" a="1"/>
  <c r="DE412" s="1"/>
  <c r="DF412" a="1"/>
  <c r="DF412" s="1"/>
  <c r="DH412"/>
  <c r="DI412"/>
  <c r="DU412" a="1"/>
  <c r="DU412" s="1"/>
  <c r="DV412" a="1"/>
  <c r="DV412" s="1"/>
  <c r="DX412"/>
  <c r="DY412"/>
  <c r="EK412" a="1"/>
  <c r="EK412" s="1"/>
  <c r="EL412" a="1"/>
  <c r="EL412" s="1"/>
  <c r="EN412"/>
  <c r="EO412"/>
  <c r="FA412" a="1"/>
  <c r="FA412" s="1"/>
  <c r="FB412" a="1"/>
  <c r="FB412" s="1"/>
  <c r="FD412"/>
  <c r="FE412"/>
  <c r="H411"/>
  <c r="I411"/>
  <c r="N411" a="1"/>
  <c r="N411" s="1"/>
  <c r="P411"/>
  <c r="Q411"/>
  <c r="AC411" a="1"/>
  <c r="AC411" s="1"/>
  <c r="L411" s="1"/>
  <c r="AD411" a="1"/>
  <c r="AD411" s="1"/>
  <c r="AF411"/>
  <c r="AG411"/>
  <c r="AS411" a="1"/>
  <c r="AS411" s="1"/>
  <c r="AT411" a="1"/>
  <c r="AT411" s="1"/>
  <c r="AV411"/>
  <c r="AW411"/>
  <c r="BI411" a="1"/>
  <c r="BI411" s="1"/>
  <c r="BJ411" a="1"/>
  <c r="BJ411" s="1"/>
  <c r="BL411"/>
  <c r="BM411"/>
  <c r="BY411" a="1"/>
  <c r="BY411" s="1"/>
  <c r="BZ411" a="1"/>
  <c r="BZ411" s="1"/>
  <c r="CB411"/>
  <c r="CC411"/>
  <c r="CO411" a="1"/>
  <c r="CO411" s="1"/>
  <c r="CP411" a="1"/>
  <c r="CP411" s="1"/>
  <c r="CR411"/>
  <c r="CS411"/>
  <c r="DE411" a="1"/>
  <c r="DE411" s="1"/>
  <c r="DF411" a="1"/>
  <c r="DF411" s="1"/>
  <c r="DH411"/>
  <c r="DI411"/>
  <c r="DU411" a="1"/>
  <c r="DU411" s="1"/>
  <c r="DV411" a="1"/>
  <c r="DV411" s="1"/>
  <c r="DX411"/>
  <c r="DY411"/>
  <c r="EK411" a="1"/>
  <c r="EK411" s="1"/>
  <c r="EL411" a="1"/>
  <c r="EL411" s="1"/>
  <c r="EN411"/>
  <c r="EO411"/>
  <c r="FA411" a="1"/>
  <c r="FA411" s="1"/>
  <c r="FB411" a="1"/>
  <c r="FB411" s="1"/>
  <c r="FD411"/>
  <c r="FE411"/>
  <c r="H410"/>
  <c r="I410"/>
  <c r="N410" a="1"/>
  <c r="N410" s="1"/>
  <c r="P410"/>
  <c r="Q410"/>
  <c r="AC410" a="1"/>
  <c r="AC410" s="1"/>
  <c r="L410" s="1"/>
  <c r="AD410" a="1"/>
  <c r="AD410" s="1"/>
  <c r="AF410"/>
  <c r="AG410"/>
  <c r="AS410" a="1"/>
  <c r="AS410" s="1"/>
  <c r="AT410" a="1"/>
  <c r="AT410" s="1"/>
  <c r="AV410"/>
  <c r="AW410"/>
  <c r="BI410" a="1"/>
  <c r="BI410" s="1"/>
  <c r="BJ410" a="1"/>
  <c r="BJ410" s="1"/>
  <c r="BL410"/>
  <c r="BM410"/>
  <c r="BY410" a="1"/>
  <c r="BY410" s="1"/>
  <c r="BZ410" a="1"/>
  <c r="BZ410" s="1"/>
  <c r="CB410"/>
  <c r="CC410"/>
  <c r="CO410" a="1"/>
  <c r="CO410" s="1"/>
  <c r="CP410" a="1"/>
  <c r="CP410" s="1"/>
  <c r="CR410"/>
  <c r="CS410"/>
  <c r="DE410" a="1"/>
  <c r="DE410" s="1"/>
  <c r="DF410" a="1"/>
  <c r="DF410" s="1"/>
  <c r="DH410"/>
  <c r="DI410"/>
  <c r="DU410" a="1"/>
  <c r="DU410" s="1"/>
  <c r="DV410" a="1"/>
  <c r="DV410" s="1"/>
  <c r="DX410"/>
  <c r="DY410"/>
  <c r="EK410" a="1"/>
  <c r="EK410" s="1"/>
  <c r="EL410" a="1"/>
  <c r="EL410" s="1"/>
  <c r="EN410"/>
  <c r="EO410"/>
  <c r="FA410" a="1"/>
  <c r="FA410" s="1"/>
  <c r="FB410" a="1"/>
  <c r="FB410" s="1"/>
  <c r="FD410"/>
  <c r="FE410"/>
  <c r="BK415" l="1" a="1"/>
  <c r="BK415" s="1"/>
  <c r="EM414" a="1"/>
  <c r="EM414" s="1"/>
  <c r="DG414" a="1"/>
  <c r="DG414" s="1"/>
  <c r="CA414" a="1"/>
  <c r="CA414" s="1"/>
  <c r="AU415" a="1"/>
  <c r="AU415" s="1"/>
  <c r="AE415" a="1"/>
  <c r="AE415" s="1"/>
  <c r="O415" a="1"/>
  <c r="O415" s="1"/>
  <c r="FC413" a="1"/>
  <c r="FC413" s="1"/>
  <c r="EM413" a="1"/>
  <c r="EM413" s="1"/>
  <c r="DW413" a="1"/>
  <c r="DW413" s="1"/>
  <c r="DG413" a="1"/>
  <c r="DG413" s="1"/>
  <c r="CQ413" a="1"/>
  <c r="CQ413" s="1"/>
  <c r="FC415" a="1"/>
  <c r="FC415" s="1"/>
  <c r="EM415" a="1"/>
  <c r="EM415" s="1"/>
  <c r="DW415" a="1"/>
  <c r="DW415" s="1"/>
  <c r="AU414" a="1"/>
  <c r="AU414" s="1"/>
  <c r="CA413" a="1"/>
  <c r="CA413" s="1"/>
  <c r="DG415" a="1"/>
  <c r="DG415" s="1"/>
  <c r="CQ415" a="1"/>
  <c r="CQ415" s="1"/>
  <c r="CA415" a="1"/>
  <c r="CA415" s="1"/>
  <c r="CQ414" a="1"/>
  <c r="CQ414" s="1"/>
  <c r="FC414" a="1"/>
  <c r="FC414" s="1"/>
  <c r="AE414" a="1"/>
  <c r="AE414" s="1"/>
  <c r="O414" a="1"/>
  <c r="O414" s="1"/>
  <c r="DW414" a="1"/>
  <c r="DW414" s="1"/>
  <c r="BK414" a="1"/>
  <c r="BK414" s="1"/>
  <c r="FF415"/>
  <c r="FG415"/>
  <c r="EA415"/>
  <c r="DZ415"/>
  <c r="CT415"/>
  <c r="CU415"/>
  <c r="EP415"/>
  <c r="EQ415"/>
  <c r="DK415"/>
  <c r="DJ415"/>
  <c r="CD415"/>
  <c r="CE415"/>
  <c r="AX415"/>
  <c r="AY415"/>
  <c r="AH415"/>
  <c r="AI415"/>
  <c r="R415"/>
  <c r="S415"/>
  <c r="FG414"/>
  <c r="FF414"/>
  <c r="DZ414"/>
  <c r="EA414"/>
  <c r="CU414"/>
  <c r="CT414"/>
  <c r="EQ414"/>
  <c r="EP414"/>
  <c r="DJ414"/>
  <c r="DK414"/>
  <c r="CD414"/>
  <c r="CE414"/>
  <c r="AX414"/>
  <c r="AY414"/>
  <c r="AH414"/>
  <c r="AI414"/>
  <c r="R414"/>
  <c r="S414"/>
  <c r="FC412" a="1"/>
  <c r="FC412" s="1"/>
  <c r="DW412" a="1"/>
  <c r="DW412" s="1"/>
  <c r="CQ412" a="1"/>
  <c r="CQ412" s="1"/>
  <c r="BK412" a="1"/>
  <c r="BK412" s="1"/>
  <c r="BK413" a="1"/>
  <c r="BK413" s="1"/>
  <c r="AU413" a="1"/>
  <c r="AU413" s="1"/>
  <c r="AE413" a="1"/>
  <c r="AE413" s="1"/>
  <c r="O413" a="1"/>
  <c r="O413" s="1"/>
  <c r="AU412" a="1"/>
  <c r="AU412" s="1"/>
  <c r="DG412" a="1"/>
  <c r="DG412" s="1"/>
  <c r="AE412" a="1"/>
  <c r="AE412" s="1"/>
  <c r="O412" a="1"/>
  <c r="O412" s="1"/>
  <c r="EM412" a="1"/>
  <c r="EM412" s="1"/>
  <c r="CA412" a="1"/>
  <c r="CA412" s="1"/>
  <c r="FG413"/>
  <c r="FF413"/>
  <c r="EA413"/>
  <c r="DZ413"/>
  <c r="CU413"/>
  <c r="CT413"/>
  <c r="EP413"/>
  <c r="EQ413"/>
  <c r="DJ413"/>
  <c r="DK413"/>
  <c r="CD413"/>
  <c r="CE413"/>
  <c r="AX413"/>
  <c r="AY413"/>
  <c r="AH413"/>
  <c r="AI413"/>
  <c r="R413"/>
  <c r="S413"/>
  <c r="EP412"/>
  <c r="EQ412"/>
  <c r="DJ412"/>
  <c r="DK412"/>
  <c r="CD412"/>
  <c r="CE412"/>
  <c r="FG412"/>
  <c r="FF412"/>
  <c r="EA412"/>
  <c r="DZ412"/>
  <c r="CU412"/>
  <c r="CT412"/>
  <c r="AX412"/>
  <c r="AY412"/>
  <c r="AH412"/>
  <c r="AI412"/>
  <c r="R412"/>
  <c r="S412"/>
  <c r="FC411" a="1"/>
  <c r="FC411" s="1"/>
  <c r="EM411" a="1"/>
  <c r="EM411" s="1"/>
  <c r="DW411" a="1"/>
  <c r="DW411" s="1"/>
  <c r="DG411" a="1"/>
  <c r="DG411" s="1"/>
  <c r="CQ411" a="1"/>
  <c r="CQ411" s="1"/>
  <c r="CA411" a="1"/>
  <c r="CA411" s="1"/>
  <c r="BK411" a="1"/>
  <c r="BK411" s="1"/>
  <c r="AU411" a="1"/>
  <c r="AU411" s="1"/>
  <c r="AE411" a="1"/>
  <c r="AE411" s="1"/>
  <c r="O411" a="1"/>
  <c r="O411" s="1"/>
  <c r="FC410" a="1"/>
  <c r="FC410" s="1"/>
  <c r="EM410" a="1"/>
  <c r="EM410" s="1"/>
  <c r="DW410" a="1"/>
  <c r="DW410" s="1"/>
  <c r="DG410" a="1"/>
  <c r="DG410" s="1"/>
  <c r="CQ410" a="1"/>
  <c r="CQ410" s="1"/>
  <c r="CA410" a="1"/>
  <c r="CA410" s="1"/>
  <c r="BK410" a="1"/>
  <c r="BK410" s="1"/>
  <c r="AU410" a="1"/>
  <c r="AU410" s="1"/>
  <c r="AE410" a="1"/>
  <c r="AE410" s="1"/>
  <c r="O410" a="1"/>
  <c r="O410" s="1"/>
  <c r="FF411"/>
  <c r="FG411"/>
  <c r="EP411"/>
  <c r="EQ411"/>
  <c r="DZ411"/>
  <c r="EA411"/>
  <c r="DJ411"/>
  <c r="DK411"/>
  <c r="CT411"/>
  <c r="CU411"/>
  <c r="CD411"/>
  <c r="CE411"/>
  <c r="AX411"/>
  <c r="AY411"/>
  <c r="AH411"/>
  <c r="AI411"/>
  <c r="R411"/>
  <c r="S411"/>
  <c r="FF410"/>
  <c r="FG410"/>
  <c r="EP410"/>
  <c r="EQ410"/>
  <c r="DZ410"/>
  <c r="EA410"/>
  <c r="DJ410"/>
  <c r="DK410"/>
  <c r="CT410"/>
  <c r="CU410"/>
  <c r="CD410"/>
  <c r="CE410"/>
  <c r="AX410"/>
  <c r="AY410"/>
  <c r="AH410"/>
  <c r="AI410"/>
  <c r="R410"/>
  <c r="S410"/>
  <c r="H409" l="1"/>
  <c r="I409"/>
  <c r="N409" a="1"/>
  <c r="N409" s="1"/>
  <c r="P409"/>
  <c r="Q409"/>
  <c r="AC409" a="1"/>
  <c r="AC409" s="1"/>
  <c r="L409" s="1"/>
  <c r="AD409" a="1"/>
  <c r="AD409" s="1"/>
  <c r="AF409"/>
  <c r="AG409"/>
  <c r="AS409" a="1"/>
  <c r="AS409" s="1"/>
  <c r="AT409" a="1"/>
  <c r="AT409" s="1"/>
  <c r="AV409"/>
  <c r="AW409"/>
  <c r="BI409" a="1"/>
  <c r="BI409" s="1"/>
  <c r="BJ409" a="1"/>
  <c r="BJ409" s="1"/>
  <c r="BL409"/>
  <c r="BM409"/>
  <c r="BY409" a="1"/>
  <c r="BY409" s="1"/>
  <c r="BZ409" a="1"/>
  <c r="BZ409" s="1"/>
  <c r="CB409"/>
  <c r="CC409"/>
  <c r="CO409" a="1"/>
  <c r="CO409" s="1"/>
  <c r="CP409" a="1"/>
  <c r="CP409" s="1"/>
  <c r="CR409"/>
  <c r="CS409"/>
  <c r="DE409" a="1"/>
  <c r="DE409" s="1"/>
  <c r="DF409" a="1"/>
  <c r="DF409" s="1"/>
  <c r="DH409"/>
  <c r="DI409"/>
  <c r="DU409" a="1"/>
  <c r="DU409" s="1"/>
  <c r="DV409" a="1"/>
  <c r="DV409" s="1"/>
  <c r="DX409"/>
  <c r="DY409"/>
  <c r="EK409" a="1"/>
  <c r="EK409" s="1"/>
  <c r="EL409" a="1"/>
  <c r="EL409" s="1"/>
  <c r="EN409"/>
  <c r="EO409"/>
  <c r="FA409" a="1"/>
  <c r="FA409" s="1"/>
  <c r="FB409" a="1"/>
  <c r="FB409" s="1"/>
  <c r="FD409"/>
  <c r="FE409"/>
  <c r="H408"/>
  <c r="I408"/>
  <c r="N408" a="1"/>
  <c r="N408" s="1"/>
  <c r="P408"/>
  <c r="Q408"/>
  <c r="AC408" a="1"/>
  <c r="AC408" s="1"/>
  <c r="L408" s="1"/>
  <c r="AD408" a="1"/>
  <c r="AD408" s="1"/>
  <c r="AF408"/>
  <c r="AG408"/>
  <c r="AS408" a="1"/>
  <c r="AS408" s="1"/>
  <c r="AT408" a="1"/>
  <c r="AT408" s="1"/>
  <c r="AV408"/>
  <c r="AW408"/>
  <c r="BI408" a="1"/>
  <c r="BI408" s="1"/>
  <c r="BJ408" a="1"/>
  <c r="BJ408" s="1"/>
  <c r="BL408"/>
  <c r="BM408"/>
  <c r="BY408" a="1"/>
  <c r="BY408" s="1"/>
  <c r="BZ408" a="1"/>
  <c r="BZ408" s="1"/>
  <c r="CB408"/>
  <c r="CC408"/>
  <c r="CO408" a="1"/>
  <c r="CO408" s="1"/>
  <c r="CP408" a="1"/>
  <c r="CP408" s="1"/>
  <c r="CR408"/>
  <c r="CS408"/>
  <c r="DE408" a="1"/>
  <c r="DE408" s="1"/>
  <c r="DF408" a="1"/>
  <c r="DF408" s="1"/>
  <c r="DH408"/>
  <c r="DI408"/>
  <c r="DU408" a="1"/>
  <c r="DU408" s="1"/>
  <c r="DV408" a="1"/>
  <c r="DV408" s="1"/>
  <c r="DX408"/>
  <c r="DY408"/>
  <c r="EK408" a="1"/>
  <c r="EK408" s="1"/>
  <c r="EL408" a="1"/>
  <c r="EL408" s="1"/>
  <c r="EN408"/>
  <c r="EO408"/>
  <c r="FA408" a="1"/>
  <c r="FA408" s="1"/>
  <c r="FB408" a="1"/>
  <c r="FB408" s="1"/>
  <c r="FD408"/>
  <c r="FE408"/>
  <c r="H407"/>
  <c r="I407"/>
  <c r="N407" a="1"/>
  <c r="N407" s="1"/>
  <c r="P407"/>
  <c r="Q407"/>
  <c r="AC407" a="1"/>
  <c r="AC407" s="1"/>
  <c r="L407" s="1"/>
  <c r="AD407" a="1"/>
  <c r="AD407" s="1"/>
  <c r="AF407"/>
  <c r="AG407"/>
  <c r="AS407" a="1"/>
  <c r="AS407" s="1"/>
  <c r="AT407" a="1"/>
  <c r="AT407" s="1"/>
  <c r="AV407"/>
  <c r="AW407"/>
  <c r="BI407" a="1"/>
  <c r="BI407" s="1"/>
  <c r="BJ407" a="1"/>
  <c r="BJ407" s="1"/>
  <c r="BL407"/>
  <c r="BM407"/>
  <c r="BY407" a="1"/>
  <c r="BY407" s="1"/>
  <c r="BZ407" a="1"/>
  <c r="BZ407" s="1"/>
  <c r="CB407"/>
  <c r="CC407"/>
  <c r="CO407" a="1"/>
  <c r="CO407" s="1"/>
  <c r="CP407" a="1"/>
  <c r="CP407" s="1"/>
  <c r="CR407"/>
  <c r="CS407"/>
  <c r="DE407" a="1"/>
  <c r="DE407" s="1"/>
  <c r="DF407" a="1"/>
  <c r="DF407" s="1"/>
  <c r="DH407"/>
  <c r="DI407"/>
  <c r="DU407" a="1"/>
  <c r="DU407" s="1"/>
  <c r="DV407" a="1"/>
  <c r="DV407" s="1"/>
  <c r="DX407"/>
  <c r="DY407"/>
  <c r="EK407" a="1"/>
  <c r="EK407" s="1"/>
  <c r="EL407" a="1"/>
  <c r="EL407" s="1"/>
  <c r="EN407"/>
  <c r="EO407"/>
  <c r="FA407" a="1"/>
  <c r="FA407" s="1"/>
  <c r="FB407" a="1"/>
  <c r="FB407" s="1"/>
  <c r="FD407"/>
  <c r="FE407"/>
  <c r="H406"/>
  <c r="I406"/>
  <c r="M406" a="1"/>
  <c r="M406" s="1"/>
  <c r="N406" a="1"/>
  <c r="N406" s="1"/>
  <c r="P406"/>
  <c r="Q406"/>
  <c r="AC406" a="1"/>
  <c r="AC406" s="1"/>
  <c r="L406" s="1"/>
  <c r="AD406" a="1"/>
  <c r="AD406" s="1"/>
  <c r="AF406"/>
  <c r="AG406"/>
  <c r="AS406" a="1"/>
  <c r="AS406" s="1"/>
  <c r="AT406" a="1"/>
  <c r="AT406" s="1"/>
  <c r="AV406"/>
  <c r="AW406"/>
  <c r="BI406" a="1"/>
  <c r="BI406" s="1"/>
  <c r="BJ406" a="1"/>
  <c r="BJ406" s="1"/>
  <c r="BL406"/>
  <c r="BM406"/>
  <c r="BY406" a="1"/>
  <c r="BY406" s="1"/>
  <c r="BZ406" a="1"/>
  <c r="BZ406" s="1"/>
  <c r="CB406"/>
  <c r="CC406"/>
  <c r="CO406" a="1"/>
  <c r="CO406" s="1"/>
  <c r="CP406" a="1"/>
  <c r="CP406" s="1"/>
  <c r="CR406"/>
  <c r="CS406"/>
  <c r="DE406" a="1"/>
  <c r="DE406" s="1"/>
  <c r="DF406" a="1"/>
  <c r="DF406" s="1"/>
  <c r="DH406"/>
  <c r="DI406"/>
  <c r="DU406" a="1"/>
  <c r="DU406" s="1"/>
  <c r="DV406" a="1"/>
  <c r="DV406" s="1"/>
  <c r="DX406"/>
  <c r="DY406"/>
  <c r="EK406" a="1"/>
  <c r="EK406" s="1"/>
  <c r="EL406" a="1"/>
  <c r="EL406" s="1"/>
  <c r="EN406"/>
  <c r="EO406"/>
  <c r="FA406" a="1"/>
  <c r="FA406" s="1"/>
  <c r="FB406" a="1"/>
  <c r="FB406" s="1"/>
  <c r="FD406"/>
  <c r="FE406"/>
  <c r="H405"/>
  <c r="I405"/>
  <c r="M405" a="1"/>
  <c r="M405" s="1"/>
  <c r="N405" a="1"/>
  <c r="N405" s="1"/>
  <c r="P405"/>
  <c r="Q405"/>
  <c r="AC405" a="1"/>
  <c r="AC405" s="1"/>
  <c r="L405" s="1"/>
  <c r="AD405" a="1"/>
  <c r="AD405" s="1"/>
  <c r="AF405"/>
  <c r="AG405"/>
  <c r="AS405" a="1"/>
  <c r="AS405" s="1"/>
  <c r="AT405" a="1"/>
  <c r="AT405" s="1"/>
  <c r="AV405"/>
  <c r="AW405"/>
  <c r="BI405" a="1"/>
  <c r="BI405" s="1"/>
  <c r="BJ405" a="1"/>
  <c r="BJ405" s="1"/>
  <c r="BL405"/>
  <c r="BM405"/>
  <c r="BY405" a="1"/>
  <c r="BY405" s="1"/>
  <c r="BZ405" a="1"/>
  <c r="BZ405" s="1"/>
  <c r="CB405"/>
  <c r="CC405"/>
  <c r="CO405" a="1"/>
  <c r="CO405" s="1"/>
  <c r="CP405" a="1"/>
  <c r="CP405" s="1"/>
  <c r="CR405"/>
  <c r="CS405"/>
  <c r="DE405" a="1"/>
  <c r="DE405" s="1"/>
  <c r="DF405" a="1"/>
  <c r="DF405" s="1"/>
  <c r="DH405"/>
  <c r="DI405"/>
  <c r="DU405" a="1"/>
  <c r="DU405" s="1"/>
  <c r="DV405" a="1"/>
  <c r="DV405" s="1"/>
  <c r="DX405"/>
  <c r="DY405"/>
  <c r="EK405" a="1"/>
  <c r="EK405" s="1"/>
  <c r="EL405" a="1"/>
  <c r="EL405" s="1"/>
  <c r="EN405"/>
  <c r="EO405"/>
  <c r="FA405" a="1"/>
  <c r="FA405" s="1"/>
  <c r="FB405" a="1"/>
  <c r="FB405" s="1"/>
  <c r="FD405"/>
  <c r="FE405"/>
  <c r="H404"/>
  <c r="I404"/>
  <c r="M404" a="1"/>
  <c r="M404" s="1"/>
  <c r="N404" a="1"/>
  <c r="N404" s="1"/>
  <c r="P404"/>
  <c r="Q404"/>
  <c r="AC404" a="1"/>
  <c r="AC404" s="1"/>
  <c r="L404" s="1"/>
  <c r="AD404" a="1"/>
  <c r="AD404" s="1"/>
  <c r="AF404"/>
  <c r="AG404"/>
  <c r="AS404" a="1"/>
  <c r="AS404" s="1"/>
  <c r="AT404" a="1"/>
  <c r="AT404" s="1"/>
  <c r="AV404"/>
  <c r="AW404"/>
  <c r="BI404" a="1"/>
  <c r="BI404" s="1"/>
  <c r="BJ404" a="1"/>
  <c r="BJ404" s="1"/>
  <c r="BL404"/>
  <c r="BM404"/>
  <c r="BY404" a="1"/>
  <c r="BY404" s="1"/>
  <c r="BZ404" a="1"/>
  <c r="BZ404" s="1"/>
  <c r="CB404"/>
  <c r="CC404"/>
  <c r="CO404" a="1"/>
  <c r="CO404" s="1"/>
  <c r="CP404" a="1"/>
  <c r="CP404" s="1"/>
  <c r="CR404"/>
  <c r="CS404"/>
  <c r="DE404" a="1"/>
  <c r="DE404" s="1"/>
  <c r="DF404" a="1"/>
  <c r="DF404" s="1"/>
  <c r="DH404"/>
  <c r="DI404"/>
  <c r="DU404" a="1"/>
  <c r="DU404" s="1"/>
  <c r="DV404" a="1"/>
  <c r="DV404" s="1"/>
  <c r="DX404"/>
  <c r="DY404"/>
  <c r="EK404" a="1"/>
  <c r="EK404" s="1"/>
  <c r="EL404" a="1"/>
  <c r="EL404" s="1"/>
  <c r="EN404"/>
  <c r="EO404"/>
  <c r="FA404" a="1"/>
  <c r="FA404" s="1"/>
  <c r="FB404" a="1"/>
  <c r="FB404" s="1"/>
  <c r="FD404"/>
  <c r="FE404"/>
  <c r="H403"/>
  <c r="I403"/>
  <c r="N403" a="1"/>
  <c r="N403" s="1"/>
  <c r="P403"/>
  <c r="Q403"/>
  <c r="AC403" a="1"/>
  <c r="AC403" s="1"/>
  <c r="L403" s="1"/>
  <c r="AD403" a="1"/>
  <c r="AD403" s="1"/>
  <c r="AF403"/>
  <c r="AG403"/>
  <c r="AS403" a="1"/>
  <c r="AS403" s="1"/>
  <c r="AT403" a="1"/>
  <c r="AT403" s="1"/>
  <c r="AV403"/>
  <c r="AW403"/>
  <c r="BI403" a="1"/>
  <c r="BI403" s="1"/>
  <c r="BJ403" a="1"/>
  <c r="BJ403" s="1"/>
  <c r="BL403"/>
  <c r="BM403"/>
  <c r="BY403" a="1"/>
  <c r="BY403" s="1"/>
  <c r="BZ403" a="1"/>
  <c r="BZ403" s="1"/>
  <c r="CB403"/>
  <c r="CC403"/>
  <c r="CO403" a="1"/>
  <c r="CO403" s="1"/>
  <c r="CP403" a="1"/>
  <c r="CP403" s="1"/>
  <c r="CR403"/>
  <c r="CS403"/>
  <c r="DE403" a="1"/>
  <c r="DE403" s="1"/>
  <c r="DF403" a="1"/>
  <c r="DF403" s="1"/>
  <c r="DH403"/>
  <c r="DI403"/>
  <c r="DU403" a="1"/>
  <c r="DU403" s="1"/>
  <c r="DV403" a="1"/>
  <c r="DV403" s="1"/>
  <c r="DX403"/>
  <c r="DY403"/>
  <c r="EK403" a="1"/>
  <c r="EK403" s="1"/>
  <c r="EL403" a="1"/>
  <c r="EL403" s="1"/>
  <c r="EN403"/>
  <c r="EO403"/>
  <c r="FA403" a="1"/>
  <c r="FA403" s="1"/>
  <c r="FB403" a="1"/>
  <c r="FB403" s="1"/>
  <c r="FD403"/>
  <c r="FE403"/>
  <c r="H402"/>
  <c r="I402"/>
  <c r="N402" a="1"/>
  <c r="N402" s="1"/>
  <c r="P402"/>
  <c r="Q402"/>
  <c r="AC402" a="1"/>
  <c r="AC402" s="1"/>
  <c r="L402" s="1"/>
  <c r="AD402" a="1"/>
  <c r="AD402" s="1"/>
  <c r="AF402"/>
  <c r="AG402"/>
  <c r="AS402" a="1"/>
  <c r="AS402" s="1"/>
  <c r="AT402" a="1"/>
  <c r="AT402" s="1"/>
  <c r="AV402"/>
  <c r="AW402"/>
  <c r="BI402" a="1"/>
  <c r="BI402" s="1"/>
  <c r="BJ402" a="1"/>
  <c r="BJ402" s="1"/>
  <c r="BL402"/>
  <c r="BM402"/>
  <c r="BY402" a="1"/>
  <c r="BY402" s="1"/>
  <c r="BZ402" a="1"/>
  <c r="BZ402" s="1"/>
  <c r="CB402"/>
  <c r="CC402"/>
  <c r="CO402" a="1"/>
  <c r="CO402" s="1"/>
  <c r="CP402" a="1"/>
  <c r="CP402" s="1"/>
  <c r="CR402"/>
  <c r="CS402"/>
  <c r="DE402" a="1"/>
  <c r="DE402" s="1"/>
  <c r="DF402" a="1"/>
  <c r="DF402" s="1"/>
  <c r="DH402"/>
  <c r="DI402"/>
  <c r="DU402" a="1"/>
  <c r="DU402" s="1"/>
  <c r="DV402" a="1"/>
  <c r="DV402" s="1"/>
  <c r="DX402"/>
  <c r="DY402"/>
  <c r="EK402" a="1"/>
  <c r="EK402" s="1"/>
  <c r="EL402" a="1"/>
  <c r="EL402" s="1"/>
  <c r="EN402"/>
  <c r="EO402"/>
  <c r="FA402" a="1"/>
  <c r="FA402" s="1"/>
  <c r="FB402" a="1"/>
  <c r="FB402" s="1"/>
  <c r="FD402"/>
  <c r="FE402"/>
  <c r="H401"/>
  <c r="I401"/>
  <c r="N401" a="1"/>
  <c r="N401" s="1"/>
  <c r="P401"/>
  <c r="Q401"/>
  <c r="AC401" a="1"/>
  <c r="AC401" s="1"/>
  <c r="L401" s="1"/>
  <c r="AD401" a="1"/>
  <c r="AD401" s="1"/>
  <c r="AF401"/>
  <c r="AG401"/>
  <c r="AS401" a="1"/>
  <c r="AS401" s="1"/>
  <c r="AT401" a="1"/>
  <c r="AT401" s="1"/>
  <c r="AV401"/>
  <c r="AW401"/>
  <c r="BI401" a="1"/>
  <c r="BI401" s="1"/>
  <c r="BJ401" a="1"/>
  <c r="BJ401" s="1"/>
  <c r="BL401"/>
  <c r="BM401"/>
  <c r="BY401" a="1"/>
  <c r="BY401" s="1"/>
  <c r="BZ401" a="1"/>
  <c r="BZ401" s="1"/>
  <c r="CB401"/>
  <c r="CC401"/>
  <c r="CO401" a="1"/>
  <c r="CO401" s="1"/>
  <c r="CP401" a="1"/>
  <c r="CP401" s="1"/>
  <c r="CR401"/>
  <c r="CS401"/>
  <c r="DE401" a="1"/>
  <c r="DE401" s="1"/>
  <c r="DF401" a="1"/>
  <c r="DF401" s="1"/>
  <c r="DH401"/>
  <c r="DI401"/>
  <c r="DU401" a="1"/>
  <c r="DU401" s="1"/>
  <c r="DV401" a="1"/>
  <c r="DV401" s="1"/>
  <c r="DX401"/>
  <c r="DY401"/>
  <c r="EK401" a="1"/>
  <c r="EK401" s="1"/>
  <c r="EL401" a="1"/>
  <c r="EL401" s="1"/>
  <c r="EN401"/>
  <c r="EO401"/>
  <c r="FA401" a="1"/>
  <c r="FA401" s="1"/>
  <c r="FB401" a="1"/>
  <c r="FB401" s="1"/>
  <c r="FD401"/>
  <c r="FE401"/>
  <c r="H71"/>
  <c r="I71"/>
  <c r="M71" a="1"/>
  <c r="M71" s="1"/>
  <c r="N71" a="1"/>
  <c r="N71" s="1"/>
  <c r="P71"/>
  <c r="Q71"/>
  <c r="L71"/>
  <c r="AD71" a="1"/>
  <c r="AD71" s="1"/>
  <c r="AF71"/>
  <c r="AG71"/>
  <c r="AS71" a="1"/>
  <c r="AS71" s="1"/>
  <c r="AT71" a="1"/>
  <c r="AT71" s="1"/>
  <c r="AV71"/>
  <c r="AW71"/>
  <c r="BI71" a="1"/>
  <c r="BI71" s="1"/>
  <c r="BJ71" a="1"/>
  <c r="BJ71" s="1"/>
  <c r="BL71"/>
  <c r="BM71"/>
  <c r="BY71" a="1"/>
  <c r="BY71" s="1"/>
  <c r="BZ71" a="1"/>
  <c r="BZ71" s="1"/>
  <c r="CB71"/>
  <c r="CC71"/>
  <c r="CO71" a="1"/>
  <c r="CO71" s="1"/>
  <c r="CP71" a="1"/>
  <c r="CP71" s="1"/>
  <c r="CR71"/>
  <c r="CS71"/>
  <c r="DE71" a="1"/>
  <c r="DE71" s="1"/>
  <c r="DF71" a="1"/>
  <c r="DF71" s="1"/>
  <c r="DH71"/>
  <c r="DI71"/>
  <c r="DU71" a="1"/>
  <c r="DU71" s="1"/>
  <c r="DV71" a="1"/>
  <c r="DV71" s="1"/>
  <c r="DX71"/>
  <c r="DY71"/>
  <c r="EK71" a="1"/>
  <c r="EK71" s="1"/>
  <c r="EL71" a="1"/>
  <c r="EL71" s="1"/>
  <c r="EN71"/>
  <c r="EO71"/>
  <c r="FA71" a="1"/>
  <c r="FA71" s="1"/>
  <c r="FB71" a="1"/>
  <c r="FB71" s="1"/>
  <c r="FD71"/>
  <c r="FE71"/>
  <c r="FC408" l="1" a="1"/>
  <c r="FC408" s="1"/>
  <c r="EM408" a="1"/>
  <c r="EM408" s="1"/>
  <c r="DW408" a="1"/>
  <c r="DW408" s="1"/>
  <c r="FC409" a="1"/>
  <c r="FC409" s="1"/>
  <c r="EM409" a="1"/>
  <c r="EM409" s="1"/>
  <c r="DW409" a="1"/>
  <c r="DW409" s="1"/>
  <c r="DG409" a="1"/>
  <c r="DG409" s="1"/>
  <c r="CQ409" a="1"/>
  <c r="CQ409" s="1"/>
  <c r="CA409" a="1"/>
  <c r="CA409" s="1"/>
  <c r="BK409" a="1"/>
  <c r="BK409" s="1"/>
  <c r="AU409" a="1"/>
  <c r="AU409" s="1"/>
  <c r="AE409" a="1"/>
  <c r="AE409" s="1"/>
  <c r="O409" a="1"/>
  <c r="O409" s="1"/>
  <c r="FF409"/>
  <c r="FG409"/>
  <c r="EP409"/>
  <c r="EQ409"/>
  <c r="DZ409"/>
  <c r="EA409"/>
  <c r="DJ409"/>
  <c r="DK409"/>
  <c r="CT409"/>
  <c r="CU409"/>
  <c r="CD409"/>
  <c r="CE409"/>
  <c r="AX409"/>
  <c r="AY409"/>
  <c r="AH409"/>
  <c r="AI409"/>
  <c r="R409"/>
  <c r="S409"/>
  <c r="FC407" a="1"/>
  <c r="FC407" s="1"/>
  <c r="DG407" a="1"/>
  <c r="DG407" s="1"/>
  <c r="DG408" a="1"/>
  <c r="DG408" s="1"/>
  <c r="CQ408" a="1"/>
  <c r="CQ408" s="1"/>
  <c r="CA408" a="1"/>
  <c r="CA408" s="1"/>
  <c r="BK408" a="1"/>
  <c r="BK408" s="1"/>
  <c r="AU408" a="1"/>
  <c r="AU408" s="1"/>
  <c r="AE408" a="1"/>
  <c r="AE408" s="1"/>
  <c r="O408" a="1"/>
  <c r="O408" s="1"/>
  <c r="EM407" a="1"/>
  <c r="EM407" s="1"/>
  <c r="FC405" a="1"/>
  <c r="FC405" s="1"/>
  <c r="CQ407" a="1"/>
  <c r="CQ407" s="1"/>
  <c r="CA407" a="1"/>
  <c r="CA407" s="1"/>
  <c r="BK407" a="1"/>
  <c r="BK407" s="1"/>
  <c r="AU407" a="1"/>
  <c r="AU407" s="1"/>
  <c r="AE407" a="1"/>
  <c r="AE407" s="1"/>
  <c r="O407" a="1"/>
  <c r="O407" s="1"/>
  <c r="EP408"/>
  <c r="EQ408"/>
  <c r="FG408"/>
  <c r="FF408"/>
  <c r="EA408"/>
  <c r="DZ408"/>
  <c r="DJ408"/>
  <c r="DK408"/>
  <c r="CT408"/>
  <c r="CU408"/>
  <c r="CD408"/>
  <c r="CE408"/>
  <c r="AX408"/>
  <c r="AY408"/>
  <c r="AH408"/>
  <c r="AI408"/>
  <c r="R408"/>
  <c r="S408"/>
  <c r="EM405" a="1"/>
  <c r="EM405" s="1"/>
  <c r="DW405" a="1"/>
  <c r="DW405" s="1"/>
  <c r="DG405" a="1"/>
  <c r="DG405" s="1"/>
  <c r="CQ405" a="1"/>
  <c r="CQ405" s="1"/>
  <c r="CA405" a="1"/>
  <c r="CA405" s="1"/>
  <c r="BK405" a="1"/>
  <c r="BK405" s="1"/>
  <c r="BK406" a="1"/>
  <c r="BK406" s="1"/>
  <c r="AU406" a="1"/>
  <c r="AU406" s="1"/>
  <c r="AE406" a="1"/>
  <c r="AE406" s="1"/>
  <c r="O406" a="1"/>
  <c r="O406" s="1"/>
  <c r="DW407" a="1"/>
  <c r="DW407" s="1"/>
  <c r="EP407"/>
  <c r="EQ407"/>
  <c r="EA407"/>
  <c r="DZ407"/>
  <c r="FF407"/>
  <c r="FG407"/>
  <c r="DK407"/>
  <c r="DJ407"/>
  <c r="CT407"/>
  <c r="CU407"/>
  <c r="CD407"/>
  <c r="CE407"/>
  <c r="AX407"/>
  <c r="AY407"/>
  <c r="AH407"/>
  <c r="AI407"/>
  <c r="R407"/>
  <c r="S407"/>
  <c r="FC401" a="1"/>
  <c r="FC401" s="1"/>
  <c r="EM401" a="1"/>
  <c r="EM401" s="1"/>
  <c r="DW401" a="1"/>
  <c r="DW401" s="1"/>
  <c r="DG401" a="1"/>
  <c r="DG401" s="1"/>
  <c r="CQ401" a="1"/>
  <c r="CQ401" s="1"/>
  <c r="CA401" a="1"/>
  <c r="CA401" s="1"/>
  <c r="BK401" a="1"/>
  <c r="BK401" s="1"/>
  <c r="FC403" a="1"/>
  <c r="FC403" s="1"/>
  <c r="EM403" a="1"/>
  <c r="EM403" s="1"/>
  <c r="DW403" a="1"/>
  <c r="DW403" s="1"/>
  <c r="DG403" a="1"/>
  <c r="DG403" s="1"/>
  <c r="CQ403" a="1"/>
  <c r="CQ403" s="1"/>
  <c r="CA403" a="1"/>
  <c r="CA403" s="1"/>
  <c r="EM406" a="1"/>
  <c r="EM406" s="1"/>
  <c r="DW406" a="1"/>
  <c r="DW406" s="1"/>
  <c r="DG406" a="1"/>
  <c r="DG406" s="1"/>
  <c r="CQ406" a="1"/>
  <c r="CQ406" s="1"/>
  <c r="CA406" a="1"/>
  <c r="CA406" s="1"/>
  <c r="AU405" a="1"/>
  <c r="AU405" s="1"/>
  <c r="AE405" a="1"/>
  <c r="AE405" s="1"/>
  <c r="O405" a="1"/>
  <c r="O405" s="1"/>
  <c r="FC406" a="1"/>
  <c r="FC406" s="1"/>
  <c r="FG406"/>
  <c r="FF406"/>
  <c r="EA406"/>
  <c r="DZ406"/>
  <c r="CU406"/>
  <c r="CT406"/>
  <c r="EP406"/>
  <c r="EQ406"/>
  <c r="DJ406"/>
  <c r="DK406"/>
  <c r="CD406"/>
  <c r="CE406"/>
  <c r="AX406"/>
  <c r="AY406"/>
  <c r="AH406"/>
  <c r="AI406"/>
  <c r="R406"/>
  <c r="S406"/>
  <c r="FG405"/>
  <c r="FF405"/>
  <c r="EP405"/>
  <c r="EQ405"/>
  <c r="DZ405"/>
  <c r="EA405"/>
  <c r="DJ405"/>
  <c r="DK405"/>
  <c r="CT405"/>
  <c r="CU405"/>
  <c r="CD405"/>
  <c r="CE405"/>
  <c r="AX405"/>
  <c r="AY405"/>
  <c r="AH405"/>
  <c r="AI405"/>
  <c r="R405"/>
  <c r="S405"/>
  <c r="BK402" a="1"/>
  <c r="BK402" s="1"/>
  <c r="FC404" a="1"/>
  <c r="FC404" s="1"/>
  <c r="EM404" a="1"/>
  <c r="EM404" s="1"/>
  <c r="DW404" a="1"/>
  <c r="DW404" s="1"/>
  <c r="DG404" a="1"/>
  <c r="DG404" s="1"/>
  <c r="CQ404" a="1"/>
  <c r="CQ404" s="1"/>
  <c r="CA404" a="1"/>
  <c r="CA404" s="1"/>
  <c r="BK404" a="1"/>
  <c r="BK404" s="1"/>
  <c r="AU404" a="1"/>
  <c r="AU404" s="1"/>
  <c r="AE404" a="1"/>
  <c r="AE404" s="1"/>
  <c r="O404" a="1"/>
  <c r="O404" s="1"/>
  <c r="FF404"/>
  <c r="FG404"/>
  <c r="EP404"/>
  <c r="EQ404"/>
  <c r="DZ404"/>
  <c r="EA404"/>
  <c r="DJ404"/>
  <c r="DK404"/>
  <c r="CT404"/>
  <c r="CU404"/>
  <c r="CD404"/>
  <c r="CE404"/>
  <c r="AX404"/>
  <c r="AY404"/>
  <c r="AH404"/>
  <c r="AI404"/>
  <c r="R404"/>
  <c r="S404"/>
  <c r="EM402" a="1"/>
  <c r="EM402" s="1"/>
  <c r="DG402" a="1"/>
  <c r="DG402" s="1"/>
  <c r="CA402" a="1"/>
  <c r="CA402" s="1"/>
  <c r="AU402" a="1"/>
  <c r="AU402" s="1"/>
  <c r="O402" a="1"/>
  <c r="O402" s="1"/>
  <c r="BK403" a="1"/>
  <c r="BK403" s="1"/>
  <c r="AU403" a="1"/>
  <c r="AU403" s="1"/>
  <c r="AE403" a="1"/>
  <c r="AE403" s="1"/>
  <c r="O403" a="1"/>
  <c r="O403" s="1"/>
  <c r="DW402" a="1"/>
  <c r="DW402" s="1"/>
  <c r="FC402" a="1"/>
  <c r="FC402" s="1"/>
  <c r="CQ402" a="1"/>
  <c r="CQ402" s="1"/>
  <c r="AE402" a="1"/>
  <c r="AE402" s="1"/>
  <c r="FF403"/>
  <c r="FG403"/>
  <c r="DZ403"/>
  <c r="EA403"/>
  <c r="CT403"/>
  <c r="CU403"/>
  <c r="EQ403"/>
  <c r="EP403"/>
  <c r="DK403"/>
  <c r="DJ403"/>
  <c r="CE403"/>
  <c r="CD403"/>
  <c r="AX403"/>
  <c r="AY403"/>
  <c r="AH403"/>
  <c r="AI403"/>
  <c r="R403"/>
  <c r="S403"/>
  <c r="EP402"/>
  <c r="EQ402"/>
  <c r="FG402"/>
  <c r="FF402"/>
  <c r="EA402"/>
  <c r="DZ402"/>
  <c r="CU402"/>
  <c r="CT402"/>
  <c r="AI402"/>
  <c r="AH402"/>
  <c r="DJ402"/>
  <c r="DK402"/>
  <c r="CD402"/>
  <c r="CE402"/>
  <c r="AX402"/>
  <c r="AY402"/>
  <c r="R402"/>
  <c r="S402"/>
  <c r="AU401" a="1"/>
  <c r="AU401" s="1"/>
  <c r="AE401" a="1"/>
  <c r="AE401" s="1"/>
  <c r="O401" a="1"/>
  <c r="O401" s="1"/>
  <c r="FC71" a="1"/>
  <c r="FC71" s="1"/>
  <c r="EM71" a="1"/>
  <c r="EM71" s="1"/>
  <c r="DW71" a="1"/>
  <c r="DW71" s="1"/>
  <c r="DG71" a="1"/>
  <c r="DG71" s="1"/>
  <c r="CQ71" a="1"/>
  <c r="CQ71" s="1"/>
  <c r="CA71" a="1"/>
  <c r="CA71" s="1"/>
  <c r="BK71" a="1"/>
  <c r="BK71" s="1"/>
  <c r="AU71" a="1"/>
  <c r="AU71" s="1"/>
  <c r="AE71" a="1"/>
  <c r="AE71" s="1"/>
  <c r="O71" a="1"/>
  <c r="O71" s="1"/>
  <c r="EQ401"/>
  <c r="EP401"/>
  <c r="DK401"/>
  <c r="DJ401"/>
  <c r="CE401"/>
  <c r="CD401"/>
  <c r="FF401"/>
  <c r="FG401"/>
  <c r="DZ401"/>
  <c r="EA401"/>
  <c r="CT401"/>
  <c r="CU401"/>
  <c r="AX401"/>
  <c r="AY401"/>
  <c r="AH401"/>
  <c r="AI401"/>
  <c r="R401"/>
  <c r="S401"/>
  <c r="FF71"/>
  <c r="FG71"/>
  <c r="EP71"/>
  <c r="EQ71"/>
  <c r="DZ71"/>
  <c r="EA71"/>
  <c r="DJ71"/>
  <c r="DK71"/>
  <c r="CT71"/>
  <c r="CU71"/>
  <c r="CD71"/>
  <c r="CE71"/>
  <c r="AX71"/>
  <c r="AY71"/>
  <c r="AH71"/>
  <c r="AI71"/>
  <c r="R71"/>
  <c r="S71"/>
  <c r="H74" l="1"/>
  <c r="I74"/>
  <c r="M74" a="1"/>
  <c r="M74" s="1"/>
  <c r="N74" a="1"/>
  <c r="N74" s="1"/>
  <c r="P74"/>
  <c r="Q74"/>
  <c r="L74"/>
  <c r="AD74" a="1"/>
  <c r="AD74" s="1"/>
  <c r="AF74"/>
  <c r="AG74"/>
  <c r="AS74" a="1"/>
  <c r="AS74" s="1"/>
  <c r="AT74" a="1"/>
  <c r="AT74" s="1"/>
  <c r="AV74"/>
  <c r="AW74"/>
  <c r="BI74" a="1"/>
  <c r="BI74" s="1"/>
  <c r="BJ74" a="1"/>
  <c r="BJ74" s="1"/>
  <c r="BL74"/>
  <c r="BM74"/>
  <c r="BY74" a="1"/>
  <c r="BY74" s="1"/>
  <c r="BZ74" a="1"/>
  <c r="BZ74" s="1"/>
  <c r="CB74"/>
  <c r="CC74"/>
  <c r="CO74" a="1"/>
  <c r="CO74" s="1"/>
  <c r="CP74" a="1"/>
  <c r="CP74" s="1"/>
  <c r="CR74"/>
  <c r="CS74"/>
  <c r="DE74" a="1"/>
  <c r="DE74" s="1"/>
  <c r="DF74" a="1"/>
  <c r="DF74" s="1"/>
  <c r="DH74"/>
  <c r="DI74"/>
  <c r="DU74" a="1"/>
  <c r="DU74" s="1"/>
  <c r="DV74" a="1"/>
  <c r="DV74" s="1"/>
  <c r="DX74"/>
  <c r="DY74"/>
  <c r="EK74" a="1"/>
  <c r="EK74" s="1"/>
  <c r="EL74" a="1"/>
  <c r="EL74" s="1"/>
  <c r="EN74"/>
  <c r="EO74"/>
  <c r="FA74" a="1"/>
  <c r="FA74" s="1"/>
  <c r="FB74" a="1"/>
  <c r="FB74" s="1"/>
  <c r="FD74"/>
  <c r="FE74"/>
  <c r="H185"/>
  <c r="I185"/>
  <c r="N185" a="1"/>
  <c r="N185" s="1"/>
  <c r="P185"/>
  <c r="Q185"/>
  <c r="AC185" a="1"/>
  <c r="AC185" s="1"/>
  <c r="L185" s="1"/>
  <c r="AD185" a="1"/>
  <c r="AD185" s="1"/>
  <c r="AF185"/>
  <c r="AG185"/>
  <c r="AS185" a="1"/>
  <c r="AS185" s="1"/>
  <c r="AT185" a="1"/>
  <c r="AT185" s="1"/>
  <c r="AV185"/>
  <c r="AW185"/>
  <c r="BI185" a="1"/>
  <c r="BI185" s="1"/>
  <c r="BJ185" a="1"/>
  <c r="BJ185" s="1"/>
  <c r="BL185"/>
  <c r="BM185"/>
  <c r="BY185" a="1"/>
  <c r="BY185" s="1"/>
  <c r="BZ185" a="1"/>
  <c r="BZ185" s="1"/>
  <c r="CB185"/>
  <c r="CC185"/>
  <c r="CO185" a="1"/>
  <c r="CO185" s="1"/>
  <c r="CP185" a="1"/>
  <c r="CP185" s="1"/>
  <c r="CR185"/>
  <c r="CS185"/>
  <c r="DE185" a="1"/>
  <c r="DE185" s="1"/>
  <c r="DF185" a="1"/>
  <c r="DF185" s="1"/>
  <c r="DH185"/>
  <c r="DI185"/>
  <c r="DU185" a="1"/>
  <c r="DU185" s="1"/>
  <c r="DV185" a="1"/>
  <c r="DV185" s="1"/>
  <c r="DX185"/>
  <c r="DY185"/>
  <c r="EK185" a="1"/>
  <c r="EK185" s="1"/>
  <c r="EL185" a="1"/>
  <c r="EL185" s="1"/>
  <c r="EN185"/>
  <c r="EO185"/>
  <c r="FA185" a="1"/>
  <c r="FA185" s="1"/>
  <c r="FB185" a="1"/>
  <c r="FB185" s="1"/>
  <c r="FD185"/>
  <c r="FE185"/>
  <c r="FC74" l="1" a="1"/>
  <c r="FC74" s="1"/>
  <c r="DW74" a="1"/>
  <c r="DW74" s="1"/>
  <c r="DG74" a="1"/>
  <c r="DG74" s="1"/>
  <c r="CA74" a="1"/>
  <c r="CA74" s="1"/>
  <c r="BK74" a="1"/>
  <c r="BK74" s="1"/>
  <c r="AU74" a="1"/>
  <c r="AU74" s="1"/>
  <c r="AE74" a="1"/>
  <c r="AE74" s="1"/>
  <c r="O74" a="1"/>
  <c r="O74" s="1"/>
  <c r="EM74" a="1"/>
  <c r="EM74" s="1"/>
  <c r="CQ74" a="1"/>
  <c r="CQ74" s="1"/>
  <c r="O185" a="1"/>
  <c r="O185" s="1"/>
  <c r="FC185" a="1"/>
  <c r="FC185" s="1"/>
  <c r="EM185" a="1"/>
  <c r="EM185" s="1"/>
  <c r="DW185" a="1"/>
  <c r="DW185" s="1"/>
  <c r="DG185" a="1"/>
  <c r="DG185" s="1"/>
  <c r="CQ185" a="1"/>
  <c r="CQ185" s="1"/>
  <c r="CA185" a="1"/>
  <c r="CA185" s="1"/>
  <c r="BK185" a="1"/>
  <c r="BK185" s="1"/>
  <c r="AU185" a="1"/>
  <c r="AU185" s="1"/>
  <c r="AE185" a="1"/>
  <c r="AE185" s="1"/>
  <c r="EQ74"/>
  <c r="EP74"/>
  <c r="DK74"/>
  <c r="DJ74"/>
  <c r="CE74"/>
  <c r="CD74"/>
  <c r="FF74"/>
  <c r="FG74"/>
  <c r="DZ74"/>
  <c r="EA74"/>
  <c r="CT74"/>
  <c r="CU74"/>
  <c r="AH74"/>
  <c r="AI74"/>
  <c r="AY74"/>
  <c r="AX74"/>
  <c r="S74"/>
  <c r="R74"/>
  <c r="EP185"/>
  <c r="EQ185"/>
  <c r="DJ185"/>
  <c r="DK185"/>
  <c r="CE185"/>
  <c r="CD185"/>
  <c r="AY185"/>
  <c r="AX185"/>
  <c r="FF185"/>
  <c r="FG185"/>
  <c r="EA185"/>
  <c r="DZ185"/>
  <c r="CU185"/>
  <c r="CT185"/>
  <c r="AH185"/>
  <c r="AI185"/>
  <c r="R185"/>
  <c r="S185"/>
  <c r="I101" l="1"/>
  <c r="N101" a="1"/>
  <c r="N101" s="1"/>
  <c r="P101"/>
  <c r="Q101"/>
  <c r="AC101" a="1"/>
  <c r="AC101" s="1"/>
  <c r="L101" s="1"/>
  <c r="AD101" a="1"/>
  <c r="AD101" s="1"/>
  <c r="AF101"/>
  <c r="AG101"/>
  <c r="AS101" a="1"/>
  <c r="AS101" s="1"/>
  <c r="AT101" a="1"/>
  <c r="AT101" s="1"/>
  <c r="AV101"/>
  <c r="AW101"/>
  <c r="BI101" a="1"/>
  <c r="BI101" s="1"/>
  <c r="BJ101" a="1"/>
  <c r="BJ101" s="1"/>
  <c r="BL101"/>
  <c r="BM101"/>
  <c r="BY101" a="1"/>
  <c r="BY101" s="1"/>
  <c r="BZ101" a="1"/>
  <c r="BZ101" s="1"/>
  <c r="CB101"/>
  <c r="CC101"/>
  <c r="CO101" a="1"/>
  <c r="CO101" s="1"/>
  <c r="CP101" a="1"/>
  <c r="CP101" s="1"/>
  <c r="CR101"/>
  <c r="CS101"/>
  <c r="DE101" a="1"/>
  <c r="DE101" s="1"/>
  <c r="DF101" a="1"/>
  <c r="DF101" s="1"/>
  <c r="DH101"/>
  <c r="DI101"/>
  <c r="DU101" a="1"/>
  <c r="DU101" s="1"/>
  <c r="DV101" a="1"/>
  <c r="DV101" s="1"/>
  <c r="DX101"/>
  <c r="DY101"/>
  <c r="EK101" a="1"/>
  <c r="EK101" s="1"/>
  <c r="EL101" a="1"/>
  <c r="EL101" s="1"/>
  <c r="EN101"/>
  <c r="EO101"/>
  <c r="FA101" a="1"/>
  <c r="FA101" s="1"/>
  <c r="FB101" a="1"/>
  <c r="FB101" s="1"/>
  <c r="FD101"/>
  <c r="FE101"/>
  <c r="H130"/>
  <c r="I130"/>
  <c r="N130" a="1"/>
  <c r="N130" s="1"/>
  <c r="P130"/>
  <c r="Q130"/>
  <c r="AC130" a="1"/>
  <c r="AC130" s="1"/>
  <c r="L130" s="1"/>
  <c r="AD130" a="1"/>
  <c r="AD130" s="1"/>
  <c r="AF130"/>
  <c r="AG130"/>
  <c r="AS130" a="1"/>
  <c r="AS130" s="1"/>
  <c r="AT130" a="1"/>
  <c r="AT130" s="1"/>
  <c r="AV130"/>
  <c r="AW130"/>
  <c r="BI130" a="1"/>
  <c r="BI130" s="1"/>
  <c r="BJ130" a="1"/>
  <c r="BJ130" s="1"/>
  <c r="BL130"/>
  <c r="BM130"/>
  <c r="BY130" a="1"/>
  <c r="BY130" s="1"/>
  <c r="BZ130" a="1"/>
  <c r="BZ130" s="1"/>
  <c r="CB130"/>
  <c r="CC130"/>
  <c r="CO130" a="1"/>
  <c r="CO130" s="1"/>
  <c r="CP130" a="1"/>
  <c r="CP130" s="1"/>
  <c r="CR130"/>
  <c r="CS130"/>
  <c r="DE130" a="1"/>
  <c r="DE130" s="1"/>
  <c r="DF130" a="1"/>
  <c r="DF130" s="1"/>
  <c r="DH130"/>
  <c r="DI130"/>
  <c r="DU130" a="1"/>
  <c r="DU130" s="1"/>
  <c r="DV130" a="1"/>
  <c r="DV130" s="1"/>
  <c r="DX130"/>
  <c r="DY130"/>
  <c r="EK130" a="1"/>
  <c r="EK130" s="1"/>
  <c r="EL130" a="1"/>
  <c r="EL130" s="1"/>
  <c r="EN130"/>
  <c r="EO130"/>
  <c r="FA130" a="1"/>
  <c r="FA130" s="1"/>
  <c r="FB130" a="1"/>
  <c r="FB130" s="1"/>
  <c r="FD130"/>
  <c r="FE130"/>
  <c r="H127"/>
  <c r="I127"/>
  <c r="N127" a="1"/>
  <c r="N127" s="1"/>
  <c r="P127"/>
  <c r="Q127"/>
  <c r="AC127" a="1"/>
  <c r="AC127" s="1"/>
  <c r="L127" s="1"/>
  <c r="AD127" a="1"/>
  <c r="AD127" s="1"/>
  <c r="AF127"/>
  <c r="AG127"/>
  <c r="AS127" a="1"/>
  <c r="AS127" s="1"/>
  <c r="AT127" a="1"/>
  <c r="AT127" s="1"/>
  <c r="AV127"/>
  <c r="AW127"/>
  <c r="BI127" a="1"/>
  <c r="BI127" s="1"/>
  <c r="BJ127" a="1"/>
  <c r="BJ127" s="1"/>
  <c r="BL127"/>
  <c r="BM127"/>
  <c r="BY127" a="1"/>
  <c r="BY127" s="1"/>
  <c r="BZ127" a="1"/>
  <c r="BZ127" s="1"/>
  <c r="CB127"/>
  <c r="CC127"/>
  <c r="CO127" a="1"/>
  <c r="CO127" s="1"/>
  <c r="CP127" a="1"/>
  <c r="CP127" s="1"/>
  <c r="CR127"/>
  <c r="CS127"/>
  <c r="DE127" a="1"/>
  <c r="DE127" s="1"/>
  <c r="DF127" a="1"/>
  <c r="DF127" s="1"/>
  <c r="DH127"/>
  <c r="DI127"/>
  <c r="DU127" a="1"/>
  <c r="DU127" s="1"/>
  <c r="DV127" a="1"/>
  <c r="DV127" s="1"/>
  <c r="DX127"/>
  <c r="DY127"/>
  <c r="EK127" a="1"/>
  <c r="EK127" s="1"/>
  <c r="EL127" a="1"/>
  <c r="EL127" s="1"/>
  <c r="EN127"/>
  <c r="EO127"/>
  <c r="FA127" a="1"/>
  <c r="FA127" s="1"/>
  <c r="FB127" a="1"/>
  <c r="FB127" s="1"/>
  <c r="FD127"/>
  <c r="FE127"/>
  <c r="H320"/>
  <c r="I320"/>
  <c r="N320" a="1"/>
  <c r="N320" s="1"/>
  <c r="P320"/>
  <c r="Q320"/>
  <c r="AC320" a="1"/>
  <c r="AC320" s="1"/>
  <c r="L320" s="1"/>
  <c r="AD320" a="1"/>
  <c r="AD320" s="1"/>
  <c r="AF320"/>
  <c r="AG320"/>
  <c r="AS320" a="1"/>
  <c r="AS320" s="1"/>
  <c r="AT320" a="1"/>
  <c r="AT320" s="1"/>
  <c r="AV320"/>
  <c r="AW320"/>
  <c r="BI320" a="1"/>
  <c r="BI320" s="1"/>
  <c r="BJ320" a="1"/>
  <c r="BJ320" s="1"/>
  <c r="BL320"/>
  <c r="BM320"/>
  <c r="BY320" a="1"/>
  <c r="BY320" s="1"/>
  <c r="BZ320" a="1"/>
  <c r="BZ320" s="1"/>
  <c r="CB320"/>
  <c r="CC320"/>
  <c r="CO320" a="1"/>
  <c r="CO320" s="1"/>
  <c r="CP320" a="1"/>
  <c r="CP320" s="1"/>
  <c r="CR320"/>
  <c r="CS320"/>
  <c r="DE320" a="1"/>
  <c r="DE320" s="1"/>
  <c r="DF320" a="1"/>
  <c r="DF320" s="1"/>
  <c r="DH320"/>
  <c r="DI320"/>
  <c r="DU320" a="1"/>
  <c r="DU320" s="1"/>
  <c r="DV320" a="1"/>
  <c r="DV320" s="1"/>
  <c r="DX320"/>
  <c r="DY320"/>
  <c r="EK320" a="1"/>
  <c r="EK320" s="1"/>
  <c r="EL320" a="1"/>
  <c r="EL320" s="1"/>
  <c r="EN320"/>
  <c r="EO320"/>
  <c r="FA320" a="1"/>
  <c r="FA320" s="1"/>
  <c r="FB320" a="1"/>
  <c r="FB320" s="1"/>
  <c r="FD320"/>
  <c r="FE320"/>
  <c r="H318"/>
  <c r="I318"/>
  <c r="N318" a="1"/>
  <c r="N318" s="1"/>
  <c r="P318"/>
  <c r="Q318"/>
  <c r="AC318" a="1"/>
  <c r="AC318" s="1"/>
  <c r="L318" s="1"/>
  <c r="AD318" a="1"/>
  <c r="AD318" s="1"/>
  <c r="AF318"/>
  <c r="AG318"/>
  <c r="AS318" a="1"/>
  <c r="AS318" s="1"/>
  <c r="AT318" a="1"/>
  <c r="AT318" s="1"/>
  <c r="AV318"/>
  <c r="AW318"/>
  <c r="BI318" a="1"/>
  <c r="BI318" s="1"/>
  <c r="BJ318" a="1"/>
  <c r="BJ318" s="1"/>
  <c r="BL318"/>
  <c r="BM318"/>
  <c r="BY318" a="1"/>
  <c r="BY318" s="1"/>
  <c r="BZ318" a="1"/>
  <c r="BZ318" s="1"/>
  <c r="CB318"/>
  <c r="CC318"/>
  <c r="CO318" a="1"/>
  <c r="CO318" s="1"/>
  <c r="CP318" a="1"/>
  <c r="CP318" s="1"/>
  <c r="CR318"/>
  <c r="CS318"/>
  <c r="DE318" a="1"/>
  <c r="DE318" s="1"/>
  <c r="DF318" a="1"/>
  <c r="DF318" s="1"/>
  <c r="DH318"/>
  <c r="DI318"/>
  <c r="DU318" a="1"/>
  <c r="DU318" s="1"/>
  <c r="DV318" a="1"/>
  <c r="DV318" s="1"/>
  <c r="DX318"/>
  <c r="DY318"/>
  <c r="EK318" a="1"/>
  <c r="EK318" s="1"/>
  <c r="EL318" a="1"/>
  <c r="EL318" s="1"/>
  <c r="EN318"/>
  <c r="EO318"/>
  <c r="FA318" a="1"/>
  <c r="FA318" s="1"/>
  <c r="FB318" a="1"/>
  <c r="FB318" s="1"/>
  <c r="FD318"/>
  <c r="FE318"/>
  <c r="DG320" l="1" a="1"/>
  <c r="DG320" s="1"/>
  <c r="FC130" a="1"/>
  <c r="FC130" s="1"/>
  <c r="BK101" a="1"/>
  <c r="BK101" s="1"/>
  <c r="AU101" a="1"/>
  <c r="AU101" s="1"/>
  <c r="AE101" a="1"/>
  <c r="AE101" s="1"/>
  <c r="FC101" a="1"/>
  <c r="FC101" s="1"/>
  <c r="EM101" a="1"/>
  <c r="EM101" s="1"/>
  <c r="O101" a="1"/>
  <c r="O101" s="1"/>
  <c r="EM130" a="1"/>
  <c r="EM130" s="1"/>
  <c r="DW130" a="1"/>
  <c r="DW130" s="1"/>
  <c r="DW101" a="1"/>
  <c r="DW101" s="1"/>
  <c r="DG101" a="1"/>
  <c r="DG101" s="1"/>
  <c r="CQ101" a="1"/>
  <c r="CQ101" s="1"/>
  <c r="CA101" a="1"/>
  <c r="CA101" s="1"/>
  <c r="FG101"/>
  <c r="FF101"/>
  <c r="DZ101"/>
  <c r="EA101"/>
  <c r="CT101"/>
  <c r="CU101"/>
  <c r="EQ101"/>
  <c r="EP101"/>
  <c r="DK101"/>
  <c r="DJ101"/>
  <c r="CE101"/>
  <c r="CD101"/>
  <c r="AX101"/>
  <c r="AY101"/>
  <c r="AH101"/>
  <c r="AI101"/>
  <c r="R101"/>
  <c r="S101"/>
  <c r="EM318" a="1"/>
  <c r="EM318" s="1"/>
  <c r="AU318" a="1"/>
  <c r="AU318" s="1"/>
  <c r="O318" a="1"/>
  <c r="O318" s="1"/>
  <c r="FC127" a="1"/>
  <c r="FC127" s="1"/>
  <c r="DW127" a="1"/>
  <c r="DW127" s="1"/>
  <c r="CQ127" a="1"/>
  <c r="CQ127" s="1"/>
  <c r="DG130" a="1"/>
  <c r="DG130" s="1"/>
  <c r="CQ130" a="1"/>
  <c r="CQ130" s="1"/>
  <c r="CA130" a="1"/>
  <c r="CA130" s="1"/>
  <c r="BK130" a="1"/>
  <c r="BK130" s="1"/>
  <c r="AU130" a="1"/>
  <c r="AU130" s="1"/>
  <c r="AE130" a="1"/>
  <c r="AE130" s="1"/>
  <c r="O130" a="1"/>
  <c r="O130" s="1"/>
  <c r="DG127" a="1"/>
  <c r="DG127" s="1"/>
  <c r="CQ320" a="1"/>
  <c r="CQ320" s="1"/>
  <c r="CA320" a="1"/>
  <c r="CA320" s="1"/>
  <c r="DW318" a="1"/>
  <c r="DW318" s="1"/>
  <c r="DG318" a="1"/>
  <c r="DG318" s="1"/>
  <c r="CA318" a="1"/>
  <c r="CA318" s="1"/>
  <c r="FC320" a="1"/>
  <c r="FC320" s="1"/>
  <c r="EM320" a="1"/>
  <c r="EM320" s="1"/>
  <c r="EM127" a="1"/>
  <c r="EM127" s="1"/>
  <c r="CA127" a="1"/>
  <c r="CA127" s="1"/>
  <c r="BK127" a="1"/>
  <c r="BK127" s="1"/>
  <c r="AU127" a="1"/>
  <c r="AU127" s="1"/>
  <c r="AE127" a="1"/>
  <c r="AE127" s="1"/>
  <c r="O127" a="1"/>
  <c r="O127" s="1"/>
  <c r="EP130"/>
  <c r="EQ130"/>
  <c r="FG130"/>
  <c r="FF130"/>
  <c r="EA130"/>
  <c r="DZ130"/>
  <c r="DJ130"/>
  <c r="DK130"/>
  <c r="CT130"/>
  <c r="CU130"/>
  <c r="CD130"/>
  <c r="CE130"/>
  <c r="AX130"/>
  <c r="AY130"/>
  <c r="AH130"/>
  <c r="AI130"/>
  <c r="R130"/>
  <c r="S130"/>
  <c r="BK318" a="1"/>
  <c r="BK318" s="1"/>
  <c r="DW320" a="1"/>
  <c r="DW320" s="1"/>
  <c r="BK320" a="1"/>
  <c r="BK320" s="1"/>
  <c r="AU320" a="1"/>
  <c r="AU320" s="1"/>
  <c r="AE320" a="1"/>
  <c r="AE320" s="1"/>
  <c r="O320" a="1"/>
  <c r="O320" s="1"/>
  <c r="EP127"/>
  <c r="EQ127"/>
  <c r="DJ127"/>
  <c r="DK127"/>
  <c r="FG127"/>
  <c r="FF127"/>
  <c r="EA127"/>
  <c r="DZ127"/>
  <c r="CU127"/>
  <c r="CT127"/>
  <c r="CD127"/>
  <c r="CE127"/>
  <c r="AX127"/>
  <c r="AY127"/>
  <c r="AH127"/>
  <c r="AI127"/>
  <c r="R127"/>
  <c r="S127"/>
  <c r="FC318" a="1"/>
  <c r="FC318" s="1"/>
  <c r="CQ318" a="1"/>
  <c r="CQ318" s="1"/>
  <c r="AE318" a="1"/>
  <c r="AE318" s="1"/>
  <c r="FF320"/>
  <c r="FG320"/>
  <c r="DZ320"/>
  <c r="EA320"/>
  <c r="CT320"/>
  <c r="CU320"/>
  <c r="EQ320"/>
  <c r="EP320"/>
  <c r="DK320"/>
  <c r="DJ320"/>
  <c r="CE320"/>
  <c r="CD320"/>
  <c r="AX320"/>
  <c r="AY320"/>
  <c r="AH320"/>
  <c r="AI320"/>
  <c r="R320"/>
  <c r="S320"/>
  <c r="EP318"/>
  <c r="EQ318"/>
  <c r="DJ318"/>
  <c r="DK318"/>
  <c r="CD318"/>
  <c r="CE318"/>
  <c r="AX318"/>
  <c r="AY318"/>
  <c r="FF318"/>
  <c r="FG318"/>
  <c r="EA318"/>
  <c r="DZ318"/>
  <c r="CU318"/>
  <c r="CT318"/>
  <c r="AI318"/>
  <c r="AH318"/>
  <c r="R318"/>
  <c r="S318"/>
  <c r="H82" l="1"/>
  <c r="I82"/>
  <c r="N82" a="1"/>
  <c r="N82" s="1"/>
  <c r="P82"/>
  <c r="Q82"/>
  <c r="AC82" a="1"/>
  <c r="AC82" s="1"/>
  <c r="L82" s="1"/>
  <c r="AD82" a="1"/>
  <c r="AD82" s="1"/>
  <c r="AF82"/>
  <c r="AG82"/>
  <c r="AS82" a="1"/>
  <c r="AS82" s="1"/>
  <c r="AT82" a="1"/>
  <c r="AT82" s="1"/>
  <c r="AV82"/>
  <c r="AW82"/>
  <c r="BI82" a="1"/>
  <c r="BI82" s="1"/>
  <c r="BJ82" a="1"/>
  <c r="BJ82" s="1"/>
  <c r="BL82"/>
  <c r="BM82"/>
  <c r="BY82" a="1"/>
  <c r="BY82" s="1"/>
  <c r="BZ82" a="1"/>
  <c r="BZ82" s="1"/>
  <c r="CB82"/>
  <c r="CC82"/>
  <c r="CO82" a="1"/>
  <c r="CO82" s="1"/>
  <c r="CP82" a="1"/>
  <c r="CP82" s="1"/>
  <c r="CR82"/>
  <c r="CS82"/>
  <c r="DE82" a="1"/>
  <c r="DE82" s="1"/>
  <c r="DF82" a="1"/>
  <c r="DF82" s="1"/>
  <c r="DH82"/>
  <c r="DI82"/>
  <c r="DU82" a="1"/>
  <c r="DU82" s="1"/>
  <c r="DV82" a="1"/>
  <c r="DV82" s="1"/>
  <c r="DX82"/>
  <c r="DY82"/>
  <c r="EK82" a="1"/>
  <c r="EK82" s="1"/>
  <c r="EL82" a="1"/>
  <c r="EL82" s="1"/>
  <c r="EN82"/>
  <c r="EO82"/>
  <c r="FA82" a="1"/>
  <c r="FA82" s="1"/>
  <c r="FB82" a="1"/>
  <c r="FB82" s="1"/>
  <c r="FD82"/>
  <c r="FE82"/>
  <c r="FC82" l="1" a="1"/>
  <c r="FC82" s="1"/>
  <c r="EM82" a="1"/>
  <c r="EM82" s="1"/>
  <c r="DW82" a="1"/>
  <c r="DW82" s="1"/>
  <c r="DG82" a="1"/>
  <c r="DG82" s="1"/>
  <c r="CQ82" a="1"/>
  <c r="CQ82" s="1"/>
  <c r="AE82" a="1"/>
  <c r="AE82" s="1"/>
  <c r="CA82" a="1"/>
  <c r="CA82" s="1"/>
  <c r="BK82" a="1"/>
  <c r="BK82" s="1"/>
  <c r="AU82" a="1"/>
  <c r="AU82" s="1"/>
  <c r="O82" a="1"/>
  <c r="O82" s="1"/>
  <c r="FG82"/>
  <c r="FF82"/>
  <c r="EA82"/>
  <c r="DZ82"/>
  <c r="CU82"/>
  <c r="CT82"/>
  <c r="EP82"/>
  <c r="EQ82"/>
  <c r="DJ82"/>
  <c r="DK82"/>
  <c r="CD82"/>
  <c r="CE82"/>
  <c r="AX82"/>
  <c r="AY82"/>
  <c r="AH82"/>
  <c r="AI82"/>
  <c r="R82"/>
  <c r="S82"/>
  <c r="H208"/>
  <c r="I208"/>
  <c r="N208" a="1"/>
  <c r="N208" s="1"/>
  <c r="P208"/>
  <c r="Q208"/>
  <c r="AC208" a="1"/>
  <c r="AC208" s="1"/>
  <c r="L208" s="1"/>
  <c r="AD208" a="1"/>
  <c r="AD208" s="1"/>
  <c r="AF208"/>
  <c r="AG208"/>
  <c r="AS208" a="1"/>
  <c r="AS208" s="1"/>
  <c r="AT208" a="1"/>
  <c r="AT208" s="1"/>
  <c r="AV208"/>
  <c r="AW208"/>
  <c r="BI208" a="1"/>
  <c r="BI208" s="1"/>
  <c r="BJ208" a="1"/>
  <c r="BJ208" s="1"/>
  <c r="BL208"/>
  <c r="BM208"/>
  <c r="BY208" a="1"/>
  <c r="BY208" s="1"/>
  <c r="BZ208" a="1"/>
  <c r="BZ208" s="1"/>
  <c r="CB208"/>
  <c r="CC208"/>
  <c r="CO208" a="1"/>
  <c r="CO208" s="1"/>
  <c r="CP208" a="1"/>
  <c r="CP208" s="1"/>
  <c r="CR208"/>
  <c r="CS208"/>
  <c r="DE208" a="1"/>
  <c r="DE208" s="1"/>
  <c r="DF208" a="1"/>
  <c r="DF208" s="1"/>
  <c r="DH208"/>
  <c r="DI208"/>
  <c r="DU208" a="1"/>
  <c r="DU208" s="1"/>
  <c r="DV208" a="1"/>
  <c r="DV208" s="1"/>
  <c r="DX208"/>
  <c r="DY208"/>
  <c r="EK208" a="1"/>
  <c r="EK208" s="1"/>
  <c r="EL208" a="1"/>
  <c r="EL208" s="1"/>
  <c r="EN208"/>
  <c r="EO208"/>
  <c r="FA208" a="1"/>
  <c r="FA208" s="1"/>
  <c r="FB208" a="1"/>
  <c r="FB208" s="1"/>
  <c r="FD208"/>
  <c r="FE208"/>
  <c r="H207"/>
  <c r="I207"/>
  <c r="N207" a="1"/>
  <c r="N207" s="1"/>
  <c r="P207"/>
  <c r="Q207"/>
  <c r="AC207" a="1"/>
  <c r="AC207" s="1"/>
  <c r="L207" s="1"/>
  <c r="AD207" a="1"/>
  <c r="AD207" s="1"/>
  <c r="AF207"/>
  <c r="AG207"/>
  <c r="AS207" a="1"/>
  <c r="AS207" s="1"/>
  <c r="AT207" a="1"/>
  <c r="AT207" s="1"/>
  <c r="AV207"/>
  <c r="AW207"/>
  <c r="BI207" a="1"/>
  <c r="BI207" s="1"/>
  <c r="BJ207" a="1"/>
  <c r="BJ207" s="1"/>
  <c r="BL207"/>
  <c r="BM207"/>
  <c r="BY207" a="1"/>
  <c r="BY207" s="1"/>
  <c r="BZ207" a="1"/>
  <c r="BZ207" s="1"/>
  <c r="CB207"/>
  <c r="CC207"/>
  <c r="CO207" a="1"/>
  <c r="CO207" s="1"/>
  <c r="CP207" a="1"/>
  <c r="CP207" s="1"/>
  <c r="CR207"/>
  <c r="CS207"/>
  <c r="DE207" a="1"/>
  <c r="DE207" s="1"/>
  <c r="DF207" a="1"/>
  <c r="DF207" s="1"/>
  <c r="DH207"/>
  <c r="DI207"/>
  <c r="DU207" a="1"/>
  <c r="DU207" s="1"/>
  <c r="DV207" a="1"/>
  <c r="DV207" s="1"/>
  <c r="DX207"/>
  <c r="DY207"/>
  <c r="EK207" a="1"/>
  <c r="EK207" s="1"/>
  <c r="EL207" a="1"/>
  <c r="EL207" s="1"/>
  <c r="EN207"/>
  <c r="EO207"/>
  <c r="FA207" a="1"/>
  <c r="FA207" s="1"/>
  <c r="FB207" a="1"/>
  <c r="FB207" s="1"/>
  <c r="FD207"/>
  <c r="FE207"/>
  <c r="FC208" l="1" a="1"/>
  <c r="FC208" s="1"/>
  <c r="EM208" a="1"/>
  <c r="EM208" s="1"/>
  <c r="DW208" a="1"/>
  <c r="DW208" s="1"/>
  <c r="DG208" a="1"/>
  <c r="DG208" s="1"/>
  <c r="CQ208" a="1"/>
  <c r="CQ208" s="1"/>
  <c r="CA208" a="1"/>
  <c r="CA208" s="1"/>
  <c r="BK208" a="1"/>
  <c r="BK208" s="1"/>
  <c r="AU208" a="1"/>
  <c r="AU208" s="1"/>
  <c r="AE208" a="1"/>
  <c r="AE208" s="1"/>
  <c r="O208" a="1"/>
  <c r="O208" s="1"/>
  <c r="AU207" a="1"/>
  <c r="AU207" s="1"/>
  <c r="AE207" a="1"/>
  <c r="AE207" s="1"/>
  <c r="O207" a="1"/>
  <c r="O207" s="1"/>
  <c r="FF208"/>
  <c r="FG208"/>
  <c r="EP208"/>
  <c r="EQ208"/>
  <c r="DZ208"/>
  <c r="EA208"/>
  <c r="DJ208"/>
  <c r="DK208"/>
  <c r="CT208"/>
  <c r="CU208"/>
  <c r="CD208"/>
  <c r="CE208"/>
  <c r="AX208"/>
  <c r="AY208"/>
  <c r="AH208"/>
  <c r="AI208"/>
  <c r="R208"/>
  <c r="S208"/>
  <c r="FC207" a="1"/>
  <c r="FC207" s="1"/>
  <c r="EM207" a="1"/>
  <c r="EM207" s="1"/>
  <c r="DW207" a="1"/>
  <c r="DW207" s="1"/>
  <c r="DG207" a="1"/>
  <c r="DG207" s="1"/>
  <c r="CQ207" a="1"/>
  <c r="CQ207" s="1"/>
  <c r="CA207" a="1"/>
  <c r="CA207" s="1"/>
  <c r="BK207" a="1"/>
  <c r="BK207" s="1"/>
  <c r="EP207"/>
  <c r="EQ207"/>
  <c r="DJ207"/>
  <c r="DK207"/>
  <c r="CD207"/>
  <c r="CE207"/>
  <c r="FG207"/>
  <c r="FF207"/>
  <c r="EA207"/>
  <c r="DZ207"/>
  <c r="CU207"/>
  <c r="CT207"/>
  <c r="AX207"/>
  <c r="AY207"/>
  <c r="AH207"/>
  <c r="AI207"/>
  <c r="R207"/>
  <c r="S207"/>
  <c r="H233" l="1"/>
  <c r="H231"/>
  <c r="I233"/>
  <c r="I231"/>
  <c r="N233" a="1"/>
  <c r="N233" s="1"/>
  <c r="N231" a="1"/>
  <c r="N231" s="1"/>
  <c r="P233"/>
  <c r="P231"/>
  <c r="Q233"/>
  <c r="Q231"/>
  <c r="O231" s="1" a="1"/>
  <c r="O231" s="1"/>
  <c r="AC233" a="1"/>
  <c r="AC233" s="1"/>
  <c r="L233" s="1"/>
  <c r="AC231" a="1"/>
  <c r="AC231" s="1"/>
  <c r="L231" s="1"/>
  <c r="AD233" a="1"/>
  <c r="AD233" s="1"/>
  <c r="AD231" a="1"/>
  <c r="AD231" s="1"/>
  <c r="AF233"/>
  <c r="AF231"/>
  <c r="AG233"/>
  <c r="AG231"/>
  <c r="AE231" s="1" a="1"/>
  <c r="AE231" s="1"/>
  <c r="AS233" a="1"/>
  <c r="AS233" s="1"/>
  <c r="AS231" a="1"/>
  <c r="AS231" s="1"/>
  <c r="AT233" a="1"/>
  <c r="AT233" s="1"/>
  <c r="AT231" a="1"/>
  <c r="AT231" s="1"/>
  <c r="AV233"/>
  <c r="AV231"/>
  <c r="AW233"/>
  <c r="AW231"/>
  <c r="AU231" s="1" a="1"/>
  <c r="AU231" s="1"/>
  <c r="BI233" a="1"/>
  <c r="BI233" s="1"/>
  <c r="BI231" a="1"/>
  <c r="BI231" s="1"/>
  <c r="BJ233" a="1"/>
  <c r="BJ233" s="1"/>
  <c r="BJ231" a="1"/>
  <c r="BJ231" s="1"/>
  <c r="BL233"/>
  <c r="BL231"/>
  <c r="BM233"/>
  <c r="BM231"/>
  <c r="BK231" s="1" a="1"/>
  <c r="BK231" s="1"/>
  <c r="BY233" a="1"/>
  <c r="BY233" s="1"/>
  <c r="BY231" a="1"/>
  <c r="BY231" s="1"/>
  <c r="BZ233" a="1"/>
  <c r="BZ233" s="1"/>
  <c r="BZ231" a="1"/>
  <c r="BZ231" s="1"/>
  <c r="CB233"/>
  <c r="CB231"/>
  <c r="CC233"/>
  <c r="CC231"/>
  <c r="CA231" s="1" a="1"/>
  <c r="CA231" s="1"/>
  <c r="CO233" a="1"/>
  <c r="CO233" s="1"/>
  <c r="CO231" a="1"/>
  <c r="CO231" s="1"/>
  <c r="CP233" a="1"/>
  <c r="CP233" s="1"/>
  <c r="CP231" a="1"/>
  <c r="CP231" s="1"/>
  <c r="CR233"/>
  <c r="CR231"/>
  <c r="CS233"/>
  <c r="CS231"/>
  <c r="CQ231" s="1" a="1"/>
  <c r="CQ231" s="1"/>
  <c r="DE233" a="1"/>
  <c r="DE233" s="1"/>
  <c r="DE231" a="1"/>
  <c r="DE231" s="1"/>
  <c r="DF233" a="1"/>
  <c r="DF233" s="1"/>
  <c r="DF231" a="1"/>
  <c r="DF231" s="1"/>
  <c r="DH233"/>
  <c r="DH231"/>
  <c r="DI233"/>
  <c r="DI231"/>
  <c r="DG231" s="1" a="1"/>
  <c r="DG231" s="1"/>
  <c r="DU233" a="1"/>
  <c r="DU233" s="1"/>
  <c r="DU231" a="1"/>
  <c r="DU231" s="1"/>
  <c r="DV233" a="1"/>
  <c r="DV233" s="1"/>
  <c r="DV231" a="1"/>
  <c r="DV231" s="1"/>
  <c r="DX233"/>
  <c r="DX231"/>
  <c r="DY233"/>
  <c r="DY231"/>
  <c r="DW231" s="1" a="1"/>
  <c r="DW231" s="1"/>
  <c r="EK233" a="1"/>
  <c r="EK233" s="1"/>
  <c r="EK231" a="1"/>
  <c r="EK231" s="1"/>
  <c r="EL233" a="1"/>
  <c r="EL233" s="1"/>
  <c r="EL231" a="1"/>
  <c r="EL231" s="1"/>
  <c r="EN233"/>
  <c r="EN231"/>
  <c r="EO233"/>
  <c r="EO231"/>
  <c r="EM231" s="1" a="1"/>
  <c r="EM231" s="1"/>
  <c r="FA233" a="1"/>
  <c r="FA233" s="1"/>
  <c r="FA231" a="1"/>
  <c r="FA231" s="1"/>
  <c r="FB233" a="1"/>
  <c r="FB233" s="1"/>
  <c r="FB231" a="1"/>
  <c r="FB231" s="1"/>
  <c r="FD233"/>
  <c r="FD231"/>
  <c r="FE233"/>
  <c r="FE231"/>
  <c r="FC231" s="1" a="1"/>
  <c r="FC231" s="1"/>
  <c r="H230"/>
  <c r="I230"/>
  <c r="N230" a="1"/>
  <c r="N230" s="1"/>
  <c r="P230"/>
  <c r="Q230"/>
  <c r="AC230" a="1"/>
  <c r="AC230" s="1"/>
  <c r="L230" s="1"/>
  <c r="AD230" a="1"/>
  <c r="AD230" s="1"/>
  <c r="AF230"/>
  <c r="AG230"/>
  <c r="AS230" a="1"/>
  <c r="AS230" s="1"/>
  <c r="AT230" a="1"/>
  <c r="AT230" s="1"/>
  <c r="AV230"/>
  <c r="AW230"/>
  <c r="BI230" a="1"/>
  <c r="BI230" s="1"/>
  <c r="BJ230" a="1"/>
  <c r="BJ230" s="1"/>
  <c r="BL230"/>
  <c r="BM230"/>
  <c r="BY230" a="1"/>
  <c r="BY230" s="1"/>
  <c r="BZ230" a="1"/>
  <c r="BZ230" s="1"/>
  <c r="CB230"/>
  <c r="CC230"/>
  <c r="CO230" a="1"/>
  <c r="CO230" s="1"/>
  <c r="CP230" a="1"/>
  <c r="CP230" s="1"/>
  <c r="CR230"/>
  <c r="CS230"/>
  <c r="DE230" a="1"/>
  <c r="DE230" s="1"/>
  <c r="DF230" a="1"/>
  <c r="DF230" s="1"/>
  <c r="DH230"/>
  <c r="DI230"/>
  <c r="DU230" a="1"/>
  <c r="DU230" s="1"/>
  <c r="DV230" a="1"/>
  <c r="DV230" s="1"/>
  <c r="DX230"/>
  <c r="DY230"/>
  <c r="EK230" a="1"/>
  <c r="EK230" s="1"/>
  <c r="EL230" a="1"/>
  <c r="EL230" s="1"/>
  <c r="EN230"/>
  <c r="EO230"/>
  <c r="FA230" a="1"/>
  <c r="FA230" s="1"/>
  <c r="FB230" a="1"/>
  <c r="FB230" s="1"/>
  <c r="FD230"/>
  <c r="FE230"/>
  <c r="H183"/>
  <c r="H184"/>
  <c r="H186"/>
  <c r="H182"/>
  <c r="I183"/>
  <c r="I184"/>
  <c r="I186"/>
  <c r="I182"/>
  <c r="N183" a="1"/>
  <c r="N183" s="1"/>
  <c r="N184" a="1"/>
  <c r="N184" s="1"/>
  <c r="N186" a="1"/>
  <c r="N186" s="1"/>
  <c r="N182" a="1"/>
  <c r="N182" s="1"/>
  <c r="P183"/>
  <c r="P184"/>
  <c r="P186"/>
  <c r="P182"/>
  <c r="Q183"/>
  <c r="Q184"/>
  <c r="O184" s="1" a="1"/>
  <c r="O184" s="1"/>
  <c r="Q186"/>
  <c r="Q182"/>
  <c r="O182" s="1" a="1"/>
  <c r="O182" s="1"/>
  <c r="AC183" a="1"/>
  <c r="AC183" s="1"/>
  <c r="L183" s="1"/>
  <c r="AC184" a="1"/>
  <c r="AC184" s="1"/>
  <c r="L184" s="1"/>
  <c r="AC186" a="1"/>
  <c r="AC186" s="1"/>
  <c r="L186" s="1"/>
  <c r="AC182" a="1"/>
  <c r="AC182" s="1"/>
  <c r="L182" s="1"/>
  <c r="AD183" a="1"/>
  <c r="AD183" s="1"/>
  <c r="AD184" a="1"/>
  <c r="AD184" s="1"/>
  <c r="AD186" a="1"/>
  <c r="AD186" s="1"/>
  <c r="AD182" a="1"/>
  <c r="AD182" s="1"/>
  <c r="AF183"/>
  <c r="AF184"/>
  <c r="AF186"/>
  <c r="AF182"/>
  <c r="AG183"/>
  <c r="AG184"/>
  <c r="AE184" s="1" a="1"/>
  <c r="AE184" s="1"/>
  <c r="AG186"/>
  <c r="AG182"/>
  <c r="AE182" s="1" a="1"/>
  <c r="AE182" s="1"/>
  <c r="AS183" a="1"/>
  <c r="AS183" s="1"/>
  <c r="AS184" a="1"/>
  <c r="AS184" s="1"/>
  <c r="AS186" a="1"/>
  <c r="AS186" s="1"/>
  <c r="AS182" a="1"/>
  <c r="AS182" s="1"/>
  <c r="AT183" a="1"/>
  <c r="AT183" s="1"/>
  <c r="AT184" a="1"/>
  <c r="AT184" s="1"/>
  <c r="AT186" a="1"/>
  <c r="AT186" s="1"/>
  <c r="AT182" a="1"/>
  <c r="AT182" s="1"/>
  <c r="AV183"/>
  <c r="AV184"/>
  <c r="AV186"/>
  <c r="AV182"/>
  <c r="AW183"/>
  <c r="AW184"/>
  <c r="AU184" s="1" a="1"/>
  <c r="AU184" s="1"/>
  <c r="AW186"/>
  <c r="AW182"/>
  <c r="AU182" s="1" a="1"/>
  <c r="AU182" s="1"/>
  <c r="BI183" a="1"/>
  <c r="BI183" s="1"/>
  <c r="BI184" a="1"/>
  <c r="BI184" s="1"/>
  <c r="BI186" a="1"/>
  <c r="BI186" s="1"/>
  <c r="BI182" a="1"/>
  <c r="BI182" s="1"/>
  <c r="BJ183" a="1"/>
  <c r="BJ183" s="1"/>
  <c r="BJ184" a="1"/>
  <c r="BJ184" s="1"/>
  <c r="BJ186" a="1"/>
  <c r="BJ186" s="1"/>
  <c r="BJ182" a="1"/>
  <c r="BJ182" s="1"/>
  <c r="BL183"/>
  <c r="BL184"/>
  <c r="BL186"/>
  <c r="BL182"/>
  <c r="BM183"/>
  <c r="BM184"/>
  <c r="BK184" s="1" a="1"/>
  <c r="BK184" s="1"/>
  <c r="BM186"/>
  <c r="BM182"/>
  <c r="BK182" s="1" a="1"/>
  <c r="BK182" s="1"/>
  <c r="BY183" a="1"/>
  <c r="BY183" s="1"/>
  <c r="BY184" a="1"/>
  <c r="BY184" s="1"/>
  <c r="BY186" a="1"/>
  <c r="BY186" s="1"/>
  <c r="BY182" a="1"/>
  <c r="BY182" s="1"/>
  <c r="BZ183" a="1"/>
  <c r="BZ183" s="1"/>
  <c r="BZ184" a="1"/>
  <c r="BZ184" s="1"/>
  <c r="BZ186" a="1"/>
  <c r="BZ186" s="1"/>
  <c r="BZ182" a="1"/>
  <c r="BZ182" s="1"/>
  <c r="CB183"/>
  <c r="CB184"/>
  <c r="CB186"/>
  <c r="CB182"/>
  <c r="CC183"/>
  <c r="CC184"/>
  <c r="CA184" s="1" a="1"/>
  <c r="CA184" s="1"/>
  <c r="CC186"/>
  <c r="CC182"/>
  <c r="CA182" s="1" a="1"/>
  <c r="CA182" s="1"/>
  <c r="CO183" a="1"/>
  <c r="CO183" s="1"/>
  <c r="CO184" a="1"/>
  <c r="CO184" s="1"/>
  <c r="CO186" a="1"/>
  <c r="CO186" s="1"/>
  <c r="CO182" a="1"/>
  <c r="CO182" s="1"/>
  <c r="CP183" a="1"/>
  <c r="CP183" s="1"/>
  <c r="CP184" a="1"/>
  <c r="CP184" s="1"/>
  <c r="CP186" a="1"/>
  <c r="CP186" s="1"/>
  <c r="CP182" a="1"/>
  <c r="CP182" s="1"/>
  <c r="CR183"/>
  <c r="CR184"/>
  <c r="CR186"/>
  <c r="CR182"/>
  <c r="CS183"/>
  <c r="CS184"/>
  <c r="CQ184" s="1" a="1"/>
  <c r="CQ184" s="1"/>
  <c r="CS186"/>
  <c r="CS182"/>
  <c r="CQ182" s="1" a="1"/>
  <c r="CQ182" s="1"/>
  <c r="DE183" a="1"/>
  <c r="DE183" s="1"/>
  <c r="DE184" a="1"/>
  <c r="DE184" s="1"/>
  <c r="DE186" a="1"/>
  <c r="DE186" s="1"/>
  <c r="DE182" a="1"/>
  <c r="DE182" s="1"/>
  <c r="DF183" a="1"/>
  <c r="DF183" s="1"/>
  <c r="DF184" a="1"/>
  <c r="DF184" s="1"/>
  <c r="DF186" a="1"/>
  <c r="DF186" s="1"/>
  <c r="DF182" a="1"/>
  <c r="DF182" s="1"/>
  <c r="DH183"/>
  <c r="DH184"/>
  <c r="DH186"/>
  <c r="DH182"/>
  <c r="DI183"/>
  <c r="DI184"/>
  <c r="DG184" s="1" a="1"/>
  <c r="DG184" s="1"/>
  <c r="DI186"/>
  <c r="DI182"/>
  <c r="DG182" s="1" a="1"/>
  <c r="DG182" s="1"/>
  <c r="DU183" a="1"/>
  <c r="DU183" s="1"/>
  <c r="DU184" a="1"/>
  <c r="DU184" s="1"/>
  <c r="DU186" a="1"/>
  <c r="DU186" s="1"/>
  <c r="DU182" a="1"/>
  <c r="DU182" s="1"/>
  <c r="DV183" a="1"/>
  <c r="DV183" s="1"/>
  <c r="DV184" a="1"/>
  <c r="DV184" s="1"/>
  <c r="DV186" a="1"/>
  <c r="DV186" s="1"/>
  <c r="DV182" a="1"/>
  <c r="DV182" s="1"/>
  <c r="DX183"/>
  <c r="DX184"/>
  <c r="DX186"/>
  <c r="DX182"/>
  <c r="DY183"/>
  <c r="DY184"/>
  <c r="DW184" s="1" a="1"/>
  <c r="DW184" s="1"/>
  <c r="DY186"/>
  <c r="DY182"/>
  <c r="DW182" s="1" a="1"/>
  <c r="DW182" s="1"/>
  <c r="EK183" a="1"/>
  <c r="EK183" s="1"/>
  <c r="EK184" a="1"/>
  <c r="EK184" s="1"/>
  <c r="EK186" a="1"/>
  <c r="EK186" s="1"/>
  <c r="EK182" a="1"/>
  <c r="EK182" s="1"/>
  <c r="EL183" a="1"/>
  <c r="EL183" s="1"/>
  <c r="EL184" a="1"/>
  <c r="EL184" s="1"/>
  <c r="EL186" a="1"/>
  <c r="EL186" s="1"/>
  <c r="EL182" a="1"/>
  <c r="EL182" s="1"/>
  <c r="EN183"/>
  <c r="EN184"/>
  <c r="EN186"/>
  <c r="EN182"/>
  <c r="EO183"/>
  <c r="EO184"/>
  <c r="EM184" s="1" a="1"/>
  <c r="EM184" s="1"/>
  <c r="EO186"/>
  <c r="EO182"/>
  <c r="EM182" s="1" a="1"/>
  <c r="EM182" s="1"/>
  <c r="FA183" a="1"/>
  <c r="FA183" s="1"/>
  <c r="FA184" a="1"/>
  <c r="FA184" s="1"/>
  <c r="FA186" a="1"/>
  <c r="FA186" s="1"/>
  <c r="FA182" a="1"/>
  <c r="FA182" s="1"/>
  <c r="FB183" a="1"/>
  <c r="FB183" s="1"/>
  <c r="FB184" a="1"/>
  <c r="FB184" s="1"/>
  <c r="FB186" a="1"/>
  <c r="FB186" s="1"/>
  <c r="FB182" a="1"/>
  <c r="FB182" s="1"/>
  <c r="FD183"/>
  <c r="FD184"/>
  <c r="FD186"/>
  <c r="FD182"/>
  <c r="FE183"/>
  <c r="FE184"/>
  <c r="FC184" s="1" a="1"/>
  <c r="FC184" s="1"/>
  <c r="FE186"/>
  <c r="FE182"/>
  <c r="FC182" s="1" a="1"/>
  <c r="FC182" s="1"/>
  <c r="H347"/>
  <c r="I347"/>
  <c r="M347" a="1"/>
  <c r="M347" s="1"/>
  <c r="N347" a="1"/>
  <c r="N347" s="1"/>
  <c r="P347"/>
  <c r="Q347"/>
  <c r="L347"/>
  <c r="AD347" a="1"/>
  <c r="AD347" s="1"/>
  <c r="AF347"/>
  <c r="AG347"/>
  <c r="AS347" a="1"/>
  <c r="AS347" s="1"/>
  <c r="AT347" a="1"/>
  <c r="AT347" s="1"/>
  <c r="AV347"/>
  <c r="AW347"/>
  <c r="BI347" a="1"/>
  <c r="BI347" s="1"/>
  <c r="BJ347" a="1"/>
  <c r="BJ347" s="1"/>
  <c r="BL347"/>
  <c r="BM347"/>
  <c r="BY347" a="1"/>
  <c r="BY347" s="1"/>
  <c r="BZ347" a="1"/>
  <c r="BZ347" s="1"/>
  <c r="CB347"/>
  <c r="CC347"/>
  <c r="CO347" a="1"/>
  <c r="CO347" s="1"/>
  <c r="CP347" a="1"/>
  <c r="CP347" s="1"/>
  <c r="CR347"/>
  <c r="CS347"/>
  <c r="DE347" a="1"/>
  <c r="DE347" s="1"/>
  <c r="DF347" a="1"/>
  <c r="DF347" s="1"/>
  <c r="DH347"/>
  <c r="DI347"/>
  <c r="DU347" a="1"/>
  <c r="DU347" s="1"/>
  <c r="DV347" a="1"/>
  <c r="DV347" s="1"/>
  <c r="DX347"/>
  <c r="DY347"/>
  <c r="EK347" a="1"/>
  <c r="EK347" s="1"/>
  <c r="EL347" a="1"/>
  <c r="EL347" s="1"/>
  <c r="EN347"/>
  <c r="EO347"/>
  <c r="FA347" a="1"/>
  <c r="FA347" s="1"/>
  <c r="FB347" a="1"/>
  <c r="FB347" s="1"/>
  <c r="FD347"/>
  <c r="FE347"/>
  <c r="H383"/>
  <c r="I383"/>
  <c r="N383" a="1"/>
  <c r="N383" s="1"/>
  <c r="P383"/>
  <c r="Q383"/>
  <c r="AC383" a="1"/>
  <c r="AC383" s="1"/>
  <c r="L383" s="1"/>
  <c r="AD383" a="1"/>
  <c r="AD383" s="1"/>
  <c r="AF383"/>
  <c r="AG383"/>
  <c r="AS383" a="1"/>
  <c r="AS383" s="1"/>
  <c r="AT383" a="1"/>
  <c r="AT383" s="1"/>
  <c r="AV383"/>
  <c r="AW383"/>
  <c r="BI383" a="1"/>
  <c r="BI383" s="1"/>
  <c r="BJ383" a="1"/>
  <c r="BJ383" s="1"/>
  <c r="BL383"/>
  <c r="BM383"/>
  <c r="BY383" a="1"/>
  <c r="BY383" s="1"/>
  <c r="BZ383" a="1"/>
  <c r="BZ383" s="1"/>
  <c r="CB383"/>
  <c r="CC383"/>
  <c r="CO383" a="1"/>
  <c r="CO383" s="1"/>
  <c r="CP383" a="1"/>
  <c r="CP383" s="1"/>
  <c r="CR383"/>
  <c r="CS383"/>
  <c r="DE383" a="1"/>
  <c r="DE383" s="1"/>
  <c r="DF383" a="1"/>
  <c r="DF383" s="1"/>
  <c r="DH383"/>
  <c r="DI383"/>
  <c r="DU383" a="1"/>
  <c r="DU383" s="1"/>
  <c r="DV383" a="1"/>
  <c r="DV383" s="1"/>
  <c r="DX383"/>
  <c r="DY383"/>
  <c r="EK383" a="1"/>
  <c r="EK383" s="1"/>
  <c r="EL383" a="1"/>
  <c r="EL383" s="1"/>
  <c r="EN383"/>
  <c r="EO383"/>
  <c r="FA383" a="1"/>
  <c r="FA383" s="1"/>
  <c r="FB383" a="1"/>
  <c r="FB383" s="1"/>
  <c r="FD383"/>
  <c r="FE383"/>
  <c r="H228"/>
  <c r="I228"/>
  <c r="N228" a="1"/>
  <c r="N228" s="1"/>
  <c r="P228"/>
  <c r="Q228"/>
  <c r="AC228" a="1"/>
  <c r="AC228" s="1"/>
  <c r="L228" s="1"/>
  <c r="AD228" a="1"/>
  <c r="AD228" s="1"/>
  <c r="AF228"/>
  <c r="AG228"/>
  <c r="AS228" a="1"/>
  <c r="AS228" s="1"/>
  <c r="AT228" a="1"/>
  <c r="AT228" s="1"/>
  <c r="AV228"/>
  <c r="AW228"/>
  <c r="BI228" a="1"/>
  <c r="BI228" s="1"/>
  <c r="BJ228" a="1"/>
  <c r="BJ228" s="1"/>
  <c r="BL228"/>
  <c r="BM228"/>
  <c r="BY228" a="1"/>
  <c r="BY228" s="1"/>
  <c r="BZ228" a="1"/>
  <c r="BZ228" s="1"/>
  <c r="CB228"/>
  <c r="CC228"/>
  <c r="CO228" a="1"/>
  <c r="CO228" s="1"/>
  <c r="CP228" a="1"/>
  <c r="CP228" s="1"/>
  <c r="CR228"/>
  <c r="CS228"/>
  <c r="DE228" a="1"/>
  <c r="DE228" s="1"/>
  <c r="DF228" a="1"/>
  <c r="DF228" s="1"/>
  <c r="DH228"/>
  <c r="DI228"/>
  <c r="DU228" a="1"/>
  <c r="DU228" s="1"/>
  <c r="DV228" a="1"/>
  <c r="DV228" s="1"/>
  <c r="DX228"/>
  <c r="DY228"/>
  <c r="EK228" a="1"/>
  <c r="EK228" s="1"/>
  <c r="EL228" a="1"/>
  <c r="EL228" s="1"/>
  <c r="EN228"/>
  <c r="EO228"/>
  <c r="FA228" a="1"/>
  <c r="FA228" s="1"/>
  <c r="FB228" a="1"/>
  <c r="FB228" s="1"/>
  <c r="FD228"/>
  <c r="FE228"/>
  <c r="H160"/>
  <c r="I160"/>
  <c r="N160" a="1"/>
  <c r="N160" s="1"/>
  <c r="P160"/>
  <c r="Q160"/>
  <c r="AC160" a="1"/>
  <c r="AC160" s="1"/>
  <c r="L160" s="1"/>
  <c r="AD160" a="1"/>
  <c r="AD160" s="1"/>
  <c r="AF160"/>
  <c r="AG160"/>
  <c r="AS160" a="1"/>
  <c r="AS160" s="1"/>
  <c r="AT160" a="1"/>
  <c r="AT160" s="1"/>
  <c r="AV160"/>
  <c r="AW160"/>
  <c r="BI160" a="1"/>
  <c r="BI160" s="1"/>
  <c r="BJ160" a="1"/>
  <c r="BJ160" s="1"/>
  <c r="BL160"/>
  <c r="BM160"/>
  <c r="BY160" a="1"/>
  <c r="BY160" s="1"/>
  <c r="BZ160" a="1"/>
  <c r="BZ160" s="1"/>
  <c r="CB160"/>
  <c r="CC160"/>
  <c r="CO160" a="1"/>
  <c r="CO160" s="1"/>
  <c r="CP160" a="1"/>
  <c r="CP160" s="1"/>
  <c r="CR160"/>
  <c r="CS160"/>
  <c r="DE160" a="1"/>
  <c r="DE160" s="1"/>
  <c r="DF160" a="1"/>
  <c r="DF160" s="1"/>
  <c r="DH160"/>
  <c r="DI160"/>
  <c r="DU160" a="1"/>
  <c r="DU160" s="1"/>
  <c r="DV160" a="1"/>
  <c r="DV160" s="1"/>
  <c r="DX160"/>
  <c r="DY160"/>
  <c r="EK160" a="1"/>
  <c r="EK160" s="1"/>
  <c r="EL160" a="1"/>
  <c r="EL160" s="1"/>
  <c r="EN160"/>
  <c r="EO160"/>
  <c r="FA160" a="1"/>
  <c r="FA160" s="1"/>
  <c r="FB160" a="1"/>
  <c r="FB160" s="1"/>
  <c r="FD160"/>
  <c r="FE160"/>
  <c r="H158"/>
  <c r="I158"/>
  <c r="N158" a="1"/>
  <c r="N158" s="1"/>
  <c r="P158"/>
  <c r="Q158"/>
  <c r="AC158" a="1"/>
  <c r="AC158" s="1"/>
  <c r="L158" s="1"/>
  <c r="AD158" a="1"/>
  <c r="AD158" s="1"/>
  <c r="AF158"/>
  <c r="AG158"/>
  <c r="AS158" a="1"/>
  <c r="AS158" s="1"/>
  <c r="AT158" a="1"/>
  <c r="AT158" s="1"/>
  <c r="AV158"/>
  <c r="AW158"/>
  <c r="BI158" a="1"/>
  <c r="BI158" s="1"/>
  <c r="BJ158" a="1"/>
  <c r="BJ158" s="1"/>
  <c r="BL158"/>
  <c r="BM158"/>
  <c r="BY158" a="1"/>
  <c r="BY158" s="1"/>
  <c r="BZ158" a="1"/>
  <c r="BZ158" s="1"/>
  <c r="CB158"/>
  <c r="CC158"/>
  <c r="CO158" a="1"/>
  <c r="CO158" s="1"/>
  <c r="CP158" a="1"/>
  <c r="CP158" s="1"/>
  <c r="CR158"/>
  <c r="CS158"/>
  <c r="DE158" a="1"/>
  <c r="DE158" s="1"/>
  <c r="DF158" a="1"/>
  <c r="DF158" s="1"/>
  <c r="DH158"/>
  <c r="DI158"/>
  <c r="DU158" a="1"/>
  <c r="DU158" s="1"/>
  <c r="DV158" a="1"/>
  <c r="DV158" s="1"/>
  <c r="DX158"/>
  <c r="DY158"/>
  <c r="EK158" a="1"/>
  <c r="EK158" s="1"/>
  <c r="EL158" a="1"/>
  <c r="EL158" s="1"/>
  <c r="EN158"/>
  <c r="EO158"/>
  <c r="FA158" a="1"/>
  <c r="FA158" s="1"/>
  <c r="FB158" a="1"/>
  <c r="FB158" s="1"/>
  <c r="FD158"/>
  <c r="FE158"/>
  <c r="H159"/>
  <c r="I159"/>
  <c r="N159" a="1"/>
  <c r="N159" s="1"/>
  <c r="P159"/>
  <c r="Q159"/>
  <c r="AC159" a="1"/>
  <c r="AC159" s="1"/>
  <c r="L159" s="1"/>
  <c r="AD159" a="1"/>
  <c r="AD159" s="1"/>
  <c r="AF159"/>
  <c r="AG159"/>
  <c r="AS159" a="1"/>
  <c r="AS159" s="1"/>
  <c r="AT159" a="1"/>
  <c r="AT159" s="1"/>
  <c r="AV159"/>
  <c r="AW159"/>
  <c r="BI159" a="1"/>
  <c r="BI159" s="1"/>
  <c r="BJ159" a="1"/>
  <c r="BJ159" s="1"/>
  <c r="BL159"/>
  <c r="BM159"/>
  <c r="BY159" a="1"/>
  <c r="BY159" s="1"/>
  <c r="BZ159" a="1"/>
  <c r="BZ159" s="1"/>
  <c r="CB159"/>
  <c r="CC159"/>
  <c r="CO159" a="1"/>
  <c r="CO159" s="1"/>
  <c r="CP159" a="1"/>
  <c r="CP159" s="1"/>
  <c r="CR159"/>
  <c r="CS159"/>
  <c r="DE159" a="1"/>
  <c r="DE159" s="1"/>
  <c r="DF159" a="1"/>
  <c r="DF159" s="1"/>
  <c r="DH159"/>
  <c r="DI159"/>
  <c r="DU159" a="1"/>
  <c r="DU159" s="1"/>
  <c r="DV159" a="1"/>
  <c r="DV159" s="1"/>
  <c r="DX159"/>
  <c r="DY159"/>
  <c r="EK159" a="1"/>
  <c r="EK159" s="1"/>
  <c r="EL159" a="1"/>
  <c r="EL159" s="1"/>
  <c r="EN159"/>
  <c r="EO159"/>
  <c r="FA159" a="1"/>
  <c r="FA159" s="1"/>
  <c r="FB159" a="1"/>
  <c r="FB159" s="1"/>
  <c r="FD159"/>
  <c r="FE159"/>
  <c r="H144"/>
  <c r="I144"/>
  <c r="N144" a="1"/>
  <c r="N144" s="1"/>
  <c r="P144"/>
  <c r="Q144"/>
  <c r="AC144" a="1"/>
  <c r="AC144" s="1"/>
  <c r="L144" s="1"/>
  <c r="AD144" a="1"/>
  <c r="AD144" s="1"/>
  <c r="AF144"/>
  <c r="AG144"/>
  <c r="AS144" a="1"/>
  <c r="AS144" s="1"/>
  <c r="AT144" a="1"/>
  <c r="AT144" s="1"/>
  <c r="AV144"/>
  <c r="AW144"/>
  <c r="BI144" a="1"/>
  <c r="BI144" s="1"/>
  <c r="BJ144" a="1"/>
  <c r="BJ144" s="1"/>
  <c r="BL144"/>
  <c r="BM144"/>
  <c r="BY144" a="1"/>
  <c r="BY144" s="1"/>
  <c r="BZ144" a="1"/>
  <c r="BZ144" s="1"/>
  <c r="CB144"/>
  <c r="CC144"/>
  <c r="CO144" a="1"/>
  <c r="CO144" s="1"/>
  <c r="CP144" a="1"/>
  <c r="CP144" s="1"/>
  <c r="CR144"/>
  <c r="CS144"/>
  <c r="DE144" a="1"/>
  <c r="DE144" s="1"/>
  <c r="DF144" a="1"/>
  <c r="DF144" s="1"/>
  <c r="DH144"/>
  <c r="DI144"/>
  <c r="DU144" a="1"/>
  <c r="DU144" s="1"/>
  <c r="DV144" a="1"/>
  <c r="DV144" s="1"/>
  <c r="DX144"/>
  <c r="DY144"/>
  <c r="EK144" a="1"/>
  <c r="EK144" s="1"/>
  <c r="EL144" a="1"/>
  <c r="EL144" s="1"/>
  <c r="EN144"/>
  <c r="EO144"/>
  <c r="FA144" a="1"/>
  <c r="FA144" s="1"/>
  <c r="FB144" a="1"/>
  <c r="FB144" s="1"/>
  <c r="FD144"/>
  <c r="FE144"/>
  <c r="H143"/>
  <c r="I143"/>
  <c r="N143" a="1"/>
  <c r="N143" s="1"/>
  <c r="P143"/>
  <c r="Q143"/>
  <c r="AC143" a="1"/>
  <c r="AC143" s="1"/>
  <c r="L143" s="1"/>
  <c r="AD143" a="1"/>
  <c r="AD143" s="1"/>
  <c r="AF143"/>
  <c r="AG143"/>
  <c r="AS143" a="1"/>
  <c r="AS143" s="1"/>
  <c r="AT143" a="1"/>
  <c r="AT143" s="1"/>
  <c r="AV143"/>
  <c r="AW143"/>
  <c r="BI143" a="1"/>
  <c r="BI143" s="1"/>
  <c r="BJ143" a="1"/>
  <c r="BJ143" s="1"/>
  <c r="BL143"/>
  <c r="BM143"/>
  <c r="BY143" a="1"/>
  <c r="BY143" s="1"/>
  <c r="BZ143" a="1"/>
  <c r="BZ143" s="1"/>
  <c r="CB143"/>
  <c r="CC143"/>
  <c r="CO143" a="1"/>
  <c r="CO143" s="1"/>
  <c r="CP143" a="1"/>
  <c r="CP143" s="1"/>
  <c r="CR143"/>
  <c r="CS143"/>
  <c r="DE143" a="1"/>
  <c r="DE143" s="1"/>
  <c r="DF143" a="1"/>
  <c r="DF143" s="1"/>
  <c r="DH143"/>
  <c r="DI143"/>
  <c r="DU143" a="1"/>
  <c r="DU143" s="1"/>
  <c r="DV143" a="1"/>
  <c r="DV143" s="1"/>
  <c r="DX143"/>
  <c r="DY143"/>
  <c r="EK143" a="1"/>
  <c r="EK143" s="1"/>
  <c r="EL143" a="1"/>
  <c r="EL143" s="1"/>
  <c r="EN143"/>
  <c r="EO143"/>
  <c r="FA143" a="1"/>
  <c r="FA143" s="1"/>
  <c r="FB143" a="1"/>
  <c r="FB143" s="1"/>
  <c r="FD143"/>
  <c r="FE143"/>
  <c r="H142"/>
  <c r="I142"/>
  <c r="N142" a="1"/>
  <c r="N142" s="1"/>
  <c r="P142"/>
  <c r="Q142"/>
  <c r="AC142" a="1"/>
  <c r="AC142" s="1"/>
  <c r="L142" s="1"/>
  <c r="AD142" a="1"/>
  <c r="AD142" s="1"/>
  <c r="AF142"/>
  <c r="AG142"/>
  <c r="AS142" a="1"/>
  <c r="AS142" s="1"/>
  <c r="AT142" a="1"/>
  <c r="AT142" s="1"/>
  <c r="AV142"/>
  <c r="AW142"/>
  <c r="BI142" a="1"/>
  <c r="BI142" s="1"/>
  <c r="BJ142" a="1"/>
  <c r="BJ142" s="1"/>
  <c r="BL142"/>
  <c r="BM142"/>
  <c r="BY142" a="1"/>
  <c r="BY142" s="1"/>
  <c r="BZ142" a="1"/>
  <c r="BZ142" s="1"/>
  <c r="CB142"/>
  <c r="CC142"/>
  <c r="CO142" a="1"/>
  <c r="CO142" s="1"/>
  <c r="CP142" a="1"/>
  <c r="CP142" s="1"/>
  <c r="CR142"/>
  <c r="CS142"/>
  <c r="DE142" a="1"/>
  <c r="DE142" s="1"/>
  <c r="DF142" a="1"/>
  <c r="DF142" s="1"/>
  <c r="DH142"/>
  <c r="DI142"/>
  <c r="DU142" a="1"/>
  <c r="DU142" s="1"/>
  <c r="DV142" a="1"/>
  <c r="DV142" s="1"/>
  <c r="DX142"/>
  <c r="DY142"/>
  <c r="EK142" a="1"/>
  <c r="EK142" s="1"/>
  <c r="EL142" a="1"/>
  <c r="EL142" s="1"/>
  <c r="EN142"/>
  <c r="EO142"/>
  <c r="FA142" a="1"/>
  <c r="FA142" s="1"/>
  <c r="FB142" a="1"/>
  <c r="FB142" s="1"/>
  <c r="FD142"/>
  <c r="FE142"/>
  <c r="H140"/>
  <c r="I140"/>
  <c r="N140" a="1"/>
  <c r="N140" s="1"/>
  <c r="P140"/>
  <c r="Q140"/>
  <c r="AC140" a="1"/>
  <c r="AC140" s="1"/>
  <c r="L140" s="1"/>
  <c r="AD140" a="1"/>
  <c r="AD140" s="1"/>
  <c r="AF140"/>
  <c r="AG140"/>
  <c r="AS140" a="1"/>
  <c r="AS140" s="1"/>
  <c r="AT140" a="1"/>
  <c r="AT140" s="1"/>
  <c r="AV140"/>
  <c r="AW140"/>
  <c r="BI140" a="1"/>
  <c r="BI140" s="1"/>
  <c r="BJ140" a="1"/>
  <c r="BJ140" s="1"/>
  <c r="BL140"/>
  <c r="BM140"/>
  <c r="BY140" a="1"/>
  <c r="BY140" s="1"/>
  <c r="BZ140" a="1"/>
  <c r="BZ140" s="1"/>
  <c r="CB140"/>
  <c r="CC140"/>
  <c r="CO140" a="1"/>
  <c r="CO140" s="1"/>
  <c r="CP140" a="1"/>
  <c r="CP140" s="1"/>
  <c r="CR140"/>
  <c r="CS140"/>
  <c r="DE140" a="1"/>
  <c r="DE140" s="1"/>
  <c r="DF140" a="1"/>
  <c r="DF140" s="1"/>
  <c r="DH140"/>
  <c r="DI140"/>
  <c r="DU140" a="1"/>
  <c r="DU140" s="1"/>
  <c r="DV140" a="1"/>
  <c r="DV140" s="1"/>
  <c r="DX140"/>
  <c r="DY140"/>
  <c r="EK140" a="1"/>
  <c r="EK140" s="1"/>
  <c r="EL140" a="1"/>
  <c r="EL140" s="1"/>
  <c r="EN140"/>
  <c r="EO140"/>
  <c r="FA140" a="1"/>
  <c r="FA140" s="1"/>
  <c r="FB140" a="1"/>
  <c r="FB140" s="1"/>
  <c r="FD140"/>
  <c r="FE140"/>
  <c r="H69"/>
  <c r="I69"/>
  <c r="N69" a="1"/>
  <c r="N69" s="1"/>
  <c r="P69"/>
  <c r="Q69"/>
  <c r="AC69" a="1"/>
  <c r="AC69" s="1"/>
  <c r="L69" s="1"/>
  <c r="AD69" a="1"/>
  <c r="AD69" s="1"/>
  <c r="AF69"/>
  <c r="AG69"/>
  <c r="AS69" a="1"/>
  <c r="AS69" s="1"/>
  <c r="AT69" a="1"/>
  <c r="AT69" s="1"/>
  <c r="AV69"/>
  <c r="AW69"/>
  <c r="BI69" a="1"/>
  <c r="BI69" s="1"/>
  <c r="BJ69" a="1"/>
  <c r="BJ69" s="1"/>
  <c r="BL69"/>
  <c r="BM69"/>
  <c r="BY69" a="1"/>
  <c r="BY69" s="1"/>
  <c r="BZ69" a="1"/>
  <c r="BZ69" s="1"/>
  <c r="CB69"/>
  <c r="CC69"/>
  <c r="CO69" a="1"/>
  <c r="CO69" s="1"/>
  <c r="CP69" a="1"/>
  <c r="CP69" s="1"/>
  <c r="CR69"/>
  <c r="CS69"/>
  <c r="DE69" a="1"/>
  <c r="DE69" s="1"/>
  <c r="DF69" a="1"/>
  <c r="DF69" s="1"/>
  <c r="DH69"/>
  <c r="DI69"/>
  <c r="DU69" a="1"/>
  <c r="DU69" s="1"/>
  <c r="DV69" a="1"/>
  <c r="DV69" s="1"/>
  <c r="DX69"/>
  <c r="DY69"/>
  <c r="EK69" a="1"/>
  <c r="EK69" s="1"/>
  <c r="EL69" a="1"/>
  <c r="EL69" s="1"/>
  <c r="EN69"/>
  <c r="EO69"/>
  <c r="FA69" a="1"/>
  <c r="FA69" s="1"/>
  <c r="FB69" a="1"/>
  <c r="FB69" s="1"/>
  <c r="FD69"/>
  <c r="FE69"/>
  <c r="FC383" l="1" a="1"/>
  <c r="FC383" s="1"/>
  <c r="EM383" a="1"/>
  <c r="EM383" s="1"/>
  <c r="DW383" a="1"/>
  <c r="DW383" s="1"/>
  <c r="DG383" a="1"/>
  <c r="DG383" s="1"/>
  <c r="CQ383" a="1"/>
  <c r="CQ383" s="1"/>
  <c r="CA383" a="1"/>
  <c r="CA383" s="1"/>
  <c r="BK383" a="1"/>
  <c r="BK383" s="1"/>
  <c r="AU383" a="1"/>
  <c r="AU383" s="1"/>
  <c r="AE383" a="1"/>
  <c r="AE383" s="1"/>
  <c r="FC230" a="1"/>
  <c r="FC230" s="1"/>
  <c r="EM230" a="1"/>
  <c r="EM230" s="1"/>
  <c r="DW230" a="1"/>
  <c r="DW230" s="1"/>
  <c r="DG230" a="1"/>
  <c r="DG230" s="1"/>
  <c r="CQ230" a="1"/>
  <c r="CQ230" s="1"/>
  <c r="CA230" a="1"/>
  <c r="CA230" s="1"/>
  <c r="BK230" a="1"/>
  <c r="BK230" s="1"/>
  <c r="AU230" a="1"/>
  <c r="AU230" s="1"/>
  <c r="AE230" a="1"/>
  <c r="AE230" s="1"/>
  <c r="O230" a="1"/>
  <c r="O230" s="1"/>
  <c r="FC233" a="1"/>
  <c r="FC233" s="1"/>
  <c r="DW233" a="1"/>
  <c r="DW233" s="1"/>
  <c r="CQ233" a="1"/>
  <c r="CQ233" s="1"/>
  <c r="BK233" a="1"/>
  <c r="BK233" s="1"/>
  <c r="AE233" a="1"/>
  <c r="AE233" s="1"/>
  <c r="EM233" a="1"/>
  <c r="EM233" s="1"/>
  <c r="DG233" a="1"/>
  <c r="DG233" s="1"/>
  <c r="CA233" a="1"/>
  <c r="CA233" s="1"/>
  <c r="AU233" a="1"/>
  <c r="AU233" s="1"/>
  <c r="O233" a="1"/>
  <c r="O233" s="1"/>
  <c r="FF231"/>
  <c r="FG231"/>
  <c r="EP233"/>
  <c r="EQ233"/>
  <c r="DZ231"/>
  <c r="EA231"/>
  <c r="DJ233"/>
  <c r="DK233"/>
  <c r="CT231"/>
  <c r="CU231"/>
  <c r="CD233"/>
  <c r="CE233"/>
  <c r="AX233"/>
  <c r="AY233"/>
  <c r="AH231"/>
  <c r="AI231"/>
  <c r="R233"/>
  <c r="S233"/>
  <c r="FF233"/>
  <c r="FG233"/>
  <c r="EP231"/>
  <c r="EQ231"/>
  <c r="DZ233"/>
  <c r="EA233"/>
  <c r="DJ231"/>
  <c r="DK231"/>
  <c r="CT233"/>
  <c r="CU233"/>
  <c r="CD231"/>
  <c r="CE231"/>
  <c r="AX231"/>
  <c r="AY231"/>
  <c r="AH233"/>
  <c r="AI233"/>
  <c r="R231"/>
  <c r="S231"/>
  <c r="FF230"/>
  <c r="FG230"/>
  <c r="EP230"/>
  <c r="EQ230"/>
  <c r="DZ230"/>
  <c r="EA230"/>
  <c r="DJ230"/>
  <c r="DK230"/>
  <c r="CT230"/>
  <c r="CU230"/>
  <c r="CD230"/>
  <c r="CE230"/>
  <c r="AX230"/>
  <c r="AY230"/>
  <c r="AH230"/>
  <c r="AI230"/>
  <c r="R230"/>
  <c r="S230"/>
  <c r="AE347" a="1"/>
  <c r="AE347" s="1"/>
  <c r="O347" a="1"/>
  <c r="O347" s="1"/>
  <c r="FC186" a="1"/>
  <c r="FC186" s="1"/>
  <c r="FC183" a="1"/>
  <c r="FC183" s="1"/>
  <c r="EM186" a="1"/>
  <c r="EM186" s="1"/>
  <c r="EM183" a="1"/>
  <c r="EM183" s="1"/>
  <c r="DW186" a="1"/>
  <c r="DW186" s="1"/>
  <c r="DW183" a="1"/>
  <c r="DW183" s="1"/>
  <c r="DG186" a="1"/>
  <c r="DG186" s="1"/>
  <c r="DG183" a="1"/>
  <c r="DG183" s="1"/>
  <c r="CQ186" a="1"/>
  <c r="CQ186" s="1"/>
  <c r="CQ183" a="1"/>
  <c r="CQ183" s="1"/>
  <c r="CA186" a="1"/>
  <c r="CA186" s="1"/>
  <c r="CA183" a="1"/>
  <c r="CA183" s="1"/>
  <c r="BK186" a="1"/>
  <c r="BK186" s="1"/>
  <c r="BK183" a="1"/>
  <c r="BK183" s="1"/>
  <c r="AU186" a="1"/>
  <c r="AU186" s="1"/>
  <c r="AU183" a="1"/>
  <c r="AU183" s="1"/>
  <c r="AE186" a="1"/>
  <c r="AE186" s="1"/>
  <c r="AE183" a="1"/>
  <c r="AE183" s="1"/>
  <c r="O186" a="1"/>
  <c r="O186" s="1"/>
  <c r="O183" a="1"/>
  <c r="O183" s="1"/>
  <c r="R186"/>
  <c r="S186"/>
  <c r="R183"/>
  <c r="S183"/>
  <c r="FF186"/>
  <c r="FG186"/>
  <c r="FF183"/>
  <c r="FG183"/>
  <c r="EP186"/>
  <c r="EQ186"/>
  <c r="EP183"/>
  <c r="EQ183"/>
  <c r="DZ186"/>
  <c r="EA186"/>
  <c r="DZ183"/>
  <c r="EA183"/>
  <c r="DJ186"/>
  <c r="DK186"/>
  <c r="DJ183"/>
  <c r="DK183"/>
  <c r="CT186"/>
  <c r="CU186"/>
  <c r="CT183"/>
  <c r="CU183"/>
  <c r="CD186"/>
  <c r="CE186"/>
  <c r="CD183"/>
  <c r="CE183"/>
  <c r="AX186"/>
  <c r="AY186"/>
  <c r="AX183"/>
  <c r="AY183"/>
  <c r="AH186"/>
  <c r="AI186"/>
  <c r="AH183"/>
  <c r="AI183"/>
  <c r="FF182"/>
  <c r="FG182"/>
  <c r="FF184"/>
  <c r="FG184"/>
  <c r="EP182"/>
  <c r="EQ182"/>
  <c r="EP184"/>
  <c r="EQ184"/>
  <c r="DZ182"/>
  <c r="EA182"/>
  <c r="DZ184"/>
  <c r="EA184"/>
  <c r="DJ182"/>
  <c r="DK182"/>
  <c r="DJ184"/>
  <c r="DK184"/>
  <c r="CT182"/>
  <c r="CU182"/>
  <c r="CT184"/>
  <c r="CU184"/>
  <c r="CD182"/>
  <c r="CE182"/>
  <c r="CD184"/>
  <c r="CE184"/>
  <c r="AX182"/>
  <c r="AY182"/>
  <c r="AX184"/>
  <c r="AY184"/>
  <c r="AH182"/>
  <c r="AI182"/>
  <c r="AH184"/>
  <c r="AI184"/>
  <c r="R182"/>
  <c r="S182"/>
  <c r="R184"/>
  <c r="S184"/>
  <c r="FC347" a="1"/>
  <c r="FC347" s="1"/>
  <c r="EM347" a="1"/>
  <c r="EM347" s="1"/>
  <c r="DW347" a="1"/>
  <c r="DW347" s="1"/>
  <c r="DG347" a="1"/>
  <c r="DG347" s="1"/>
  <c r="CQ347" a="1"/>
  <c r="CQ347" s="1"/>
  <c r="CA347" a="1"/>
  <c r="CA347" s="1"/>
  <c r="BK347" a="1"/>
  <c r="BK347" s="1"/>
  <c r="AU347" a="1"/>
  <c r="AU347" s="1"/>
  <c r="FF347"/>
  <c r="FG347"/>
  <c r="DZ347"/>
  <c r="EA347"/>
  <c r="CT347"/>
  <c r="CU347"/>
  <c r="EQ347"/>
  <c r="EP347"/>
  <c r="DK347"/>
  <c r="DJ347"/>
  <c r="CE347"/>
  <c r="CD347"/>
  <c r="AY347"/>
  <c r="AX347"/>
  <c r="AH347"/>
  <c r="AI347"/>
  <c r="R347"/>
  <c r="S347"/>
  <c r="FC228" a="1"/>
  <c r="FC228" s="1"/>
  <c r="EM228" a="1"/>
  <c r="EM228" s="1"/>
  <c r="DW228" a="1"/>
  <c r="DW228" s="1"/>
  <c r="DG228" a="1"/>
  <c r="DG228" s="1"/>
  <c r="CQ228" a="1"/>
  <c r="CQ228" s="1"/>
  <c r="CA228" a="1"/>
  <c r="CA228" s="1"/>
  <c r="O383" a="1"/>
  <c r="O383" s="1"/>
  <c r="EP383"/>
  <c r="EQ383"/>
  <c r="DJ383"/>
  <c r="DK383"/>
  <c r="CD383"/>
  <c r="CE383"/>
  <c r="AX383"/>
  <c r="AY383"/>
  <c r="FG383"/>
  <c r="FF383"/>
  <c r="EA383"/>
  <c r="DZ383"/>
  <c r="CU383"/>
  <c r="CT383"/>
  <c r="AI383"/>
  <c r="AH383"/>
  <c r="R383"/>
  <c r="S383"/>
  <c r="BK228" a="1"/>
  <c r="BK228" s="1"/>
  <c r="AU228" a="1"/>
  <c r="AU228" s="1"/>
  <c r="AE228" a="1"/>
  <c r="AE228" s="1"/>
  <c r="O228" a="1"/>
  <c r="O228" s="1"/>
  <c r="FF228"/>
  <c r="FG228"/>
  <c r="DZ228"/>
  <c r="EA228"/>
  <c r="CT228"/>
  <c r="CU228"/>
  <c r="EQ228"/>
  <c r="EP228"/>
  <c r="DK228"/>
  <c r="DJ228"/>
  <c r="CE228"/>
  <c r="CD228"/>
  <c r="AX228"/>
  <c r="AY228"/>
  <c r="AH228"/>
  <c r="AI228"/>
  <c r="R228"/>
  <c r="S228"/>
  <c r="FC158" a="1"/>
  <c r="FC158" s="1"/>
  <c r="EM158" a="1"/>
  <c r="EM158" s="1"/>
  <c r="DW158" a="1"/>
  <c r="DW158" s="1"/>
  <c r="DG158" a="1"/>
  <c r="DG158" s="1"/>
  <c r="FC160" a="1"/>
  <c r="FC160" s="1"/>
  <c r="EM160" a="1"/>
  <c r="EM160" s="1"/>
  <c r="DW160" a="1"/>
  <c r="DW160" s="1"/>
  <c r="DG160" a="1"/>
  <c r="DG160" s="1"/>
  <c r="CQ160" a="1"/>
  <c r="CQ160" s="1"/>
  <c r="CA160" a="1"/>
  <c r="CA160" s="1"/>
  <c r="BK160" a="1"/>
  <c r="BK160" s="1"/>
  <c r="AU160" a="1"/>
  <c r="AU160" s="1"/>
  <c r="AE160" a="1"/>
  <c r="AE160" s="1"/>
  <c r="O160" a="1"/>
  <c r="O160" s="1"/>
  <c r="FF160"/>
  <c r="FG160"/>
  <c r="EP160"/>
  <c r="EQ160"/>
  <c r="DZ160"/>
  <c r="EA160"/>
  <c r="DJ160"/>
  <c r="DK160"/>
  <c r="CT160"/>
  <c r="CU160"/>
  <c r="CD160"/>
  <c r="CE160"/>
  <c r="AX160"/>
  <c r="AY160"/>
  <c r="AH160"/>
  <c r="AI160"/>
  <c r="R160"/>
  <c r="S160"/>
  <c r="FC159" a="1"/>
  <c r="FC159" s="1"/>
  <c r="EM159" a="1"/>
  <c r="EM159" s="1"/>
  <c r="DW159" a="1"/>
  <c r="DW159" s="1"/>
  <c r="DG159" a="1"/>
  <c r="DG159" s="1"/>
  <c r="CQ159" a="1"/>
  <c r="CQ159" s="1"/>
  <c r="CA159" a="1"/>
  <c r="CA159" s="1"/>
  <c r="BK159" a="1"/>
  <c r="BK159" s="1"/>
  <c r="AU159" a="1"/>
  <c r="AU159" s="1"/>
  <c r="CQ158" a="1"/>
  <c r="CQ158" s="1"/>
  <c r="CA158" a="1"/>
  <c r="CA158" s="1"/>
  <c r="BK158" a="1"/>
  <c r="BK158" s="1"/>
  <c r="AU158" a="1"/>
  <c r="AU158" s="1"/>
  <c r="AE158" a="1"/>
  <c r="AE158" s="1"/>
  <c r="O158" a="1"/>
  <c r="O158" s="1"/>
  <c r="FF158"/>
  <c r="FG158"/>
  <c r="DZ158"/>
  <c r="EA158"/>
  <c r="EQ158"/>
  <c r="EP158"/>
  <c r="DK158"/>
  <c r="DJ158"/>
  <c r="CT158"/>
  <c r="CU158"/>
  <c r="CD158"/>
  <c r="CE158"/>
  <c r="AX158"/>
  <c r="AY158"/>
  <c r="AH158"/>
  <c r="AI158"/>
  <c r="R158"/>
  <c r="S158"/>
  <c r="DW142" a="1"/>
  <c r="DW142" s="1"/>
  <c r="BK142" a="1"/>
  <c r="BK142" s="1"/>
  <c r="FC144" a="1"/>
  <c r="FC144" s="1"/>
  <c r="EM144" a="1"/>
  <c r="EM144" s="1"/>
  <c r="DW144" a="1"/>
  <c r="DW144" s="1"/>
  <c r="DG144" a="1"/>
  <c r="DG144" s="1"/>
  <c r="CQ144" a="1"/>
  <c r="CQ144" s="1"/>
  <c r="AE159" a="1"/>
  <c r="AE159" s="1"/>
  <c r="O159" a="1"/>
  <c r="O159" s="1"/>
  <c r="FF159"/>
  <c r="FG159"/>
  <c r="DZ159"/>
  <c r="EA159"/>
  <c r="CT159"/>
  <c r="CU159"/>
  <c r="EQ159"/>
  <c r="EP159"/>
  <c r="DK159"/>
  <c r="DJ159"/>
  <c r="CE159"/>
  <c r="CD159"/>
  <c r="AY159"/>
  <c r="AX159"/>
  <c r="AH159"/>
  <c r="AI159"/>
  <c r="R159"/>
  <c r="S159"/>
  <c r="EM143" a="1"/>
  <c r="EM143" s="1"/>
  <c r="DG143" a="1"/>
  <c r="DG143" s="1"/>
  <c r="CA143" a="1"/>
  <c r="CA143" s="1"/>
  <c r="CA144" a="1"/>
  <c r="CA144" s="1"/>
  <c r="BK144" a="1"/>
  <c r="BK144" s="1"/>
  <c r="AU144" a="1"/>
  <c r="AU144" s="1"/>
  <c r="AE144" a="1"/>
  <c r="AE144" s="1"/>
  <c r="O144" a="1"/>
  <c r="O144" s="1"/>
  <c r="DG142" a="1"/>
  <c r="DG142" s="1"/>
  <c r="CQ142" a="1"/>
  <c r="CQ142" s="1"/>
  <c r="DW143" a="1"/>
  <c r="DW143" s="1"/>
  <c r="FC142" a="1"/>
  <c r="FC142" s="1"/>
  <c r="AU142" a="1"/>
  <c r="AU142" s="1"/>
  <c r="AE142" a="1"/>
  <c r="AE142" s="1"/>
  <c r="O142" a="1"/>
  <c r="O142" s="1"/>
  <c r="FC143" a="1"/>
  <c r="FC143" s="1"/>
  <c r="CQ143" a="1"/>
  <c r="CQ143" s="1"/>
  <c r="BK143" a="1"/>
  <c r="BK143" s="1"/>
  <c r="AU143" a="1"/>
  <c r="AU143" s="1"/>
  <c r="AE143" a="1"/>
  <c r="AE143" s="1"/>
  <c r="O143" a="1"/>
  <c r="O143" s="1"/>
  <c r="EQ144"/>
  <c r="EP144"/>
  <c r="DK144"/>
  <c r="DJ144"/>
  <c r="FF144"/>
  <c r="FG144"/>
  <c r="DZ144"/>
  <c r="EA144"/>
  <c r="CT144"/>
  <c r="CU144"/>
  <c r="CD144"/>
  <c r="CE144"/>
  <c r="AX144"/>
  <c r="AY144"/>
  <c r="AH144"/>
  <c r="AI144"/>
  <c r="R144"/>
  <c r="S144"/>
  <c r="DG140" a="1"/>
  <c r="DG140" s="1"/>
  <c r="EM142" a="1"/>
  <c r="EM142" s="1"/>
  <c r="CA142" a="1"/>
  <c r="CA142" s="1"/>
  <c r="FG143"/>
  <c r="FF143"/>
  <c r="EA143"/>
  <c r="DZ143"/>
  <c r="CU143"/>
  <c r="CT143"/>
  <c r="EP143"/>
  <c r="EQ143"/>
  <c r="DJ143"/>
  <c r="DK143"/>
  <c r="CD143"/>
  <c r="CE143"/>
  <c r="AX143"/>
  <c r="AY143"/>
  <c r="AH143"/>
  <c r="AI143"/>
  <c r="R143"/>
  <c r="S143"/>
  <c r="FC140" a="1"/>
  <c r="FC140" s="1"/>
  <c r="EP142"/>
  <c r="EQ142"/>
  <c r="DJ142"/>
  <c r="DK142"/>
  <c r="CD142"/>
  <c r="CE142"/>
  <c r="FG142"/>
  <c r="FF142"/>
  <c r="EA142"/>
  <c r="DZ142"/>
  <c r="CU142"/>
  <c r="CT142"/>
  <c r="AX142"/>
  <c r="AY142"/>
  <c r="AH142"/>
  <c r="AI142"/>
  <c r="R142"/>
  <c r="S142"/>
  <c r="EM140" a="1"/>
  <c r="EM140" s="1"/>
  <c r="DW140" a="1"/>
  <c r="DW140" s="1"/>
  <c r="CQ140" a="1"/>
  <c r="CQ140" s="1"/>
  <c r="CA140" a="1"/>
  <c r="CA140" s="1"/>
  <c r="BK140" a="1"/>
  <c r="BK140" s="1"/>
  <c r="AU140" a="1"/>
  <c r="AU140" s="1"/>
  <c r="AE140" a="1"/>
  <c r="AE140" s="1"/>
  <c r="O140" a="1"/>
  <c r="O140" s="1"/>
  <c r="FG140"/>
  <c r="FF140"/>
  <c r="EA140"/>
  <c r="DZ140"/>
  <c r="EP140"/>
  <c r="EQ140"/>
  <c r="DJ140"/>
  <c r="DK140"/>
  <c r="CT140"/>
  <c r="CU140"/>
  <c r="CD140"/>
  <c r="CE140"/>
  <c r="AX140"/>
  <c r="AY140"/>
  <c r="AH140"/>
  <c r="AI140"/>
  <c r="R140"/>
  <c r="S140"/>
  <c r="FC69" a="1"/>
  <c r="FC69" s="1"/>
  <c r="EM69" a="1"/>
  <c r="EM69" s="1"/>
  <c r="DW69" a="1"/>
  <c r="DW69" s="1"/>
  <c r="DG69" a="1"/>
  <c r="DG69" s="1"/>
  <c r="CQ69" a="1"/>
  <c r="CQ69" s="1"/>
  <c r="CA69" a="1"/>
  <c r="CA69" s="1"/>
  <c r="BK69" a="1"/>
  <c r="BK69" s="1"/>
  <c r="AU69" a="1"/>
  <c r="AU69" s="1"/>
  <c r="AE69" a="1"/>
  <c r="AE69" s="1"/>
  <c r="O69" a="1"/>
  <c r="O69" s="1"/>
  <c r="FF69"/>
  <c r="FG69"/>
  <c r="EP69"/>
  <c r="EQ69"/>
  <c r="DZ69"/>
  <c r="EA69"/>
  <c r="DJ69"/>
  <c r="DK69"/>
  <c r="CT69"/>
  <c r="CU69"/>
  <c r="CD69"/>
  <c r="CE69"/>
  <c r="AX69"/>
  <c r="AY69"/>
  <c r="AH69"/>
  <c r="AI69"/>
  <c r="R69"/>
  <c r="S69"/>
  <c r="H72" l="1"/>
  <c r="I72"/>
  <c r="M72" a="1"/>
  <c r="M72" s="1"/>
  <c r="N72" a="1"/>
  <c r="N72" s="1"/>
  <c r="P72"/>
  <c r="Q72"/>
  <c r="L72"/>
  <c r="AD72" a="1"/>
  <c r="AD72" s="1"/>
  <c r="AF72"/>
  <c r="AG72"/>
  <c r="AS72" a="1"/>
  <c r="AS72" s="1"/>
  <c r="AT72" a="1"/>
  <c r="AT72" s="1"/>
  <c r="AV72"/>
  <c r="AW72"/>
  <c r="BI72" a="1"/>
  <c r="BI72" s="1"/>
  <c r="BJ72" a="1"/>
  <c r="BJ72" s="1"/>
  <c r="BL72"/>
  <c r="BM72"/>
  <c r="BY72" a="1"/>
  <c r="BY72" s="1"/>
  <c r="BZ72" a="1"/>
  <c r="BZ72" s="1"/>
  <c r="CB72"/>
  <c r="CC72"/>
  <c r="CO72" a="1"/>
  <c r="CO72" s="1"/>
  <c r="CP72" a="1"/>
  <c r="CP72" s="1"/>
  <c r="CR72"/>
  <c r="CS72"/>
  <c r="DE72" a="1"/>
  <c r="DE72" s="1"/>
  <c r="DF72" a="1"/>
  <c r="DF72" s="1"/>
  <c r="DH72"/>
  <c r="DI72"/>
  <c r="DU72" a="1"/>
  <c r="DU72" s="1"/>
  <c r="DV72" a="1"/>
  <c r="DV72" s="1"/>
  <c r="DX72"/>
  <c r="DY72"/>
  <c r="EK72" a="1"/>
  <c r="EK72" s="1"/>
  <c r="EL72" a="1"/>
  <c r="EL72" s="1"/>
  <c r="EN72"/>
  <c r="EO72"/>
  <c r="FA72" a="1"/>
  <c r="FA72" s="1"/>
  <c r="FB72" a="1"/>
  <c r="FB72" s="1"/>
  <c r="FD72"/>
  <c r="FE72"/>
  <c r="H73"/>
  <c r="I73"/>
  <c r="M73" a="1"/>
  <c r="M73" s="1"/>
  <c r="N73" a="1"/>
  <c r="N73" s="1"/>
  <c r="P73"/>
  <c r="Q73"/>
  <c r="L73"/>
  <c r="AD73" a="1"/>
  <c r="AD73" s="1"/>
  <c r="AF73"/>
  <c r="AG73"/>
  <c r="AS73" a="1"/>
  <c r="AS73" s="1"/>
  <c r="AT73" a="1"/>
  <c r="AT73" s="1"/>
  <c r="AV73"/>
  <c r="AW73"/>
  <c r="BI73" a="1"/>
  <c r="BI73" s="1"/>
  <c r="BJ73" a="1"/>
  <c r="BJ73" s="1"/>
  <c r="BL73"/>
  <c r="BM73"/>
  <c r="BY73" a="1"/>
  <c r="BY73" s="1"/>
  <c r="BZ73" a="1"/>
  <c r="BZ73" s="1"/>
  <c r="CB73"/>
  <c r="CC73"/>
  <c r="CO73" a="1"/>
  <c r="CO73" s="1"/>
  <c r="CP73" a="1"/>
  <c r="CP73" s="1"/>
  <c r="CR73"/>
  <c r="CS73"/>
  <c r="DE73" a="1"/>
  <c r="DE73" s="1"/>
  <c r="DF73" a="1"/>
  <c r="DF73" s="1"/>
  <c r="DH73"/>
  <c r="DI73"/>
  <c r="DU73" a="1"/>
  <c r="DU73" s="1"/>
  <c r="DV73" a="1"/>
  <c r="DV73" s="1"/>
  <c r="DX73"/>
  <c r="DY73"/>
  <c r="EK73" a="1"/>
  <c r="EK73" s="1"/>
  <c r="EL73" a="1"/>
  <c r="EL73" s="1"/>
  <c r="EN73"/>
  <c r="EO73"/>
  <c r="FA73" a="1"/>
  <c r="FA73" s="1"/>
  <c r="FB73" a="1"/>
  <c r="FB73" s="1"/>
  <c r="FD73"/>
  <c r="FE73"/>
  <c r="FC73" l="1" a="1"/>
  <c r="FC73" s="1"/>
  <c r="EM73" a="1"/>
  <c r="EM73" s="1"/>
  <c r="DW73" a="1"/>
  <c r="DW73" s="1"/>
  <c r="DG73" a="1"/>
  <c r="DG73" s="1"/>
  <c r="CQ73" a="1"/>
  <c r="CQ73" s="1"/>
  <c r="CA73" a="1"/>
  <c r="CA73" s="1"/>
  <c r="BK73" a="1"/>
  <c r="BK73" s="1"/>
  <c r="AU73" a="1"/>
  <c r="AU73" s="1"/>
  <c r="AE73" a="1"/>
  <c r="AE73" s="1"/>
  <c r="O73" a="1"/>
  <c r="O73" s="1"/>
  <c r="FC72" a="1"/>
  <c r="FC72" s="1"/>
  <c r="EM72" a="1"/>
  <c r="EM72" s="1"/>
  <c r="DW72" a="1"/>
  <c r="DW72" s="1"/>
  <c r="DG72" a="1"/>
  <c r="DG72" s="1"/>
  <c r="CQ72" a="1"/>
  <c r="CQ72" s="1"/>
  <c r="CA72" a="1"/>
  <c r="CA72" s="1"/>
  <c r="BK72" a="1"/>
  <c r="BK72" s="1"/>
  <c r="AU72" a="1"/>
  <c r="AU72" s="1"/>
  <c r="AE72" a="1"/>
  <c r="AE72" s="1"/>
  <c r="O72" a="1"/>
  <c r="O72" s="1"/>
  <c r="FF72"/>
  <c r="FG72"/>
  <c r="EP72"/>
  <c r="EQ72"/>
  <c r="DZ72"/>
  <c r="EA72"/>
  <c r="DJ72"/>
  <c r="DK72"/>
  <c r="CT72"/>
  <c r="CU72"/>
  <c r="CD72"/>
  <c r="CE72"/>
  <c r="AX72"/>
  <c r="AY72"/>
  <c r="AH72"/>
  <c r="AI72"/>
  <c r="R72"/>
  <c r="S72"/>
  <c r="FF73"/>
  <c r="FG73"/>
  <c r="EP73"/>
  <c r="EQ73"/>
  <c r="DZ73"/>
  <c r="EA73"/>
  <c r="DJ73"/>
  <c r="DK73"/>
  <c r="CT73"/>
  <c r="CU73"/>
  <c r="CD73"/>
  <c r="CE73"/>
  <c r="AX73"/>
  <c r="AY73"/>
  <c r="AH73"/>
  <c r="AI73"/>
  <c r="R73"/>
  <c r="S73"/>
  <c r="H372" l="1"/>
  <c r="I372"/>
  <c r="M372" a="1"/>
  <c r="M372" s="1"/>
  <c r="N372" a="1"/>
  <c r="N372" s="1"/>
  <c r="P372"/>
  <c r="Q372"/>
  <c r="L372"/>
  <c r="AD372" a="1"/>
  <c r="AD372" s="1"/>
  <c r="AF372"/>
  <c r="AG372"/>
  <c r="AS372" a="1"/>
  <c r="AS372" s="1"/>
  <c r="AT372" a="1"/>
  <c r="AT372" s="1"/>
  <c r="AV372"/>
  <c r="AW372"/>
  <c r="BI372" a="1"/>
  <c r="BI372" s="1"/>
  <c r="BJ372" a="1"/>
  <c r="BJ372" s="1"/>
  <c r="BL372"/>
  <c r="BM372"/>
  <c r="BY372" a="1"/>
  <c r="BY372" s="1"/>
  <c r="BZ372" a="1"/>
  <c r="BZ372" s="1"/>
  <c r="CB372"/>
  <c r="CC372"/>
  <c r="CO372" a="1"/>
  <c r="CO372" s="1"/>
  <c r="CP372" a="1"/>
  <c r="CP372" s="1"/>
  <c r="CR372"/>
  <c r="CS372"/>
  <c r="DE372" a="1"/>
  <c r="DE372" s="1"/>
  <c r="DF372" a="1"/>
  <c r="DF372" s="1"/>
  <c r="DH372"/>
  <c r="DI372"/>
  <c r="DU372" a="1"/>
  <c r="DU372" s="1"/>
  <c r="DV372" a="1"/>
  <c r="DV372" s="1"/>
  <c r="DX372"/>
  <c r="DY372"/>
  <c r="EK372" a="1"/>
  <c r="EK372" s="1"/>
  <c r="EL372" a="1"/>
  <c r="EL372" s="1"/>
  <c r="EN372"/>
  <c r="EO372"/>
  <c r="FA372" a="1"/>
  <c r="FA372" s="1"/>
  <c r="FB372" a="1"/>
  <c r="FB372" s="1"/>
  <c r="FD372"/>
  <c r="FE372"/>
  <c r="H354"/>
  <c r="I354"/>
  <c r="M354" a="1"/>
  <c r="M354" s="1"/>
  <c r="N354" a="1"/>
  <c r="N354" s="1"/>
  <c r="P354"/>
  <c r="Q354"/>
  <c r="L354"/>
  <c r="AD354" a="1"/>
  <c r="AD354" s="1"/>
  <c r="AF354"/>
  <c r="AG354"/>
  <c r="AS354" a="1"/>
  <c r="AS354" s="1"/>
  <c r="AT354" a="1"/>
  <c r="AT354" s="1"/>
  <c r="AV354"/>
  <c r="AW354"/>
  <c r="BI354" a="1"/>
  <c r="BI354" s="1"/>
  <c r="BJ354" a="1"/>
  <c r="BJ354" s="1"/>
  <c r="BL354"/>
  <c r="BM354"/>
  <c r="BY354" a="1"/>
  <c r="BY354" s="1"/>
  <c r="BZ354" a="1"/>
  <c r="BZ354" s="1"/>
  <c r="CB354"/>
  <c r="CC354"/>
  <c r="CO354" a="1"/>
  <c r="CO354" s="1"/>
  <c r="CP354" a="1"/>
  <c r="CP354" s="1"/>
  <c r="CR354"/>
  <c r="CS354"/>
  <c r="DE354" a="1"/>
  <c r="DE354" s="1"/>
  <c r="DF354" a="1"/>
  <c r="DF354" s="1"/>
  <c r="DH354"/>
  <c r="DI354"/>
  <c r="DU354" a="1"/>
  <c r="DU354" s="1"/>
  <c r="DV354" a="1"/>
  <c r="DV354" s="1"/>
  <c r="DX354"/>
  <c r="DY354"/>
  <c r="EK354" a="1"/>
  <c r="EK354" s="1"/>
  <c r="EL354" a="1"/>
  <c r="EL354" s="1"/>
  <c r="EN354"/>
  <c r="EO354"/>
  <c r="FA354" a="1"/>
  <c r="FA354" s="1"/>
  <c r="FB354" a="1"/>
  <c r="FB354" s="1"/>
  <c r="FD354"/>
  <c r="FE354"/>
  <c r="H352"/>
  <c r="I352"/>
  <c r="M352" a="1"/>
  <c r="M352" s="1"/>
  <c r="N352" a="1"/>
  <c r="N352" s="1"/>
  <c r="P352"/>
  <c r="Q352"/>
  <c r="L352"/>
  <c r="AD352" a="1"/>
  <c r="AD352" s="1"/>
  <c r="AF352"/>
  <c r="AG352"/>
  <c r="AS352" a="1"/>
  <c r="AS352" s="1"/>
  <c r="AT352" a="1"/>
  <c r="AT352" s="1"/>
  <c r="AV352"/>
  <c r="AW352"/>
  <c r="BI352" a="1"/>
  <c r="BI352" s="1"/>
  <c r="BJ352" a="1"/>
  <c r="BJ352" s="1"/>
  <c r="BL352"/>
  <c r="BM352"/>
  <c r="BY352" a="1"/>
  <c r="BY352" s="1"/>
  <c r="BZ352" a="1"/>
  <c r="BZ352" s="1"/>
  <c r="CB352"/>
  <c r="CC352"/>
  <c r="CO352" a="1"/>
  <c r="CO352" s="1"/>
  <c r="CP352" a="1"/>
  <c r="CP352" s="1"/>
  <c r="CR352"/>
  <c r="CS352"/>
  <c r="DE352" a="1"/>
  <c r="DE352" s="1"/>
  <c r="DF352" a="1"/>
  <c r="DF352" s="1"/>
  <c r="DH352"/>
  <c r="DI352"/>
  <c r="DU352" a="1"/>
  <c r="DU352" s="1"/>
  <c r="DV352" a="1"/>
  <c r="DV352" s="1"/>
  <c r="DX352"/>
  <c r="DY352"/>
  <c r="EK352" a="1"/>
  <c r="EK352" s="1"/>
  <c r="EL352" a="1"/>
  <c r="EL352" s="1"/>
  <c r="EN352"/>
  <c r="EO352"/>
  <c r="FA352" a="1"/>
  <c r="FA352" s="1"/>
  <c r="FB352" a="1"/>
  <c r="FB352" s="1"/>
  <c r="FD352"/>
  <c r="FE352"/>
  <c r="N273" a="1"/>
  <c r="N273" s="1"/>
  <c r="P273"/>
  <c r="Q273"/>
  <c r="L273"/>
  <c r="AD273" a="1"/>
  <c r="AD273" s="1"/>
  <c r="AF273"/>
  <c r="AG273"/>
  <c r="AS273" a="1"/>
  <c r="AS273" s="1"/>
  <c r="AT273" a="1"/>
  <c r="AT273" s="1"/>
  <c r="AV273"/>
  <c r="AW273"/>
  <c r="BI273" a="1"/>
  <c r="BI273" s="1"/>
  <c r="BJ273" a="1"/>
  <c r="BJ273" s="1"/>
  <c r="BL273"/>
  <c r="BM273"/>
  <c r="BY273" a="1"/>
  <c r="BY273" s="1"/>
  <c r="BZ273" a="1"/>
  <c r="BZ273" s="1"/>
  <c r="CB273"/>
  <c r="CC273"/>
  <c r="CO273" a="1"/>
  <c r="CO273" s="1"/>
  <c r="CP273" a="1"/>
  <c r="CP273" s="1"/>
  <c r="CR273"/>
  <c r="CS273"/>
  <c r="DE273" a="1"/>
  <c r="DE273" s="1"/>
  <c r="DF273" a="1"/>
  <c r="DF273" s="1"/>
  <c r="DH273"/>
  <c r="DI273"/>
  <c r="DU273" a="1"/>
  <c r="DU273" s="1"/>
  <c r="DV273" a="1"/>
  <c r="DV273" s="1"/>
  <c r="DX273"/>
  <c r="DY273"/>
  <c r="EK273" a="1"/>
  <c r="EK273" s="1"/>
  <c r="EL273" a="1"/>
  <c r="EL273" s="1"/>
  <c r="EN273"/>
  <c r="EO273"/>
  <c r="FA273" a="1"/>
  <c r="FA273" s="1"/>
  <c r="FB273" a="1"/>
  <c r="FB273" s="1"/>
  <c r="FD273"/>
  <c r="FE273"/>
  <c r="N386" a="1"/>
  <c r="N386" s="1"/>
  <c r="P386"/>
  <c r="Q386"/>
  <c r="AC386" a="1"/>
  <c r="AC386" s="1"/>
  <c r="L386" s="1"/>
  <c r="AD386" a="1"/>
  <c r="AD386" s="1"/>
  <c r="AF386"/>
  <c r="AG386"/>
  <c r="AS386" a="1"/>
  <c r="AS386" s="1"/>
  <c r="AT386" a="1"/>
  <c r="AT386" s="1"/>
  <c r="AV386"/>
  <c r="AW386"/>
  <c r="BI386" a="1"/>
  <c r="BI386" s="1"/>
  <c r="BJ386" a="1"/>
  <c r="BJ386" s="1"/>
  <c r="BL386"/>
  <c r="BM386"/>
  <c r="BY386" a="1"/>
  <c r="BY386" s="1"/>
  <c r="BZ386" a="1"/>
  <c r="BZ386" s="1"/>
  <c r="CB386"/>
  <c r="CC386"/>
  <c r="CO386" a="1"/>
  <c r="CO386" s="1"/>
  <c r="CP386" a="1"/>
  <c r="CP386" s="1"/>
  <c r="CR386"/>
  <c r="CS386"/>
  <c r="DE386" a="1"/>
  <c r="DE386" s="1"/>
  <c r="DF386" a="1"/>
  <c r="DF386" s="1"/>
  <c r="DH386"/>
  <c r="DI386"/>
  <c r="DU386" a="1"/>
  <c r="DU386" s="1"/>
  <c r="DV386" a="1"/>
  <c r="DV386" s="1"/>
  <c r="DX386"/>
  <c r="DY386"/>
  <c r="EK386" a="1"/>
  <c r="EK386" s="1"/>
  <c r="EL386" a="1"/>
  <c r="EL386" s="1"/>
  <c r="EN386"/>
  <c r="EO386"/>
  <c r="FA386" a="1"/>
  <c r="FA386" s="1"/>
  <c r="FB386" a="1"/>
  <c r="FB386" s="1"/>
  <c r="FD386"/>
  <c r="FE386"/>
  <c r="N124" a="1"/>
  <c r="N124" s="1"/>
  <c r="P124"/>
  <c r="Q124"/>
  <c r="AC124" a="1"/>
  <c r="AC124" s="1"/>
  <c r="L124" s="1"/>
  <c r="AD124" a="1"/>
  <c r="AD124" s="1"/>
  <c r="AF124"/>
  <c r="AG124"/>
  <c r="AS124" a="1"/>
  <c r="AS124" s="1"/>
  <c r="AT124" a="1"/>
  <c r="AT124" s="1"/>
  <c r="AV124"/>
  <c r="AW124"/>
  <c r="BI124" a="1"/>
  <c r="BI124" s="1"/>
  <c r="BJ124" a="1"/>
  <c r="BJ124" s="1"/>
  <c r="BL124"/>
  <c r="BM124"/>
  <c r="BY124" a="1"/>
  <c r="BY124" s="1"/>
  <c r="BZ124" a="1"/>
  <c r="BZ124" s="1"/>
  <c r="CB124"/>
  <c r="CC124"/>
  <c r="CO124" a="1"/>
  <c r="CO124" s="1"/>
  <c r="CP124" a="1"/>
  <c r="CP124" s="1"/>
  <c r="CR124"/>
  <c r="CS124"/>
  <c r="DE124" a="1"/>
  <c r="DE124" s="1"/>
  <c r="DF124" a="1"/>
  <c r="DF124" s="1"/>
  <c r="DH124"/>
  <c r="DI124"/>
  <c r="DU124" a="1"/>
  <c r="DU124" s="1"/>
  <c r="DV124" a="1"/>
  <c r="DV124" s="1"/>
  <c r="DX124"/>
  <c r="DY124"/>
  <c r="EK124" a="1"/>
  <c r="EK124" s="1"/>
  <c r="EL124" a="1"/>
  <c r="EL124" s="1"/>
  <c r="EN124"/>
  <c r="EO124"/>
  <c r="FA124" a="1"/>
  <c r="FA124" s="1"/>
  <c r="FB124" a="1"/>
  <c r="FB124" s="1"/>
  <c r="FD124"/>
  <c r="FE124"/>
  <c r="AE372" l="1" a="1"/>
  <c r="AE372" s="1"/>
  <c r="O372" a="1"/>
  <c r="O372" s="1"/>
  <c r="FC372" a="1"/>
  <c r="FC372" s="1"/>
  <c r="EM372" a="1"/>
  <c r="EM372" s="1"/>
  <c r="DG372" a="1"/>
  <c r="DG372" s="1"/>
  <c r="CQ372" a="1"/>
  <c r="CQ372" s="1"/>
  <c r="CA372" a="1"/>
  <c r="CA372" s="1"/>
  <c r="BK372" a="1"/>
  <c r="BK372" s="1"/>
  <c r="AU372" a="1"/>
  <c r="AU372" s="1"/>
  <c r="CA354" a="1"/>
  <c r="CA354" s="1"/>
  <c r="BK354" a="1"/>
  <c r="BK354" s="1"/>
  <c r="AU354" a="1"/>
  <c r="AU354" s="1"/>
  <c r="AE354" a="1"/>
  <c r="AE354" s="1"/>
  <c r="O354" a="1"/>
  <c r="O354" s="1"/>
  <c r="DW372" a="1"/>
  <c r="DW372" s="1"/>
  <c r="EQ372"/>
  <c r="EP372"/>
  <c r="EA372"/>
  <c r="DZ372"/>
  <c r="CT372"/>
  <c r="CU372"/>
  <c r="FF372"/>
  <c r="FG372"/>
  <c r="DK372"/>
  <c r="DJ372"/>
  <c r="CD372"/>
  <c r="CE372"/>
  <c r="AX372"/>
  <c r="AY372"/>
  <c r="AH372"/>
  <c r="AI372"/>
  <c r="R372"/>
  <c r="S372"/>
  <c r="FC352" a="1"/>
  <c r="FC352" s="1"/>
  <c r="DW352" a="1"/>
  <c r="DW352" s="1"/>
  <c r="CQ352" a="1"/>
  <c r="CQ352" s="1"/>
  <c r="BK352" a="1"/>
  <c r="BK352" s="1"/>
  <c r="FC354" a="1"/>
  <c r="FC354" s="1"/>
  <c r="EM354" a="1"/>
  <c r="EM354" s="1"/>
  <c r="DW354" a="1"/>
  <c r="DW354" s="1"/>
  <c r="DG354" a="1"/>
  <c r="DG354" s="1"/>
  <c r="CQ354" a="1"/>
  <c r="CQ354" s="1"/>
  <c r="CA352" a="1"/>
  <c r="CA352" s="1"/>
  <c r="EM352" a="1"/>
  <c r="EM352" s="1"/>
  <c r="DG352" a="1"/>
  <c r="DG352" s="1"/>
  <c r="AU352" a="1"/>
  <c r="AU352" s="1"/>
  <c r="AE352" a="1"/>
  <c r="AE352" s="1"/>
  <c r="O352" a="1"/>
  <c r="O352" s="1"/>
  <c r="EP354"/>
  <c r="EQ354"/>
  <c r="DJ354"/>
  <c r="DK354"/>
  <c r="FG354"/>
  <c r="FF354"/>
  <c r="EA354"/>
  <c r="DZ354"/>
  <c r="CU354"/>
  <c r="CT354"/>
  <c r="CD354"/>
  <c r="CE354"/>
  <c r="AX354"/>
  <c r="AY354"/>
  <c r="AH354"/>
  <c r="AI354"/>
  <c r="R354"/>
  <c r="S354"/>
  <c r="EP352"/>
  <c r="EQ352"/>
  <c r="DJ352"/>
  <c r="DK352"/>
  <c r="CD352"/>
  <c r="CE352"/>
  <c r="FG352"/>
  <c r="FF352"/>
  <c r="EA352"/>
  <c r="DZ352"/>
  <c r="CU352"/>
  <c r="CT352"/>
  <c r="AX352"/>
  <c r="AY352"/>
  <c r="AH352"/>
  <c r="AI352"/>
  <c r="R352"/>
  <c r="S352"/>
  <c r="FC273" a="1"/>
  <c r="FC273" s="1"/>
  <c r="EM273" a="1"/>
  <c r="EM273" s="1"/>
  <c r="DW273" a="1"/>
  <c r="DW273" s="1"/>
  <c r="DG273" a="1"/>
  <c r="DG273" s="1"/>
  <c r="CQ273" a="1"/>
  <c r="CQ273" s="1"/>
  <c r="CA273" a="1"/>
  <c r="CA273" s="1"/>
  <c r="BK273" a="1"/>
  <c r="BK273" s="1"/>
  <c r="AU273" a="1"/>
  <c r="AU273" s="1"/>
  <c r="AE273" a="1"/>
  <c r="AE273" s="1"/>
  <c r="O273" a="1"/>
  <c r="O273" s="1"/>
  <c r="FF273"/>
  <c r="FG273"/>
  <c r="EP273"/>
  <c r="EQ273"/>
  <c r="DZ273"/>
  <c r="EA273"/>
  <c r="DJ273"/>
  <c r="DK273"/>
  <c r="CT273"/>
  <c r="CU273"/>
  <c r="CD273"/>
  <c r="CE273"/>
  <c r="AX273"/>
  <c r="AY273"/>
  <c r="AH273"/>
  <c r="AI273"/>
  <c r="R273"/>
  <c r="S273"/>
  <c r="FC386" a="1"/>
  <c r="FC386" s="1"/>
  <c r="EM386" a="1"/>
  <c r="EM386" s="1"/>
  <c r="DW386" a="1"/>
  <c r="DW386" s="1"/>
  <c r="DG386" a="1"/>
  <c r="DG386" s="1"/>
  <c r="CA386" a="1"/>
  <c r="CA386" s="1"/>
  <c r="BK386" a="1"/>
  <c r="BK386" s="1"/>
  <c r="AU386" a="1"/>
  <c r="AU386" s="1"/>
  <c r="AE386" a="1"/>
  <c r="AE386" s="1"/>
  <c r="O386" a="1"/>
  <c r="O386" s="1"/>
  <c r="CQ386" a="1"/>
  <c r="CQ386" s="1"/>
  <c r="FG386"/>
  <c r="FF386"/>
  <c r="DZ386"/>
  <c r="EA386"/>
  <c r="CE386"/>
  <c r="CD386"/>
  <c r="EQ386"/>
  <c r="EP386"/>
  <c r="DJ386"/>
  <c r="DK386"/>
  <c r="CT386"/>
  <c r="CU386"/>
  <c r="AX386"/>
  <c r="AY386"/>
  <c r="AH386"/>
  <c r="AI386"/>
  <c r="R386"/>
  <c r="S386"/>
  <c r="FC124" a="1"/>
  <c r="FC124" s="1"/>
  <c r="EM124" a="1"/>
  <c r="EM124" s="1"/>
  <c r="DW124" a="1"/>
  <c r="DW124" s="1"/>
  <c r="DG124" a="1"/>
  <c r="DG124" s="1"/>
  <c r="CQ124" a="1"/>
  <c r="CQ124" s="1"/>
  <c r="CA124" a="1"/>
  <c r="CA124" s="1"/>
  <c r="BK124" a="1"/>
  <c r="BK124" s="1"/>
  <c r="AU124" a="1"/>
  <c r="AU124" s="1"/>
  <c r="AE124" a="1"/>
  <c r="AE124" s="1"/>
  <c r="O124" a="1"/>
  <c r="O124" s="1"/>
  <c r="FF124"/>
  <c r="FG124"/>
  <c r="EP124"/>
  <c r="EQ124"/>
  <c r="DZ124"/>
  <c r="EA124"/>
  <c r="DJ124"/>
  <c r="DK124"/>
  <c r="CT124"/>
  <c r="CU124"/>
  <c r="CD124"/>
  <c r="CE124"/>
  <c r="AX124"/>
  <c r="AY124"/>
  <c r="AH124"/>
  <c r="AI124"/>
  <c r="R124"/>
  <c r="S124"/>
  <c r="M75" l="1" a="1"/>
  <c r="M75" s="1"/>
  <c r="N75" a="1"/>
  <c r="N75" s="1"/>
  <c r="P75"/>
  <c r="Q75"/>
  <c r="L75"/>
  <c r="AD75" a="1"/>
  <c r="AD75" s="1"/>
  <c r="AF75"/>
  <c r="AG75"/>
  <c r="AS75" a="1"/>
  <c r="AS75" s="1"/>
  <c r="AT75" a="1"/>
  <c r="AT75" s="1"/>
  <c r="AV75"/>
  <c r="AW75"/>
  <c r="BI75" a="1"/>
  <c r="BI75" s="1"/>
  <c r="BJ75" a="1"/>
  <c r="BJ75" s="1"/>
  <c r="BL75"/>
  <c r="BM75"/>
  <c r="BY75" a="1"/>
  <c r="BY75" s="1"/>
  <c r="BZ75" a="1"/>
  <c r="BZ75" s="1"/>
  <c r="CB75"/>
  <c r="CC75"/>
  <c r="CO75" a="1"/>
  <c r="CO75" s="1"/>
  <c r="CP75" a="1"/>
  <c r="CP75" s="1"/>
  <c r="CR75"/>
  <c r="CS75"/>
  <c r="DE75" a="1"/>
  <c r="DE75" s="1"/>
  <c r="DF75" a="1"/>
  <c r="DF75" s="1"/>
  <c r="DH75"/>
  <c r="DI75"/>
  <c r="DU75" a="1"/>
  <c r="DU75" s="1"/>
  <c r="DV75" a="1"/>
  <c r="DV75" s="1"/>
  <c r="DX75"/>
  <c r="DY75"/>
  <c r="EK75" a="1"/>
  <c r="EK75" s="1"/>
  <c r="EL75" a="1"/>
  <c r="EL75" s="1"/>
  <c r="EN75"/>
  <c r="EO75"/>
  <c r="FA75" a="1"/>
  <c r="FA75" s="1"/>
  <c r="FB75" a="1"/>
  <c r="FB75" s="1"/>
  <c r="FD75"/>
  <c r="FE75"/>
  <c r="M351" a="1"/>
  <c r="M351" s="1"/>
  <c r="N351" a="1"/>
  <c r="N351" s="1"/>
  <c r="P351"/>
  <c r="Q351"/>
  <c r="L351"/>
  <c r="AD351" a="1"/>
  <c r="AD351" s="1"/>
  <c r="AF351"/>
  <c r="AG351"/>
  <c r="AS351" a="1"/>
  <c r="AS351" s="1"/>
  <c r="AT351" a="1"/>
  <c r="AT351" s="1"/>
  <c r="AV351"/>
  <c r="AW351"/>
  <c r="BI351" a="1"/>
  <c r="BI351" s="1"/>
  <c r="BJ351" a="1"/>
  <c r="BJ351" s="1"/>
  <c r="BL351"/>
  <c r="BM351"/>
  <c r="BY351" a="1"/>
  <c r="BY351" s="1"/>
  <c r="BZ351" a="1"/>
  <c r="BZ351" s="1"/>
  <c r="CB351"/>
  <c r="CC351"/>
  <c r="CO351" a="1"/>
  <c r="CO351" s="1"/>
  <c r="CP351" a="1"/>
  <c r="CP351" s="1"/>
  <c r="CR351"/>
  <c r="CS351"/>
  <c r="DE351" a="1"/>
  <c r="DE351" s="1"/>
  <c r="DF351" a="1"/>
  <c r="DF351" s="1"/>
  <c r="DH351"/>
  <c r="DI351"/>
  <c r="DU351" a="1"/>
  <c r="DU351" s="1"/>
  <c r="DV351" a="1"/>
  <c r="DV351" s="1"/>
  <c r="DX351"/>
  <c r="DY351"/>
  <c r="EK351" a="1"/>
  <c r="EK351" s="1"/>
  <c r="EL351" a="1"/>
  <c r="EL351" s="1"/>
  <c r="EN351"/>
  <c r="EO351"/>
  <c r="FA351" a="1"/>
  <c r="FA351" s="1"/>
  <c r="FB351" a="1"/>
  <c r="FB351" s="1"/>
  <c r="FD351"/>
  <c r="FE351"/>
  <c r="FC75" l="1" a="1"/>
  <c r="FC75" s="1"/>
  <c r="EM75" a="1"/>
  <c r="EM75" s="1"/>
  <c r="DW75" a="1"/>
  <c r="DW75" s="1"/>
  <c r="DG75" a="1"/>
  <c r="DG75" s="1"/>
  <c r="CQ75" a="1"/>
  <c r="CQ75" s="1"/>
  <c r="CA75" a="1"/>
  <c r="CA75" s="1"/>
  <c r="BK75" a="1"/>
  <c r="BK75" s="1"/>
  <c r="AU75" a="1"/>
  <c r="AU75" s="1"/>
  <c r="AE75" a="1"/>
  <c r="AE75" s="1"/>
  <c r="O75" a="1"/>
  <c r="O75" s="1"/>
  <c r="FC351" a="1"/>
  <c r="FC351" s="1"/>
  <c r="EM351" a="1"/>
  <c r="EM351" s="1"/>
  <c r="DW351" a="1"/>
  <c r="DW351" s="1"/>
  <c r="DG351" a="1"/>
  <c r="DG351" s="1"/>
  <c r="CQ351" a="1"/>
  <c r="CQ351" s="1"/>
  <c r="CA351" a="1"/>
  <c r="CA351" s="1"/>
  <c r="BK351" a="1"/>
  <c r="BK351" s="1"/>
  <c r="AU351" a="1"/>
  <c r="AU351" s="1"/>
  <c r="AE351" a="1"/>
  <c r="AE351" s="1"/>
  <c r="O351" a="1"/>
  <c r="O351" s="1"/>
  <c r="FF75"/>
  <c r="FG75"/>
  <c r="EP75"/>
  <c r="EQ75"/>
  <c r="DZ75"/>
  <c r="EA75"/>
  <c r="DJ75"/>
  <c r="DK75"/>
  <c r="CT75"/>
  <c r="CU75"/>
  <c r="CD75"/>
  <c r="CE75"/>
  <c r="AX75"/>
  <c r="AY75"/>
  <c r="AH75"/>
  <c r="AI75"/>
  <c r="R75"/>
  <c r="S75"/>
  <c r="FF351"/>
  <c r="FG351"/>
  <c r="EP351"/>
  <c r="EQ351"/>
  <c r="DZ351"/>
  <c r="EA351"/>
  <c r="DJ351"/>
  <c r="DK351"/>
  <c r="CT351"/>
  <c r="CU351"/>
  <c r="CD351"/>
  <c r="CE351"/>
  <c r="AX351"/>
  <c r="AY351"/>
  <c r="AH351"/>
  <c r="AI351"/>
  <c r="R351"/>
  <c r="S351"/>
  <c r="H83" l="1"/>
  <c r="I83"/>
  <c r="N83" a="1"/>
  <c r="N83" s="1"/>
  <c r="P83"/>
  <c r="Q83"/>
  <c r="L83"/>
  <c r="AD83" a="1"/>
  <c r="AD83" s="1"/>
  <c r="AF83"/>
  <c r="AG83"/>
  <c r="AS83" a="1"/>
  <c r="AS83" s="1"/>
  <c r="AT83" a="1"/>
  <c r="AT83" s="1"/>
  <c r="AV83"/>
  <c r="AW83"/>
  <c r="BI83" a="1"/>
  <c r="BI83" s="1"/>
  <c r="BJ83" a="1"/>
  <c r="BJ83" s="1"/>
  <c r="BL83"/>
  <c r="BM83"/>
  <c r="BY83" a="1"/>
  <c r="BY83" s="1"/>
  <c r="BZ83" a="1"/>
  <c r="BZ83" s="1"/>
  <c r="CB83"/>
  <c r="CC83"/>
  <c r="CO83" a="1"/>
  <c r="CO83" s="1"/>
  <c r="CP83" a="1"/>
  <c r="CP83" s="1"/>
  <c r="CR83"/>
  <c r="CS83"/>
  <c r="DE83" a="1"/>
  <c r="DE83" s="1"/>
  <c r="DF83" a="1"/>
  <c r="DF83" s="1"/>
  <c r="DH83"/>
  <c r="DI83"/>
  <c r="DU83" a="1"/>
  <c r="DU83" s="1"/>
  <c r="DV83" a="1"/>
  <c r="DV83" s="1"/>
  <c r="DX83"/>
  <c r="DY83"/>
  <c r="EK83" a="1"/>
  <c r="EK83" s="1"/>
  <c r="EL83" a="1"/>
  <c r="EL83" s="1"/>
  <c r="EN83"/>
  <c r="EO83"/>
  <c r="FA83" a="1"/>
  <c r="FA83" s="1"/>
  <c r="FB83" a="1"/>
  <c r="FB83" s="1"/>
  <c r="FD83"/>
  <c r="FE83"/>
  <c r="H336"/>
  <c r="I336"/>
  <c r="N336" a="1"/>
  <c r="N336" s="1"/>
  <c r="P336"/>
  <c r="Q336"/>
  <c r="L336"/>
  <c r="AD336" a="1"/>
  <c r="AD336" s="1"/>
  <c r="AF336"/>
  <c r="AG336"/>
  <c r="AS336" a="1"/>
  <c r="AS336" s="1"/>
  <c r="AT336" a="1"/>
  <c r="AT336" s="1"/>
  <c r="AV336"/>
  <c r="AW336"/>
  <c r="BI336" a="1"/>
  <c r="BI336" s="1"/>
  <c r="BJ336" a="1"/>
  <c r="BJ336" s="1"/>
  <c r="BL336"/>
  <c r="BM336"/>
  <c r="BY336" a="1"/>
  <c r="BY336" s="1"/>
  <c r="BZ336" a="1"/>
  <c r="BZ336" s="1"/>
  <c r="CB336"/>
  <c r="CC336"/>
  <c r="CO336" a="1"/>
  <c r="CO336" s="1"/>
  <c r="CP336" a="1"/>
  <c r="CP336" s="1"/>
  <c r="CR336"/>
  <c r="CS336"/>
  <c r="DE336" a="1"/>
  <c r="DE336" s="1"/>
  <c r="DF336" a="1"/>
  <c r="DF336" s="1"/>
  <c r="DH336"/>
  <c r="DI336"/>
  <c r="DU336" a="1"/>
  <c r="DU336" s="1"/>
  <c r="DV336" a="1"/>
  <c r="DV336" s="1"/>
  <c r="DX336"/>
  <c r="DY336"/>
  <c r="EK336" a="1"/>
  <c r="EK336" s="1"/>
  <c r="EL336" a="1"/>
  <c r="EL336" s="1"/>
  <c r="EN336"/>
  <c r="EO336"/>
  <c r="FA336" a="1"/>
  <c r="FA336" s="1"/>
  <c r="FB336" a="1"/>
  <c r="FB336" s="1"/>
  <c r="FD336"/>
  <c r="FE336"/>
  <c r="I32"/>
  <c r="N32" a="1"/>
  <c r="N32" s="1"/>
  <c r="P32"/>
  <c r="Q32"/>
  <c r="L32"/>
  <c r="AD32" a="1"/>
  <c r="AD32" s="1"/>
  <c r="AF32"/>
  <c r="AG32"/>
  <c r="AS32" a="1"/>
  <c r="AS32" s="1"/>
  <c r="AT32" a="1"/>
  <c r="AT32" s="1"/>
  <c r="AV32"/>
  <c r="AW32"/>
  <c r="BI32" a="1"/>
  <c r="BI32" s="1"/>
  <c r="BJ32" a="1"/>
  <c r="BJ32" s="1"/>
  <c r="BL32"/>
  <c r="BM32"/>
  <c r="BY32" a="1"/>
  <c r="BY32" s="1"/>
  <c r="BZ32" a="1"/>
  <c r="BZ32" s="1"/>
  <c r="CB32"/>
  <c r="CC32"/>
  <c r="CO32" a="1"/>
  <c r="CO32" s="1"/>
  <c r="CP32" a="1"/>
  <c r="CP32" s="1"/>
  <c r="CR32"/>
  <c r="CS32"/>
  <c r="DE32" a="1"/>
  <c r="DE32" s="1"/>
  <c r="DF32" a="1"/>
  <c r="DF32" s="1"/>
  <c r="DH32"/>
  <c r="DI32"/>
  <c r="DU32" a="1"/>
  <c r="DU32" s="1"/>
  <c r="DV32" a="1"/>
  <c r="DV32" s="1"/>
  <c r="DX32"/>
  <c r="DY32"/>
  <c r="EK32" a="1"/>
  <c r="EK32" s="1"/>
  <c r="EL32" a="1"/>
  <c r="EL32" s="1"/>
  <c r="EN32"/>
  <c r="EO32"/>
  <c r="FA32" a="1"/>
  <c r="FA32" s="1"/>
  <c r="FB32" a="1"/>
  <c r="FB32" s="1"/>
  <c r="FD32"/>
  <c r="FE32"/>
  <c r="H18"/>
  <c r="I18"/>
  <c r="M18" a="1"/>
  <c r="M18" s="1"/>
  <c r="N18" a="1"/>
  <c r="N18" s="1"/>
  <c r="P18"/>
  <c r="Q18"/>
  <c r="AC18" a="1"/>
  <c r="AC18" s="1"/>
  <c r="L18" s="1"/>
  <c r="AD18" a="1"/>
  <c r="AD18" s="1"/>
  <c r="AF18"/>
  <c r="AG18"/>
  <c r="AS18" a="1"/>
  <c r="AS18" s="1"/>
  <c r="AT18" a="1"/>
  <c r="AT18" s="1"/>
  <c r="AV18"/>
  <c r="AW18"/>
  <c r="BI18" a="1"/>
  <c r="BI18" s="1"/>
  <c r="BJ18" a="1"/>
  <c r="BJ18" s="1"/>
  <c r="BL18"/>
  <c r="BM18"/>
  <c r="BY18" a="1"/>
  <c r="BY18" s="1"/>
  <c r="BZ18" a="1"/>
  <c r="BZ18" s="1"/>
  <c r="CB18"/>
  <c r="CC18"/>
  <c r="CO18" a="1"/>
  <c r="CO18" s="1"/>
  <c r="CP18" a="1"/>
  <c r="CP18" s="1"/>
  <c r="CR18"/>
  <c r="CS18"/>
  <c r="DE18" a="1"/>
  <c r="DE18" s="1"/>
  <c r="DF18" a="1"/>
  <c r="DF18" s="1"/>
  <c r="DH18"/>
  <c r="DI18"/>
  <c r="DU18" a="1"/>
  <c r="DU18" s="1"/>
  <c r="DV18" a="1"/>
  <c r="DV18" s="1"/>
  <c r="DX18"/>
  <c r="DY18"/>
  <c r="EK18" a="1"/>
  <c r="EK18" s="1"/>
  <c r="EL18" a="1"/>
  <c r="EL18" s="1"/>
  <c r="EN18"/>
  <c r="EO18"/>
  <c r="FA18" a="1"/>
  <c r="FA18" s="1"/>
  <c r="FB18" a="1"/>
  <c r="FB18" s="1"/>
  <c r="FD18"/>
  <c r="FE18"/>
  <c r="H387"/>
  <c r="I387"/>
  <c r="N387" a="1"/>
  <c r="N387" s="1"/>
  <c r="P387"/>
  <c r="Q387"/>
  <c r="AC387" a="1"/>
  <c r="AC387" s="1"/>
  <c r="L387" s="1"/>
  <c r="AD387" a="1"/>
  <c r="AD387" s="1"/>
  <c r="AF387"/>
  <c r="AG387"/>
  <c r="AS387" a="1"/>
  <c r="AS387" s="1"/>
  <c r="AT387" a="1"/>
  <c r="AT387" s="1"/>
  <c r="AV387"/>
  <c r="AW387"/>
  <c r="BI387" a="1"/>
  <c r="BI387" s="1"/>
  <c r="BJ387" a="1"/>
  <c r="BJ387" s="1"/>
  <c r="BL387"/>
  <c r="BM387"/>
  <c r="BY387" a="1"/>
  <c r="BY387" s="1"/>
  <c r="BZ387" a="1"/>
  <c r="BZ387" s="1"/>
  <c r="CB387"/>
  <c r="CC387"/>
  <c r="CO387" a="1"/>
  <c r="CO387" s="1"/>
  <c r="CP387" a="1"/>
  <c r="CP387" s="1"/>
  <c r="CR387"/>
  <c r="CS387"/>
  <c r="DE387" a="1"/>
  <c r="DE387" s="1"/>
  <c r="DF387" a="1"/>
  <c r="DF387" s="1"/>
  <c r="DH387"/>
  <c r="DI387"/>
  <c r="DU387" a="1"/>
  <c r="DU387" s="1"/>
  <c r="DV387" a="1"/>
  <c r="DV387" s="1"/>
  <c r="DX387"/>
  <c r="DY387"/>
  <c r="EK387" a="1"/>
  <c r="EK387" s="1"/>
  <c r="EL387" a="1"/>
  <c r="EL387" s="1"/>
  <c r="EN387"/>
  <c r="EO387"/>
  <c r="FA387" a="1"/>
  <c r="FA387" s="1"/>
  <c r="FB387" a="1"/>
  <c r="FB387" s="1"/>
  <c r="FD387"/>
  <c r="FE387"/>
  <c r="FC83" l="1" a="1"/>
  <c r="FC83" s="1"/>
  <c r="EM83" a="1"/>
  <c r="EM83" s="1"/>
  <c r="DW83" a="1"/>
  <c r="DW83" s="1"/>
  <c r="DG83" a="1"/>
  <c r="DG83" s="1"/>
  <c r="CQ83" a="1"/>
  <c r="CQ83" s="1"/>
  <c r="CA83" a="1"/>
  <c r="CA83" s="1"/>
  <c r="BK83" a="1"/>
  <c r="BK83" s="1"/>
  <c r="AU83" a="1"/>
  <c r="AU83" s="1"/>
  <c r="AE83" a="1"/>
  <c r="AE83" s="1"/>
  <c r="O83" a="1"/>
  <c r="O83" s="1"/>
  <c r="EP83"/>
  <c r="EQ83"/>
  <c r="DK83"/>
  <c r="DJ83"/>
  <c r="CE83"/>
  <c r="CD83"/>
  <c r="FF83"/>
  <c r="FG83"/>
  <c r="EA83"/>
  <c r="DZ83"/>
  <c r="CT83"/>
  <c r="CU83"/>
  <c r="AH83"/>
  <c r="AI83"/>
  <c r="AY83"/>
  <c r="AX83"/>
  <c r="S83"/>
  <c r="R83"/>
  <c r="FC336" a="1"/>
  <c r="FC336" s="1"/>
  <c r="EM336" a="1"/>
  <c r="EM336" s="1"/>
  <c r="DW336" a="1"/>
  <c r="DW336" s="1"/>
  <c r="DG336" a="1"/>
  <c r="DG336" s="1"/>
  <c r="CQ336" a="1"/>
  <c r="CQ336" s="1"/>
  <c r="CA336" a="1"/>
  <c r="CA336" s="1"/>
  <c r="BK336" a="1"/>
  <c r="BK336" s="1"/>
  <c r="AU336" a="1"/>
  <c r="AU336" s="1"/>
  <c r="AE336" a="1"/>
  <c r="AE336" s="1"/>
  <c r="O336" a="1"/>
  <c r="O336" s="1"/>
  <c r="FF336"/>
  <c r="FG336"/>
  <c r="EP336"/>
  <c r="EQ336"/>
  <c r="DZ336"/>
  <c r="EA336"/>
  <c r="DJ336"/>
  <c r="DK336"/>
  <c r="CT336"/>
  <c r="CU336"/>
  <c r="CD336"/>
  <c r="CE336"/>
  <c r="AX336"/>
  <c r="AY336"/>
  <c r="AH336"/>
  <c r="AI336"/>
  <c r="R336"/>
  <c r="S336"/>
  <c r="DG32" a="1"/>
  <c r="DG32" s="1"/>
  <c r="CQ32" a="1"/>
  <c r="CQ32" s="1"/>
  <c r="CA32" a="1"/>
  <c r="CA32" s="1"/>
  <c r="BK32" a="1"/>
  <c r="BK32" s="1"/>
  <c r="AU32" a="1"/>
  <c r="AU32" s="1"/>
  <c r="AE32" a="1"/>
  <c r="AE32" s="1"/>
  <c r="O32" a="1"/>
  <c r="O32" s="1"/>
  <c r="FC32" a="1"/>
  <c r="FC32" s="1"/>
  <c r="EM32" a="1"/>
  <c r="EM32" s="1"/>
  <c r="DW32" a="1"/>
  <c r="DW32" s="1"/>
  <c r="AU18" a="1"/>
  <c r="AU18" s="1"/>
  <c r="AE18" a="1"/>
  <c r="AE18" s="1"/>
  <c r="O18" a="1"/>
  <c r="O18" s="1"/>
  <c r="EQ32"/>
  <c r="EP32"/>
  <c r="FF32"/>
  <c r="FG32"/>
  <c r="DZ32"/>
  <c r="EA32"/>
  <c r="DJ32"/>
  <c r="DK32"/>
  <c r="CT32"/>
  <c r="CU32"/>
  <c r="CD32"/>
  <c r="CE32"/>
  <c r="AX32"/>
  <c r="AY32"/>
  <c r="AH32"/>
  <c r="AI32"/>
  <c r="R32"/>
  <c r="S32"/>
  <c r="FC18" a="1"/>
  <c r="FC18" s="1"/>
  <c r="EM18" a="1"/>
  <c r="EM18" s="1"/>
  <c r="DW18" a="1"/>
  <c r="DW18" s="1"/>
  <c r="DG18" a="1"/>
  <c r="DG18" s="1"/>
  <c r="CQ18" a="1"/>
  <c r="CQ18" s="1"/>
  <c r="CA18" a="1"/>
  <c r="CA18" s="1"/>
  <c r="BK18" a="1"/>
  <c r="BK18" s="1"/>
  <c r="FC387" a="1"/>
  <c r="FC387" s="1"/>
  <c r="EM387" a="1"/>
  <c r="EM387" s="1"/>
  <c r="DW387" a="1"/>
  <c r="DW387" s="1"/>
  <c r="DG387" a="1"/>
  <c r="DG387" s="1"/>
  <c r="CQ387" a="1"/>
  <c r="CQ387" s="1"/>
  <c r="CA387" a="1"/>
  <c r="CA387" s="1"/>
  <c r="BK387" a="1"/>
  <c r="BK387" s="1"/>
  <c r="AU387" a="1"/>
  <c r="AU387" s="1"/>
  <c r="AE387" a="1"/>
  <c r="AE387" s="1"/>
  <c r="O387" a="1"/>
  <c r="O387" s="1"/>
  <c r="EQ18"/>
  <c r="EP18"/>
  <c r="DK18"/>
  <c r="DJ18"/>
  <c r="CE18"/>
  <c r="CD18"/>
  <c r="FF18"/>
  <c r="FG18"/>
  <c r="DZ18"/>
  <c r="EA18"/>
  <c r="CT18"/>
  <c r="CU18"/>
  <c r="AX18"/>
  <c r="AY18"/>
  <c r="AH18"/>
  <c r="AI18"/>
  <c r="R18"/>
  <c r="S18"/>
  <c r="FF387"/>
  <c r="FG387"/>
  <c r="EP387"/>
  <c r="EQ387"/>
  <c r="DZ387"/>
  <c r="EA387"/>
  <c r="DJ387"/>
  <c r="DK387"/>
  <c r="CT387"/>
  <c r="CU387"/>
  <c r="CD387"/>
  <c r="CE387"/>
  <c r="AX387"/>
  <c r="AY387"/>
  <c r="AH387"/>
  <c r="AI387"/>
  <c r="R387"/>
  <c r="S387"/>
  <c r="FA8" a="1"/>
  <c r="FA8" s="1"/>
  <c r="FB8" a="1"/>
  <c r="FB8" s="1"/>
  <c r="AC2" a="1"/>
  <c r="AC2" s="1"/>
  <c r="AD2" a="1"/>
  <c r="AD2" s="1"/>
  <c r="AT2" a="1"/>
  <c r="AT2" s="1"/>
  <c r="AT3" a="1"/>
  <c r="AT3" s="1"/>
  <c r="AT4" a="1"/>
  <c r="AT4" s="1"/>
  <c r="AT5" a="1"/>
  <c r="AT5" s="1"/>
  <c r="AT6" a="1"/>
  <c r="AT6" s="1"/>
  <c r="AT7" a="1"/>
  <c r="AT7" s="1"/>
  <c r="AT8" a="1"/>
  <c r="AT8" s="1"/>
  <c r="AT9" a="1"/>
  <c r="AT9" s="1"/>
  <c r="AT10" a="1"/>
  <c r="AT10" s="1"/>
  <c r="AT11" a="1"/>
  <c r="AT11" s="1"/>
  <c r="AT12" a="1"/>
  <c r="AT12" s="1"/>
  <c r="AT16" a="1"/>
  <c r="AT16" s="1"/>
  <c r="AT17" a="1"/>
  <c r="AT17" s="1"/>
  <c r="AT47" a="1"/>
  <c r="AT47" s="1"/>
  <c r="AT70" a="1"/>
  <c r="AT70" s="1"/>
  <c r="AT79" a="1"/>
  <c r="AT79" s="1"/>
  <c r="AT80" a="1"/>
  <c r="AT80" s="1"/>
  <c r="AT81" a="1"/>
  <c r="AT81" s="1"/>
  <c r="AT84" a="1"/>
  <c r="AT84" s="1"/>
  <c r="AT86" a="1"/>
  <c r="AT86" s="1"/>
  <c r="AT87" a="1"/>
  <c r="AT87" s="1"/>
  <c r="AT88" a="1"/>
  <c r="AT88" s="1"/>
  <c r="AT89" a="1"/>
  <c r="AT89" s="1"/>
  <c r="AT90" a="1"/>
  <c r="AT90" s="1"/>
  <c r="AT91" a="1"/>
  <c r="AT91" s="1"/>
  <c r="AT93" a="1"/>
  <c r="AT93" s="1"/>
  <c r="AT94" a="1"/>
  <c r="AT94" s="1"/>
  <c r="AT95" a="1"/>
  <c r="AT95" s="1"/>
  <c r="AT96" a="1"/>
  <c r="AT96" s="1"/>
  <c r="AT111" a="1"/>
  <c r="AT111" s="1"/>
  <c r="AT122" a="1"/>
  <c r="AT122" s="1"/>
  <c r="AT129" a="1"/>
  <c r="AT129" s="1"/>
  <c r="AT128" a="1"/>
  <c r="AT128" s="1"/>
  <c r="AT131" a="1"/>
  <c r="AT131" s="1"/>
  <c r="AT132" a="1"/>
  <c r="AT132" s="1"/>
  <c r="AT133" a="1"/>
  <c r="AT133" s="1"/>
  <c r="AT134" a="1"/>
  <c r="AT134" s="1"/>
  <c r="AT135" a="1"/>
  <c r="AT135" s="1"/>
  <c r="AT136" a="1"/>
  <c r="AT136" s="1"/>
  <c r="AT145" a="1"/>
  <c r="AT145" s="1"/>
  <c r="AT146" a="1"/>
  <c r="AT146" s="1"/>
  <c r="AT148" a="1"/>
  <c r="AT148" s="1"/>
  <c r="AT149" a="1"/>
  <c r="AT149" s="1"/>
  <c r="AT150" a="1"/>
  <c r="AT150" s="1"/>
  <c r="AT156" a="1"/>
  <c r="AT156" s="1"/>
  <c r="AT161" a="1"/>
  <c r="AT161" s="1"/>
  <c r="AT162" a="1"/>
  <c r="AT162" s="1"/>
  <c r="AT163" a="1"/>
  <c r="AT163" s="1"/>
  <c r="AT164" a="1"/>
  <c r="AT164" s="1"/>
  <c r="AT165" a="1"/>
  <c r="AT165" s="1"/>
  <c r="AT166" a="1"/>
  <c r="AT166" s="1"/>
  <c r="AT167" a="1"/>
  <c r="AT167" s="1"/>
  <c r="AT168" a="1"/>
  <c r="AT168" s="1"/>
  <c r="AT169" a="1"/>
  <c r="AT169" s="1"/>
  <c r="AT170" a="1"/>
  <c r="AT170" s="1"/>
  <c r="AT171" a="1"/>
  <c r="AT171" s="1"/>
  <c r="AT172" a="1"/>
  <c r="AT172" s="1"/>
  <c r="AT173" a="1"/>
  <c r="AT173" s="1"/>
  <c r="AT174" a="1"/>
  <c r="AT174" s="1"/>
  <c r="AT175" a="1"/>
  <c r="AT175" s="1"/>
  <c r="AT176" a="1"/>
  <c r="AT176" s="1"/>
  <c r="AT177" a="1"/>
  <c r="AT177" s="1"/>
  <c r="AT178" a="1"/>
  <c r="AT178" s="1"/>
  <c r="AT179" a="1"/>
  <c r="AT179" s="1"/>
  <c r="AT180" a="1"/>
  <c r="AT180" s="1"/>
  <c r="AT181" a="1"/>
  <c r="AT181" s="1"/>
  <c r="AT187" a="1"/>
  <c r="AT187" s="1"/>
  <c r="AT188" a="1"/>
  <c r="AT188" s="1"/>
  <c r="AT189" a="1"/>
  <c r="AT189" s="1"/>
  <c r="AT190" a="1"/>
  <c r="AT190" s="1"/>
  <c r="AT191" a="1"/>
  <c r="AT191" s="1"/>
  <c r="AT192" a="1"/>
  <c r="AT192" s="1"/>
  <c r="AT193" a="1"/>
  <c r="AT193" s="1"/>
  <c r="AT194" a="1"/>
  <c r="AT194" s="1"/>
  <c r="AT195" a="1"/>
  <c r="AT195" s="1"/>
  <c r="AT196" a="1"/>
  <c r="AT196" s="1"/>
  <c r="AT197" a="1"/>
  <c r="AT197" s="1"/>
  <c r="AT198" a="1"/>
  <c r="AT198" s="1"/>
  <c r="AT199" a="1"/>
  <c r="AT199" s="1"/>
  <c r="AT200" a="1"/>
  <c r="AT200" s="1"/>
  <c r="AT201" a="1"/>
  <c r="AT201" s="1"/>
  <c r="AT202" a="1"/>
  <c r="AT202" s="1"/>
  <c r="AT203" a="1"/>
  <c r="AT203" s="1"/>
  <c r="AT204" a="1"/>
  <c r="AT204" s="1"/>
  <c r="AT205" a="1"/>
  <c r="AT205" s="1"/>
  <c r="AT206" a="1"/>
  <c r="AT206" s="1"/>
  <c r="AT209" a="1"/>
  <c r="AT209" s="1"/>
  <c r="AT210" a="1"/>
  <c r="AT210" s="1"/>
  <c r="AT211" a="1"/>
  <c r="AT211" s="1"/>
  <c r="AT212" a="1"/>
  <c r="AT212" s="1"/>
  <c r="AT213" a="1"/>
  <c r="AT213" s="1"/>
  <c r="AT214" a="1"/>
  <c r="AT214" s="1"/>
  <c r="AT215" a="1"/>
  <c r="AT215" s="1"/>
  <c r="AT216" a="1"/>
  <c r="AT216" s="1"/>
  <c r="AT217" a="1"/>
  <c r="AT217" s="1"/>
  <c r="AT218" a="1"/>
  <c r="AT218" s="1"/>
  <c r="AT219" a="1"/>
  <c r="AT219" s="1"/>
  <c r="AT220" a="1"/>
  <c r="AT220" s="1"/>
  <c r="AT221" a="1"/>
  <c r="AT221" s="1"/>
  <c r="AT222" a="1"/>
  <c r="AT222" s="1"/>
  <c r="AT223" a="1"/>
  <c r="AT223" s="1"/>
  <c r="AT224" a="1"/>
  <c r="AT224" s="1"/>
  <c r="AT225" a="1"/>
  <c r="AT225" s="1"/>
  <c r="AT226" a="1"/>
  <c r="AT226" s="1"/>
  <c r="AT227" a="1"/>
  <c r="AT227" s="1"/>
  <c r="AT229" a="1"/>
  <c r="AT229" s="1"/>
  <c r="AT232" a="1"/>
  <c r="AT232" s="1"/>
  <c r="AT234" a="1"/>
  <c r="AT234" s="1"/>
  <c r="AT235" a="1"/>
  <c r="AT235" s="1"/>
  <c r="AT236" a="1"/>
  <c r="AT236" s="1"/>
  <c r="AT237" a="1"/>
  <c r="AT237" s="1"/>
  <c r="AT238" a="1"/>
  <c r="AT238" s="1"/>
  <c r="AT239" a="1"/>
  <c r="AT239" s="1"/>
  <c r="AT240" a="1"/>
  <c r="AT240" s="1"/>
  <c r="AT241" a="1"/>
  <c r="AT241" s="1"/>
  <c r="AT242" a="1"/>
  <c r="AT242" s="1"/>
  <c r="AT243" a="1"/>
  <c r="AT243" s="1"/>
  <c r="AT244" a="1"/>
  <c r="AT244" s="1"/>
  <c r="AT245" a="1"/>
  <c r="AT245" s="1"/>
  <c r="AT246" a="1"/>
  <c r="AT246" s="1"/>
  <c r="AT247" a="1"/>
  <c r="AT247" s="1"/>
  <c r="AT248" a="1"/>
  <c r="AT248" s="1"/>
  <c r="AT249" a="1"/>
  <c r="AT249" s="1"/>
  <c r="AT250" a="1"/>
  <c r="AT250" s="1"/>
  <c r="AT251" a="1"/>
  <c r="AT251" s="1"/>
  <c r="AT252" a="1"/>
  <c r="AT252" s="1"/>
  <c r="AT253" a="1"/>
  <c r="AT253" s="1"/>
  <c r="AT254" a="1"/>
  <c r="AT254" s="1"/>
  <c r="AT255" a="1"/>
  <c r="AT255" s="1"/>
  <c r="AT256" a="1"/>
  <c r="AT256" s="1"/>
  <c r="AT257" a="1"/>
  <c r="AT257" s="1"/>
  <c r="AT258" a="1"/>
  <c r="AT258" s="1"/>
  <c r="AT259" a="1"/>
  <c r="AT259" s="1"/>
  <c r="AT260" a="1"/>
  <c r="AT260" s="1"/>
  <c r="AT261" a="1"/>
  <c r="AT261" s="1"/>
  <c r="AT262" a="1"/>
  <c r="AT262" s="1"/>
  <c r="AT263" a="1"/>
  <c r="AT263" s="1"/>
  <c r="AT272" a="1"/>
  <c r="AT272" s="1"/>
  <c r="AT274" a="1"/>
  <c r="AT274" s="1"/>
  <c r="AT276" a="1"/>
  <c r="AT276" s="1"/>
  <c r="AT277" a="1"/>
  <c r="AT277" s="1"/>
  <c r="AT313" a="1"/>
  <c r="AT313" s="1"/>
  <c r="AT314" a="1"/>
  <c r="AT314" s="1"/>
  <c r="AT325" a="1"/>
  <c r="AT325" s="1"/>
  <c r="AT326" a="1"/>
  <c r="AT326" s="1"/>
  <c r="AT332" a="1"/>
  <c r="AT332" s="1"/>
  <c r="AT333" a="1"/>
  <c r="AT333" s="1"/>
  <c r="AT334" a="1"/>
  <c r="AT334" s="1"/>
  <c r="AT335" a="1"/>
  <c r="AT335" s="1"/>
  <c r="AT339" a="1"/>
  <c r="AT339" s="1"/>
  <c r="AT340" a="1"/>
  <c r="AT340" s="1"/>
  <c r="AT345" a="1"/>
  <c r="AT345" s="1"/>
  <c r="AT382" a="1"/>
  <c r="AT382" s="1"/>
  <c r="AT384" a="1"/>
  <c r="AT384" s="1"/>
  <c r="AT385" a="1"/>
  <c r="AT385" s="1"/>
  <c r="AT390" a="1"/>
  <c r="AT390" s="1"/>
  <c r="AT391" a="1"/>
  <c r="AT391" s="1"/>
  <c r="AT392" a="1"/>
  <c r="AT392" s="1"/>
  <c r="AT13" a="1"/>
  <c r="AT13" s="1"/>
  <c r="AT14" a="1"/>
  <c r="AT14" s="1"/>
  <c r="AT15" a="1"/>
  <c r="AT15" s="1"/>
  <c r="AT56" a="1"/>
  <c r="AT56" s="1"/>
  <c r="AT59" a="1"/>
  <c r="AT59" s="1"/>
  <c r="AT60" a="1"/>
  <c r="AT60" s="1"/>
  <c r="AT68" a="1"/>
  <c r="AT68" s="1"/>
  <c r="AT97" a="1"/>
  <c r="AT97" s="1"/>
  <c r="AT98" a="1"/>
  <c r="AT98" s="1"/>
  <c r="AT99" a="1"/>
  <c r="AT99" s="1"/>
  <c r="AT100" a="1"/>
  <c r="AT100" s="1"/>
  <c r="AT102" a="1"/>
  <c r="AT102" s="1"/>
  <c r="AT103" a="1"/>
  <c r="AT103" s="1"/>
  <c r="AT106" a="1"/>
  <c r="AT106" s="1"/>
  <c r="AT107" a="1"/>
  <c r="AT107" s="1"/>
  <c r="AT108" a="1"/>
  <c r="AT108" s="1"/>
  <c r="AT114" a="1"/>
  <c r="AT114" s="1"/>
  <c r="AT121" a="1"/>
  <c r="AT121" s="1"/>
  <c r="AT123" a="1"/>
  <c r="AT123" s="1"/>
  <c r="AT137" a="1"/>
  <c r="AT137" s="1"/>
  <c r="AT138" a="1"/>
  <c r="AT138" s="1"/>
  <c r="AT139" a="1"/>
  <c r="AT139" s="1"/>
  <c r="AT141" a="1"/>
  <c r="AT141" s="1"/>
  <c r="AT147" a="1"/>
  <c r="AT147" s="1"/>
  <c r="AT151" a="1"/>
  <c r="AT151" s="1"/>
  <c r="AT152" a="1"/>
  <c r="AT152" s="1"/>
  <c r="AT153" a="1"/>
  <c r="AT153" s="1"/>
  <c r="AT154" a="1"/>
  <c r="AT154" s="1"/>
  <c r="AT155" a="1"/>
  <c r="AT155" s="1"/>
  <c r="AT267" a="1"/>
  <c r="AT267" s="1"/>
  <c r="AT268" a="1"/>
  <c r="AT268" s="1"/>
  <c r="AT282" a="1"/>
  <c r="AT282" s="1"/>
  <c r="AT283" a="1"/>
  <c r="AT283" s="1"/>
  <c r="AT284" a="1"/>
  <c r="AT284" s="1"/>
  <c r="AT285" a="1"/>
  <c r="AT285" s="1"/>
  <c r="AT286" a="1"/>
  <c r="AT286" s="1"/>
  <c r="AT296" a="1"/>
  <c r="AT296" s="1"/>
  <c r="AT304" a="1"/>
  <c r="AT304" s="1"/>
  <c r="AT305" a="1"/>
  <c r="AT305" s="1"/>
  <c r="AT306" a="1"/>
  <c r="AT306" s="1"/>
  <c r="AT312" a="1"/>
  <c r="AT312" s="1"/>
  <c r="AT319" a="1"/>
  <c r="AT319" s="1"/>
  <c r="AT19" a="1"/>
  <c r="AT19" s="1"/>
  <c r="AT21" a="1"/>
  <c r="AT21" s="1"/>
  <c r="AT23" a="1"/>
  <c r="AT23" s="1"/>
  <c r="AT27" a="1"/>
  <c r="AT27" s="1"/>
  <c r="AT28" a="1"/>
  <c r="AT28" s="1"/>
  <c r="AT31" a="1"/>
  <c r="AT31" s="1"/>
  <c r="AT33" a="1"/>
  <c r="AT33" s="1"/>
  <c r="AT35" a="1"/>
  <c r="AT35" s="1"/>
  <c r="AT37" a="1"/>
  <c r="AT37" s="1"/>
  <c r="AT45" a="1"/>
  <c r="AT45" s="1"/>
  <c r="AT51" a="1"/>
  <c r="AT51" s="1"/>
  <c r="AT281" a="1"/>
  <c r="AT281" s="1"/>
  <c r="AT327" a="1"/>
  <c r="AT327" s="1"/>
  <c r="AT330" a="1"/>
  <c r="AT330" s="1"/>
  <c r="AT331" a="1"/>
  <c r="AT331" s="1"/>
  <c r="AT337" a="1"/>
  <c r="AT337" s="1"/>
  <c r="AT338" a="1"/>
  <c r="AT338" s="1"/>
  <c r="AT349" a="1"/>
  <c r="AT349" s="1"/>
  <c r="AT350" a="1"/>
  <c r="AT350" s="1"/>
  <c r="AT356" a="1"/>
  <c r="AT356" s="1"/>
  <c r="AT358" a="1"/>
  <c r="AT358" s="1"/>
  <c r="AT359" a="1"/>
  <c r="AT359" s="1"/>
  <c r="AT366" a="1"/>
  <c r="AT366" s="1"/>
  <c r="AT368" a="1"/>
  <c r="AT368" s="1"/>
  <c r="AT373" a="1"/>
  <c r="AT373" s="1"/>
  <c r="AT374" a="1"/>
  <c r="AT374" s="1"/>
  <c r="AT375" a="1"/>
  <c r="AT375" s="1"/>
  <c r="AT376" a="1"/>
  <c r="AT376" s="1"/>
  <c r="AT380" a="1"/>
  <c r="AT380" s="1"/>
  <c r="AT20" a="1"/>
  <c r="AT20" s="1"/>
  <c r="AT22" a="1"/>
  <c r="AT22" s="1"/>
  <c r="AT24" a="1"/>
  <c r="AT24" s="1"/>
  <c r="AT25" a="1"/>
  <c r="AT25" s="1"/>
  <c r="AT26" a="1"/>
  <c r="AT26" s="1"/>
  <c r="AT29" a="1"/>
  <c r="AT29" s="1"/>
  <c r="AT30" a="1"/>
  <c r="AT30" s="1"/>
  <c r="AT34" a="1"/>
  <c r="AT34" s="1"/>
  <c r="AT36" a="1"/>
  <c r="AT36" s="1"/>
  <c r="AT38" a="1"/>
  <c r="AT38" s="1"/>
  <c r="AT39" a="1"/>
  <c r="AT39" s="1"/>
  <c r="AT40" a="1"/>
  <c r="AT40" s="1"/>
  <c r="AT41" a="1"/>
  <c r="AT41" s="1"/>
  <c r="AT42" a="1"/>
  <c r="AT42" s="1"/>
  <c r="AT43" a="1"/>
  <c r="AT43" s="1"/>
  <c r="AT44" a="1"/>
  <c r="AT44" s="1"/>
  <c r="AT46" a="1"/>
  <c r="AT46" s="1"/>
  <c r="AT48" a="1"/>
  <c r="AT48" s="1"/>
  <c r="AT49" a="1"/>
  <c r="AT49" s="1"/>
  <c r="AT50" a="1"/>
  <c r="AT50" s="1"/>
  <c r="AT52" a="1"/>
  <c r="AT52" s="1"/>
  <c r="AT53" a="1"/>
  <c r="AT53" s="1"/>
  <c r="AT54" a="1"/>
  <c r="AT54" s="1"/>
  <c r="AT55" a="1"/>
  <c r="AT55" s="1"/>
  <c r="AT58" a="1"/>
  <c r="AT58" s="1"/>
  <c r="AT61" a="1"/>
  <c r="AT61" s="1"/>
  <c r="AT63" a="1"/>
  <c r="AT63" s="1"/>
  <c r="AT64" a="1"/>
  <c r="AT64" s="1"/>
  <c r="AT65" a="1"/>
  <c r="AT65" s="1"/>
  <c r="AT66" a="1"/>
  <c r="AT66" s="1"/>
  <c r="AT67" a="1"/>
  <c r="AT67" s="1"/>
  <c r="AT76" a="1"/>
  <c r="AT76" s="1"/>
  <c r="AT77" a="1"/>
  <c r="AT77" s="1"/>
  <c r="AT78" a="1"/>
  <c r="AT78" s="1"/>
  <c r="AT104" a="1"/>
  <c r="AT104" s="1"/>
  <c r="AT105" a="1"/>
  <c r="AT105" s="1"/>
  <c r="AT109" a="1"/>
  <c r="AT109" s="1"/>
  <c r="AT110" a="1"/>
  <c r="AT110" s="1"/>
  <c r="AT112" a="1"/>
  <c r="AT112" s="1"/>
  <c r="AT113" a="1"/>
  <c r="AT113" s="1"/>
  <c r="AT115" a="1"/>
  <c r="AT115" s="1"/>
  <c r="AT117" a="1"/>
  <c r="AT117" s="1"/>
  <c r="AT118" a="1"/>
  <c r="AT118" s="1"/>
  <c r="AT119" a="1"/>
  <c r="AT119" s="1"/>
  <c r="AT120" a="1"/>
  <c r="AT120" s="1"/>
  <c r="AT125" a="1"/>
  <c r="AT125" s="1"/>
  <c r="AT126" a="1"/>
  <c r="AT126" s="1"/>
  <c r="AT157" a="1"/>
  <c r="AT157" s="1"/>
  <c r="AT264" a="1"/>
  <c r="AT264" s="1"/>
  <c r="AT265" a="1"/>
  <c r="AT265" s="1"/>
  <c r="AT266" a="1"/>
  <c r="AT266" s="1"/>
  <c r="AT269" a="1"/>
  <c r="AT269" s="1"/>
  <c r="AT270" a="1"/>
  <c r="AT270" s="1"/>
  <c r="AT271" a="1"/>
  <c r="AT271" s="1"/>
  <c r="AT275" a="1"/>
  <c r="AT275" s="1"/>
  <c r="AT278" a="1"/>
  <c r="AT278" s="1"/>
  <c r="AT279" a="1"/>
  <c r="AT279" s="1"/>
  <c r="AT280" a="1"/>
  <c r="AT280" s="1"/>
  <c r="AT287" a="1"/>
  <c r="AT287" s="1"/>
  <c r="AT288" a="1"/>
  <c r="AT288" s="1"/>
  <c r="AT289" a="1"/>
  <c r="AT289" s="1"/>
  <c r="AT290" a="1"/>
  <c r="AT290" s="1"/>
  <c r="AT291" a="1"/>
  <c r="AT291" s="1"/>
  <c r="AT292" a="1"/>
  <c r="AT292" s="1"/>
  <c r="AT293" a="1"/>
  <c r="AT293" s="1"/>
  <c r="AT294" a="1"/>
  <c r="AT294" s="1"/>
  <c r="AT295" a="1"/>
  <c r="AT295" s="1"/>
  <c r="AT297" a="1"/>
  <c r="AT297" s="1"/>
  <c r="AT298" a="1"/>
  <c r="AT298" s="1"/>
  <c r="AT299" a="1"/>
  <c r="AT299" s="1"/>
  <c r="AT300" a="1"/>
  <c r="AT300" s="1"/>
  <c r="AT301" a="1"/>
  <c r="AT301" s="1"/>
  <c r="AT302" a="1"/>
  <c r="AT302" s="1"/>
  <c r="AT303" a="1"/>
  <c r="AT303" s="1"/>
  <c r="AT307" a="1"/>
  <c r="AT307" s="1"/>
  <c r="AT308" a="1"/>
  <c r="AT308" s="1"/>
  <c r="AT309" a="1"/>
  <c r="AT309" s="1"/>
  <c r="AT310" a="1"/>
  <c r="AT310" s="1"/>
  <c r="AT311" a="1"/>
  <c r="AT311" s="1"/>
  <c r="AT315" a="1"/>
  <c r="AT315" s="1"/>
  <c r="AT316" a="1"/>
  <c r="AT316" s="1"/>
  <c r="AT317" a="1"/>
  <c r="AT317" s="1"/>
  <c r="AT321" a="1"/>
  <c r="AT321" s="1"/>
  <c r="AT322" a="1"/>
  <c r="AT322" s="1"/>
  <c r="AT323" a="1"/>
  <c r="AT323" s="1"/>
  <c r="AT324" a="1"/>
  <c r="AT324" s="1"/>
  <c r="AT328" a="1"/>
  <c r="AT328" s="1"/>
  <c r="AT329" a="1"/>
  <c r="AT329" s="1"/>
  <c r="AT341" a="1"/>
  <c r="AT341" s="1"/>
  <c r="AT342" a="1"/>
  <c r="AT342" s="1"/>
  <c r="AT343" a="1"/>
  <c r="AT343" s="1"/>
  <c r="AT344" a="1"/>
  <c r="AT344" s="1"/>
  <c r="AT346" a="1"/>
  <c r="AT346" s="1"/>
  <c r="AT348" a="1"/>
  <c r="AT348" s="1"/>
  <c r="AT353" a="1"/>
  <c r="AT353" s="1"/>
  <c r="AT355" a="1"/>
  <c r="AT355" s="1"/>
  <c r="AT357" a="1"/>
  <c r="AT357" s="1"/>
  <c r="AT360" a="1"/>
  <c r="AT360" s="1"/>
  <c r="AT361" a="1"/>
  <c r="AT361" s="1"/>
  <c r="AT362" a="1"/>
  <c r="AT362" s="1"/>
  <c r="AT363" a="1"/>
  <c r="AT363" s="1"/>
  <c r="AT364" a="1"/>
  <c r="AT364" s="1"/>
  <c r="AT365" a="1"/>
  <c r="AT365" s="1"/>
  <c r="AT367" a="1"/>
  <c r="AT367" s="1"/>
  <c r="AT369" a="1"/>
  <c r="AT369" s="1"/>
  <c r="AT370" a="1"/>
  <c r="AT370" s="1"/>
  <c r="AT371" a="1"/>
  <c r="AT371" s="1"/>
  <c r="AT377" a="1"/>
  <c r="AT377" s="1"/>
  <c r="AT378" a="1"/>
  <c r="AT378" s="1"/>
  <c r="AT379" a="1"/>
  <c r="AT379" s="1"/>
  <c r="AT381" a="1"/>
  <c r="AT381" s="1"/>
  <c r="AT388" a="1"/>
  <c r="AT388" s="1"/>
  <c r="AT389" a="1"/>
  <c r="AT389" s="1"/>
  <c r="AT393" a="1"/>
  <c r="AT393" s="1"/>
  <c r="AT394" a="1"/>
  <c r="AT394" s="1"/>
  <c r="AT395" a="1"/>
  <c r="AT395" s="1"/>
  <c r="AT396" a="1"/>
  <c r="AT396" s="1"/>
  <c r="AT397" a="1"/>
  <c r="AT397" s="1"/>
  <c r="AT398" a="1"/>
  <c r="AT398" s="1"/>
  <c r="AT399" a="1"/>
  <c r="AT399" s="1"/>
  <c r="AT400" a="1"/>
  <c r="AT400" s="1"/>
  <c r="AT62" a="1"/>
  <c r="AT62" s="1"/>
  <c r="AT57" a="1"/>
  <c r="AT57" s="1"/>
  <c r="AT116" a="1"/>
  <c r="AT116" s="1"/>
  <c r="AT92" a="1"/>
  <c r="AT92" s="1"/>
  <c r="AT85" a="1"/>
  <c r="AT85" s="1"/>
  <c r="AS2" a="1"/>
  <c r="AS2" s="1"/>
  <c r="AS3" a="1"/>
  <c r="AS3" s="1"/>
  <c r="AS4" a="1"/>
  <c r="AS4" s="1"/>
  <c r="AS5" a="1"/>
  <c r="AS5" s="1"/>
  <c r="AS6" a="1"/>
  <c r="AS6" s="1"/>
  <c r="AS7" a="1"/>
  <c r="AS7" s="1"/>
  <c r="AS8" a="1"/>
  <c r="AS8" s="1"/>
  <c r="AS9" a="1"/>
  <c r="AS9" s="1"/>
  <c r="AS10" a="1"/>
  <c r="AS10" s="1"/>
  <c r="AS11" a="1"/>
  <c r="AS11" s="1"/>
  <c r="AS12" a="1"/>
  <c r="AS12" s="1"/>
  <c r="AS16" a="1"/>
  <c r="AS16" s="1"/>
  <c r="AS17" a="1"/>
  <c r="AS17" s="1"/>
  <c r="AS47" a="1"/>
  <c r="AS47" s="1"/>
  <c r="AS70" a="1"/>
  <c r="AS70" s="1"/>
  <c r="AS79" a="1"/>
  <c r="AS79" s="1"/>
  <c r="AS80" a="1"/>
  <c r="AS80" s="1"/>
  <c r="AS81" a="1"/>
  <c r="AS81" s="1"/>
  <c r="AS84" a="1"/>
  <c r="AS84" s="1"/>
  <c r="AS86" a="1"/>
  <c r="AS86" s="1"/>
  <c r="AS87" a="1"/>
  <c r="AS87" s="1"/>
  <c r="AS88" a="1"/>
  <c r="AS88" s="1"/>
  <c r="AS89" a="1"/>
  <c r="AS89" s="1"/>
  <c r="AS90" a="1"/>
  <c r="AS90" s="1"/>
  <c r="AS91" a="1"/>
  <c r="AS91" s="1"/>
  <c r="AS93" a="1"/>
  <c r="AS93" s="1"/>
  <c r="AS94" a="1"/>
  <c r="AS94" s="1"/>
  <c r="AS95" a="1"/>
  <c r="AS95" s="1"/>
  <c r="AS96" a="1"/>
  <c r="AS96" s="1"/>
  <c r="AS111" a="1"/>
  <c r="AS111" s="1"/>
  <c r="AS122" a="1"/>
  <c r="AS122" s="1"/>
  <c r="AS129" a="1"/>
  <c r="AS129" s="1"/>
  <c r="AS128" a="1"/>
  <c r="AS128" s="1"/>
  <c r="AS131" a="1"/>
  <c r="AS131" s="1"/>
  <c r="AS132" a="1"/>
  <c r="AS132" s="1"/>
  <c r="AS133" a="1"/>
  <c r="AS133" s="1"/>
  <c r="AS134" a="1"/>
  <c r="AS134" s="1"/>
  <c r="AS135" a="1"/>
  <c r="AS135" s="1"/>
  <c r="AS136" a="1"/>
  <c r="AS136" s="1"/>
  <c r="AS145" a="1"/>
  <c r="AS145" s="1"/>
  <c r="AS146" a="1"/>
  <c r="AS146" s="1"/>
  <c r="AS148" a="1"/>
  <c r="AS148" s="1"/>
  <c r="AS149" a="1"/>
  <c r="AS149" s="1"/>
  <c r="AS150" a="1"/>
  <c r="AS150" s="1"/>
  <c r="AS156" a="1"/>
  <c r="AS156" s="1"/>
  <c r="AS161" a="1"/>
  <c r="AS161" s="1"/>
  <c r="AS162" a="1"/>
  <c r="AS162" s="1"/>
  <c r="AS163" a="1"/>
  <c r="AS163" s="1"/>
  <c r="AS164" a="1"/>
  <c r="AS164" s="1"/>
  <c r="AS165" a="1"/>
  <c r="AS165" s="1"/>
  <c r="AS166" a="1"/>
  <c r="AS166" s="1"/>
  <c r="AS167" a="1"/>
  <c r="AS167" s="1"/>
  <c r="AS168" a="1"/>
  <c r="AS168" s="1"/>
  <c r="AS169" a="1"/>
  <c r="AS169" s="1"/>
  <c r="AS170" a="1"/>
  <c r="AS170" s="1"/>
  <c r="AS171" a="1"/>
  <c r="AS171" s="1"/>
  <c r="AS172" a="1"/>
  <c r="AS172" s="1"/>
  <c r="AS173" a="1"/>
  <c r="AS173" s="1"/>
  <c r="AS174" a="1"/>
  <c r="AS174" s="1"/>
  <c r="AS175" a="1"/>
  <c r="AS175" s="1"/>
  <c r="AS176" a="1"/>
  <c r="AS176" s="1"/>
  <c r="AS177" a="1"/>
  <c r="AS177" s="1"/>
  <c r="AS178" a="1"/>
  <c r="AS178" s="1"/>
  <c r="AS179" a="1"/>
  <c r="AS179" s="1"/>
  <c r="AS180" a="1"/>
  <c r="AS180" s="1"/>
  <c r="AS181" a="1"/>
  <c r="AS181" s="1"/>
  <c r="AS187" a="1"/>
  <c r="AS187" s="1"/>
  <c r="AS188" a="1"/>
  <c r="AS188" s="1"/>
  <c r="AS189" a="1"/>
  <c r="AS189" s="1"/>
  <c r="AS190" a="1"/>
  <c r="AS190" s="1"/>
  <c r="AS191" a="1"/>
  <c r="AS191" s="1"/>
  <c r="AS192" a="1"/>
  <c r="AS192" s="1"/>
  <c r="AS193" a="1"/>
  <c r="AS193" s="1"/>
  <c r="AS194" a="1"/>
  <c r="AS194" s="1"/>
  <c r="AS195" a="1"/>
  <c r="AS195" s="1"/>
  <c r="AS196" a="1"/>
  <c r="AS196" s="1"/>
  <c r="AS197" a="1"/>
  <c r="AS197" s="1"/>
  <c r="AS198" a="1"/>
  <c r="AS198" s="1"/>
  <c r="AS199" a="1"/>
  <c r="AS199" s="1"/>
  <c r="AS200" a="1"/>
  <c r="AS200" s="1"/>
  <c r="AS201" a="1"/>
  <c r="AS201" s="1"/>
  <c r="AS202" a="1"/>
  <c r="AS202" s="1"/>
  <c r="AS203" a="1"/>
  <c r="AS203" s="1"/>
  <c r="AS204" a="1"/>
  <c r="AS204" s="1"/>
  <c r="AS205" a="1"/>
  <c r="AS205" s="1"/>
  <c r="AS206" a="1"/>
  <c r="AS206" s="1"/>
  <c r="AS209" a="1"/>
  <c r="AS209" s="1"/>
  <c r="AS210" a="1"/>
  <c r="AS210" s="1"/>
  <c r="AS211" a="1"/>
  <c r="AS211" s="1"/>
  <c r="AS212" a="1"/>
  <c r="AS212" s="1"/>
  <c r="AS213" a="1"/>
  <c r="AS213" s="1"/>
  <c r="AS214" a="1"/>
  <c r="AS214" s="1"/>
  <c r="AS215" a="1"/>
  <c r="AS215" s="1"/>
  <c r="AS216" a="1"/>
  <c r="AS216" s="1"/>
  <c r="AS217" a="1"/>
  <c r="AS217" s="1"/>
  <c r="AS218" a="1"/>
  <c r="AS218" s="1"/>
  <c r="AS219" a="1"/>
  <c r="AS219" s="1"/>
  <c r="AS220" a="1"/>
  <c r="AS220" s="1"/>
  <c r="AS221" a="1"/>
  <c r="AS221" s="1"/>
  <c r="AS222" a="1"/>
  <c r="AS222" s="1"/>
  <c r="AS223" a="1"/>
  <c r="AS223" s="1"/>
  <c r="AS224" a="1"/>
  <c r="AS224" s="1"/>
  <c r="AS225" a="1"/>
  <c r="AS225" s="1"/>
  <c r="AS226" a="1"/>
  <c r="AS226" s="1"/>
  <c r="AS227" a="1"/>
  <c r="AS227" s="1"/>
  <c r="AS229" a="1"/>
  <c r="AS229" s="1"/>
  <c r="AS232" a="1"/>
  <c r="AS232" s="1"/>
  <c r="AS234" a="1"/>
  <c r="AS234" s="1"/>
  <c r="AS235" a="1"/>
  <c r="AS235" s="1"/>
  <c r="AS236" a="1"/>
  <c r="AS236" s="1"/>
  <c r="AS237" a="1"/>
  <c r="AS237" s="1"/>
  <c r="AS238" a="1"/>
  <c r="AS238" s="1"/>
  <c r="AS239" a="1"/>
  <c r="AS239" s="1"/>
  <c r="AS240" a="1"/>
  <c r="AS240" s="1"/>
  <c r="AS241" a="1"/>
  <c r="AS241" s="1"/>
  <c r="AS242" a="1"/>
  <c r="AS242" s="1"/>
  <c r="AS243" a="1"/>
  <c r="AS243" s="1"/>
  <c r="AS244" a="1"/>
  <c r="AS244" s="1"/>
  <c r="AS245" a="1"/>
  <c r="AS245" s="1"/>
  <c r="AS246" a="1"/>
  <c r="AS246" s="1"/>
  <c r="AS247" a="1"/>
  <c r="AS247" s="1"/>
  <c r="AS248" a="1"/>
  <c r="AS248" s="1"/>
  <c r="AS249" a="1"/>
  <c r="AS249" s="1"/>
  <c r="AS250" a="1"/>
  <c r="AS250" s="1"/>
  <c r="AS251" a="1"/>
  <c r="AS251" s="1"/>
  <c r="AS252" a="1"/>
  <c r="AS252" s="1"/>
  <c r="AS253" a="1"/>
  <c r="AS253" s="1"/>
  <c r="AS254" a="1"/>
  <c r="AS254" s="1"/>
  <c r="AS255" a="1"/>
  <c r="AS255" s="1"/>
  <c r="AS256" a="1"/>
  <c r="AS256" s="1"/>
  <c r="AS257" a="1"/>
  <c r="AS257" s="1"/>
  <c r="AS258" a="1"/>
  <c r="AS258" s="1"/>
  <c r="AS259" a="1"/>
  <c r="AS259" s="1"/>
  <c r="AS260" a="1"/>
  <c r="AS260" s="1"/>
  <c r="AS261" a="1"/>
  <c r="AS261" s="1"/>
  <c r="AS262" a="1"/>
  <c r="AS262" s="1"/>
  <c r="AS263" a="1"/>
  <c r="AS263" s="1"/>
  <c r="AS272" a="1"/>
  <c r="AS272" s="1"/>
  <c r="AS274" a="1"/>
  <c r="AS274" s="1"/>
  <c r="AS276" a="1"/>
  <c r="AS276" s="1"/>
  <c r="AS277" a="1"/>
  <c r="AS277" s="1"/>
  <c r="AS313" a="1"/>
  <c r="AS313" s="1"/>
  <c r="AS314" a="1"/>
  <c r="AS314" s="1"/>
  <c r="AS325" a="1"/>
  <c r="AS325" s="1"/>
  <c r="AS326" a="1"/>
  <c r="AS326" s="1"/>
  <c r="AS332" a="1"/>
  <c r="AS332" s="1"/>
  <c r="AS333" a="1"/>
  <c r="AS333" s="1"/>
  <c r="AS334" a="1"/>
  <c r="AS334" s="1"/>
  <c r="AS335" a="1"/>
  <c r="AS335" s="1"/>
  <c r="AS339" a="1"/>
  <c r="AS339" s="1"/>
  <c r="AS340" a="1"/>
  <c r="AS340" s="1"/>
  <c r="AS345" a="1"/>
  <c r="AS345" s="1"/>
  <c r="AS382" a="1"/>
  <c r="AS382" s="1"/>
  <c r="AS384" a="1"/>
  <c r="AS384" s="1"/>
  <c r="AS385" a="1"/>
  <c r="AS385" s="1"/>
  <c r="AS390" a="1"/>
  <c r="AS390" s="1"/>
  <c r="AS391" a="1"/>
  <c r="AS391" s="1"/>
  <c r="AS392" a="1"/>
  <c r="AS392" s="1"/>
  <c r="AS13" a="1"/>
  <c r="AS13" s="1"/>
  <c r="AS14" a="1"/>
  <c r="AS14" s="1"/>
  <c r="AS15" a="1"/>
  <c r="AS15" s="1"/>
  <c r="AS56" a="1"/>
  <c r="AS56" s="1"/>
  <c r="AS59" a="1"/>
  <c r="AS59" s="1"/>
  <c r="AS60" a="1"/>
  <c r="AS60" s="1"/>
  <c r="AS68" a="1"/>
  <c r="AS68" s="1"/>
  <c r="AS97" a="1"/>
  <c r="AS97" s="1"/>
  <c r="AS98" a="1"/>
  <c r="AS98" s="1"/>
  <c r="AS99" a="1"/>
  <c r="AS99" s="1"/>
  <c r="AS100" a="1"/>
  <c r="AS100" s="1"/>
  <c r="AS102" a="1"/>
  <c r="AS102" s="1"/>
  <c r="AS103" a="1"/>
  <c r="AS103" s="1"/>
  <c r="AS106" a="1"/>
  <c r="AS106" s="1"/>
  <c r="AS107" a="1"/>
  <c r="AS107" s="1"/>
  <c r="AS108" a="1"/>
  <c r="AS108" s="1"/>
  <c r="AS114" a="1"/>
  <c r="AS114" s="1"/>
  <c r="AS121" a="1"/>
  <c r="AS121" s="1"/>
  <c r="AS123" a="1"/>
  <c r="AS123" s="1"/>
  <c r="AS137" a="1"/>
  <c r="AS137" s="1"/>
  <c r="AS138" a="1"/>
  <c r="AS138" s="1"/>
  <c r="AS139" a="1"/>
  <c r="AS139" s="1"/>
  <c r="AS141" a="1"/>
  <c r="AS141" s="1"/>
  <c r="AS147" a="1"/>
  <c r="AS147" s="1"/>
  <c r="AS151" a="1"/>
  <c r="AS151" s="1"/>
  <c r="AS152" a="1"/>
  <c r="AS152" s="1"/>
  <c r="AS153" a="1"/>
  <c r="AS153" s="1"/>
  <c r="AS154" a="1"/>
  <c r="AS154" s="1"/>
  <c r="AS155" a="1"/>
  <c r="AS155" s="1"/>
  <c r="AS267" a="1"/>
  <c r="AS267" s="1"/>
  <c r="AS268" a="1"/>
  <c r="AS268" s="1"/>
  <c r="AS282" a="1"/>
  <c r="AS282" s="1"/>
  <c r="AS283" a="1"/>
  <c r="AS283" s="1"/>
  <c r="AS284" a="1"/>
  <c r="AS284" s="1"/>
  <c r="AS285" a="1"/>
  <c r="AS285" s="1"/>
  <c r="AS286" a="1"/>
  <c r="AS286" s="1"/>
  <c r="AS296" a="1"/>
  <c r="AS296" s="1"/>
  <c r="AS304" a="1"/>
  <c r="AS304" s="1"/>
  <c r="AS305" a="1"/>
  <c r="AS305" s="1"/>
  <c r="AS306" a="1"/>
  <c r="AS306" s="1"/>
  <c r="AS312" a="1"/>
  <c r="AS312" s="1"/>
  <c r="AS319" a="1"/>
  <c r="AS319" s="1"/>
  <c r="AS19" a="1"/>
  <c r="AS19" s="1"/>
  <c r="AS21" a="1"/>
  <c r="AS21" s="1"/>
  <c r="AS23" a="1"/>
  <c r="AS23" s="1"/>
  <c r="AS27" a="1"/>
  <c r="AS27" s="1"/>
  <c r="AS28" a="1"/>
  <c r="AS28" s="1"/>
  <c r="AS31" a="1"/>
  <c r="AS31" s="1"/>
  <c r="AS33" a="1"/>
  <c r="AS33" s="1"/>
  <c r="AS35" a="1"/>
  <c r="AS35" s="1"/>
  <c r="AS37" a="1"/>
  <c r="AS37" s="1"/>
  <c r="AS45" a="1"/>
  <c r="AS45" s="1"/>
  <c r="AS51" a="1"/>
  <c r="AS51" s="1"/>
  <c r="AS281" a="1"/>
  <c r="AS281" s="1"/>
  <c r="AS327" a="1"/>
  <c r="AS327" s="1"/>
  <c r="AS330" a="1"/>
  <c r="AS330" s="1"/>
  <c r="AS331" a="1"/>
  <c r="AS331" s="1"/>
  <c r="AS337" a="1"/>
  <c r="AS337" s="1"/>
  <c r="AS338" a="1"/>
  <c r="AS338" s="1"/>
  <c r="AS349" a="1"/>
  <c r="AS349" s="1"/>
  <c r="AS350" a="1"/>
  <c r="AS350" s="1"/>
  <c r="AS356" a="1"/>
  <c r="AS356" s="1"/>
  <c r="AS358" a="1"/>
  <c r="AS358" s="1"/>
  <c r="AS359" a="1"/>
  <c r="AS359" s="1"/>
  <c r="AS366" a="1"/>
  <c r="AS366" s="1"/>
  <c r="AS368" a="1"/>
  <c r="AS368" s="1"/>
  <c r="AS373" a="1"/>
  <c r="AS373" s="1"/>
  <c r="AS374" a="1"/>
  <c r="AS374" s="1"/>
  <c r="AS375" a="1"/>
  <c r="AS375" s="1"/>
  <c r="AS376" a="1"/>
  <c r="AS376" s="1"/>
  <c r="AS380" a="1"/>
  <c r="AS380" s="1"/>
  <c r="AS20" a="1"/>
  <c r="AS20" s="1"/>
  <c r="AS22" a="1"/>
  <c r="AS22" s="1"/>
  <c r="AS24" a="1"/>
  <c r="AS24" s="1"/>
  <c r="AS25" a="1"/>
  <c r="AS25" s="1"/>
  <c r="AS26" a="1"/>
  <c r="AS26" s="1"/>
  <c r="AS29" a="1"/>
  <c r="AS29" s="1"/>
  <c r="AS30" a="1"/>
  <c r="AS30" s="1"/>
  <c r="AS34" a="1"/>
  <c r="AS34" s="1"/>
  <c r="AS36" a="1"/>
  <c r="AS36" s="1"/>
  <c r="AS38" a="1"/>
  <c r="AS38" s="1"/>
  <c r="AS39" a="1"/>
  <c r="AS39" s="1"/>
  <c r="AS40" a="1"/>
  <c r="AS40" s="1"/>
  <c r="AS41" a="1"/>
  <c r="AS41" s="1"/>
  <c r="AS42" a="1"/>
  <c r="AS42" s="1"/>
  <c r="AS43" a="1"/>
  <c r="AS43" s="1"/>
  <c r="AS44" a="1"/>
  <c r="AS44" s="1"/>
  <c r="AS46" a="1"/>
  <c r="AS46" s="1"/>
  <c r="AS48" a="1"/>
  <c r="AS48" s="1"/>
  <c r="AS49" a="1"/>
  <c r="AS49" s="1"/>
  <c r="AS50" a="1"/>
  <c r="AS50" s="1"/>
  <c r="AS52" a="1"/>
  <c r="AS52" s="1"/>
  <c r="AS53" a="1"/>
  <c r="AS53" s="1"/>
  <c r="AS54" a="1"/>
  <c r="AS54" s="1"/>
  <c r="AS55" a="1"/>
  <c r="AS55" s="1"/>
  <c r="AS58" a="1"/>
  <c r="AS58" s="1"/>
  <c r="AS61" a="1"/>
  <c r="AS61" s="1"/>
  <c r="AS63" a="1"/>
  <c r="AS63" s="1"/>
  <c r="AS64" a="1"/>
  <c r="AS64" s="1"/>
  <c r="AS65" a="1"/>
  <c r="AS65" s="1"/>
  <c r="AS66" a="1"/>
  <c r="AS66" s="1"/>
  <c r="AS67" a="1"/>
  <c r="AS67" s="1"/>
  <c r="AS76" a="1"/>
  <c r="AS76" s="1"/>
  <c r="AS77" a="1"/>
  <c r="AS77" s="1"/>
  <c r="AS78" a="1"/>
  <c r="AS78" s="1"/>
  <c r="AS104" a="1"/>
  <c r="AS104" s="1"/>
  <c r="AS105" a="1"/>
  <c r="AS105" s="1"/>
  <c r="AS109" a="1"/>
  <c r="AS109" s="1"/>
  <c r="AS110" a="1"/>
  <c r="AS110" s="1"/>
  <c r="AS112" a="1"/>
  <c r="AS112" s="1"/>
  <c r="AS113" a="1"/>
  <c r="AS113" s="1"/>
  <c r="AS115" a="1"/>
  <c r="AS115" s="1"/>
  <c r="AS117" a="1"/>
  <c r="AS117" s="1"/>
  <c r="AS118" a="1"/>
  <c r="AS118" s="1"/>
  <c r="AS119" a="1"/>
  <c r="AS119" s="1"/>
  <c r="AS120" a="1"/>
  <c r="AS120" s="1"/>
  <c r="AS125" a="1"/>
  <c r="AS125" s="1"/>
  <c r="AS126" a="1"/>
  <c r="AS126" s="1"/>
  <c r="AS157" a="1"/>
  <c r="AS157" s="1"/>
  <c r="AS264" a="1"/>
  <c r="AS264" s="1"/>
  <c r="AS265" a="1"/>
  <c r="AS265" s="1"/>
  <c r="AS266" a="1"/>
  <c r="AS266" s="1"/>
  <c r="AS269" a="1"/>
  <c r="AS269" s="1"/>
  <c r="AS270" a="1"/>
  <c r="AS270" s="1"/>
  <c r="AS271" a="1"/>
  <c r="AS271" s="1"/>
  <c r="AS275" a="1"/>
  <c r="AS275" s="1"/>
  <c r="AS278" a="1"/>
  <c r="AS278" s="1"/>
  <c r="AS279" a="1"/>
  <c r="AS279" s="1"/>
  <c r="AS280" a="1"/>
  <c r="AS280" s="1"/>
  <c r="AS287" a="1"/>
  <c r="AS287" s="1"/>
  <c r="AS288" a="1"/>
  <c r="AS288" s="1"/>
  <c r="AS289" a="1"/>
  <c r="AS289" s="1"/>
  <c r="AS290" a="1"/>
  <c r="AS290" s="1"/>
  <c r="AS291" a="1"/>
  <c r="AS291" s="1"/>
  <c r="AS292" a="1"/>
  <c r="AS292" s="1"/>
  <c r="AS293" a="1"/>
  <c r="AS293" s="1"/>
  <c r="AS294" a="1"/>
  <c r="AS294" s="1"/>
  <c r="AS295" a="1"/>
  <c r="AS295" s="1"/>
  <c r="AS297" a="1"/>
  <c r="AS297" s="1"/>
  <c r="AS298" a="1"/>
  <c r="AS298" s="1"/>
  <c r="AS299" a="1"/>
  <c r="AS299" s="1"/>
  <c r="AS300" a="1"/>
  <c r="AS300" s="1"/>
  <c r="AS301" a="1"/>
  <c r="AS301" s="1"/>
  <c r="AS302" a="1"/>
  <c r="AS302" s="1"/>
  <c r="AS303" a="1"/>
  <c r="AS303" s="1"/>
  <c r="AS307" a="1"/>
  <c r="AS307" s="1"/>
  <c r="AS308" a="1"/>
  <c r="AS308" s="1"/>
  <c r="AS309" a="1"/>
  <c r="AS309" s="1"/>
  <c r="AS310" a="1"/>
  <c r="AS310" s="1"/>
  <c r="AS311" a="1"/>
  <c r="AS311" s="1"/>
  <c r="AS315" a="1"/>
  <c r="AS315" s="1"/>
  <c r="AS316" a="1"/>
  <c r="AS316" s="1"/>
  <c r="AS317" a="1"/>
  <c r="AS317" s="1"/>
  <c r="AS321" a="1"/>
  <c r="AS321" s="1"/>
  <c r="AS322" a="1"/>
  <c r="AS322" s="1"/>
  <c r="AS323" a="1"/>
  <c r="AS323" s="1"/>
  <c r="AS324" a="1"/>
  <c r="AS324" s="1"/>
  <c r="AS328" a="1"/>
  <c r="AS328" s="1"/>
  <c r="AS329" a="1"/>
  <c r="AS329" s="1"/>
  <c r="AS341" a="1"/>
  <c r="AS341" s="1"/>
  <c r="AS342" a="1"/>
  <c r="AS342" s="1"/>
  <c r="AS343" a="1"/>
  <c r="AS343" s="1"/>
  <c r="AS344" a="1"/>
  <c r="AS344" s="1"/>
  <c r="AS346" a="1"/>
  <c r="AS346" s="1"/>
  <c r="AS348" a="1"/>
  <c r="AS348" s="1"/>
  <c r="AS353" a="1"/>
  <c r="AS353" s="1"/>
  <c r="AS355" a="1"/>
  <c r="AS355" s="1"/>
  <c r="AS357" a="1"/>
  <c r="AS357" s="1"/>
  <c r="AS360" a="1"/>
  <c r="AS360" s="1"/>
  <c r="AS361" a="1"/>
  <c r="AS361" s="1"/>
  <c r="AS362" a="1"/>
  <c r="AS362" s="1"/>
  <c r="AS363" a="1"/>
  <c r="AS363" s="1"/>
  <c r="AS364" a="1"/>
  <c r="AS364" s="1"/>
  <c r="AS365" a="1"/>
  <c r="AS365" s="1"/>
  <c r="AS367" a="1"/>
  <c r="AS367" s="1"/>
  <c r="AS369" a="1"/>
  <c r="AS369" s="1"/>
  <c r="AS370" a="1"/>
  <c r="AS370" s="1"/>
  <c r="AS371" a="1"/>
  <c r="AS371" s="1"/>
  <c r="AS377" a="1"/>
  <c r="AS377" s="1"/>
  <c r="AS378" a="1"/>
  <c r="AS378" s="1"/>
  <c r="AS379" a="1"/>
  <c r="AS379" s="1"/>
  <c r="AS381" a="1"/>
  <c r="AS381" s="1"/>
  <c r="AS388" a="1"/>
  <c r="AS388" s="1"/>
  <c r="AS389" a="1"/>
  <c r="AS389" s="1"/>
  <c r="AS393" a="1"/>
  <c r="AS393" s="1"/>
  <c r="AS394" a="1"/>
  <c r="AS394" s="1"/>
  <c r="AS395" a="1"/>
  <c r="AS395" s="1"/>
  <c r="AS396" a="1"/>
  <c r="AS396" s="1"/>
  <c r="AS397" a="1"/>
  <c r="AS397" s="1"/>
  <c r="AS398" a="1"/>
  <c r="AS398" s="1"/>
  <c r="AS399" a="1"/>
  <c r="AS399" s="1"/>
  <c r="AS400" a="1"/>
  <c r="AS400" s="1"/>
  <c r="AS62" a="1"/>
  <c r="AS62" s="1"/>
  <c r="AS57" a="1"/>
  <c r="AS57" s="1"/>
  <c r="AS116" a="1"/>
  <c r="AS116" s="1"/>
  <c r="AS92" a="1"/>
  <c r="AS92" s="1"/>
  <c r="AS85" a="1"/>
  <c r="AS85" s="1"/>
  <c r="FE2"/>
  <c r="FE3"/>
  <c r="FE4"/>
  <c r="FE5"/>
  <c r="FE6"/>
  <c r="FE7"/>
  <c r="FE8"/>
  <c r="FE9"/>
  <c r="FE10"/>
  <c r="FE11"/>
  <c r="FE12"/>
  <c r="FE16"/>
  <c r="FE17"/>
  <c r="FE47"/>
  <c r="FE70"/>
  <c r="FE79"/>
  <c r="FE80"/>
  <c r="FE81"/>
  <c r="FE84"/>
  <c r="FE86"/>
  <c r="FE87"/>
  <c r="FE88"/>
  <c r="FE89"/>
  <c r="FE90"/>
  <c r="FE91"/>
  <c r="FE93"/>
  <c r="FE94"/>
  <c r="FE95"/>
  <c r="FE96"/>
  <c r="FE111"/>
  <c r="FE122"/>
  <c r="FE129"/>
  <c r="FE128"/>
  <c r="FE131"/>
  <c r="FE132"/>
  <c r="FE133"/>
  <c r="FE134"/>
  <c r="FE135"/>
  <c r="FE136"/>
  <c r="FE145"/>
  <c r="FE146"/>
  <c r="FE148"/>
  <c r="FE149"/>
  <c r="FE150"/>
  <c r="FE156"/>
  <c r="FE161"/>
  <c r="FE162"/>
  <c r="FE163"/>
  <c r="FE164"/>
  <c r="FE165"/>
  <c r="FE166"/>
  <c r="FE167"/>
  <c r="FE168"/>
  <c r="FE169"/>
  <c r="FE170"/>
  <c r="FE171"/>
  <c r="FE172"/>
  <c r="FE173"/>
  <c r="FE174"/>
  <c r="FE175"/>
  <c r="FE176"/>
  <c r="FE177"/>
  <c r="FE178"/>
  <c r="FE179"/>
  <c r="FE180"/>
  <c r="FE181"/>
  <c r="FE187"/>
  <c r="FE188"/>
  <c r="FE189"/>
  <c r="FE190"/>
  <c r="FE191"/>
  <c r="FE192"/>
  <c r="FE193"/>
  <c r="FE194"/>
  <c r="FE195"/>
  <c r="FE196"/>
  <c r="FE197"/>
  <c r="FE198"/>
  <c r="FE199"/>
  <c r="FE200"/>
  <c r="FE201"/>
  <c r="FE202"/>
  <c r="FE203"/>
  <c r="FE204"/>
  <c r="FE205"/>
  <c r="FE206"/>
  <c r="FE209"/>
  <c r="FE210"/>
  <c r="FE211"/>
  <c r="FE212"/>
  <c r="FE213"/>
  <c r="FE214"/>
  <c r="FE215"/>
  <c r="FE216"/>
  <c r="FE217"/>
  <c r="FE218"/>
  <c r="FE219"/>
  <c r="FE220"/>
  <c r="FE221"/>
  <c r="FE222"/>
  <c r="FE223"/>
  <c r="FE224"/>
  <c r="FE225"/>
  <c r="FE226"/>
  <c r="FE227"/>
  <c r="FE229"/>
  <c r="FE232"/>
  <c r="FE234"/>
  <c r="FE235"/>
  <c r="FE236"/>
  <c r="FE237"/>
  <c r="FE238"/>
  <c r="FE239"/>
  <c r="FE240"/>
  <c r="FE241"/>
  <c r="FE242"/>
  <c r="FE243"/>
  <c r="FE244"/>
  <c r="FE245"/>
  <c r="FE246"/>
  <c r="FE247"/>
  <c r="FE248"/>
  <c r="FE249"/>
  <c r="FE250"/>
  <c r="FE251"/>
  <c r="FE252"/>
  <c r="FE253"/>
  <c r="FE254"/>
  <c r="FE255"/>
  <c r="FE256"/>
  <c r="FE257"/>
  <c r="FE258"/>
  <c r="FE259"/>
  <c r="FE260"/>
  <c r="FE261"/>
  <c r="FE262"/>
  <c r="FE263"/>
  <c r="FE272"/>
  <c r="FE274"/>
  <c r="FE276"/>
  <c r="FE277"/>
  <c r="FE313"/>
  <c r="FE314"/>
  <c r="FE325"/>
  <c r="FE326"/>
  <c r="FE332"/>
  <c r="FE333"/>
  <c r="FE334"/>
  <c r="FE335"/>
  <c r="FE339"/>
  <c r="FE340"/>
  <c r="FE345"/>
  <c r="FE382"/>
  <c r="FE384"/>
  <c r="FE385"/>
  <c r="FE390"/>
  <c r="FE391"/>
  <c r="FE392"/>
  <c r="FE13"/>
  <c r="FE14"/>
  <c r="FE15"/>
  <c r="FE56"/>
  <c r="FE59"/>
  <c r="FE60"/>
  <c r="FE68"/>
  <c r="FE97"/>
  <c r="FE98"/>
  <c r="FE99"/>
  <c r="FE100"/>
  <c r="FE102"/>
  <c r="FE103"/>
  <c r="FE106"/>
  <c r="FE107"/>
  <c r="FE108"/>
  <c r="FE114"/>
  <c r="FE121"/>
  <c r="FE123"/>
  <c r="FE137"/>
  <c r="FE138"/>
  <c r="FE139"/>
  <c r="FE141"/>
  <c r="FE147"/>
  <c r="FE151"/>
  <c r="FE152"/>
  <c r="FE153"/>
  <c r="FE154"/>
  <c r="FE155"/>
  <c r="FE267"/>
  <c r="FE268"/>
  <c r="FE282"/>
  <c r="FE283"/>
  <c r="FE284"/>
  <c r="FE285"/>
  <c r="FE286"/>
  <c r="FE296"/>
  <c r="FE304"/>
  <c r="FE305"/>
  <c r="FE306"/>
  <c r="FE312"/>
  <c r="FE319"/>
  <c r="FE19"/>
  <c r="FE21"/>
  <c r="FE23"/>
  <c r="FE27"/>
  <c r="FE28"/>
  <c r="FE31"/>
  <c r="FE33"/>
  <c r="FE35"/>
  <c r="FE37"/>
  <c r="FE45"/>
  <c r="FE51"/>
  <c r="FE281"/>
  <c r="FE327"/>
  <c r="FE330"/>
  <c r="FE331"/>
  <c r="FE337"/>
  <c r="FE338"/>
  <c r="FE349"/>
  <c r="FE350"/>
  <c r="FE356"/>
  <c r="FE358"/>
  <c r="FE359"/>
  <c r="FE366"/>
  <c r="FE368"/>
  <c r="FE373"/>
  <c r="FE374"/>
  <c r="FE375"/>
  <c r="FE376"/>
  <c r="FE380"/>
  <c r="FE20"/>
  <c r="FE22"/>
  <c r="FE24"/>
  <c r="FE25"/>
  <c r="FE26"/>
  <c r="FE29"/>
  <c r="FE30"/>
  <c r="FE34"/>
  <c r="FE36"/>
  <c r="FE38"/>
  <c r="FE39"/>
  <c r="FE40"/>
  <c r="FE41"/>
  <c r="FE42"/>
  <c r="FE43"/>
  <c r="FE44"/>
  <c r="FE46"/>
  <c r="FE48"/>
  <c r="FE49"/>
  <c r="FE50"/>
  <c r="FE52"/>
  <c r="FE53"/>
  <c r="FE54"/>
  <c r="FE55"/>
  <c r="FE58"/>
  <c r="FE61"/>
  <c r="FE63"/>
  <c r="FE64"/>
  <c r="FE65"/>
  <c r="FE66"/>
  <c r="FE67"/>
  <c r="FE76"/>
  <c r="FE77"/>
  <c r="FE78"/>
  <c r="FE104"/>
  <c r="FE105"/>
  <c r="FE109"/>
  <c r="FE110"/>
  <c r="FE112"/>
  <c r="FE113"/>
  <c r="FE115"/>
  <c r="FE117"/>
  <c r="FE118"/>
  <c r="FE119"/>
  <c r="FE120"/>
  <c r="FE125"/>
  <c r="FE126"/>
  <c r="FE157"/>
  <c r="FE264"/>
  <c r="FE265"/>
  <c r="FE266"/>
  <c r="FE269"/>
  <c r="FE270"/>
  <c r="FE271"/>
  <c r="FE275"/>
  <c r="FE278"/>
  <c r="FE279"/>
  <c r="FE280"/>
  <c r="FE287"/>
  <c r="FE288"/>
  <c r="FE289"/>
  <c r="FE290"/>
  <c r="FE291"/>
  <c r="FE292"/>
  <c r="FE293"/>
  <c r="FE294"/>
  <c r="FE295"/>
  <c r="FE297"/>
  <c r="FE298"/>
  <c r="FE299"/>
  <c r="FE300"/>
  <c r="FE301"/>
  <c r="FE302"/>
  <c r="FE303"/>
  <c r="FE307"/>
  <c r="FE308"/>
  <c r="FE309"/>
  <c r="FE310"/>
  <c r="FE311"/>
  <c r="FE315"/>
  <c r="FE316"/>
  <c r="FE317"/>
  <c r="FE321"/>
  <c r="FE322"/>
  <c r="FE323"/>
  <c r="FE324"/>
  <c r="FE328"/>
  <c r="FE329"/>
  <c r="FE341"/>
  <c r="FE342"/>
  <c r="FE343"/>
  <c r="FE344"/>
  <c r="FE346"/>
  <c r="FE348"/>
  <c r="FE353"/>
  <c r="FE355"/>
  <c r="FE357"/>
  <c r="FE360"/>
  <c r="FE361"/>
  <c r="FE362"/>
  <c r="FE363"/>
  <c r="FE364"/>
  <c r="FE365"/>
  <c r="FE367"/>
  <c r="FE369"/>
  <c r="FE370"/>
  <c r="FE371"/>
  <c r="FE377"/>
  <c r="FE378"/>
  <c r="FE379"/>
  <c r="FE381"/>
  <c r="FE388"/>
  <c r="FE389"/>
  <c r="FE393"/>
  <c r="FE394"/>
  <c r="FE395"/>
  <c r="FE396"/>
  <c r="FE397"/>
  <c r="FE398"/>
  <c r="FE399"/>
  <c r="FE400"/>
  <c r="FE62"/>
  <c r="FE57"/>
  <c r="FE116"/>
  <c r="FE92"/>
  <c r="FE85"/>
  <c r="EO2"/>
  <c r="EO3"/>
  <c r="EO4"/>
  <c r="EO5"/>
  <c r="EO6"/>
  <c r="EO7"/>
  <c r="EO8"/>
  <c r="EO9"/>
  <c r="EO10"/>
  <c r="EO11"/>
  <c r="EO12"/>
  <c r="EO16"/>
  <c r="EO17"/>
  <c r="EO47"/>
  <c r="EO70"/>
  <c r="EO79"/>
  <c r="EO80"/>
  <c r="EO81"/>
  <c r="EO84"/>
  <c r="EO86"/>
  <c r="EO87"/>
  <c r="EO88"/>
  <c r="EO89"/>
  <c r="EO90"/>
  <c r="EO91"/>
  <c r="EO93"/>
  <c r="EO94"/>
  <c r="EO95"/>
  <c r="EO96"/>
  <c r="EO111"/>
  <c r="EO122"/>
  <c r="EO129"/>
  <c r="EO128"/>
  <c r="EO131"/>
  <c r="EO132"/>
  <c r="EO133"/>
  <c r="EO134"/>
  <c r="EO135"/>
  <c r="EO136"/>
  <c r="EO145"/>
  <c r="EO146"/>
  <c r="EO148"/>
  <c r="EO149"/>
  <c r="EO150"/>
  <c r="EO156"/>
  <c r="EO161"/>
  <c r="EO162"/>
  <c r="EO163"/>
  <c r="EO164"/>
  <c r="EO165"/>
  <c r="EO166"/>
  <c r="EO167"/>
  <c r="EO168"/>
  <c r="EO169"/>
  <c r="EO170"/>
  <c r="EO171"/>
  <c r="EO172"/>
  <c r="EO173"/>
  <c r="EO174"/>
  <c r="EO175"/>
  <c r="EO176"/>
  <c r="EO177"/>
  <c r="EO178"/>
  <c r="EO179"/>
  <c r="EO180"/>
  <c r="EO181"/>
  <c r="EO187"/>
  <c r="EO188"/>
  <c r="EO189"/>
  <c r="EO190"/>
  <c r="EO191"/>
  <c r="EO192"/>
  <c r="EO193"/>
  <c r="EO194"/>
  <c r="EO195"/>
  <c r="EO196"/>
  <c r="EO197"/>
  <c r="EO198"/>
  <c r="EO199"/>
  <c r="EO200"/>
  <c r="EO201"/>
  <c r="EO202"/>
  <c r="EO203"/>
  <c r="EO204"/>
  <c r="EO205"/>
  <c r="EO206"/>
  <c r="EO209"/>
  <c r="EO210"/>
  <c r="EO211"/>
  <c r="EO212"/>
  <c r="EO213"/>
  <c r="EO214"/>
  <c r="EO215"/>
  <c r="EO216"/>
  <c r="EO217"/>
  <c r="EO218"/>
  <c r="EO219"/>
  <c r="EO220"/>
  <c r="EO221"/>
  <c r="EO222"/>
  <c r="EO223"/>
  <c r="EO224"/>
  <c r="EO225"/>
  <c r="EO226"/>
  <c r="EO227"/>
  <c r="EO229"/>
  <c r="EO232"/>
  <c r="EO234"/>
  <c r="EO235"/>
  <c r="EO236"/>
  <c r="EO237"/>
  <c r="EO238"/>
  <c r="EO239"/>
  <c r="EO240"/>
  <c r="EO241"/>
  <c r="EO242"/>
  <c r="EO243"/>
  <c r="EO244"/>
  <c r="EO245"/>
  <c r="EO246"/>
  <c r="EO247"/>
  <c r="EO248"/>
  <c r="EO249"/>
  <c r="EO250"/>
  <c r="EO251"/>
  <c r="EO252"/>
  <c r="EO253"/>
  <c r="EO254"/>
  <c r="EO255"/>
  <c r="EO256"/>
  <c r="EO257"/>
  <c r="EO258"/>
  <c r="EO259"/>
  <c r="EO260"/>
  <c r="EO261"/>
  <c r="EO262"/>
  <c r="EO263"/>
  <c r="EO272"/>
  <c r="EO274"/>
  <c r="EO276"/>
  <c r="EO277"/>
  <c r="EO313"/>
  <c r="EO314"/>
  <c r="EO325"/>
  <c r="EO326"/>
  <c r="EO332"/>
  <c r="EO333"/>
  <c r="EO334"/>
  <c r="EO335"/>
  <c r="EO339"/>
  <c r="EO340"/>
  <c r="EO345"/>
  <c r="EO382"/>
  <c r="EO384"/>
  <c r="EO385"/>
  <c r="EO390"/>
  <c r="EO391"/>
  <c r="EO392"/>
  <c r="EO13"/>
  <c r="EO14"/>
  <c r="EO15"/>
  <c r="EO56"/>
  <c r="EO59"/>
  <c r="EO60"/>
  <c r="EO68"/>
  <c r="EO97"/>
  <c r="EO98"/>
  <c r="EO99"/>
  <c r="EO100"/>
  <c r="EO102"/>
  <c r="EO103"/>
  <c r="EO106"/>
  <c r="EO107"/>
  <c r="EO108"/>
  <c r="EO114"/>
  <c r="EO121"/>
  <c r="EO123"/>
  <c r="EO137"/>
  <c r="EO138"/>
  <c r="EO139"/>
  <c r="EO141"/>
  <c r="EO147"/>
  <c r="EO151"/>
  <c r="EO152"/>
  <c r="EO153"/>
  <c r="EO154"/>
  <c r="EO155"/>
  <c r="EO267"/>
  <c r="EO268"/>
  <c r="EO282"/>
  <c r="EO283"/>
  <c r="EO284"/>
  <c r="EO285"/>
  <c r="EO286"/>
  <c r="EO296"/>
  <c r="EO304"/>
  <c r="EO305"/>
  <c r="EO306"/>
  <c r="EO312"/>
  <c r="EO319"/>
  <c r="EO19"/>
  <c r="EO21"/>
  <c r="EO23"/>
  <c r="EO27"/>
  <c r="EO28"/>
  <c r="EO31"/>
  <c r="EO33"/>
  <c r="EO35"/>
  <c r="EO37"/>
  <c r="EO45"/>
  <c r="EO51"/>
  <c r="EO281"/>
  <c r="EO327"/>
  <c r="EO330"/>
  <c r="EO331"/>
  <c r="EO337"/>
  <c r="EO338"/>
  <c r="EO349"/>
  <c r="EO350"/>
  <c r="EO356"/>
  <c r="EO358"/>
  <c r="EO359"/>
  <c r="EO366"/>
  <c r="EO368"/>
  <c r="EO373"/>
  <c r="EO374"/>
  <c r="EO375"/>
  <c r="EO376"/>
  <c r="EO380"/>
  <c r="EO20"/>
  <c r="EO22"/>
  <c r="EO24"/>
  <c r="EO25"/>
  <c r="EO26"/>
  <c r="EO29"/>
  <c r="EO30"/>
  <c r="EO34"/>
  <c r="EO36"/>
  <c r="EO38"/>
  <c r="EO39"/>
  <c r="EO40"/>
  <c r="EO41"/>
  <c r="EO42"/>
  <c r="EO43"/>
  <c r="EO44"/>
  <c r="EO46"/>
  <c r="EO48"/>
  <c r="EO49"/>
  <c r="EO50"/>
  <c r="EO52"/>
  <c r="EO53"/>
  <c r="EO54"/>
  <c r="EO55"/>
  <c r="EO58"/>
  <c r="EO61"/>
  <c r="EO63"/>
  <c r="EO64"/>
  <c r="EO65"/>
  <c r="EO66"/>
  <c r="EO67"/>
  <c r="EO76"/>
  <c r="EO77"/>
  <c r="EO78"/>
  <c r="EO104"/>
  <c r="EO105"/>
  <c r="EO109"/>
  <c r="EO110"/>
  <c r="EO112"/>
  <c r="EO113"/>
  <c r="EO115"/>
  <c r="EO117"/>
  <c r="EO118"/>
  <c r="EO119"/>
  <c r="EO120"/>
  <c r="EO125"/>
  <c r="EO126"/>
  <c r="EO157"/>
  <c r="EO264"/>
  <c r="EO265"/>
  <c r="EO266"/>
  <c r="EO269"/>
  <c r="EO270"/>
  <c r="EO271"/>
  <c r="EO275"/>
  <c r="EO278"/>
  <c r="EO279"/>
  <c r="EO280"/>
  <c r="EO287"/>
  <c r="EO288"/>
  <c r="EO289"/>
  <c r="EO290"/>
  <c r="EO291"/>
  <c r="EO292"/>
  <c r="EO293"/>
  <c r="EO294"/>
  <c r="EO295"/>
  <c r="EO297"/>
  <c r="EO298"/>
  <c r="EO299"/>
  <c r="EO300"/>
  <c r="EO301"/>
  <c r="EO302"/>
  <c r="EO303"/>
  <c r="EO307"/>
  <c r="EO308"/>
  <c r="EO309"/>
  <c r="EO310"/>
  <c r="EO311"/>
  <c r="EO315"/>
  <c r="EO316"/>
  <c r="EO317"/>
  <c r="EO321"/>
  <c r="EO322"/>
  <c r="EO323"/>
  <c r="EO324"/>
  <c r="EO328"/>
  <c r="EO329"/>
  <c r="EO341"/>
  <c r="EO342"/>
  <c r="EO343"/>
  <c r="EO344"/>
  <c r="EO346"/>
  <c r="EO348"/>
  <c r="EO353"/>
  <c r="EO355"/>
  <c r="EO357"/>
  <c r="EO360"/>
  <c r="EO361"/>
  <c r="EO362"/>
  <c r="EO363"/>
  <c r="EO364"/>
  <c r="EO365"/>
  <c r="EO367"/>
  <c r="EO369"/>
  <c r="EO370"/>
  <c r="EO371"/>
  <c r="EO377"/>
  <c r="EO378"/>
  <c r="EO379"/>
  <c r="EO381"/>
  <c r="EO388"/>
  <c r="EO389"/>
  <c r="EO393"/>
  <c r="EO394"/>
  <c r="EO395"/>
  <c r="EO396"/>
  <c r="EO397"/>
  <c r="EO398"/>
  <c r="EO399"/>
  <c r="EO400"/>
  <c r="EO62"/>
  <c r="EO57"/>
  <c r="EO116"/>
  <c r="EO92"/>
  <c r="EO85"/>
  <c r="DY2"/>
  <c r="DY3"/>
  <c r="DY4"/>
  <c r="DY5"/>
  <c r="DY6"/>
  <c r="DY7"/>
  <c r="DY8"/>
  <c r="DY9"/>
  <c r="DY10"/>
  <c r="DY11"/>
  <c r="DY12"/>
  <c r="DY16"/>
  <c r="DY17"/>
  <c r="DY47"/>
  <c r="DY70"/>
  <c r="DY79"/>
  <c r="DY80"/>
  <c r="DY81"/>
  <c r="DY84"/>
  <c r="DY86"/>
  <c r="DY87"/>
  <c r="DY88"/>
  <c r="DY89"/>
  <c r="DY90"/>
  <c r="DY91"/>
  <c r="DY93"/>
  <c r="DY94"/>
  <c r="DY95"/>
  <c r="DY96"/>
  <c r="DY111"/>
  <c r="DY122"/>
  <c r="DY129"/>
  <c r="DY128"/>
  <c r="DY131"/>
  <c r="DY132"/>
  <c r="DY133"/>
  <c r="DY134"/>
  <c r="DY135"/>
  <c r="DY136"/>
  <c r="DY145"/>
  <c r="DY146"/>
  <c r="DY148"/>
  <c r="DY149"/>
  <c r="DY150"/>
  <c r="DY156"/>
  <c r="DY161"/>
  <c r="DY162"/>
  <c r="DY163"/>
  <c r="DY164"/>
  <c r="DY165"/>
  <c r="DY166"/>
  <c r="DY167"/>
  <c r="DY168"/>
  <c r="DY169"/>
  <c r="DY170"/>
  <c r="DY171"/>
  <c r="DY172"/>
  <c r="DY173"/>
  <c r="DY174"/>
  <c r="DY175"/>
  <c r="DY176"/>
  <c r="DY177"/>
  <c r="DY178"/>
  <c r="DY179"/>
  <c r="DY180"/>
  <c r="DY181"/>
  <c r="DY187"/>
  <c r="DY188"/>
  <c r="DY189"/>
  <c r="DY190"/>
  <c r="DY191"/>
  <c r="DY192"/>
  <c r="DY193"/>
  <c r="DY194"/>
  <c r="DY195"/>
  <c r="DY196"/>
  <c r="DY197"/>
  <c r="DY198"/>
  <c r="DY199"/>
  <c r="DY200"/>
  <c r="DY201"/>
  <c r="DY202"/>
  <c r="DY203"/>
  <c r="DY204"/>
  <c r="DY205"/>
  <c r="DY206"/>
  <c r="DY209"/>
  <c r="DY210"/>
  <c r="DY211"/>
  <c r="DY212"/>
  <c r="DY213"/>
  <c r="DY214"/>
  <c r="DY215"/>
  <c r="DY216"/>
  <c r="DY217"/>
  <c r="DY218"/>
  <c r="DY219"/>
  <c r="DY220"/>
  <c r="DY221"/>
  <c r="DY222"/>
  <c r="DY223"/>
  <c r="DY224"/>
  <c r="DY225"/>
  <c r="DY226"/>
  <c r="DY227"/>
  <c r="DY229"/>
  <c r="DY232"/>
  <c r="DY234"/>
  <c r="DY235"/>
  <c r="DY236"/>
  <c r="DY237"/>
  <c r="DY238"/>
  <c r="DY239"/>
  <c r="DY240"/>
  <c r="DY241"/>
  <c r="DY242"/>
  <c r="DY243"/>
  <c r="DY244"/>
  <c r="DY245"/>
  <c r="DY246"/>
  <c r="DY247"/>
  <c r="DY248"/>
  <c r="DY249"/>
  <c r="DY250"/>
  <c r="DY251"/>
  <c r="DY252"/>
  <c r="DY253"/>
  <c r="DY254"/>
  <c r="DY255"/>
  <c r="DY256"/>
  <c r="DY257"/>
  <c r="DY258"/>
  <c r="DY259"/>
  <c r="DY260"/>
  <c r="DY261"/>
  <c r="DY262"/>
  <c r="DY263"/>
  <c r="DY272"/>
  <c r="DY274"/>
  <c r="DY276"/>
  <c r="DY277"/>
  <c r="DY313"/>
  <c r="DY314"/>
  <c r="DY325"/>
  <c r="DY326"/>
  <c r="DY332"/>
  <c r="DY333"/>
  <c r="DY334"/>
  <c r="DY335"/>
  <c r="DY339"/>
  <c r="DY340"/>
  <c r="DY345"/>
  <c r="DY382"/>
  <c r="DY384"/>
  <c r="DY385"/>
  <c r="DY390"/>
  <c r="DY391"/>
  <c r="DY392"/>
  <c r="DY13"/>
  <c r="DY14"/>
  <c r="DY15"/>
  <c r="DY56"/>
  <c r="DY59"/>
  <c r="DY60"/>
  <c r="DY68"/>
  <c r="DY97"/>
  <c r="DY98"/>
  <c r="DY99"/>
  <c r="DY100"/>
  <c r="DY102"/>
  <c r="DY103"/>
  <c r="DY106"/>
  <c r="DY107"/>
  <c r="DY108"/>
  <c r="DY114"/>
  <c r="DY121"/>
  <c r="DY123"/>
  <c r="DY137"/>
  <c r="DY138"/>
  <c r="DY139"/>
  <c r="DY141"/>
  <c r="DY147"/>
  <c r="DY151"/>
  <c r="DY152"/>
  <c r="DY153"/>
  <c r="DY154"/>
  <c r="DY155"/>
  <c r="DY267"/>
  <c r="DY268"/>
  <c r="DY282"/>
  <c r="DY283"/>
  <c r="DY284"/>
  <c r="DY285"/>
  <c r="DY286"/>
  <c r="DY296"/>
  <c r="DY304"/>
  <c r="DY305"/>
  <c r="DY306"/>
  <c r="DY312"/>
  <c r="DY319"/>
  <c r="DY19"/>
  <c r="DY21"/>
  <c r="DY23"/>
  <c r="DY27"/>
  <c r="DY28"/>
  <c r="DY31"/>
  <c r="DY33"/>
  <c r="DY35"/>
  <c r="DY37"/>
  <c r="DY45"/>
  <c r="DY51"/>
  <c r="DY281"/>
  <c r="DY327"/>
  <c r="DY330"/>
  <c r="DY331"/>
  <c r="DY337"/>
  <c r="DY338"/>
  <c r="DY349"/>
  <c r="DY350"/>
  <c r="DY356"/>
  <c r="DY358"/>
  <c r="DY359"/>
  <c r="DY366"/>
  <c r="DY368"/>
  <c r="DY373"/>
  <c r="DY374"/>
  <c r="DY375"/>
  <c r="DY376"/>
  <c r="DY380"/>
  <c r="DY20"/>
  <c r="DY22"/>
  <c r="DY24"/>
  <c r="DY25"/>
  <c r="DY26"/>
  <c r="DY29"/>
  <c r="DY30"/>
  <c r="DY34"/>
  <c r="DY36"/>
  <c r="DY38"/>
  <c r="DY39"/>
  <c r="DY40"/>
  <c r="DY41"/>
  <c r="DY42"/>
  <c r="DY43"/>
  <c r="DY44"/>
  <c r="DY46"/>
  <c r="DY48"/>
  <c r="DY49"/>
  <c r="DY50"/>
  <c r="DY52"/>
  <c r="DY53"/>
  <c r="DY54"/>
  <c r="DY55"/>
  <c r="DY58"/>
  <c r="DY61"/>
  <c r="DY63"/>
  <c r="DY64"/>
  <c r="DY65"/>
  <c r="DY66"/>
  <c r="DY67"/>
  <c r="DY76"/>
  <c r="DY77"/>
  <c r="DY78"/>
  <c r="DY104"/>
  <c r="DY105"/>
  <c r="DY109"/>
  <c r="DY110"/>
  <c r="DY112"/>
  <c r="DY113"/>
  <c r="DY115"/>
  <c r="DY117"/>
  <c r="DY118"/>
  <c r="DY119"/>
  <c r="DY120"/>
  <c r="DY125"/>
  <c r="DY126"/>
  <c r="DY157"/>
  <c r="DY264"/>
  <c r="DY265"/>
  <c r="DY266"/>
  <c r="DY269"/>
  <c r="DY270"/>
  <c r="DY271"/>
  <c r="DY275"/>
  <c r="DY278"/>
  <c r="DY279"/>
  <c r="DY280"/>
  <c r="DY287"/>
  <c r="DY288"/>
  <c r="DY289"/>
  <c r="DY290"/>
  <c r="DY291"/>
  <c r="DY292"/>
  <c r="DY293"/>
  <c r="DY294"/>
  <c r="DY295"/>
  <c r="DY297"/>
  <c r="DY298"/>
  <c r="DY299"/>
  <c r="DY300"/>
  <c r="DY301"/>
  <c r="DY302"/>
  <c r="DY303"/>
  <c r="DY307"/>
  <c r="DY308"/>
  <c r="DY309"/>
  <c r="DY310"/>
  <c r="DY311"/>
  <c r="DY315"/>
  <c r="DY316"/>
  <c r="DY317"/>
  <c r="DY321"/>
  <c r="DY322"/>
  <c r="DY323"/>
  <c r="DY324"/>
  <c r="DY328"/>
  <c r="DY329"/>
  <c r="DY341"/>
  <c r="DY342"/>
  <c r="DY343"/>
  <c r="DY344"/>
  <c r="DY346"/>
  <c r="DY348"/>
  <c r="DY353"/>
  <c r="DY355"/>
  <c r="DY357"/>
  <c r="DY360"/>
  <c r="DY361"/>
  <c r="DY362"/>
  <c r="DY363"/>
  <c r="DY364"/>
  <c r="DY365"/>
  <c r="DY367"/>
  <c r="DY369"/>
  <c r="DY370"/>
  <c r="DY371"/>
  <c r="DY377"/>
  <c r="DY378"/>
  <c r="DY379"/>
  <c r="DY381"/>
  <c r="DY388"/>
  <c r="DY389"/>
  <c r="DY393"/>
  <c r="DY394"/>
  <c r="DY395"/>
  <c r="DY396"/>
  <c r="DY397"/>
  <c r="DY398"/>
  <c r="DY399"/>
  <c r="DY400"/>
  <c r="DY62"/>
  <c r="DY57"/>
  <c r="DY116"/>
  <c r="DY92"/>
  <c r="DY85"/>
  <c r="DI2"/>
  <c r="DI3"/>
  <c r="DI4"/>
  <c r="DI5"/>
  <c r="DI6"/>
  <c r="DI7"/>
  <c r="DI8"/>
  <c r="DI9"/>
  <c r="DI10"/>
  <c r="DI11"/>
  <c r="DI12"/>
  <c r="DI16"/>
  <c r="DI17"/>
  <c r="DI47"/>
  <c r="DI70"/>
  <c r="DI79"/>
  <c r="DI80"/>
  <c r="DI81"/>
  <c r="DI84"/>
  <c r="DI86"/>
  <c r="DI87"/>
  <c r="DI88"/>
  <c r="DI89"/>
  <c r="DI90"/>
  <c r="DI91"/>
  <c r="DI93"/>
  <c r="DI94"/>
  <c r="DI95"/>
  <c r="DI96"/>
  <c r="DI111"/>
  <c r="DI122"/>
  <c r="DI129"/>
  <c r="DI128"/>
  <c r="DI131"/>
  <c r="DI132"/>
  <c r="DI133"/>
  <c r="DI134"/>
  <c r="DI135"/>
  <c r="DI136"/>
  <c r="DI145"/>
  <c r="DI146"/>
  <c r="DI148"/>
  <c r="DI149"/>
  <c r="DI150"/>
  <c r="DI156"/>
  <c r="DI161"/>
  <c r="DI162"/>
  <c r="DI163"/>
  <c r="DI164"/>
  <c r="DI165"/>
  <c r="DI166"/>
  <c r="DI167"/>
  <c r="DI168"/>
  <c r="DI169"/>
  <c r="DI170"/>
  <c r="DI171"/>
  <c r="DI172"/>
  <c r="DI173"/>
  <c r="DI174"/>
  <c r="DI175"/>
  <c r="DI176"/>
  <c r="DI177"/>
  <c r="DI178"/>
  <c r="DI179"/>
  <c r="DI180"/>
  <c r="DI181"/>
  <c r="DI187"/>
  <c r="DI188"/>
  <c r="DI189"/>
  <c r="DI190"/>
  <c r="DI191"/>
  <c r="DI192"/>
  <c r="DI193"/>
  <c r="DI194"/>
  <c r="DI195"/>
  <c r="DI196"/>
  <c r="DI197"/>
  <c r="DI198"/>
  <c r="DI199"/>
  <c r="DI200"/>
  <c r="DI201"/>
  <c r="DI202"/>
  <c r="DI203"/>
  <c r="DI204"/>
  <c r="DI205"/>
  <c r="DI206"/>
  <c r="DI209"/>
  <c r="DI210"/>
  <c r="DI211"/>
  <c r="DI212"/>
  <c r="DI213"/>
  <c r="DI214"/>
  <c r="DI215"/>
  <c r="DI216"/>
  <c r="DI217"/>
  <c r="DI218"/>
  <c r="DI219"/>
  <c r="DI220"/>
  <c r="DI221"/>
  <c r="DI222"/>
  <c r="DI223"/>
  <c r="DI224"/>
  <c r="DI225"/>
  <c r="DI226"/>
  <c r="DI227"/>
  <c r="DI229"/>
  <c r="DI232"/>
  <c r="DI234"/>
  <c r="DI235"/>
  <c r="DI236"/>
  <c r="DI237"/>
  <c r="DI238"/>
  <c r="DI239"/>
  <c r="DI240"/>
  <c r="DI241"/>
  <c r="DI242"/>
  <c r="DI243"/>
  <c r="DI244"/>
  <c r="DI245"/>
  <c r="DI246"/>
  <c r="DI247"/>
  <c r="DI248"/>
  <c r="DI249"/>
  <c r="DI250"/>
  <c r="DI251"/>
  <c r="DI252"/>
  <c r="DI253"/>
  <c r="DI254"/>
  <c r="DI255"/>
  <c r="DI256"/>
  <c r="DI257"/>
  <c r="DI258"/>
  <c r="DI259"/>
  <c r="DI260"/>
  <c r="DI261"/>
  <c r="DI262"/>
  <c r="DI263"/>
  <c r="DI272"/>
  <c r="DI274"/>
  <c r="DI276"/>
  <c r="DI277"/>
  <c r="DI313"/>
  <c r="DI314"/>
  <c r="DI325"/>
  <c r="DI326"/>
  <c r="DI332"/>
  <c r="DI333"/>
  <c r="DI334"/>
  <c r="DI335"/>
  <c r="DI339"/>
  <c r="DI340"/>
  <c r="DI345"/>
  <c r="DI382"/>
  <c r="DI384"/>
  <c r="DI385"/>
  <c r="DI390"/>
  <c r="DI391"/>
  <c r="DI392"/>
  <c r="DI13"/>
  <c r="DI14"/>
  <c r="DI15"/>
  <c r="DI56"/>
  <c r="DI59"/>
  <c r="DI60"/>
  <c r="DI68"/>
  <c r="DI97"/>
  <c r="DI98"/>
  <c r="DI99"/>
  <c r="DI100"/>
  <c r="DI102"/>
  <c r="DI103"/>
  <c r="DI106"/>
  <c r="DI107"/>
  <c r="DI108"/>
  <c r="DI114"/>
  <c r="DI121"/>
  <c r="DI123"/>
  <c r="DI137"/>
  <c r="DI138"/>
  <c r="DI139"/>
  <c r="DI141"/>
  <c r="DI147"/>
  <c r="DI151"/>
  <c r="DI152"/>
  <c r="DI153"/>
  <c r="DI154"/>
  <c r="DI155"/>
  <c r="DI267"/>
  <c r="DI268"/>
  <c r="DI282"/>
  <c r="DI283"/>
  <c r="DI284"/>
  <c r="DI285"/>
  <c r="DI286"/>
  <c r="DI296"/>
  <c r="DI304"/>
  <c r="DI305"/>
  <c r="DI306"/>
  <c r="DI312"/>
  <c r="DI319"/>
  <c r="DI19"/>
  <c r="DI21"/>
  <c r="DI23"/>
  <c r="DI27"/>
  <c r="DI28"/>
  <c r="DI31"/>
  <c r="DI33"/>
  <c r="DI35"/>
  <c r="DI37"/>
  <c r="DI45"/>
  <c r="DI51"/>
  <c r="DI281"/>
  <c r="DI327"/>
  <c r="DI330"/>
  <c r="DI331"/>
  <c r="DI337"/>
  <c r="DI338"/>
  <c r="DI349"/>
  <c r="DI350"/>
  <c r="DI356"/>
  <c r="DI358"/>
  <c r="DI359"/>
  <c r="DI366"/>
  <c r="DI368"/>
  <c r="DI373"/>
  <c r="DI374"/>
  <c r="DI375"/>
  <c r="DI376"/>
  <c r="DI380"/>
  <c r="DI20"/>
  <c r="DI22"/>
  <c r="DI24"/>
  <c r="DI25"/>
  <c r="DI26"/>
  <c r="DI29"/>
  <c r="DI30"/>
  <c r="DI34"/>
  <c r="DI36"/>
  <c r="DI38"/>
  <c r="DI39"/>
  <c r="DI40"/>
  <c r="DI41"/>
  <c r="DI42"/>
  <c r="DI43"/>
  <c r="DI44"/>
  <c r="DI46"/>
  <c r="DI48"/>
  <c r="DI49"/>
  <c r="DI50"/>
  <c r="DI52"/>
  <c r="DI53"/>
  <c r="DI54"/>
  <c r="DI55"/>
  <c r="DI58"/>
  <c r="DI61"/>
  <c r="DI63"/>
  <c r="DI64"/>
  <c r="DI65"/>
  <c r="DI66"/>
  <c r="DI67"/>
  <c r="DI76"/>
  <c r="DI77"/>
  <c r="DI78"/>
  <c r="DI104"/>
  <c r="DI105"/>
  <c r="DI109"/>
  <c r="DI110"/>
  <c r="DI112"/>
  <c r="DI113"/>
  <c r="DI115"/>
  <c r="DI117"/>
  <c r="DI118"/>
  <c r="DI119"/>
  <c r="DI120"/>
  <c r="DI125"/>
  <c r="DI126"/>
  <c r="DI157"/>
  <c r="DI264"/>
  <c r="DI265"/>
  <c r="DI266"/>
  <c r="DI269"/>
  <c r="DI270"/>
  <c r="DI271"/>
  <c r="DI275"/>
  <c r="DI278"/>
  <c r="DI279"/>
  <c r="DI280"/>
  <c r="DI287"/>
  <c r="DI288"/>
  <c r="DI289"/>
  <c r="DI290"/>
  <c r="DI291"/>
  <c r="DI292"/>
  <c r="DI293"/>
  <c r="DI294"/>
  <c r="DI295"/>
  <c r="DI297"/>
  <c r="DI298"/>
  <c r="DI299"/>
  <c r="DI300"/>
  <c r="DI301"/>
  <c r="DI302"/>
  <c r="DI303"/>
  <c r="DI307"/>
  <c r="DI308"/>
  <c r="DI309"/>
  <c r="DI310"/>
  <c r="DI311"/>
  <c r="DI315"/>
  <c r="DI316"/>
  <c r="DI317"/>
  <c r="DI321"/>
  <c r="DI322"/>
  <c r="DI323"/>
  <c r="DI324"/>
  <c r="DI328"/>
  <c r="DI329"/>
  <c r="DI341"/>
  <c r="DI342"/>
  <c r="DI343"/>
  <c r="DI344"/>
  <c r="DI346"/>
  <c r="DI348"/>
  <c r="DI353"/>
  <c r="DI355"/>
  <c r="DI357"/>
  <c r="DI360"/>
  <c r="DI361"/>
  <c r="DI362"/>
  <c r="DI363"/>
  <c r="DI364"/>
  <c r="DI365"/>
  <c r="DI367"/>
  <c r="DI369"/>
  <c r="DI370"/>
  <c r="DI371"/>
  <c r="DI377"/>
  <c r="DI378"/>
  <c r="DI379"/>
  <c r="DI381"/>
  <c r="DI388"/>
  <c r="DI389"/>
  <c r="DI393"/>
  <c r="DI394"/>
  <c r="DI395"/>
  <c r="DI396"/>
  <c r="DI397"/>
  <c r="DI398"/>
  <c r="DI399"/>
  <c r="DI400"/>
  <c r="DI62"/>
  <c r="DI57"/>
  <c r="DI116"/>
  <c r="DI92"/>
  <c r="DI85"/>
  <c r="CS2"/>
  <c r="CS3"/>
  <c r="CS4"/>
  <c r="CS5"/>
  <c r="CS6"/>
  <c r="CS7"/>
  <c r="CS8"/>
  <c r="CS9"/>
  <c r="CS10"/>
  <c r="CS11"/>
  <c r="CS12"/>
  <c r="CS16"/>
  <c r="CS17"/>
  <c r="CS47"/>
  <c r="CS70"/>
  <c r="CS79"/>
  <c r="CS80"/>
  <c r="CS81"/>
  <c r="CS84"/>
  <c r="CS86"/>
  <c r="CS87"/>
  <c r="CS88"/>
  <c r="CS89"/>
  <c r="CS90"/>
  <c r="CS91"/>
  <c r="CS93"/>
  <c r="CS94"/>
  <c r="CS95"/>
  <c r="CS96"/>
  <c r="CS111"/>
  <c r="CS122"/>
  <c r="CS129"/>
  <c r="CS128"/>
  <c r="CS131"/>
  <c r="CS132"/>
  <c r="CS133"/>
  <c r="CS134"/>
  <c r="CS135"/>
  <c r="CS136"/>
  <c r="CS145"/>
  <c r="CS146"/>
  <c r="CS148"/>
  <c r="CS149"/>
  <c r="CS150"/>
  <c r="CS156"/>
  <c r="CS161"/>
  <c r="CS162"/>
  <c r="CS163"/>
  <c r="CS164"/>
  <c r="CS165"/>
  <c r="CS166"/>
  <c r="CS167"/>
  <c r="CS168"/>
  <c r="CS169"/>
  <c r="CS170"/>
  <c r="CS171"/>
  <c r="CS172"/>
  <c r="CS173"/>
  <c r="CS174"/>
  <c r="CS175"/>
  <c r="CS176"/>
  <c r="CS177"/>
  <c r="CS178"/>
  <c r="CS179"/>
  <c r="CS180"/>
  <c r="CS181"/>
  <c r="CS187"/>
  <c r="CS188"/>
  <c r="CS189"/>
  <c r="CS190"/>
  <c r="CS191"/>
  <c r="CS192"/>
  <c r="CS193"/>
  <c r="CS194"/>
  <c r="CS195"/>
  <c r="CS196"/>
  <c r="CS197"/>
  <c r="CS198"/>
  <c r="CS199"/>
  <c r="CS200"/>
  <c r="CS201"/>
  <c r="CS202"/>
  <c r="CS203"/>
  <c r="CS204"/>
  <c r="CS205"/>
  <c r="CS206"/>
  <c r="CS209"/>
  <c r="CS210"/>
  <c r="CS211"/>
  <c r="CS212"/>
  <c r="CS213"/>
  <c r="CS214"/>
  <c r="CS215"/>
  <c r="CS216"/>
  <c r="CS217"/>
  <c r="CS218"/>
  <c r="CS219"/>
  <c r="CS220"/>
  <c r="CS221"/>
  <c r="CS222"/>
  <c r="CS223"/>
  <c r="CS224"/>
  <c r="CS225"/>
  <c r="CS226"/>
  <c r="CS227"/>
  <c r="CS229"/>
  <c r="CS232"/>
  <c r="CS234"/>
  <c r="CS235"/>
  <c r="CS236"/>
  <c r="CS237"/>
  <c r="CS238"/>
  <c r="CS239"/>
  <c r="CS240"/>
  <c r="CS241"/>
  <c r="CS242"/>
  <c r="CS243"/>
  <c r="CS244"/>
  <c r="CS245"/>
  <c r="CS246"/>
  <c r="CS247"/>
  <c r="CS248"/>
  <c r="CS249"/>
  <c r="CS250"/>
  <c r="CS251"/>
  <c r="CS252"/>
  <c r="CS253"/>
  <c r="CS254"/>
  <c r="CS255"/>
  <c r="CS256"/>
  <c r="CS257"/>
  <c r="CS258"/>
  <c r="CS259"/>
  <c r="CS260"/>
  <c r="CS261"/>
  <c r="CS262"/>
  <c r="CS263"/>
  <c r="CS272"/>
  <c r="CS274"/>
  <c r="CS276"/>
  <c r="CS277"/>
  <c r="CS313"/>
  <c r="CS314"/>
  <c r="CS325"/>
  <c r="CS326"/>
  <c r="CS332"/>
  <c r="CS333"/>
  <c r="CS334"/>
  <c r="CS335"/>
  <c r="CS339"/>
  <c r="CS340"/>
  <c r="CS345"/>
  <c r="CS382"/>
  <c r="CS384"/>
  <c r="CS385"/>
  <c r="CS390"/>
  <c r="CS391"/>
  <c r="CS392"/>
  <c r="CS13"/>
  <c r="CS14"/>
  <c r="CS15"/>
  <c r="CS56"/>
  <c r="CS59"/>
  <c r="CS60"/>
  <c r="CS68"/>
  <c r="CS97"/>
  <c r="CS98"/>
  <c r="CS99"/>
  <c r="CS100"/>
  <c r="CS102"/>
  <c r="CS103"/>
  <c r="CS106"/>
  <c r="CS107"/>
  <c r="CS108"/>
  <c r="CS114"/>
  <c r="CS121"/>
  <c r="CS123"/>
  <c r="CS137"/>
  <c r="CS138"/>
  <c r="CS139"/>
  <c r="CS141"/>
  <c r="CS147"/>
  <c r="CS151"/>
  <c r="CS152"/>
  <c r="CS153"/>
  <c r="CS154"/>
  <c r="CS155"/>
  <c r="CS267"/>
  <c r="CS268"/>
  <c r="CS282"/>
  <c r="CS283"/>
  <c r="CS284"/>
  <c r="CS285"/>
  <c r="CS286"/>
  <c r="CS296"/>
  <c r="CS304"/>
  <c r="CS305"/>
  <c r="CS306"/>
  <c r="CS312"/>
  <c r="CS319"/>
  <c r="CS19"/>
  <c r="CS21"/>
  <c r="CS23"/>
  <c r="CS27"/>
  <c r="CS28"/>
  <c r="CS31"/>
  <c r="CS33"/>
  <c r="CS35"/>
  <c r="CS37"/>
  <c r="CS45"/>
  <c r="CS51"/>
  <c r="CS281"/>
  <c r="CS327"/>
  <c r="CS330"/>
  <c r="CS331"/>
  <c r="CS337"/>
  <c r="CS338"/>
  <c r="CS349"/>
  <c r="CS350"/>
  <c r="CS356"/>
  <c r="CS358"/>
  <c r="CS359"/>
  <c r="CS366"/>
  <c r="CS368"/>
  <c r="CS373"/>
  <c r="CS374"/>
  <c r="CS375"/>
  <c r="CS376"/>
  <c r="CS380"/>
  <c r="CS20"/>
  <c r="CS22"/>
  <c r="CS24"/>
  <c r="CS25"/>
  <c r="CS26"/>
  <c r="CS29"/>
  <c r="CS30"/>
  <c r="CS34"/>
  <c r="CS36"/>
  <c r="CS38"/>
  <c r="CS39"/>
  <c r="CS40"/>
  <c r="CS41"/>
  <c r="CS42"/>
  <c r="CS43"/>
  <c r="CS44"/>
  <c r="CS46"/>
  <c r="CS48"/>
  <c r="CS49"/>
  <c r="CS50"/>
  <c r="CS52"/>
  <c r="CS53"/>
  <c r="CS54"/>
  <c r="CS55"/>
  <c r="CS58"/>
  <c r="CS61"/>
  <c r="CS63"/>
  <c r="CS64"/>
  <c r="CS65"/>
  <c r="CS66"/>
  <c r="CS67"/>
  <c r="CS76"/>
  <c r="CS77"/>
  <c r="CS78"/>
  <c r="CS104"/>
  <c r="CS105"/>
  <c r="CS109"/>
  <c r="CS110"/>
  <c r="CS112"/>
  <c r="CS113"/>
  <c r="CS115"/>
  <c r="CS117"/>
  <c r="CS118"/>
  <c r="CS119"/>
  <c r="CS120"/>
  <c r="CS125"/>
  <c r="CS126"/>
  <c r="CS157"/>
  <c r="CS264"/>
  <c r="CS265"/>
  <c r="CS266"/>
  <c r="CS269"/>
  <c r="CS270"/>
  <c r="CS271"/>
  <c r="CS275"/>
  <c r="CS278"/>
  <c r="CS279"/>
  <c r="CS280"/>
  <c r="CS287"/>
  <c r="CS288"/>
  <c r="CS289"/>
  <c r="CS290"/>
  <c r="CS291"/>
  <c r="CS292"/>
  <c r="CS293"/>
  <c r="CS294"/>
  <c r="CS295"/>
  <c r="CS297"/>
  <c r="CS298"/>
  <c r="CS299"/>
  <c r="CS300"/>
  <c r="CS301"/>
  <c r="CS302"/>
  <c r="CS303"/>
  <c r="CS307"/>
  <c r="CS308"/>
  <c r="CS309"/>
  <c r="CS310"/>
  <c r="CS311"/>
  <c r="CS315"/>
  <c r="CS316"/>
  <c r="CS317"/>
  <c r="CS321"/>
  <c r="CS322"/>
  <c r="CS323"/>
  <c r="CS324"/>
  <c r="CS328"/>
  <c r="CS329"/>
  <c r="CS341"/>
  <c r="CS342"/>
  <c r="CS343"/>
  <c r="CS344"/>
  <c r="CS346"/>
  <c r="CS348"/>
  <c r="CS353"/>
  <c r="CS355"/>
  <c r="CS357"/>
  <c r="CS360"/>
  <c r="CS361"/>
  <c r="CS362"/>
  <c r="CS363"/>
  <c r="CS364"/>
  <c r="CS365"/>
  <c r="CS367"/>
  <c r="CS369"/>
  <c r="CS370"/>
  <c r="CS371"/>
  <c r="CS377"/>
  <c r="CS378"/>
  <c r="CS379"/>
  <c r="CS381"/>
  <c r="CS388"/>
  <c r="CS389"/>
  <c r="CS393"/>
  <c r="CS394"/>
  <c r="CS395"/>
  <c r="CS396"/>
  <c r="CS397"/>
  <c r="CS398"/>
  <c r="CS399"/>
  <c r="CS400"/>
  <c r="CS62"/>
  <c r="CS57"/>
  <c r="CS116"/>
  <c r="CS92"/>
  <c r="CS85"/>
  <c r="CC2"/>
  <c r="CC3"/>
  <c r="CC4"/>
  <c r="CC5"/>
  <c r="CC6"/>
  <c r="CC7"/>
  <c r="CC8"/>
  <c r="CC9"/>
  <c r="CC10"/>
  <c r="CC11"/>
  <c r="CC12"/>
  <c r="CC16"/>
  <c r="CC17"/>
  <c r="CC47"/>
  <c r="CC70"/>
  <c r="CC79"/>
  <c r="CC80"/>
  <c r="CC81"/>
  <c r="CC84"/>
  <c r="CC86"/>
  <c r="CC87"/>
  <c r="CC88"/>
  <c r="CC89"/>
  <c r="CC90"/>
  <c r="CC91"/>
  <c r="CC93"/>
  <c r="CC94"/>
  <c r="CC95"/>
  <c r="CC96"/>
  <c r="CC111"/>
  <c r="CC122"/>
  <c r="CC129"/>
  <c r="CC128"/>
  <c r="CC131"/>
  <c r="CC132"/>
  <c r="CC133"/>
  <c r="CC134"/>
  <c r="CC135"/>
  <c r="CC136"/>
  <c r="CC145"/>
  <c r="CC146"/>
  <c r="CC148"/>
  <c r="CC149"/>
  <c r="CC150"/>
  <c r="CC156"/>
  <c r="CC161"/>
  <c r="CC162"/>
  <c r="CC163"/>
  <c r="CC164"/>
  <c r="CC165"/>
  <c r="CC166"/>
  <c r="CC167"/>
  <c r="CC168"/>
  <c r="CC169"/>
  <c r="CC170"/>
  <c r="CC171"/>
  <c r="CC172"/>
  <c r="CC173"/>
  <c r="CC174"/>
  <c r="CC175"/>
  <c r="CC176"/>
  <c r="CC177"/>
  <c r="CC178"/>
  <c r="CC179"/>
  <c r="CC180"/>
  <c r="CC181"/>
  <c r="CC187"/>
  <c r="CC188"/>
  <c r="CC189"/>
  <c r="CC190"/>
  <c r="CC191"/>
  <c r="CC192"/>
  <c r="CC193"/>
  <c r="CC194"/>
  <c r="CC195"/>
  <c r="CC196"/>
  <c r="CC197"/>
  <c r="CC198"/>
  <c r="CC199"/>
  <c r="CC200"/>
  <c r="CC201"/>
  <c r="CC202"/>
  <c r="CC203"/>
  <c r="CC204"/>
  <c r="CC205"/>
  <c r="CC206"/>
  <c r="CC209"/>
  <c r="CC210"/>
  <c r="CC211"/>
  <c r="CC212"/>
  <c r="CC213"/>
  <c r="CC214"/>
  <c r="CC215"/>
  <c r="CC216"/>
  <c r="CC217"/>
  <c r="CC218"/>
  <c r="CC219"/>
  <c r="CC220"/>
  <c r="CC221"/>
  <c r="CC222"/>
  <c r="CC223"/>
  <c r="CC224"/>
  <c r="CC225"/>
  <c r="CC226"/>
  <c r="CC227"/>
  <c r="CC229"/>
  <c r="CC232"/>
  <c r="CC234"/>
  <c r="CC235"/>
  <c r="CC236"/>
  <c r="CC237"/>
  <c r="CC238"/>
  <c r="CC239"/>
  <c r="CC240"/>
  <c r="CC241"/>
  <c r="CC242"/>
  <c r="CC243"/>
  <c r="CC244"/>
  <c r="CC245"/>
  <c r="CC246"/>
  <c r="CC247"/>
  <c r="CC248"/>
  <c r="CC249"/>
  <c r="CC250"/>
  <c r="CC251"/>
  <c r="CC252"/>
  <c r="CC253"/>
  <c r="CC254"/>
  <c r="CC255"/>
  <c r="CC256"/>
  <c r="CC257"/>
  <c r="CC258"/>
  <c r="CC259"/>
  <c r="CC260"/>
  <c r="CC261"/>
  <c r="CC262"/>
  <c r="CC263"/>
  <c r="CC272"/>
  <c r="CC274"/>
  <c r="CC276"/>
  <c r="CC277"/>
  <c r="CC313"/>
  <c r="CC314"/>
  <c r="CC325"/>
  <c r="CC326"/>
  <c r="CC332"/>
  <c r="CC333"/>
  <c r="CC334"/>
  <c r="CC335"/>
  <c r="CC339"/>
  <c r="CC340"/>
  <c r="CC345"/>
  <c r="CC382"/>
  <c r="CC384"/>
  <c r="CC385"/>
  <c r="CC390"/>
  <c r="CC391"/>
  <c r="CC392"/>
  <c r="CC13"/>
  <c r="CC14"/>
  <c r="CC15"/>
  <c r="CC56"/>
  <c r="CC59"/>
  <c r="CC60"/>
  <c r="CC68"/>
  <c r="CC97"/>
  <c r="CC98"/>
  <c r="CC99"/>
  <c r="CC100"/>
  <c r="CC102"/>
  <c r="CC103"/>
  <c r="CC106"/>
  <c r="CC107"/>
  <c r="CC108"/>
  <c r="CC114"/>
  <c r="CC121"/>
  <c r="CC123"/>
  <c r="CC137"/>
  <c r="CC138"/>
  <c r="CC139"/>
  <c r="CC141"/>
  <c r="CC147"/>
  <c r="CC151"/>
  <c r="CC152"/>
  <c r="CC153"/>
  <c r="CC154"/>
  <c r="CC155"/>
  <c r="CC267"/>
  <c r="CC268"/>
  <c r="CC282"/>
  <c r="CC283"/>
  <c r="CC284"/>
  <c r="CC285"/>
  <c r="CC286"/>
  <c r="CC296"/>
  <c r="CC304"/>
  <c r="CC305"/>
  <c r="CC306"/>
  <c r="CC312"/>
  <c r="CC319"/>
  <c r="CC19"/>
  <c r="CC21"/>
  <c r="CC23"/>
  <c r="CC27"/>
  <c r="CC28"/>
  <c r="CC31"/>
  <c r="CC33"/>
  <c r="CC35"/>
  <c r="CC37"/>
  <c r="CC45"/>
  <c r="CC51"/>
  <c r="CC281"/>
  <c r="CC327"/>
  <c r="CC330"/>
  <c r="CC331"/>
  <c r="CC337"/>
  <c r="CC338"/>
  <c r="CC349"/>
  <c r="CC350"/>
  <c r="CC356"/>
  <c r="CC358"/>
  <c r="CC359"/>
  <c r="CC366"/>
  <c r="CC368"/>
  <c r="CC373"/>
  <c r="CC374"/>
  <c r="CC375"/>
  <c r="CC376"/>
  <c r="CC380"/>
  <c r="CC20"/>
  <c r="CC22"/>
  <c r="CC24"/>
  <c r="CC25"/>
  <c r="CC26"/>
  <c r="CC29"/>
  <c r="CC30"/>
  <c r="CC34"/>
  <c r="CC36"/>
  <c r="CC38"/>
  <c r="CC39"/>
  <c r="CC40"/>
  <c r="CC41"/>
  <c r="CC42"/>
  <c r="CC43"/>
  <c r="CC44"/>
  <c r="CC46"/>
  <c r="CC48"/>
  <c r="CC49"/>
  <c r="CC50"/>
  <c r="CC52"/>
  <c r="CC53"/>
  <c r="CC54"/>
  <c r="CC55"/>
  <c r="CC58"/>
  <c r="CC61"/>
  <c r="CC63"/>
  <c r="CC64"/>
  <c r="CC65"/>
  <c r="CC66"/>
  <c r="CC67"/>
  <c r="CC76"/>
  <c r="CC77"/>
  <c r="CC78"/>
  <c r="CC104"/>
  <c r="CC105"/>
  <c r="CC109"/>
  <c r="CC110"/>
  <c r="CC112"/>
  <c r="CC113"/>
  <c r="CC115"/>
  <c r="CC117"/>
  <c r="CC118"/>
  <c r="CC119"/>
  <c r="CC120"/>
  <c r="CC125"/>
  <c r="CC126"/>
  <c r="CC157"/>
  <c r="CC264"/>
  <c r="CC265"/>
  <c r="CC266"/>
  <c r="CC269"/>
  <c r="CC270"/>
  <c r="CC271"/>
  <c r="CC275"/>
  <c r="CC278"/>
  <c r="CC279"/>
  <c r="CC280"/>
  <c r="CC287"/>
  <c r="CC288"/>
  <c r="CC289"/>
  <c r="CC290"/>
  <c r="CC291"/>
  <c r="CC292"/>
  <c r="CC293"/>
  <c r="CC294"/>
  <c r="CC295"/>
  <c r="CC297"/>
  <c r="CC298"/>
  <c r="CC299"/>
  <c r="CC300"/>
  <c r="CC301"/>
  <c r="CC302"/>
  <c r="CC303"/>
  <c r="CC307"/>
  <c r="CC308"/>
  <c r="CC309"/>
  <c r="CC310"/>
  <c r="CC311"/>
  <c r="CC315"/>
  <c r="CC316"/>
  <c r="CC317"/>
  <c r="CC321"/>
  <c r="CC322"/>
  <c r="CC323"/>
  <c r="CC324"/>
  <c r="CC328"/>
  <c r="CC329"/>
  <c r="CC341"/>
  <c r="CC342"/>
  <c r="CC343"/>
  <c r="CC344"/>
  <c r="CC346"/>
  <c r="CC348"/>
  <c r="CC353"/>
  <c r="CC355"/>
  <c r="CC357"/>
  <c r="CC360"/>
  <c r="CC361"/>
  <c r="CC362"/>
  <c r="CC363"/>
  <c r="CC364"/>
  <c r="CC365"/>
  <c r="CC367"/>
  <c r="CC369"/>
  <c r="CC370"/>
  <c r="CC371"/>
  <c r="CC377"/>
  <c r="CC378"/>
  <c r="CC379"/>
  <c r="CC381"/>
  <c r="CC388"/>
  <c r="CC389"/>
  <c r="CC393"/>
  <c r="CC394"/>
  <c r="CC395"/>
  <c r="CC396"/>
  <c r="CC397"/>
  <c r="CC398"/>
  <c r="CC399"/>
  <c r="CC400"/>
  <c r="CC62"/>
  <c r="CC57"/>
  <c r="CC116"/>
  <c r="CC92"/>
  <c r="CC85"/>
  <c r="BM2"/>
  <c r="BM3"/>
  <c r="BM4"/>
  <c r="BM5"/>
  <c r="BM6"/>
  <c r="BM7"/>
  <c r="BM8"/>
  <c r="BM9"/>
  <c r="BM10"/>
  <c r="BM11"/>
  <c r="BM12"/>
  <c r="BM16"/>
  <c r="BM17"/>
  <c r="BM47"/>
  <c r="BM70"/>
  <c r="BM79"/>
  <c r="BM80"/>
  <c r="BM81"/>
  <c r="BM84"/>
  <c r="BM86"/>
  <c r="BM87"/>
  <c r="BM88"/>
  <c r="BM89"/>
  <c r="BM90"/>
  <c r="BM91"/>
  <c r="BM93"/>
  <c r="BM94"/>
  <c r="BM95"/>
  <c r="BM96"/>
  <c r="BM111"/>
  <c r="BM122"/>
  <c r="BM129"/>
  <c r="BM128"/>
  <c r="BM131"/>
  <c r="BM132"/>
  <c r="BM133"/>
  <c r="BM134"/>
  <c r="BM135"/>
  <c r="BM136"/>
  <c r="BM145"/>
  <c r="BM146"/>
  <c r="BM148"/>
  <c r="BM149"/>
  <c r="BM150"/>
  <c r="BM156"/>
  <c r="BM161"/>
  <c r="BM162"/>
  <c r="BM163"/>
  <c r="BM164"/>
  <c r="BM165"/>
  <c r="BM166"/>
  <c r="BM167"/>
  <c r="BM168"/>
  <c r="BM169"/>
  <c r="BM170"/>
  <c r="BM171"/>
  <c r="BM172"/>
  <c r="BM173"/>
  <c r="BM174"/>
  <c r="BM175"/>
  <c r="BM176"/>
  <c r="BM177"/>
  <c r="BM178"/>
  <c r="BM179"/>
  <c r="BM180"/>
  <c r="BM181"/>
  <c r="BM187"/>
  <c r="BM188"/>
  <c r="BM189"/>
  <c r="BM190"/>
  <c r="BM191"/>
  <c r="BM192"/>
  <c r="BM193"/>
  <c r="BM194"/>
  <c r="BM195"/>
  <c r="BM196"/>
  <c r="BM197"/>
  <c r="BM198"/>
  <c r="BM199"/>
  <c r="BM200"/>
  <c r="BM201"/>
  <c r="BM202"/>
  <c r="BM203"/>
  <c r="BM204"/>
  <c r="BM205"/>
  <c r="BM206"/>
  <c r="BM209"/>
  <c r="BM210"/>
  <c r="BM211"/>
  <c r="BM212"/>
  <c r="BM213"/>
  <c r="BM214"/>
  <c r="BM215"/>
  <c r="BM216"/>
  <c r="BM217"/>
  <c r="BM218"/>
  <c r="BM219"/>
  <c r="BM220"/>
  <c r="BM221"/>
  <c r="BM222"/>
  <c r="BM223"/>
  <c r="BM224"/>
  <c r="BM225"/>
  <c r="BM226"/>
  <c r="BM227"/>
  <c r="BM229"/>
  <c r="BM232"/>
  <c r="BM234"/>
  <c r="BM235"/>
  <c r="BM236"/>
  <c r="BM237"/>
  <c r="BM238"/>
  <c r="BM239"/>
  <c r="BM240"/>
  <c r="BM241"/>
  <c r="BM242"/>
  <c r="BM243"/>
  <c r="BM244"/>
  <c r="BM245"/>
  <c r="BM246"/>
  <c r="BM247"/>
  <c r="BM248"/>
  <c r="BM249"/>
  <c r="BM250"/>
  <c r="BM251"/>
  <c r="BM252"/>
  <c r="BM253"/>
  <c r="BM254"/>
  <c r="BM255"/>
  <c r="BM256"/>
  <c r="BM257"/>
  <c r="BM258"/>
  <c r="BM259"/>
  <c r="BM260"/>
  <c r="BM261"/>
  <c r="BM262"/>
  <c r="BM263"/>
  <c r="BM272"/>
  <c r="BM274"/>
  <c r="BM276"/>
  <c r="BM277"/>
  <c r="BM313"/>
  <c r="BM314"/>
  <c r="BM325"/>
  <c r="BM326"/>
  <c r="BM332"/>
  <c r="BM333"/>
  <c r="BM334"/>
  <c r="BM335"/>
  <c r="BM339"/>
  <c r="BM340"/>
  <c r="BM345"/>
  <c r="BM382"/>
  <c r="BM384"/>
  <c r="BM385"/>
  <c r="BM390"/>
  <c r="BM391"/>
  <c r="BM392"/>
  <c r="BM13"/>
  <c r="BM14"/>
  <c r="BM15"/>
  <c r="BM56"/>
  <c r="BM59"/>
  <c r="BM60"/>
  <c r="BM68"/>
  <c r="BM97"/>
  <c r="BM98"/>
  <c r="BM99"/>
  <c r="BM100"/>
  <c r="BM102"/>
  <c r="BM103"/>
  <c r="BM106"/>
  <c r="BM107"/>
  <c r="BM108"/>
  <c r="BM114"/>
  <c r="BM121"/>
  <c r="BM123"/>
  <c r="BM137"/>
  <c r="BM138"/>
  <c r="BM139"/>
  <c r="BM141"/>
  <c r="BM147"/>
  <c r="BM151"/>
  <c r="BM152"/>
  <c r="BM153"/>
  <c r="BM154"/>
  <c r="BM155"/>
  <c r="BM267"/>
  <c r="BM268"/>
  <c r="BM282"/>
  <c r="BM283"/>
  <c r="BM284"/>
  <c r="BM285"/>
  <c r="BM286"/>
  <c r="BM296"/>
  <c r="BM304"/>
  <c r="BM305"/>
  <c r="BM306"/>
  <c r="BM312"/>
  <c r="BM319"/>
  <c r="BM19"/>
  <c r="BM21"/>
  <c r="BM23"/>
  <c r="BM27"/>
  <c r="BM28"/>
  <c r="BM31"/>
  <c r="BM33"/>
  <c r="BM35"/>
  <c r="BM37"/>
  <c r="BM45"/>
  <c r="BM51"/>
  <c r="BM281"/>
  <c r="BM327"/>
  <c r="BM330"/>
  <c r="BM331"/>
  <c r="BM337"/>
  <c r="BM338"/>
  <c r="BM349"/>
  <c r="BM350"/>
  <c r="BM356"/>
  <c r="BM358"/>
  <c r="BM359"/>
  <c r="BM366"/>
  <c r="BM368"/>
  <c r="BM373"/>
  <c r="BM374"/>
  <c r="BM375"/>
  <c r="BM376"/>
  <c r="BM380"/>
  <c r="BM20"/>
  <c r="BM22"/>
  <c r="BM24"/>
  <c r="BM25"/>
  <c r="BM26"/>
  <c r="BM29"/>
  <c r="BM30"/>
  <c r="BM34"/>
  <c r="BM36"/>
  <c r="BM38"/>
  <c r="BM39"/>
  <c r="BM40"/>
  <c r="BM41"/>
  <c r="BM42"/>
  <c r="BM43"/>
  <c r="BM44"/>
  <c r="BM46"/>
  <c r="BM48"/>
  <c r="BM49"/>
  <c r="BM50"/>
  <c r="BM52"/>
  <c r="BM53"/>
  <c r="BM54"/>
  <c r="BM55"/>
  <c r="BM58"/>
  <c r="BM61"/>
  <c r="BM63"/>
  <c r="BM64"/>
  <c r="BM65"/>
  <c r="BM66"/>
  <c r="BM67"/>
  <c r="BM76"/>
  <c r="BM77"/>
  <c r="BM78"/>
  <c r="BM104"/>
  <c r="BM105"/>
  <c r="BM109"/>
  <c r="BM110"/>
  <c r="BM112"/>
  <c r="BM113"/>
  <c r="BM115"/>
  <c r="BM117"/>
  <c r="BM118"/>
  <c r="BM119"/>
  <c r="BM120"/>
  <c r="BM125"/>
  <c r="BM126"/>
  <c r="BM157"/>
  <c r="BM264"/>
  <c r="BM265"/>
  <c r="BM266"/>
  <c r="BM269"/>
  <c r="BM270"/>
  <c r="BM271"/>
  <c r="BM275"/>
  <c r="BM278"/>
  <c r="BM279"/>
  <c r="BM280"/>
  <c r="BM287"/>
  <c r="BM288"/>
  <c r="BM289"/>
  <c r="BM290"/>
  <c r="BM291"/>
  <c r="BM292"/>
  <c r="BM293"/>
  <c r="BM294"/>
  <c r="BM295"/>
  <c r="BM297"/>
  <c r="BM298"/>
  <c r="BM299"/>
  <c r="BM300"/>
  <c r="BM301"/>
  <c r="BM302"/>
  <c r="BM303"/>
  <c r="BM307"/>
  <c r="BM308"/>
  <c r="BM309"/>
  <c r="BM310"/>
  <c r="BM311"/>
  <c r="BM315"/>
  <c r="BM316"/>
  <c r="BM317"/>
  <c r="BM321"/>
  <c r="BM322"/>
  <c r="BM323"/>
  <c r="BM324"/>
  <c r="BM328"/>
  <c r="BM329"/>
  <c r="BM341"/>
  <c r="BM342"/>
  <c r="BM343"/>
  <c r="BM344"/>
  <c r="BM346"/>
  <c r="BM348"/>
  <c r="BM353"/>
  <c r="BM355"/>
  <c r="BM357"/>
  <c r="BM360"/>
  <c r="BM361"/>
  <c r="BM362"/>
  <c r="BM363"/>
  <c r="BM364"/>
  <c r="BM365"/>
  <c r="BM367"/>
  <c r="BM369"/>
  <c r="BM370"/>
  <c r="BM371"/>
  <c r="BM377"/>
  <c r="BM378"/>
  <c r="BM379"/>
  <c r="BM381"/>
  <c r="BM388"/>
  <c r="BM389"/>
  <c r="BM393"/>
  <c r="BM394"/>
  <c r="BM395"/>
  <c r="BM396"/>
  <c r="BM397"/>
  <c r="BM398"/>
  <c r="BM399"/>
  <c r="BM400"/>
  <c r="BM62"/>
  <c r="BM57"/>
  <c r="BM116"/>
  <c r="BM92"/>
  <c r="BM85"/>
  <c r="AW2"/>
  <c r="AW3"/>
  <c r="AW4"/>
  <c r="AW5"/>
  <c r="AW6"/>
  <c r="AW7"/>
  <c r="AW8"/>
  <c r="AW9"/>
  <c r="AW10"/>
  <c r="AW11"/>
  <c r="AW12"/>
  <c r="AW16"/>
  <c r="AW17"/>
  <c r="AW47"/>
  <c r="AW70"/>
  <c r="AW79"/>
  <c r="AW80"/>
  <c r="AW81"/>
  <c r="AW84"/>
  <c r="AW86"/>
  <c r="AW87"/>
  <c r="AW88"/>
  <c r="AW89"/>
  <c r="AW90"/>
  <c r="AW91"/>
  <c r="AW93"/>
  <c r="AW94"/>
  <c r="AW95"/>
  <c r="AW96"/>
  <c r="AW111"/>
  <c r="AW122"/>
  <c r="AW129"/>
  <c r="AW128"/>
  <c r="AW131"/>
  <c r="AW132"/>
  <c r="AW133"/>
  <c r="AW134"/>
  <c r="AW135"/>
  <c r="AW136"/>
  <c r="AW145"/>
  <c r="AW146"/>
  <c r="AW148"/>
  <c r="AW149"/>
  <c r="AW150"/>
  <c r="AW156"/>
  <c r="AW161"/>
  <c r="AW162"/>
  <c r="AW163"/>
  <c r="AW164"/>
  <c r="AW165"/>
  <c r="AW166"/>
  <c r="AW167"/>
  <c r="AW168"/>
  <c r="AW169"/>
  <c r="AW170"/>
  <c r="AW171"/>
  <c r="AW172"/>
  <c r="AW173"/>
  <c r="AW174"/>
  <c r="AW175"/>
  <c r="AW176"/>
  <c r="AW177"/>
  <c r="AW178"/>
  <c r="AW179"/>
  <c r="AW180"/>
  <c r="AW181"/>
  <c r="AW187"/>
  <c r="AW188"/>
  <c r="AW189"/>
  <c r="AW190"/>
  <c r="AW191"/>
  <c r="AW192"/>
  <c r="AW193"/>
  <c r="AW194"/>
  <c r="AW195"/>
  <c r="AW196"/>
  <c r="AW197"/>
  <c r="AW198"/>
  <c r="AW199"/>
  <c r="AW200"/>
  <c r="AW201"/>
  <c r="AW202"/>
  <c r="AW203"/>
  <c r="AW204"/>
  <c r="AW205"/>
  <c r="AW206"/>
  <c r="AW209"/>
  <c r="AW210"/>
  <c r="AW211"/>
  <c r="AW212"/>
  <c r="AW213"/>
  <c r="AW214"/>
  <c r="AW215"/>
  <c r="AW216"/>
  <c r="AW217"/>
  <c r="AW218"/>
  <c r="AW219"/>
  <c r="AW220"/>
  <c r="AW221"/>
  <c r="AW222"/>
  <c r="AW223"/>
  <c r="AW224"/>
  <c r="AW225"/>
  <c r="AW226"/>
  <c r="AW227"/>
  <c r="AW229"/>
  <c r="AW232"/>
  <c r="AW234"/>
  <c r="AW235"/>
  <c r="AW236"/>
  <c r="AW237"/>
  <c r="AW238"/>
  <c r="AW239"/>
  <c r="AW240"/>
  <c r="AW241"/>
  <c r="AW242"/>
  <c r="AW243"/>
  <c r="AW244"/>
  <c r="AW245"/>
  <c r="AW246"/>
  <c r="AW247"/>
  <c r="AW248"/>
  <c r="AW249"/>
  <c r="AW250"/>
  <c r="AW251"/>
  <c r="AW252"/>
  <c r="AW253"/>
  <c r="AW254"/>
  <c r="AW255"/>
  <c r="AW256"/>
  <c r="AW257"/>
  <c r="AW258"/>
  <c r="AW259"/>
  <c r="AW260"/>
  <c r="AW261"/>
  <c r="AW262"/>
  <c r="AW263"/>
  <c r="AW272"/>
  <c r="AW274"/>
  <c r="AW276"/>
  <c r="AW277"/>
  <c r="AW313"/>
  <c r="AW314"/>
  <c r="AW325"/>
  <c r="AW326"/>
  <c r="AW332"/>
  <c r="AW333"/>
  <c r="AW334"/>
  <c r="AW335"/>
  <c r="AW339"/>
  <c r="AW340"/>
  <c r="AW345"/>
  <c r="AW382"/>
  <c r="AW384"/>
  <c r="AW385"/>
  <c r="AW390"/>
  <c r="AW391"/>
  <c r="AW392"/>
  <c r="AW13"/>
  <c r="AW14"/>
  <c r="AW15"/>
  <c r="AW56"/>
  <c r="AW59"/>
  <c r="AW60"/>
  <c r="AW68"/>
  <c r="AW97"/>
  <c r="AW98"/>
  <c r="AW99"/>
  <c r="AW100"/>
  <c r="AW102"/>
  <c r="AW103"/>
  <c r="AW106"/>
  <c r="AW107"/>
  <c r="AW108"/>
  <c r="AW114"/>
  <c r="AW121"/>
  <c r="AW123"/>
  <c r="AW137"/>
  <c r="AW138"/>
  <c r="AW139"/>
  <c r="AW141"/>
  <c r="AW147"/>
  <c r="AW151"/>
  <c r="AW152"/>
  <c r="AW153"/>
  <c r="AW154"/>
  <c r="AW155"/>
  <c r="AW267"/>
  <c r="AW268"/>
  <c r="AW282"/>
  <c r="AW283"/>
  <c r="AW284"/>
  <c r="AW285"/>
  <c r="AW286"/>
  <c r="AW296"/>
  <c r="AW304"/>
  <c r="AW305"/>
  <c r="AW306"/>
  <c r="AW312"/>
  <c r="AW319"/>
  <c r="AW19"/>
  <c r="AW21"/>
  <c r="AW23"/>
  <c r="AW27"/>
  <c r="AW28"/>
  <c r="AW31"/>
  <c r="AW33"/>
  <c r="AW35"/>
  <c r="AW37"/>
  <c r="AW45"/>
  <c r="AW51"/>
  <c r="AW281"/>
  <c r="AW327"/>
  <c r="AW330"/>
  <c r="AW331"/>
  <c r="AW337"/>
  <c r="AW338"/>
  <c r="AW349"/>
  <c r="AW350"/>
  <c r="AW356"/>
  <c r="AW358"/>
  <c r="AW359"/>
  <c r="AW366"/>
  <c r="AW368"/>
  <c r="AW373"/>
  <c r="AW374"/>
  <c r="AW375"/>
  <c r="AW376"/>
  <c r="AW380"/>
  <c r="AW20"/>
  <c r="AW22"/>
  <c r="AW24"/>
  <c r="AW25"/>
  <c r="AW26"/>
  <c r="AW29"/>
  <c r="AW30"/>
  <c r="AW34"/>
  <c r="AW36"/>
  <c r="AW38"/>
  <c r="AW39"/>
  <c r="AW40"/>
  <c r="AW41"/>
  <c r="AW42"/>
  <c r="AW43"/>
  <c r="AW44"/>
  <c r="AW46"/>
  <c r="AW48"/>
  <c r="AW49"/>
  <c r="AW50"/>
  <c r="AW52"/>
  <c r="AW53"/>
  <c r="AW54"/>
  <c r="AW55"/>
  <c r="AW58"/>
  <c r="AW61"/>
  <c r="AW63"/>
  <c r="AW64"/>
  <c r="AW65"/>
  <c r="AW66"/>
  <c r="AW67"/>
  <c r="AW76"/>
  <c r="AW77"/>
  <c r="AW78"/>
  <c r="AW104"/>
  <c r="AW105"/>
  <c r="AW109"/>
  <c r="AW110"/>
  <c r="AW112"/>
  <c r="AW113"/>
  <c r="AW115"/>
  <c r="AW117"/>
  <c r="AW118"/>
  <c r="AW119"/>
  <c r="AW120"/>
  <c r="AW125"/>
  <c r="AW126"/>
  <c r="AW157"/>
  <c r="AW264"/>
  <c r="AW265"/>
  <c r="AW266"/>
  <c r="AW269"/>
  <c r="AW270"/>
  <c r="AW271"/>
  <c r="AW275"/>
  <c r="AW278"/>
  <c r="AW279"/>
  <c r="AW280"/>
  <c r="AW287"/>
  <c r="AW288"/>
  <c r="AW289"/>
  <c r="AW290"/>
  <c r="AW291"/>
  <c r="AW292"/>
  <c r="AW293"/>
  <c r="AW294"/>
  <c r="AW295"/>
  <c r="AW297"/>
  <c r="AW298"/>
  <c r="AW299"/>
  <c r="AW300"/>
  <c r="AW301"/>
  <c r="AW302"/>
  <c r="AW303"/>
  <c r="AW307"/>
  <c r="AW308"/>
  <c r="AW309"/>
  <c r="AW310"/>
  <c r="AW311"/>
  <c r="AW315"/>
  <c r="AW316"/>
  <c r="AW317"/>
  <c r="AW321"/>
  <c r="AW322"/>
  <c r="AW323"/>
  <c r="AW324"/>
  <c r="AW328"/>
  <c r="AW329"/>
  <c r="AW341"/>
  <c r="AW342"/>
  <c r="AW343"/>
  <c r="AW344"/>
  <c r="AW346"/>
  <c r="AW348"/>
  <c r="AW353"/>
  <c r="AW355"/>
  <c r="AW357"/>
  <c r="AW360"/>
  <c r="AW361"/>
  <c r="AW362"/>
  <c r="AW363"/>
  <c r="AW364"/>
  <c r="AW365"/>
  <c r="AW367"/>
  <c r="AW369"/>
  <c r="AW370"/>
  <c r="AW371"/>
  <c r="AW377"/>
  <c r="AW378"/>
  <c r="AW379"/>
  <c r="AW381"/>
  <c r="AW388"/>
  <c r="AW389"/>
  <c r="AW393"/>
  <c r="AW394"/>
  <c r="AW395"/>
  <c r="AW396"/>
  <c r="AW397"/>
  <c r="AW398"/>
  <c r="AW399"/>
  <c r="AW400"/>
  <c r="AW62"/>
  <c r="AW57"/>
  <c r="AW116"/>
  <c r="AW92"/>
  <c r="AW85"/>
  <c r="AG2"/>
  <c r="AG3"/>
  <c r="AG4"/>
  <c r="AG5"/>
  <c r="AG6"/>
  <c r="AG7"/>
  <c r="AG8"/>
  <c r="AG9"/>
  <c r="AG10"/>
  <c r="AG11"/>
  <c r="AG12"/>
  <c r="AG16"/>
  <c r="AG17"/>
  <c r="AG47"/>
  <c r="AG70"/>
  <c r="AG79"/>
  <c r="AG80"/>
  <c r="AG81"/>
  <c r="AG84"/>
  <c r="AG86"/>
  <c r="AG87"/>
  <c r="AG88"/>
  <c r="AG89"/>
  <c r="AG90"/>
  <c r="AG91"/>
  <c r="AG93"/>
  <c r="AG94"/>
  <c r="AG95"/>
  <c r="AG96"/>
  <c r="AG111"/>
  <c r="AG122"/>
  <c r="AG129"/>
  <c r="AG128"/>
  <c r="AG131"/>
  <c r="AG132"/>
  <c r="AG133"/>
  <c r="AG134"/>
  <c r="AG135"/>
  <c r="AG136"/>
  <c r="AG145"/>
  <c r="AG146"/>
  <c r="AG148"/>
  <c r="AG149"/>
  <c r="AG150"/>
  <c r="AG156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9"/>
  <c r="AG232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72"/>
  <c r="AG274"/>
  <c r="AG276"/>
  <c r="AG277"/>
  <c r="AG313"/>
  <c r="AG314"/>
  <c r="AG325"/>
  <c r="AG326"/>
  <c r="AG332"/>
  <c r="AG333"/>
  <c r="AG334"/>
  <c r="AG335"/>
  <c r="AG339"/>
  <c r="AG340"/>
  <c r="AG345"/>
  <c r="AG382"/>
  <c r="AG384"/>
  <c r="AG385"/>
  <c r="AG390"/>
  <c r="AG391"/>
  <c r="AG392"/>
  <c r="AG13"/>
  <c r="AG14"/>
  <c r="AG15"/>
  <c r="AG56"/>
  <c r="AG59"/>
  <c r="AG60"/>
  <c r="AG68"/>
  <c r="AG97"/>
  <c r="AG98"/>
  <c r="AG99"/>
  <c r="AG100"/>
  <c r="AG102"/>
  <c r="AG103"/>
  <c r="AG106"/>
  <c r="AG107"/>
  <c r="AG108"/>
  <c r="AG114"/>
  <c r="AG121"/>
  <c r="AG123"/>
  <c r="AG137"/>
  <c r="AG138"/>
  <c r="AG139"/>
  <c r="AG141"/>
  <c r="AG147"/>
  <c r="AG151"/>
  <c r="AG152"/>
  <c r="AG153"/>
  <c r="AG154"/>
  <c r="AG155"/>
  <c r="AG267"/>
  <c r="AG268"/>
  <c r="AG282"/>
  <c r="AG283"/>
  <c r="AG284"/>
  <c r="AG285"/>
  <c r="AG286"/>
  <c r="AG296"/>
  <c r="AG304"/>
  <c r="AG305"/>
  <c r="AG306"/>
  <c r="AG312"/>
  <c r="AG319"/>
  <c r="AG19"/>
  <c r="AG21"/>
  <c r="AG23"/>
  <c r="AG27"/>
  <c r="AG28"/>
  <c r="AG31"/>
  <c r="AG33"/>
  <c r="AG35"/>
  <c r="AG37"/>
  <c r="AG45"/>
  <c r="AG51"/>
  <c r="AG281"/>
  <c r="AG327"/>
  <c r="AG330"/>
  <c r="AG331"/>
  <c r="AG337"/>
  <c r="AG338"/>
  <c r="AG349"/>
  <c r="AG350"/>
  <c r="AG356"/>
  <c r="AG358"/>
  <c r="AG359"/>
  <c r="AG366"/>
  <c r="AG368"/>
  <c r="AG373"/>
  <c r="AG374"/>
  <c r="AG375"/>
  <c r="AG376"/>
  <c r="AG380"/>
  <c r="AG20"/>
  <c r="AG22"/>
  <c r="AG24"/>
  <c r="AG25"/>
  <c r="AG26"/>
  <c r="AG29"/>
  <c r="AG30"/>
  <c r="AG34"/>
  <c r="AG36"/>
  <c r="AG38"/>
  <c r="AG39"/>
  <c r="AG40"/>
  <c r="AG41"/>
  <c r="AG42"/>
  <c r="AG43"/>
  <c r="AG44"/>
  <c r="AG46"/>
  <c r="AG48"/>
  <c r="AG49"/>
  <c r="AG50"/>
  <c r="AG52"/>
  <c r="AG53"/>
  <c r="AG54"/>
  <c r="AG55"/>
  <c r="AG58"/>
  <c r="AG61"/>
  <c r="AG63"/>
  <c r="AG64"/>
  <c r="AG65"/>
  <c r="AG66"/>
  <c r="AG67"/>
  <c r="AG76"/>
  <c r="AG77"/>
  <c r="AG78"/>
  <c r="AG104"/>
  <c r="AG105"/>
  <c r="AG109"/>
  <c r="AG110"/>
  <c r="AG112"/>
  <c r="AG113"/>
  <c r="AG115"/>
  <c r="AG117"/>
  <c r="AG118"/>
  <c r="AG119"/>
  <c r="AG120"/>
  <c r="AG125"/>
  <c r="AG126"/>
  <c r="AG157"/>
  <c r="AG264"/>
  <c r="AG265"/>
  <c r="AG266"/>
  <c r="AG269"/>
  <c r="AG270"/>
  <c r="AG271"/>
  <c r="AG275"/>
  <c r="AG278"/>
  <c r="AG279"/>
  <c r="AG280"/>
  <c r="AG287"/>
  <c r="AG288"/>
  <c r="AG289"/>
  <c r="AG290"/>
  <c r="AG291"/>
  <c r="AG292"/>
  <c r="AG293"/>
  <c r="AG294"/>
  <c r="AG295"/>
  <c r="AG297"/>
  <c r="AG298"/>
  <c r="AG299"/>
  <c r="AG300"/>
  <c r="AG301"/>
  <c r="AG302"/>
  <c r="AG303"/>
  <c r="AG307"/>
  <c r="AG308"/>
  <c r="AG309"/>
  <c r="AG310"/>
  <c r="AG311"/>
  <c r="AG315"/>
  <c r="AG316"/>
  <c r="AG317"/>
  <c r="AG321"/>
  <c r="AG322"/>
  <c r="AG323"/>
  <c r="AG324"/>
  <c r="AG328"/>
  <c r="AG329"/>
  <c r="AG341"/>
  <c r="AG342"/>
  <c r="AG343"/>
  <c r="AG344"/>
  <c r="AG346"/>
  <c r="AG348"/>
  <c r="AG353"/>
  <c r="AG355"/>
  <c r="AG357"/>
  <c r="AG360"/>
  <c r="AG361"/>
  <c r="AG362"/>
  <c r="AG363"/>
  <c r="AG364"/>
  <c r="AG365"/>
  <c r="AG367"/>
  <c r="AG369"/>
  <c r="AG370"/>
  <c r="AG371"/>
  <c r="AG377"/>
  <c r="AG378"/>
  <c r="AG379"/>
  <c r="AG381"/>
  <c r="AG388"/>
  <c r="AG389"/>
  <c r="AG393"/>
  <c r="AG394"/>
  <c r="AG395"/>
  <c r="AG396"/>
  <c r="AG397"/>
  <c r="AG398"/>
  <c r="AG399"/>
  <c r="AG400"/>
  <c r="AG62"/>
  <c r="AG57"/>
  <c r="AG116"/>
  <c r="AG92"/>
  <c r="AG85"/>
  <c r="Q2"/>
  <c r="Q3"/>
  <c r="Q4"/>
  <c r="Q5"/>
  <c r="Q6"/>
  <c r="Q7"/>
  <c r="Q8"/>
  <c r="Q9"/>
  <c r="Q10"/>
  <c r="Q11"/>
  <c r="Q12"/>
  <c r="Q16"/>
  <c r="Q17"/>
  <c r="Q47"/>
  <c r="Q70"/>
  <c r="Q79"/>
  <c r="Q80"/>
  <c r="Q81"/>
  <c r="Q84"/>
  <c r="Q86"/>
  <c r="Q87"/>
  <c r="Q88"/>
  <c r="Q89"/>
  <c r="Q90"/>
  <c r="Q91"/>
  <c r="Q93"/>
  <c r="Q94"/>
  <c r="Q95"/>
  <c r="Q96"/>
  <c r="Q111"/>
  <c r="Q122"/>
  <c r="Q129"/>
  <c r="Q128"/>
  <c r="Q131"/>
  <c r="Q132"/>
  <c r="Q133"/>
  <c r="Q134"/>
  <c r="Q135"/>
  <c r="Q136"/>
  <c r="Q145"/>
  <c r="Q146"/>
  <c r="Q148"/>
  <c r="Q149"/>
  <c r="Q150"/>
  <c r="Q156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9"/>
  <c r="Q232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72"/>
  <c r="Q274"/>
  <c r="Q276"/>
  <c r="Q277"/>
  <c r="Q313"/>
  <c r="Q314"/>
  <c r="Q325"/>
  <c r="Q326"/>
  <c r="Q332"/>
  <c r="Q333"/>
  <c r="Q334"/>
  <c r="Q335"/>
  <c r="Q339"/>
  <c r="Q340"/>
  <c r="Q345"/>
  <c r="Q382"/>
  <c r="Q384"/>
  <c r="Q385"/>
  <c r="Q390"/>
  <c r="Q391"/>
  <c r="Q392"/>
  <c r="Q13"/>
  <c r="Q14"/>
  <c r="Q15"/>
  <c r="Q56"/>
  <c r="Q59"/>
  <c r="Q60"/>
  <c r="Q68"/>
  <c r="Q97"/>
  <c r="Q98"/>
  <c r="Q99"/>
  <c r="Q100"/>
  <c r="Q102"/>
  <c r="Q103"/>
  <c r="Q106"/>
  <c r="Q107"/>
  <c r="Q108"/>
  <c r="Q114"/>
  <c r="Q121"/>
  <c r="Q123"/>
  <c r="Q137"/>
  <c r="Q138"/>
  <c r="Q139"/>
  <c r="Q141"/>
  <c r="Q147"/>
  <c r="Q151"/>
  <c r="Q152"/>
  <c r="Q153"/>
  <c r="Q154"/>
  <c r="Q155"/>
  <c r="Q267"/>
  <c r="Q268"/>
  <c r="Q282"/>
  <c r="Q283"/>
  <c r="Q284"/>
  <c r="Q285"/>
  <c r="Q286"/>
  <c r="Q296"/>
  <c r="Q304"/>
  <c r="Q305"/>
  <c r="Q306"/>
  <c r="Q312"/>
  <c r="Q319"/>
  <c r="Q19"/>
  <c r="Q21"/>
  <c r="Q23"/>
  <c r="Q27"/>
  <c r="Q28"/>
  <c r="Q31"/>
  <c r="Q33"/>
  <c r="Q35"/>
  <c r="Q37"/>
  <c r="Q45"/>
  <c r="Q51"/>
  <c r="Q281"/>
  <c r="Q327"/>
  <c r="Q330"/>
  <c r="Q331"/>
  <c r="Q337"/>
  <c r="Q338"/>
  <c r="Q349"/>
  <c r="Q350"/>
  <c r="Q356"/>
  <c r="Q358"/>
  <c r="Q359"/>
  <c r="Q366"/>
  <c r="Q368"/>
  <c r="Q373"/>
  <c r="Q374"/>
  <c r="Q375"/>
  <c r="Q376"/>
  <c r="Q380"/>
  <c r="Q20"/>
  <c r="Q22"/>
  <c r="Q24"/>
  <c r="Q25"/>
  <c r="Q26"/>
  <c r="Q29"/>
  <c r="Q30"/>
  <c r="Q34"/>
  <c r="Q36"/>
  <c r="Q38"/>
  <c r="Q39"/>
  <c r="Q40"/>
  <c r="Q41"/>
  <c r="Q42"/>
  <c r="Q43"/>
  <c r="Q44"/>
  <c r="Q46"/>
  <c r="Q48"/>
  <c r="Q49"/>
  <c r="Q50"/>
  <c r="Q52"/>
  <c r="Q53"/>
  <c r="Q54"/>
  <c r="Q55"/>
  <c r="Q58"/>
  <c r="Q61"/>
  <c r="Q63"/>
  <c r="Q64"/>
  <c r="Q65"/>
  <c r="Q66"/>
  <c r="Q67"/>
  <c r="Q76"/>
  <c r="Q77"/>
  <c r="Q78"/>
  <c r="Q104"/>
  <c r="Q105"/>
  <c r="Q109"/>
  <c r="Q110"/>
  <c r="Q112"/>
  <c r="Q113"/>
  <c r="Q115"/>
  <c r="Q117"/>
  <c r="Q118"/>
  <c r="Q119"/>
  <c r="Q120"/>
  <c r="Q125"/>
  <c r="Q126"/>
  <c r="Q157"/>
  <c r="Q264"/>
  <c r="Q265"/>
  <c r="Q266"/>
  <c r="Q269"/>
  <c r="Q270"/>
  <c r="Q271"/>
  <c r="Q275"/>
  <c r="Q278"/>
  <c r="Q279"/>
  <c r="Q280"/>
  <c r="Q287"/>
  <c r="Q288"/>
  <c r="Q289"/>
  <c r="Q290"/>
  <c r="Q291"/>
  <c r="Q292"/>
  <c r="Q293"/>
  <c r="Q294"/>
  <c r="Q295"/>
  <c r="Q297"/>
  <c r="Q298"/>
  <c r="Q299"/>
  <c r="Q300"/>
  <c r="Q301"/>
  <c r="Q302"/>
  <c r="Q303"/>
  <c r="Q307"/>
  <c r="Q308"/>
  <c r="Q309"/>
  <c r="Q310"/>
  <c r="Q311"/>
  <c r="Q315"/>
  <c r="Q316"/>
  <c r="Q317"/>
  <c r="Q321"/>
  <c r="Q322"/>
  <c r="Q323"/>
  <c r="Q324"/>
  <c r="Q328"/>
  <c r="Q329"/>
  <c r="Q341"/>
  <c r="Q342"/>
  <c r="Q343"/>
  <c r="Q344"/>
  <c r="Q346"/>
  <c r="Q348"/>
  <c r="Q353"/>
  <c r="Q355"/>
  <c r="Q357"/>
  <c r="Q360"/>
  <c r="Q361"/>
  <c r="Q362"/>
  <c r="Q363"/>
  <c r="Q364"/>
  <c r="Q365"/>
  <c r="Q367"/>
  <c r="Q369"/>
  <c r="Q370"/>
  <c r="Q371"/>
  <c r="Q377"/>
  <c r="Q378"/>
  <c r="Q379"/>
  <c r="Q381"/>
  <c r="Q388"/>
  <c r="Q389"/>
  <c r="Q393"/>
  <c r="Q394"/>
  <c r="Q395"/>
  <c r="Q396"/>
  <c r="Q397"/>
  <c r="Q398"/>
  <c r="Q399"/>
  <c r="Q400"/>
  <c r="Q62"/>
  <c r="Q57"/>
  <c r="Q116"/>
  <c r="Q92"/>
  <c r="Q85"/>
  <c r="FD2"/>
  <c r="FD3"/>
  <c r="FD4"/>
  <c r="FD5"/>
  <c r="FD6"/>
  <c r="FC6" s="1" a="1"/>
  <c r="FC6" s="1"/>
  <c r="FD7"/>
  <c r="FC7" s="1" a="1"/>
  <c r="FC7" s="1"/>
  <c r="FD8"/>
  <c r="FD9"/>
  <c r="FD10"/>
  <c r="FC10" s="1" a="1"/>
  <c r="FC10" s="1"/>
  <c r="FD11"/>
  <c r="FC11" s="1" a="1"/>
  <c r="FC11" s="1"/>
  <c r="FD12"/>
  <c r="FD16"/>
  <c r="FD17"/>
  <c r="FC17" s="1" a="1"/>
  <c r="FC17" s="1"/>
  <c r="FD47"/>
  <c r="FC47" s="1" a="1"/>
  <c r="FC47" s="1"/>
  <c r="FD70"/>
  <c r="FD79"/>
  <c r="FD80"/>
  <c r="FC80" s="1" a="1"/>
  <c r="FC80" s="1"/>
  <c r="FD81"/>
  <c r="FC81" s="1" a="1"/>
  <c r="FC81" s="1"/>
  <c r="FD84"/>
  <c r="FD86"/>
  <c r="FD87"/>
  <c r="FC87" s="1" a="1"/>
  <c r="FC87" s="1"/>
  <c r="FD88"/>
  <c r="FC88" s="1" a="1"/>
  <c r="FC88" s="1"/>
  <c r="FD89"/>
  <c r="FD90"/>
  <c r="FD91"/>
  <c r="FC91" s="1" a="1"/>
  <c r="FC91" s="1"/>
  <c r="FD93"/>
  <c r="FC93" s="1" a="1"/>
  <c r="FC93" s="1"/>
  <c r="FD94"/>
  <c r="FD95"/>
  <c r="FD96"/>
  <c r="FC96" s="1" a="1"/>
  <c r="FC96" s="1"/>
  <c r="FD111"/>
  <c r="FC111" s="1" a="1"/>
  <c r="FC111" s="1"/>
  <c r="FD122"/>
  <c r="FD129"/>
  <c r="FD128"/>
  <c r="FC128" s="1" a="1"/>
  <c r="FC128" s="1"/>
  <c r="FD131"/>
  <c r="FC131" s="1" a="1"/>
  <c r="FC131" s="1"/>
  <c r="FD132"/>
  <c r="FD133"/>
  <c r="FD134"/>
  <c r="FC134" s="1" a="1"/>
  <c r="FC134" s="1"/>
  <c r="FD135"/>
  <c r="FC135" s="1" a="1"/>
  <c r="FC135" s="1"/>
  <c r="FD136"/>
  <c r="FD145"/>
  <c r="FD146"/>
  <c r="FC146" s="1" a="1"/>
  <c r="FC146" s="1"/>
  <c r="FD148"/>
  <c r="FC148" s="1" a="1"/>
  <c r="FC148" s="1"/>
  <c r="FD149"/>
  <c r="FD150"/>
  <c r="FD156"/>
  <c r="FC156" s="1" a="1"/>
  <c r="FC156" s="1"/>
  <c r="FD161"/>
  <c r="FC161" s="1" a="1"/>
  <c r="FC161" s="1"/>
  <c r="FD162"/>
  <c r="FD163"/>
  <c r="FD164"/>
  <c r="FC164" s="1" a="1"/>
  <c r="FC164" s="1"/>
  <c r="FD165"/>
  <c r="FC165" s="1" a="1"/>
  <c r="FC165" s="1"/>
  <c r="FD166"/>
  <c r="FD167"/>
  <c r="FD168"/>
  <c r="FD169"/>
  <c r="FC169" s="1" a="1"/>
  <c r="FC169" s="1"/>
  <c r="FD170"/>
  <c r="FD171"/>
  <c r="FD172"/>
  <c r="FD173"/>
  <c r="FC173" s="1" a="1"/>
  <c r="FC173" s="1"/>
  <c r="FD174"/>
  <c r="FD175"/>
  <c r="FD176"/>
  <c r="FD177"/>
  <c r="FC177" s="1" a="1"/>
  <c r="FC177" s="1"/>
  <c r="FD178"/>
  <c r="FD179"/>
  <c r="FC179" s="1" a="1"/>
  <c r="FC179" s="1"/>
  <c r="FD180"/>
  <c r="FD181"/>
  <c r="FC181" s="1" a="1"/>
  <c r="FC181" s="1"/>
  <c r="FD187"/>
  <c r="FD188"/>
  <c r="FD189"/>
  <c r="FD190"/>
  <c r="FC190" s="1" a="1"/>
  <c r="FC190" s="1"/>
  <c r="FD191"/>
  <c r="FD192"/>
  <c r="FC192" s="1" a="1"/>
  <c r="FC192" s="1"/>
  <c r="FD193"/>
  <c r="FD194"/>
  <c r="FC194" s="1" a="1"/>
  <c r="FC194" s="1"/>
  <c r="FD195"/>
  <c r="FD196"/>
  <c r="FD197"/>
  <c r="FD198"/>
  <c r="FC198" s="1" a="1"/>
  <c r="FC198" s="1"/>
  <c r="FD199"/>
  <c r="FD200"/>
  <c r="FC200" s="1" a="1"/>
  <c r="FC200" s="1"/>
  <c r="FD201"/>
  <c r="FD202"/>
  <c r="FC202" s="1" a="1"/>
  <c r="FC202" s="1"/>
  <c r="FD203"/>
  <c r="FD204"/>
  <c r="FD205"/>
  <c r="FD206"/>
  <c r="FD209"/>
  <c r="FD210"/>
  <c r="FD211"/>
  <c r="FD212"/>
  <c r="FD213"/>
  <c r="FD214"/>
  <c r="FC214" s="1" a="1"/>
  <c r="FC214" s="1"/>
  <c r="FD215"/>
  <c r="FD216"/>
  <c r="FD217"/>
  <c r="FD218"/>
  <c r="FD219"/>
  <c r="FD220"/>
  <c r="FD221"/>
  <c r="FD222"/>
  <c r="FC222" s="1" a="1"/>
  <c r="FC222" s="1"/>
  <c r="FD223"/>
  <c r="FD224"/>
  <c r="FD225"/>
  <c r="FD226"/>
  <c r="FD227"/>
  <c r="FD229"/>
  <c r="FD232"/>
  <c r="FD234"/>
  <c r="FC234" s="1" a="1"/>
  <c r="FC234" s="1"/>
  <c r="FD235"/>
  <c r="FD236"/>
  <c r="FD237"/>
  <c r="FD238"/>
  <c r="FD239"/>
  <c r="FD240"/>
  <c r="FD241"/>
  <c r="FD242"/>
  <c r="FD243"/>
  <c r="FD244"/>
  <c r="FD245"/>
  <c r="FD246"/>
  <c r="FD247"/>
  <c r="FD248"/>
  <c r="FD249"/>
  <c r="FD250"/>
  <c r="FC250" s="1" a="1"/>
  <c r="FC250" s="1"/>
  <c r="FD251"/>
  <c r="FD252"/>
  <c r="FD253"/>
  <c r="FD254"/>
  <c r="FD255"/>
  <c r="FD256"/>
  <c r="FD257"/>
  <c r="FD258"/>
  <c r="FC258" s="1" a="1"/>
  <c r="FC258" s="1"/>
  <c r="FD259"/>
  <c r="FD260"/>
  <c r="FD261"/>
  <c r="FD262"/>
  <c r="FD263"/>
  <c r="FD272"/>
  <c r="FD274"/>
  <c r="FD276"/>
  <c r="FC276" s="1" a="1"/>
  <c r="FC276" s="1"/>
  <c r="FD277"/>
  <c r="FD313"/>
  <c r="FD314"/>
  <c r="FD325"/>
  <c r="FD326"/>
  <c r="FD332"/>
  <c r="FD333"/>
  <c r="FD334"/>
  <c r="FC334" s="1" a="1"/>
  <c r="FC334" s="1"/>
  <c r="FD335"/>
  <c r="FD339"/>
  <c r="FD340"/>
  <c r="FD345"/>
  <c r="FD382"/>
  <c r="FD384"/>
  <c r="FD385"/>
  <c r="FD390"/>
  <c r="FC390" s="1" a="1"/>
  <c r="FC390" s="1"/>
  <c r="FD391"/>
  <c r="FD392"/>
  <c r="FD13"/>
  <c r="FD14"/>
  <c r="FD15"/>
  <c r="FD56"/>
  <c r="FD59"/>
  <c r="FD60"/>
  <c r="FD68"/>
  <c r="FD97"/>
  <c r="FD98"/>
  <c r="FD99"/>
  <c r="FD100"/>
  <c r="FD102"/>
  <c r="FD103"/>
  <c r="FD106"/>
  <c r="FD107"/>
  <c r="FD108"/>
  <c r="FD114"/>
  <c r="FD121"/>
  <c r="FD123"/>
  <c r="FD137"/>
  <c r="FD138"/>
  <c r="FD139"/>
  <c r="FD141"/>
  <c r="FD147"/>
  <c r="FD151"/>
  <c r="FD152"/>
  <c r="FD153"/>
  <c r="FD154"/>
  <c r="FC154" s="1" a="1"/>
  <c r="FC154" s="1"/>
  <c r="FD155"/>
  <c r="FD267"/>
  <c r="FD268"/>
  <c r="FD282"/>
  <c r="FD283"/>
  <c r="FD284"/>
  <c r="FD285"/>
  <c r="FD286"/>
  <c r="FD296"/>
  <c r="FD304"/>
  <c r="FD305"/>
  <c r="FD306"/>
  <c r="FD312"/>
  <c r="FD319"/>
  <c r="FD19"/>
  <c r="FD21"/>
  <c r="FD23"/>
  <c r="FD27"/>
  <c r="FD28"/>
  <c r="FD31"/>
  <c r="FD33"/>
  <c r="FD35"/>
  <c r="FD37"/>
  <c r="FD45"/>
  <c r="FD51"/>
  <c r="FD281"/>
  <c r="FD327"/>
  <c r="FD330"/>
  <c r="FD331"/>
  <c r="FD337"/>
  <c r="FD338"/>
  <c r="FD349"/>
  <c r="FD350"/>
  <c r="FD356"/>
  <c r="FD358"/>
  <c r="FD359"/>
  <c r="FD366"/>
  <c r="FD368"/>
  <c r="FD373"/>
  <c r="FD374"/>
  <c r="FD375"/>
  <c r="FD376"/>
  <c r="FD380"/>
  <c r="FD20"/>
  <c r="FD22"/>
  <c r="FD24"/>
  <c r="FD25"/>
  <c r="FD26"/>
  <c r="FD29"/>
  <c r="FD30"/>
  <c r="FD34"/>
  <c r="FD36"/>
  <c r="FD38"/>
  <c r="FD39"/>
  <c r="FD40"/>
  <c r="FD41"/>
  <c r="FD42"/>
  <c r="FD43"/>
  <c r="FD44"/>
  <c r="FD46"/>
  <c r="FD48"/>
  <c r="FD49"/>
  <c r="FD50"/>
  <c r="FD52"/>
  <c r="FD53"/>
  <c r="FD54"/>
  <c r="FD55"/>
  <c r="FD58"/>
  <c r="FD61"/>
  <c r="FD63"/>
  <c r="FD64"/>
  <c r="FD65"/>
  <c r="FD66"/>
  <c r="FD67"/>
  <c r="FD76"/>
  <c r="FD77"/>
  <c r="FD78"/>
  <c r="FD104"/>
  <c r="FC104" s="1" a="1"/>
  <c r="FC104" s="1"/>
  <c r="FD105"/>
  <c r="FD109"/>
  <c r="FD110"/>
  <c r="FD112"/>
  <c r="FD113"/>
  <c r="FD115"/>
  <c r="FD117"/>
  <c r="FD118"/>
  <c r="FD119"/>
  <c r="FD120"/>
  <c r="FD125"/>
  <c r="FD126"/>
  <c r="FD157"/>
  <c r="FD264"/>
  <c r="FD265"/>
  <c r="FC265" s="1" a="1"/>
  <c r="FC265" s="1"/>
  <c r="FD266"/>
  <c r="FD269"/>
  <c r="FD270"/>
  <c r="FD271"/>
  <c r="FC271" s="1" a="1"/>
  <c r="FC271" s="1"/>
  <c r="FD275"/>
  <c r="FD278"/>
  <c r="FD279"/>
  <c r="FD280"/>
  <c r="FC280" s="1" a="1"/>
  <c r="FC280" s="1"/>
  <c r="FD287"/>
  <c r="FD288"/>
  <c r="FD289"/>
  <c r="FD290"/>
  <c r="FD291"/>
  <c r="FD292"/>
  <c r="FD293"/>
  <c r="FD294"/>
  <c r="FC294" s="1" a="1"/>
  <c r="FC294" s="1"/>
  <c r="FD295"/>
  <c r="FD297"/>
  <c r="FD298"/>
  <c r="FD299"/>
  <c r="FC299" s="1" a="1"/>
  <c r="FC299" s="1"/>
  <c r="FD300"/>
  <c r="FD301"/>
  <c r="FD302"/>
  <c r="FD303"/>
  <c r="FC303" s="1" a="1"/>
  <c r="FC303" s="1"/>
  <c r="FD307"/>
  <c r="FD308"/>
  <c r="FD309"/>
  <c r="FD310"/>
  <c r="FD311"/>
  <c r="FD315"/>
  <c r="FD316"/>
  <c r="FD317"/>
  <c r="FD321"/>
  <c r="FD322"/>
  <c r="FD323"/>
  <c r="FD324"/>
  <c r="FC324" s="1" a="1"/>
  <c r="FC324" s="1"/>
  <c r="FD328"/>
  <c r="FD329"/>
  <c r="FD341"/>
  <c r="FD342"/>
  <c r="FC342" s="1" a="1"/>
  <c r="FC342" s="1"/>
  <c r="FD343"/>
  <c r="FD344"/>
  <c r="FD346"/>
  <c r="FD348"/>
  <c r="FC348" s="1" a="1"/>
  <c r="FC348" s="1"/>
  <c r="FD353"/>
  <c r="FD355"/>
  <c r="FD357"/>
  <c r="FD360"/>
  <c r="FD361"/>
  <c r="FD362"/>
  <c r="FD363"/>
  <c r="FD364"/>
  <c r="FC364" s="1" a="1"/>
  <c r="FC364" s="1"/>
  <c r="FD365"/>
  <c r="FD367"/>
  <c r="FD369"/>
  <c r="FD370"/>
  <c r="FC370" s="1" a="1"/>
  <c r="FC370" s="1"/>
  <c r="FD371"/>
  <c r="FD377"/>
  <c r="FD378"/>
  <c r="FD379"/>
  <c r="FC379" s="1" a="1"/>
  <c r="FC379" s="1"/>
  <c r="FD381"/>
  <c r="FD388"/>
  <c r="FD389"/>
  <c r="FD393"/>
  <c r="FD394"/>
  <c r="FD395"/>
  <c r="FD396"/>
  <c r="FD397"/>
  <c r="FC397" s="1" a="1"/>
  <c r="FC397" s="1"/>
  <c r="FD398"/>
  <c r="FD399"/>
  <c r="FD400"/>
  <c r="FD62"/>
  <c r="FC62" s="1" a="1"/>
  <c r="FC62" s="1"/>
  <c r="FD57"/>
  <c r="FD116"/>
  <c r="FD92"/>
  <c r="FD85"/>
  <c r="FC85" s="1" a="1"/>
  <c r="FC85" s="1"/>
  <c r="EN2"/>
  <c r="EN3"/>
  <c r="EN4"/>
  <c r="EN5"/>
  <c r="EN6"/>
  <c r="EN7"/>
  <c r="EN8"/>
  <c r="EN9"/>
  <c r="EN10"/>
  <c r="EN11"/>
  <c r="EN12"/>
  <c r="EN16"/>
  <c r="EN17"/>
  <c r="EN47"/>
  <c r="EN70"/>
  <c r="EN79"/>
  <c r="EN80"/>
  <c r="EN81"/>
  <c r="EN84"/>
  <c r="EN86"/>
  <c r="EN87"/>
  <c r="EN88"/>
  <c r="EN89"/>
  <c r="EN90"/>
  <c r="EN91"/>
  <c r="EN93"/>
  <c r="EN94"/>
  <c r="EN95"/>
  <c r="EN96"/>
  <c r="EN111"/>
  <c r="EN122"/>
  <c r="EN129"/>
  <c r="EN128"/>
  <c r="EN131"/>
  <c r="EN132"/>
  <c r="EN133"/>
  <c r="EN134"/>
  <c r="EN135"/>
  <c r="EN136"/>
  <c r="EN145"/>
  <c r="EN146"/>
  <c r="EN148"/>
  <c r="EN149"/>
  <c r="EN150"/>
  <c r="EN156"/>
  <c r="EN161"/>
  <c r="EN162"/>
  <c r="EN163"/>
  <c r="EN164"/>
  <c r="EN165"/>
  <c r="EN166"/>
  <c r="EN167"/>
  <c r="EN168"/>
  <c r="EN169"/>
  <c r="EN170"/>
  <c r="EN171"/>
  <c r="EN172"/>
  <c r="EN173"/>
  <c r="EN174"/>
  <c r="EN175"/>
  <c r="EN176"/>
  <c r="EN177"/>
  <c r="EN178"/>
  <c r="EN179"/>
  <c r="EN180"/>
  <c r="EN181"/>
  <c r="EN187"/>
  <c r="EN188"/>
  <c r="EN189"/>
  <c r="EN190"/>
  <c r="EN191"/>
  <c r="EN192"/>
  <c r="EN193"/>
  <c r="EN194"/>
  <c r="EN195"/>
  <c r="EN196"/>
  <c r="EN197"/>
  <c r="EN198"/>
  <c r="EN199"/>
  <c r="EN200"/>
  <c r="EN201"/>
  <c r="EN202"/>
  <c r="EN203"/>
  <c r="EN204"/>
  <c r="EN205"/>
  <c r="EN206"/>
  <c r="EN209"/>
  <c r="EN210"/>
  <c r="EN211"/>
  <c r="EN212"/>
  <c r="EN213"/>
  <c r="EN214"/>
  <c r="EN215"/>
  <c r="EN216"/>
  <c r="EN217"/>
  <c r="EN218"/>
  <c r="EN219"/>
  <c r="EN220"/>
  <c r="EN221"/>
  <c r="EN222"/>
  <c r="EN223"/>
  <c r="EN224"/>
  <c r="EN225"/>
  <c r="EN226"/>
  <c r="EN227"/>
  <c r="EN229"/>
  <c r="EN232"/>
  <c r="EN234"/>
  <c r="EN235"/>
  <c r="EN236"/>
  <c r="EN237"/>
  <c r="EN238"/>
  <c r="EN239"/>
  <c r="EN240"/>
  <c r="EN241"/>
  <c r="EN242"/>
  <c r="EN243"/>
  <c r="EN244"/>
  <c r="EN245"/>
  <c r="EN246"/>
  <c r="EN247"/>
  <c r="EN248"/>
  <c r="EN249"/>
  <c r="EN250"/>
  <c r="EN251"/>
  <c r="EN252"/>
  <c r="EN253"/>
  <c r="EN254"/>
  <c r="EN255"/>
  <c r="EN256"/>
  <c r="EN257"/>
  <c r="EN258"/>
  <c r="EN259"/>
  <c r="EN260"/>
  <c r="EN261"/>
  <c r="EN262"/>
  <c r="EN263"/>
  <c r="EN272"/>
  <c r="EN274"/>
  <c r="EN276"/>
  <c r="EN277"/>
  <c r="EN313"/>
  <c r="EN314"/>
  <c r="EN325"/>
  <c r="EN326"/>
  <c r="EN332"/>
  <c r="EN333"/>
  <c r="EN334"/>
  <c r="EN335"/>
  <c r="EN339"/>
  <c r="EN340"/>
  <c r="EN345"/>
  <c r="EN382"/>
  <c r="EN384"/>
  <c r="EN385"/>
  <c r="EN390"/>
  <c r="EN391"/>
  <c r="EN392"/>
  <c r="EN13"/>
  <c r="EN14"/>
  <c r="EN15"/>
  <c r="EN56"/>
  <c r="EN59"/>
  <c r="EN60"/>
  <c r="EN68"/>
  <c r="EN97"/>
  <c r="EN98"/>
  <c r="EN99"/>
  <c r="EN100"/>
  <c r="EN102"/>
  <c r="EN103"/>
  <c r="EN106"/>
  <c r="EN107"/>
  <c r="EN108"/>
  <c r="EN114"/>
  <c r="EN121"/>
  <c r="EN123"/>
  <c r="EN137"/>
  <c r="EN138"/>
  <c r="EN139"/>
  <c r="EN141"/>
  <c r="EN147"/>
  <c r="EN151"/>
  <c r="EN152"/>
  <c r="EN153"/>
  <c r="EN154"/>
  <c r="EN155"/>
  <c r="EN267"/>
  <c r="EN268"/>
  <c r="EN282"/>
  <c r="EN283"/>
  <c r="EN284"/>
  <c r="EN285"/>
  <c r="EN286"/>
  <c r="EN296"/>
  <c r="EN304"/>
  <c r="EN305"/>
  <c r="EN306"/>
  <c r="EN312"/>
  <c r="EN319"/>
  <c r="EN19"/>
  <c r="EN21"/>
  <c r="EN23"/>
  <c r="EN27"/>
  <c r="EN28"/>
  <c r="EN31"/>
  <c r="EN33"/>
  <c r="EN35"/>
  <c r="EN37"/>
  <c r="EN45"/>
  <c r="EN51"/>
  <c r="EN281"/>
  <c r="EN327"/>
  <c r="EN330"/>
  <c r="EN331"/>
  <c r="EN337"/>
  <c r="EN338"/>
  <c r="EN349"/>
  <c r="EN350"/>
  <c r="EN356"/>
  <c r="EN358"/>
  <c r="EN359"/>
  <c r="EN366"/>
  <c r="EN368"/>
  <c r="EN373"/>
  <c r="EN374"/>
  <c r="EN375"/>
  <c r="EN376"/>
  <c r="EN380"/>
  <c r="EN20"/>
  <c r="EN22"/>
  <c r="EN24"/>
  <c r="EN25"/>
  <c r="EN26"/>
  <c r="EN29"/>
  <c r="EN30"/>
  <c r="EN34"/>
  <c r="EN36"/>
  <c r="EN38"/>
  <c r="EN39"/>
  <c r="EN40"/>
  <c r="EN41"/>
  <c r="EN42"/>
  <c r="EN43"/>
  <c r="EN44"/>
  <c r="EN46"/>
  <c r="EN48"/>
  <c r="EN49"/>
  <c r="EN50"/>
  <c r="EN52"/>
  <c r="EN53"/>
  <c r="EN54"/>
  <c r="EN55"/>
  <c r="EN58"/>
  <c r="EN61"/>
  <c r="EN63"/>
  <c r="EN64"/>
  <c r="EN65"/>
  <c r="EN66"/>
  <c r="EN67"/>
  <c r="EN76"/>
  <c r="EN77"/>
  <c r="EN78"/>
  <c r="EN104"/>
  <c r="EN105"/>
  <c r="EN109"/>
  <c r="EN110"/>
  <c r="EN112"/>
  <c r="EN113"/>
  <c r="EN115"/>
  <c r="EN117"/>
  <c r="EN118"/>
  <c r="EN119"/>
  <c r="EN120"/>
  <c r="EN125"/>
  <c r="EN126"/>
  <c r="EN157"/>
  <c r="EN264"/>
  <c r="EN265"/>
  <c r="EN266"/>
  <c r="EN269"/>
  <c r="EN270"/>
  <c r="EN271"/>
  <c r="EN275"/>
  <c r="EN278"/>
  <c r="EN279"/>
  <c r="EN280"/>
  <c r="EN287"/>
  <c r="EN288"/>
  <c r="EN289"/>
  <c r="EN290"/>
  <c r="EN291"/>
  <c r="EN292"/>
  <c r="EN293"/>
  <c r="EN294"/>
  <c r="EN295"/>
  <c r="EN297"/>
  <c r="EN298"/>
  <c r="EN299"/>
  <c r="EN300"/>
  <c r="EN301"/>
  <c r="EN302"/>
  <c r="EN303"/>
  <c r="EN307"/>
  <c r="EN308"/>
  <c r="EN309"/>
  <c r="EN310"/>
  <c r="EN311"/>
  <c r="EN315"/>
  <c r="EN316"/>
  <c r="EN317"/>
  <c r="EN321"/>
  <c r="EN322"/>
  <c r="EN323"/>
  <c r="EN324"/>
  <c r="EN328"/>
  <c r="EN329"/>
  <c r="EN341"/>
  <c r="EN342"/>
  <c r="EN343"/>
  <c r="EN344"/>
  <c r="EN346"/>
  <c r="EN348"/>
  <c r="EN353"/>
  <c r="EN355"/>
  <c r="EN357"/>
  <c r="EN360"/>
  <c r="EN361"/>
  <c r="EN362"/>
  <c r="EN363"/>
  <c r="EN364"/>
  <c r="EN365"/>
  <c r="EN367"/>
  <c r="EN369"/>
  <c r="EN370"/>
  <c r="EN371"/>
  <c r="EN377"/>
  <c r="EN378"/>
  <c r="EN379"/>
  <c r="EN381"/>
  <c r="EN388"/>
  <c r="EN389"/>
  <c r="EN393"/>
  <c r="EN394"/>
  <c r="EN395"/>
  <c r="EN396"/>
  <c r="EN397"/>
  <c r="EN398"/>
  <c r="EN399"/>
  <c r="EN400"/>
  <c r="EN62"/>
  <c r="EN57"/>
  <c r="EN116"/>
  <c r="EN92"/>
  <c r="EN85"/>
  <c r="DX2"/>
  <c r="DX3"/>
  <c r="DX4"/>
  <c r="DX5"/>
  <c r="DX6"/>
  <c r="DX7"/>
  <c r="DX8"/>
  <c r="DX9"/>
  <c r="DX10"/>
  <c r="DX11"/>
  <c r="DX12"/>
  <c r="DX16"/>
  <c r="DX17"/>
  <c r="DX47"/>
  <c r="DX70"/>
  <c r="DX79"/>
  <c r="DX80"/>
  <c r="DX81"/>
  <c r="DX84"/>
  <c r="DX86"/>
  <c r="DX87"/>
  <c r="DX88"/>
  <c r="DX89"/>
  <c r="DX90"/>
  <c r="DX91"/>
  <c r="DX93"/>
  <c r="DX94"/>
  <c r="DX95"/>
  <c r="DX96"/>
  <c r="DX111"/>
  <c r="DX122"/>
  <c r="DX129"/>
  <c r="DX128"/>
  <c r="DX131"/>
  <c r="DX132"/>
  <c r="DX133"/>
  <c r="DX134"/>
  <c r="DX135"/>
  <c r="DX136"/>
  <c r="DX145"/>
  <c r="DX146"/>
  <c r="DX148"/>
  <c r="DX149"/>
  <c r="DX150"/>
  <c r="DX156"/>
  <c r="DX161"/>
  <c r="DX162"/>
  <c r="DX163"/>
  <c r="DX164"/>
  <c r="DX165"/>
  <c r="DX166"/>
  <c r="DX167"/>
  <c r="DX168"/>
  <c r="DX169"/>
  <c r="DX170"/>
  <c r="DX171"/>
  <c r="DX172"/>
  <c r="DX173"/>
  <c r="DX174"/>
  <c r="DX175"/>
  <c r="DX176"/>
  <c r="DX177"/>
  <c r="DX178"/>
  <c r="DX179"/>
  <c r="DX180"/>
  <c r="DX181"/>
  <c r="DX187"/>
  <c r="DX188"/>
  <c r="DX189"/>
  <c r="DX190"/>
  <c r="DX191"/>
  <c r="DX192"/>
  <c r="DX193"/>
  <c r="DX194"/>
  <c r="DX195"/>
  <c r="DX196"/>
  <c r="DX197"/>
  <c r="DX198"/>
  <c r="DX199"/>
  <c r="DX200"/>
  <c r="DX201"/>
  <c r="DX202"/>
  <c r="DX203"/>
  <c r="DX204"/>
  <c r="DX205"/>
  <c r="DX206"/>
  <c r="DX209"/>
  <c r="DX210"/>
  <c r="DX211"/>
  <c r="DX212"/>
  <c r="DX213"/>
  <c r="DX214"/>
  <c r="DX215"/>
  <c r="DX216"/>
  <c r="DX217"/>
  <c r="DX218"/>
  <c r="DX219"/>
  <c r="DX220"/>
  <c r="DX221"/>
  <c r="DX222"/>
  <c r="DX223"/>
  <c r="DX224"/>
  <c r="DX225"/>
  <c r="DX226"/>
  <c r="DX227"/>
  <c r="DX229"/>
  <c r="DX232"/>
  <c r="DX234"/>
  <c r="DX235"/>
  <c r="DX236"/>
  <c r="DX237"/>
  <c r="DX238"/>
  <c r="DX239"/>
  <c r="DX240"/>
  <c r="DX241"/>
  <c r="DX242"/>
  <c r="DX243"/>
  <c r="DX244"/>
  <c r="DX245"/>
  <c r="DX246"/>
  <c r="DX247"/>
  <c r="DX248"/>
  <c r="DX249"/>
  <c r="DX250"/>
  <c r="DX251"/>
  <c r="DX252"/>
  <c r="DX253"/>
  <c r="DX254"/>
  <c r="DX255"/>
  <c r="DX256"/>
  <c r="DX257"/>
  <c r="DX258"/>
  <c r="DX259"/>
  <c r="DX260"/>
  <c r="DX261"/>
  <c r="DX262"/>
  <c r="DX263"/>
  <c r="DX272"/>
  <c r="DX274"/>
  <c r="DX276"/>
  <c r="DX277"/>
  <c r="DX313"/>
  <c r="DX314"/>
  <c r="DX325"/>
  <c r="DX326"/>
  <c r="DX332"/>
  <c r="DX333"/>
  <c r="DX334"/>
  <c r="DX335"/>
  <c r="DX339"/>
  <c r="DX340"/>
  <c r="DX345"/>
  <c r="DX382"/>
  <c r="DX384"/>
  <c r="DX385"/>
  <c r="DX390"/>
  <c r="DX391"/>
  <c r="DX392"/>
  <c r="DX13"/>
  <c r="DX14"/>
  <c r="DX15"/>
  <c r="DX56"/>
  <c r="DX59"/>
  <c r="DX60"/>
  <c r="DX68"/>
  <c r="DX97"/>
  <c r="DX98"/>
  <c r="DX99"/>
  <c r="DX100"/>
  <c r="DX102"/>
  <c r="DX103"/>
  <c r="DX106"/>
  <c r="DX107"/>
  <c r="DX108"/>
  <c r="DX114"/>
  <c r="DX121"/>
  <c r="DX123"/>
  <c r="DX137"/>
  <c r="DX138"/>
  <c r="DX139"/>
  <c r="DX141"/>
  <c r="DX147"/>
  <c r="DX151"/>
  <c r="DX152"/>
  <c r="DX153"/>
  <c r="DX154"/>
  <c r="DX155"/>
  <c r="DX267"/>
  <c r="DX268"/>
  <c r="DX282"/>
  <c r="DX283"/>
  <c r="DX284"/>
  <c r="DX285"/>
  <c r="DX286"/>
  <c r="DX296"/>
  <c r="DX304"/>
  <c r="DX305"/>
  <c r="DX306"/>
  <c r="DX312"/>
  <c r="DX319"/>
  <c r="DX19"/>
  <c r="DX21"/>
  <c r="DX23"/>
  <c r="DX27"/>
  <c r="DX28"/>
  <c r="DX31"/>
  <c r="DX33"/>
  <c r="DX35"/>
  <c r="DX37"/>
  <c r="DX45"/>
  <c r="DX51"/>
  <c r="DX281"/>
  <c r="DX327"/>
  <c r="DX330"/>
  <c r="DX331"/>
  <c r="DX337"/>
  <c r="DX338"/>
  <c r="DX349"/>
  <c r="DX350"/>
  <c r="DX356"/>
  <c r="DX358"/>
  <c r="DX359"/>
  <c r="DX366"/>
  <c r="DX368"/>
  <c r="DX373"/>
  <c r="DX374"/>
  <c r="DX375"/>
  <c r="DX376"/>
  <c r="DX380"/>
  <c r="DX20"/>
  <c r="DX22"/>
  <c r="DX24"/>
  <c r="DX25"/>
  <c r="DX26"/>
  <c r="DX29"/>
  <c r="DX30"/>
  <c r="DX34"/>
  <c r="DX36"/>
  <c r="DX38"/>
  <c r="DX39"/>
  <c r="DX40"/>
  <c r="DX41"/>
  <c r="DX42"/>
  <c r="DX43"/>
  <c r="DX44"/>
  <c r="DX46"/>
  <c r="DX48"/>
  <c r="DX49"/>
  <c r="DX50"/>
  <c r="DX52"/>
  <c r="DX53"/>
  <c r="DX54"/>
  <c r="DX55"/>
  <c r="DX58"/>
  <c r="DX61"/>
  <c r="DX63"/>
  <c r="DX64"/>
  <c r="DX65"/>
  <c r="DX66"/>
  <c r="DX67"/>
  <c r="DX76"/>
  <c r="DX77"/>
  <c r="DX78"/>
  <c r="DX104"/>
  <c r="DX105"/>
  <c r="DX109"/>
  <c r="DX110"/>
  <c r="DX112"/>
  <c r="DX113"/>
  <c r="DX115"/>
  <c r="DX117"/>
  <c r="DX118"/>
  <c r="DX119"/>
  <c r="DX120"/>
  <c r="DX125"/>
  <c r="DX126"/>
  <c r="DX157"/>
  <c r="DX264"/>
  <c r="DX265"/>
  <c r="DX266"/>
  <c r="DX269"/>
  <c r="DX270"/>
  <c r="DX271"/>
  <c r="DX275"/>
  <c r="DX278"/>
  <c r="DX279"/>
  <c r="DX280"/>
  <c r="DX287"/>
  <c r="DX288"/>
  <c r="DX289"/>
  <c r="DX290"/>
  <c r="DX291"/>
  <c r="DX292"/>
  <c r="DX293"/>
  <c r="DX294"/>
  <c r="DX295"/>
  <c r="DX297"/>
  <c r="DX298"/>
  <c r="DX299"/>
  <c r="DX300"/>
  <c r="DX301"/>
  <c r="DX302"/>
  <c r="DX303"/>
  <c r="DX307"/>
  <c r="DX308"/>
  <c r="DX309"/>
  <c r="DX310"/>
  <c r="DX311"/>
  <c r="DX315"/>
  <c r="DX316"/>
  <c r="DX317"/>
  <c r="DX321"/>
  <c r="DX322"/>
  <c r="DX323"/>
  <c r="DX324"/>
  <c r="DX328"/>
  <c r="DX329"/>
  <c r="DX341"/>
  <c r="DX342"/>
  <c r="DX343"/>
  <c r="DX344"/>
  <c r="DX346"/>
  <c r="DX348"/>
  <c r="DX353"/>
  <c r="DX355"/>
  <c r="DX357"/>
  <c r="DX360"/>
  <c r="DX361"/>
  <c r="DX362"/>
  <c r="DX363"/>
  <c r="DX364"/>
  <c r="DX365"/>
  <c r="DX367"/>
  <c r="DX369"/>
  <c r="DX370"/>
  <c r="DX371"/>
  <c r="DX377"/>
  <c r="DX378"/>
  <c r="DX379"/>
  <c r="DX381"/>
  <c r="DX388"/>
  <c r="DX389"/>
  <c r="DX393"/>
  <c r="DX394"/>
  <c r="DX395"/>
  <c r="DX396"/>
  <c r="DX397"/>
  <c r="DX398"/>
  <c r="DX399"/>
  <c r="DX400"/>
  <c r="DX62"/>
  <c r="DX57"/>
  <c r="DX116"/>
  <c r="DX92"/>
  <c r="DX85"/>
  <c r="DH2"/>
  <c r="DH3"/>
  <c r="DH4"/>
  <c r="DH5"/>
  <c r="DH6"/>
  <c r="DH7"/>
  <c r="DH8"/>
  <c r="DH9"/>
  <c r="DH10"/>
  <c r="DH11"/>
  <c r="DH12"/>
  <c r="DH16"/>
  <c r="DH17"/>
  <c r="DH47"/>
  <c r="DH70"/>
  <c r="DH79"/>
  <c r="DH80"/>
  <c r="DH81"/>
  <c r="DH84"/>
  <c r="DH86"/>
  <c r="DH87"/>
  <c r="DH88"/>
  <c r="DH89"/>
  <c r="DH90"/>
  <c r="DH91"/>
  <c r="DH93"/>
  <c r="DH94"/>
  <c r="DH95"/>
  <c r="DH96"/>
  <c r="DH111"/>
  <c r="DH122"/>
  <c r="DH129"/>
  <c r="DH128"/>
  <c r="DH131"/>
  <c r="DH132"/>
  <c r="DH133"/>
  <c r="DH134"/>
  <c r="DH135"/>
  <c r="DH136"/>
  <c r="DH145"/>
  <c r="DH146"/>
  <c r="DH148"/>
  <c r="DH149"/>
  <c r="DH150"/>
  <c r="DH156"/>
  <c r="DH161"/>
  <c r="DH162"/>
  <c r="DH163"/>
  <c r="DH164"/>
  <c r="DH165"/>
  <c r="DH166"/>
  <c r="DH167"/>
  <c r="DH168"/>
  <c r="DH169"/>
  <c r="DH170"/>
  <c r="DH171"/>
  <c r="DH172"/>
  <c r="DH173"/>
  <c r="DH174"/>
  <c r="DH175"/>
  <c r="DH176"/>
  <c r="DH177"/>
  <c r="DH178"/>
  <c r="DH179"/>
  <c r="DH180"/>
  <c r="DH181"/>
  <c r="DH187"/>
  <c r="DH188"/>
  <c r="DH189"/>
  <c r="DH190"/>
  <c r="DH191"/>
  <c r="DH192"/>
  <c r="DH193"/>
  <c r="DH194"/>
  <c r="DH195"/>
  <c r="DH196"/>
  <c r="DH197"/>
  <c r="DH198"/>
  <c r="DH199"/>
  <c r="DH200"/>
  <c r="DH201"/>
  <c r="DH202"/>
  <c r="DH203"/>
  <c r="DH204"/>
  <c r="DH205"/>
  <c r="DH206"/>
  <c r="DH209"/>
  <c r="DH210"/>
  <c r="DH211"/>
  <c r="DH212"/>
  <c r="DH213"/>
  <c r="DH214"/>
  <c r="DH215"/>
  <c r="DH216"/>
  <c r="DH217"/>
  <c r="DH218"/>
  <c r="DH219"/>
  <c r="DH220"/>
  <c r="DH221"/>
  <c r="DH222"/>
  <c r="DH223"/>
  <c r="DH224"/>
  <c r="DH225"/>
  <c r="DH226"/>
  <c r="DH227"/>
  <c r="DH229"/>
  <c r="DH232"/>
  <c r="DH234"/>
  <c r="DH235"/>
  <c r="DH236"/>
  <c r="DH237"/>
  <c r="DH238"/>
  <c r="DH239"/>
  <c r="DH240"/>
  <c r="DH241"/>
  <c r="DH242"/>
  <c r="DH243"/>
  <c r="DH244"/>
  <c r="DH245"/>
  <c r="DH246"/>
  <c r="DH247"/>
  <c r="DH248"/>
  <c r="DH249"/>
  <c r="DH250"/>
  <c r="DH251"/>
  <c r="DH252"/>
  <c r="DH253"/>
  <c r="DH254"/>
  <c r="DH255"/>
  <c r="DH256"/>
  <c r="DH257"/>
  <c r="DH258"/>
  <c r="DH259"/>
  <c r="DH260"/>
  <c r="DH261"/>
  <c r="DH262"/>
  <c r="DH263"/>
  <c r="DH272"/>
  <c r="DH274"/>
  <c r="DH276"/>
  <c r="DH277"/>
  <c r="DH313"/>
  <c r="DH314"/>
  <c r="DH325"/>
  <c r="DH326"/>
  <c r="DH332"/>
  <c r="DH333"/>
  <c r="DH334"/>
  <c r="DH335"/>
  <c r="DH339"/>
  <c r="DH340"/>
  <c r="DH345"/>
  <c r="DH382"/>
  <c r="DH384"/>
  <c r="DH385"/>
  <c r="DH390"/>
  <c r="DH391"/>
  <c r="DH392"/>
  <c r="DH13"/>
  <c r="DH14"/>
  <c r="DH15"/>
  <c r="DH56"/>
  <c r="DH59"/>
  <c r="DH60"/>
  <c r="DH68"/>
  <c r="DH97"/>
  <c r="DH98"/>
  <c r="DH99"/>
  <c r="DH100"/>
  <c r="DH102"/>
  <c r="DH103"/>
  <c r="DH106"/>
  <c r="DH107"/>
  <c r="DH108"/>
  <c r="DH114"/>
  <c r="DH121"/>
  <c r="DH123"/>
  <c r="DH137"/>
  <c r="DH138"/>
  <c r="DH139"/>
  <c r="DH141"/>
  <c r="DH147"/>
  <c r="DH151"/>
  <c r="DH152"/>
  <c r="DH153"/>
  <c r="DH154"/>
  <c r="DH155"/>
  <c r="DH267"/>
  <c r="DH268"/>
  <c r="DH282"/>
  <c r="DH283"/>
  <c r="DH284"/>
  <c r="DH285"/>
  <c r="DH286"/>
  <c r="DH296"/>
  <c r="DH304"/>
  <c r="DH305"/>
  <c r="DH306"/>
  <c r="DH312"/>
  <c r="DH319"/>
  <c r="DH19"/>
  <c r="DH21"/>
  <c r="DH23"/>
  <c r="DH27"/>
  <c r="DH28"/>
  <c r="DH31"/>
  <c r="DH33"/>
  <c r="DH35"/>
  <c r="DH37"/>
  <c r="DH45"/>
  <c r="DH51"/>
  <c r="DH281"/>
  <c r="DH327"/>
  <c r="DH330"/>
  <c r="DH331"/>
  <c r="DH337"/>
  <c r="DH338"/>
  <c r="DH349"/>
  <c r="DH350"/>
  <c r="DH356"/>
  <c r="DH358"/>
  <c r="DH359"/>
  <c r="DH366"/>
  <c r="DH368"/>
  <c r="DH373"/>
  <c r="DH374"/>
  <c r="DH375"/>
  <c r="DH376"/>
  <c r="DH380"/>
  <c r="DH20"/>
  <c r="DH22"/>
  <c r="DH24"/>
  <c r="DH25"/>
  <c r="DH26"/>
  <c r="DH29"/>
  <c r="DH30"/>
  <c r="DH34"/>
  <c r="DH36"/>
  <c r="DH38"/>
  <c r="DH39"/>
  <c r="DH40"/>
  <c r="DH41"/>
  <c r="DH42"/>
  <c r="DH43"/>
  <c r="DH44"/>
  <c r="DH46"/>
  <c r="DH48"/>
  <c r="DH49"/>
  <c r="DH50"/>
  <c r="DH52"/>
  <c r="DH53"/>
  <c r="DH54"/>
  <c r="DH55"/>
  <c r="DH58"/>
  <c r="DH61"/>
  <c r="DH63"/>
  <c r="DH64"/>
  <c r="DH65"/>
  <c r="DH66"/>
  <c r="DH67"/>
  <c r="DH76"/>
  <c r="DH77"/>
  <c r="DH78"/>
  <c r="DH104"/>
  <c r="DH105"/>
  <c r="DH109"/>
  <c r="DH110"/>
  <c r="DH112"/>
  <c r="DH113"/>
  <c r="DH115"/>
  <c r="DH117"/>
  <c r="DH118"/>
  <c r="DH119"/>
  <c r="DH120"/>
  <c r="DH125"/>
  <c r="DH126"/>
  <c r="DH157"/>
  <c r="DH264"/>
  <c r="DH265"/>
  <c r="DH266"/>
  <c r="DH269"/>
  <c r="DH270"/>
  <c r="DH271"/>
  <c r="DH275"/>
  <c r="DH278"/>
  <c r="DH279"/>
  <c r="DH280"/>
  <c r="DH287"/>
  <c r="DH288"/>
  <c r="DH289"/>
  <c r="DH290"/>
  <c r="DH291"/>
  <c r="DH292"/>
  <c r="DH293"/>
  <c r="DH294"/>
  <c r="DH295"/>
  <c r="DH297"/>
  <c r="DH298"/>
  <c r="DH299"/>
  <c r="DH300"/>
  <c r="DH301"/>
  <c r="DH302"/>
  <c r="DH303"/>
  <c r="DH307"/>
  <c r="DH308"/>
  <c r="DH309"/>
  <c r="DH310"/>
  <c r="DH311"/>
  <c r="DH315"/>
  <c r="DH316"/>
  <c r="DH317"/>
  <c r="DH321"/>
  <c r="DH322"/>
  <c r="DH323"/>
  <c r="DH324"/>
  <c r="DH328"/>
  <c r="DH329"/>
  <c r="DH341"/>
  <c r="DH342"/>
  <c r="DH343"/>
  <c r="DH344"/>
  <c r="DH346"/>
  <c r="DH348"/>
  <c r="DH353"/>
  <c r="DH355"/>
  <c r="DH357"/>
  <c r="DH360"/>
  <c r="DH361"/>
  <c r="DH362"/>
  <c r="DH363"/>
  <c r="DH364"/>
  <c r="DH365"/>
  <c r="DH367"/>
  <c r="DH369"/>
  <c r="DH370"/>
  <c r="DH371"/>
  <c r="DH377"/>
  <c r="DH378"/>
  <c r="DH379"/>
  <c r="DH381"/>
  <c r="DH388"/>
  <c r="DH389"/>
  <c r="DH393"/>
  <c r="DH394"/>
  <c r="DH395"/>
  <c r="DH396"/>
  <c r="DH397"/>
  <c r="DH398"/>
  <c r="DH399"/>
  <c r="DH400"/>
  <c r="DH62"/>
  <c r="DH57"/>
  <c r="DH116"/>
  <c r="DH92"/>
  <c r="DH85"/>
  <c r="CR2"/>
  <c r="CR3"/>
  <c r="CR4"/>
  <c r="CR5"/>
  <c r="CR6"/>
  <c r="CR7"/>
  <c r="CR8"/>
  <c r="CR9"/>
  <c r="CR10"/>
  <c r="CR11"/>
  <c r="CR12"/>
  <c r="CR16"/>
  <c r="CR17"/>
  <c r="CR47"/>
  <c r="CR70"/>
  <c r="CR79"/>
  <c r="CR80"/>
  <c r="CR81"/>
  <c r="CR84"/>
  <c r="CR86"/>
  <c r="CR87"/>
  <c r="CR88"/>
  <c r="CR89"/>
  <c r="CR90"/>
  <c r="CR91"/>
  <c r="CR93"/>
  <c r="CR94"/>
  <c r="CR95"/>
  <c r="CR96"/>
  <c r="CR111"/>
  <c r="CR122"/>
  <c r="CR129"/>
  <c r="CR128"/>
  <c r="CR131"/>
  <c r="CR132"/>
  <c r="CR133"/>
  <c r="CR134"/>
  <c r="CR135"/>
  <c r="CR136"/>
  <c r="CR145"/>
  <c r="CR146"/>
  <c r="CR148"/>
  <c r="CR149"/>
  <c r="CR150"/>
  <c r="CR156"/>
  <c r="CR161"/>
  <c r="CR162"/>
  <c r="CR163"/>
  <c r="CR164"/>
  <c r="CR165"/>
  <c r="CR166"/>
  <c r="CR167"/>
  <c r="CR168"/>
  <c r="CR169"/>
  <c r="CR170"/>
  <c r="CR171"/>
  <c r="CR172"/>
  <c r="CR173"/>
  <c r="CR174"/>
  <c r="CR175"/>
  <c r="CR176"/>
  <c r="CR177"/>
  <c r="CR178"/>
  <c r="CR179"/>
  <c r="CR180"/>
  <c r="CR181"/>
  <c r="CR187"/>
  <c r="CR188"/>
  <c r="CR189"/>
  <c r="CR190"/>
  <c r="CR191"/>
  <c r="CR192"/>
  <c r="CR193"/>
  <c r="CR194"/>
  <c r="CR195"/>
  <c r="CR196"/>
  <c r="CR197"/>
  <c r="CR198"/>
  <c r="CR199"/>
  <c r="CR200"/>
  <c r="CR201"/>
  <c r="CR202"/>
  <c r="CR203"/>
  <c r="CR204"/>
  <c r="CR205"/>
  <c r="CR206"/>
  <c r="CR209"/>
  <c r="CR210"/>
  <c r="CR211"/>
  <c r="CR212"/>
  <c r="CR213"/>
  <c r="CR214"/>
  <c r="CR215"/>
  <c r="CR216"/>
  <c r="CR217"/>
  <c r="CR218"/>
  <c r="CR219"/>
  <c r="CR220"/>
  <c r="CR221"/>
  <c r="CR222"/>
  <c r="CR223"/>
  <c r="CR224"/>
  <c r="CR225"/>
  <c r="CR226"/>
  <c r="CR227"/>
  <c r="CR229"/>
  <c r="CR232"/>
  <c r="CR234"/>
  <c r="CR235"/>
  <c r="CR236"/>
  <c r="CR237"/>
  <c r="CR238"/>
  <c r="CR239"/>
  <c r="CR240"/>
  <c r="CR241"/>
  <c r="CR242"/>
  <c r="CR243"/>
  <c r="CR244"/>
  <c r="CR245"/>
  <c r="CR246"/>
  <c r="CR247"/>
  <c r="CR248"/>
  <c r="CR249"/>
  <c r="CR250"/>
  <c r="CR251"/>
  <c r="CR252"/>
  <c r="CR253"/>
  <c r="CR254"/>
  <c r="CR255"/>
  <c r="CR256"/>
  <c r="CR257"/>
  <c r="CR258"/>
  <c r="CR259"/>
  <c r="CR260"/>
  <c r="CR261"/>
  <c r="CR262"/>
  <c r="CR263"/>
  <c r="CR272"/>
  <c r="CR274"/>
  <c r="CR276"/>
  <c r="CR277"/>
  <c r="CR313"/>
  <c r="CR314"/>
  <c r="CR325"/>
  <c r="CR326"/>
  <c r="CR332"/>
  <c r="CR333"/>
  <c r="CR334"/>
  <c r="CR335"/>
  <c r="CR339"/>
  <c r="CR340"/>
  <c r="CR345"/>
  <c r="CR382"/>
  <c r="CR384"/>
  <c r="CR385"/>
  <c r="CR390"/>
  <c r="CR391"/>
  <c r="CR392"/>
  <c r="CR13"/>
  <c r="CR14"/>
  <c r="CR15"/>
  <c r="CR56"/>
  <c r="CR59"/>
  <c r="CR60"/>
  <c r="CR68"/>
  <c r="CR97"/>
  <c r="CR98"/>
  <c r="CR99"/>
  <c r="CR100"/>
  <c r="CR102"/>
  <c r="CR103"/>
  <c r="CR106"/>
  <c r="CR107"/>
  <c r="CR108"/>
  <c r="CR114"/>
  <c r="CR121"/>
  <c r="CR123"/>
  <c r="CR137"/>
  <c r="CR138"/>
  <c r="CR139"/>
  <c r="CR141"/>
  <c r="CR147"/>
  <c r="CR151"/>
  <c r="CR152"/>
  <c r="CR153"/>
  <c r="CR154"/>
  <c r="CR155"/>
  <c r="CR267"/>
  <c r="CR268"/>
  <c r="CR282"/>
  <c r="CR283"/>
  <c r="CR284"/>
  <c r="CR285"/>
  <c r="CR286"/>
  <c r="CR296"/>
  <c r="CR304"/>
  <c r="CR305"/>
  <c r="CR306"/>
  <c r="CR312"/>
  <c r="CR319"/>
  <c r="CR19"/>
  <c r="CR21"/>
  <c r="CR23"/>
  <c r="CR27"/>
  <c r="CR28"/>
  <c r="CR31"/>
  <c r="CR33"/>
  <c r="CR35"/>
  <c r="CR37"/>
  <c r="CR45"/>
  <c r="CR51"/>
  <c r="CR281"/>
  <c r="CR327"/>
  <c r="CR330"/>
  <c r="CR331"/>
  <c r="CR337"/>
  <c r="CR338"/>
  <c r="CR349"/>
  <c r="CR350"/>
  <c r="CR356"/>
  <c r="CR358"/>
  <c r="CR359"/>
  <c r="CR366"/>
  <c r="CR368"/>
  <c r="CR373"/>
  <c r="CR374"/>
  <c r="CR375"/>
  <c r="CR376"/>
  <c r="CR380"/>
  <c r="CR20"/>
  <c r="CR22"/>
  <c r="CR24"/>
  <c r="CR25"/>
  <c r="CR26"/>
  <c r="CR29"/>
  <c r="CR30"/>
  <c r="CR34"/>
  <c r="CR36"/>
  <c r="CR38"/>
  <c r="CR39"/>
  <c r="CR40"/>
  <c r="CR41"/>
  <c r="CR42"/>
  <c r="CR43"/>
  <c r="CR44"/>
  <c r="CR46"/>
  <c r="CR48"/>
  <c r="CR49"/>
  <c r="CR50"/>
  <c r="CR52"/>
  <c r="CR53"/>
  <c r="CR54"/>
  <c r="CR55"/>
  <c r="CR58"/>
  <c r="CR61"/>
  <c r="CR63"/>
  <c r="CR64"/>
  <c r="CR65"/>
  <c r="CR66"/>
  <c r="CR67"/>
  <c r="CR76"/>
  <c r="CR77"/>
  <c r="CR78"/>
  <c r="CR104"/>
  <c r="CR105"/>
  <c r="CR109"/>
  <c r="CR110"/>
  <c r="CR112"/>
  <c r="CR113"/>
  <c r="CR115"/>
  <c r="CR117"/>
  <c r="CR118"/>
  <c r="CR119"/>
  <c r="CR120"/>
  <c r="CR125"/>
  <c r="CR126"/>
  <c r="CR157"/>
  <c r="CR264"/>
  <c r="CR265"/>
  <c r="CR266"/>
  <c r="CR269"/>
  <c r="CR270"/>
  <c r="CR271"/>
  <c r="CR275"/>
  <c r="CR278"/>
  <c r="CR279"/>
  <c r="CR280"/>
  <c r="CR287"/>
  <c r="CR288"/>
  <c r="CR289"/>
  <c r="CR290"/>
  <c r="CR291"/>
  <c r="CR292"/>
  <c r="CR293"/>
  <c r="CR294"/>
  <c r="CR295"/>
  <c r="CR297"/>
  <c r="CR298"/>
  <c r="CR299"/>
  <c r="CR300"/>
  <c r="CR301"/>
  <c r="CR302"/>
  <c r="CR303"/>
  <c r="CR307"/>
  <c r="CR308"/>
  <c r="CR309"/>
  <c r="CR310"/>
  <c r="CR311"/>
  <c r="CR315"/>
  <c r="CR316"/>
  <c r="CR317"/>
  <c r="CR321"/>
  <c r="CR322"/>
  <c r="CR323"/>
  <c r="CR324"/>
  <c r="CR328"/>
  <c r="CR329"/>
  <c r="CR341"/>
  <c r="CR342"/>
  <c r="CR343"/>
  <c r="CR344"/>
  <c r="CR346"/>
  <c r="CR348"/>
  <c r="CR353"/>
  <c r="CR355"/>
  <c r="CR357"/>
  <c r="CR360"/>
  <c r="CR361"/>
  <c r="CR362"/>
  <c r="CR363"/>
  <c r="CR364"/>
  <c r="CR365"/>
  <c r="CR367"/>
  <c r="CR369"/>
  <c r="CR370"/>
  <c r="CR371"/>
  <c r="CR377"/>
  <c r="CR378"/>
  <c r="CR379"/>
  <c r="CR381"/>
  <c r="CR388"/>
  <c r="CR389"/>
  <c r="CR393"/>
  <c r="CR394"/>
  <c r="CR395"/>
  <c r="CR396"/>
  <c r="CR397"/>
  <c r="CR398"/>
  <c r="CR399"/>
  <c r="CR400"/>
  <c r="CR62"/>
  <c r="CR57"/>
  <c r="CR116"/>
  <c r="CR92"/>
  <c r="CR85"/>
  <c r="CB2"/>
  <c r="CB3"/>
  <c r="CB4"/>
  <c r="CB5"/>
  <c r="CB6"/>
  <c r="CB7"/>
  <c r="CB8"/>
  <c r="CB9"/>
  <c r="CB10"/>
  <c r="CB11"/>
  <c r="CB12"/>
  <c r="CB16"/>
  <c r="CB17"/>
  <c r="CB47"/>
  <c r="CB70"/>
  <c r="CB79"/>
  <c r="CB80"/>
  <c r="CB81"/>
  <c r="CB84"/>
  <c r="CB86"/>
  <c r="CB87"/>
  <c r="CB88"/>
  <c r="CB89"/>
  <c r="CB90"/>
  <c r="CB91"/>
  <c r="CB93"/>
  <c r="CB94"/>
  <c r="CB95"/>
  <c r="CB96"/>
  <c r="CB111"/>
  <c r="CB122"/>
  <c r="CB129"/>
  <c r="CB128"/>
  <c r="CB131"/>
  <c r="CB132"/>
  <c r="CB133"/>
  <c r="CB134"/>
  <c r="CB135"/>
  <c r="CB136"/>
  <c r="CB145"/>
  <c r="CB146"/>
  <c r="CB148"/>
  <c r="CB149"/>
  <c r="CB150"/>
  <c r="CB156"/>
  <c r="CB161"/>
  <c r="CB162"/>
  <c r="CB163"/>
  <c r="CB164"/>
  <c r="CB165"/>
  <c r="CB166"/>
  <c r="CB167"/>
  <c r="CB168"/>
  <c r="CB169"/>
  <c r="CB170"/>
  <c r="CB171"/>
  <c r="CB172"/>
  <c r="CB173"/>
  <c r="CB174"/>
  <c r="CB175"/>
  <c r="CB176"/>
  <c r="CB177"/>
  <c r="CB178"/>
  <c r="CB179"/>
  <c r="CB180"/>
  <c r="CB181"/>
  <c r="CB187"/>
  <c r="CB188"/>
  <c r="CB189"/>
  <c r="CB190"/>
  <c r="CB191"/>
  <c r="CB192"/>
  <c r="CB193"/>
  <c r="CB194"/>
  <c r="CB195"/>
  <c r="CB196"/>
  <c r="CB197"/>
  <c r="CB198"/>
  <c r="CB199"/>
  <c r="CB200"/>
  <c r="CB201"/>
  <c r="CB202"/>
  <c r="CB203"/>
  <c r="CB204"/>
  <c r="CB205"/>
  <c r="CB206"/>
  <c r="CB209"/>
  <c r="CB210"/>
  <c r="CB211"/>
  <c r="CB212"/>
  <c r="CB213"/>
  <c r="CB214"/>
  <c r="CB215"/>
  <c r="CB216"/>
  <c r="CB217"/>
  <c r="CB218"/>
  <c r="CB219"/>
  <c r="CB220"/>
  <c r="CB221"/>
  <c r="CB222"/>
  <c r="CB223"/>
  <c r="CB224"/>
  <c r="CB225"/>
  <c r="CB226"/>
  <c r="CB227"/>
  <c r="CB229"/>
  <c r="CB232"/>
  <c r="CB234"/>
  <c r="CB235"/>
  <c r="CB236"/>
  <c r="CB237"/>
  <c r="CB238"/>
  <c r="CB239"/>
  <c r="CB240"/>
  <c r="CB241"/>
  <c r="CB242"/>
  <c r="CB243"/>
  <c r="CB244"/>
  <c r="CB245"/>
  <c r="CB246"/>
  <c r="CB247"/>
  <c r="CB248"/>
  <c r="CB249"/>
  <c r="CB250"/>
  <c r="CB251"/>
  <c r="CB252"/>
  <c r="CB253"/>
  <c r="CB254"/>
  <c r="CB255"/>
  <c r="CB256"/>
  <c r="CB257"/>
  <c r="CB258"/>
  <c r="CB259"/>
  <c r="CB260"/>
  <c r="CB261"/>
  <c r="CB262"/>
  <c r="CB263"/>
  <c r="CB272"/>
  <c r="CB274"/>
  <c r="CB276"/>
  <c r="CB277"/>
  <c r="CB313"/>
  <c r="CB314"/>
  <c r="CB325"/>
  <c r="CB326"/>
  <c r="CB332"/>
  <c r="CB333"/>
  <c r="CB334"/>
  <c r="CB335"/>
  <c r="CB339"/>
  <c r="CB340"/>
  <c r="CB345"/>
  <c r="CB382"/>
  <c r="CB384"/>
  <c r="CB385"/>
  <c r="CB390"/>
  <c r="CB391"/>
  <c r="CB392"/>
  <c r="CB13"/>
  <c r="CB14"/>
  <c r="CB15"/>
  <c r="CB56"/>
  <c r="CB59"/>
  <c r="CB60"/>
  <c r="CB68"/>
  <c r="CB97"/>
  <c r="CB98"/>
  <c r="CB99"/>
  <c r="CB100"/>
  <c r="CB102"/>
  <c r="CB103"/>
  <c r="CB106"/>
  <c r="CB107"/>
  <c r="CB108"/>
  <c r="CB114"/>
  <c r="CB121"/>
  <c r="CB123"/>
  <c r="CB137"/>
  <c r="CB138"/>
  <c r="CB139"/>
  <c r="CB141"/>
  <c r="CB147"/>
  <c r="CB151"/>
  <c r="CB152"/>
  <c r="CB153"/>
  <c r="CB154"/>
  <c r="CB155"/>
  <c r="CB267"/>
  <c r="CB268"/>
  <c r="CB282"/>
  <c r="CB283"/>
  <c r="CB284"/>
  <c r="CB285"/>
  <c r="CB286"/>
  <c r="CB296"/>
  <c r="CB304"/>
  <c r="CB305"/>
  <c r="CB306"/>
  <c r="CB312"/>
  <c r="CB319"/>
  <c r="CB19"/>
  <c r="CB21"/>
  <c r="CB23"/>
  <c r="CB27"/>
  <c r="CB28"/>
  <c r="CB31"/>
  <c r="CB33"/>
  <c r="CB35"/>
  <c r="CB37"/>
  <c r="CB45"/>
  <c r="CB51"/>
  <c r="CB281"/>
  <c r="CB327"/>
  <c r="CB330"/>
  <c r="CB331"/>
  <c r="CB337"/>
  <c r="CB338"/>
  <c r="CB349"/>
  <c r="CB350"/>
  <c r="CB356"/>
  <c r="CB358"/>
  <c r="CB359"/>
  <c r="CB366"/>
  <c r="CB368"/>
  <c r="CB373"/>
  <c r="CB374"/>
  <c r="CB375"/>
  <c r="CB376"/>
  <c r="CB380"/>
  <c r="CB20"/>
  <c r="CB22"/>
  <c r="CB24"/>
  <c r="CB25"/>
  <c r="CB26"/>
  <c r="CB29"/>
  <c r="CB30"/>
  <c r="CB34"/>
  <c r="CB36"/>
  <c r="CB38"/>
  <c r="CB39"/>
  <c r="CB40"/>
  <c r="CB41"/>
  <c r="CB42"/>
  <c r="CB43"/>
  <c r="CB44"/>
  <c r="CB46"/>
  <c r="CB48"/>
  <c r="CB49"/>
  <c r="CB50"/>
  <c r="CB52"/>
  <c r="CB53"/>
  <c r="CB54"/>
  <c r="CB55"/>
  <c r="CB58"/>
  <c r="CB61"/>
  <c r="CB63"/>
  <c r="CB64"/>
  <c r="CB65"/>
  <c r="CB66"/>
  <c r="CB67"/>
  <c r="CB76"/>
  <c r="CB77"/>
  <c r="CB78"/>
  <c r="CB104"/>
  <c r="CB105"/>
  <c r="CB109"/>
  <c r="CB110"/>
  <c r="CB112"/>
  <c r="CB113"/>
  <c r="CB115"/>
  <c r="CB117"/>
  <c r="CB118"/>
  <c r="CB119"/>
  <c r="CB120"/>
  <c r="CB125"/>
  <c r="CB126"/>
  <c r="CB157"/>
  <c r="CB264"/>
  <c r="CB265"/>
  <c r="CB266"/>
  <c r="CB269"/>
  <c r="CB270"/>
  <c r="CB271"/>
  <c r="CB275"/>
  <c r="CB278"/>
  <c r="CB279"/>
  <c r="CB280"/>
  <c r="CB287"/>
  <c r="CB288"/>
  <c r="CB289"/>
  <c r="CB290"/>
  <c r="CB291"/>
  <c r="CB292"/>
  <c r="CB293"/>
  <c r="CB294"/>
  <c r="CB295"/>
  <c r="CB297"/>
  <c r="CB298"/>
  <c r="CB299"/>
  <c r="CB300"/>
  <c r="CB301"/>
  <c r="CB302"/>
  <c r="CB303"/>
  <c r="CB307"/>
  <c r="CB308"/>
  <c r="CB309"/>
  <c r="CB310"/>
  <c r="CB311"/>
  <c r="CB315"/>
  <c r="CB316"/>
  <c r="CB317"/>
  <c r="CB321"/>
  <c r="CB322"/>
  <c r="CB323"/>
  <c r="CB324"/>
  <c r="CB328"/>
  <c r="CB329"/>
  <c r="CB341"/>
  <c r="CB342"/>
  <c r="CB343"/>
  <c r="CB344"/>
  <c r="CB346"/>
  <c r="CB348"/>
  <c r="CB353"/>
  <c r="CB355"/>
  <c r="CB357"/>
  <c r="CB360"/>
  <c r="CB361"/>
  <c r="CB362"/>
  <c r="CB363"/>
  <c r="CB364"/>
  <c r="CB365"/>
  <c r="CB367"/>
  <c r="CB369"/>
  <c r="CB370"/>
  <c r="CB371"/>
  <c r="CB377"/>
  <c r="CB378"/>
  <c r="CB379"/>
  <c r="CB381"/>
  <c r="CB388"/>
  <c r="CB389"/>
  <c r="CB393"/>
  <c r="CB394"/>
  <c r="CB395"/>
  <c r="CB396"/>
  <c r="CB397"/>
  <c r="CB398"/>
  <c r="CB399"/>
  <c r="CB400"/>
  <c r="CB62"/>
  <c r="CB57"/>
  <c r="CB116"/>
  <c r="CB92"/>
  <c r="CB85"/>
  <c r="BL2"/>
  <c r="BL3"/>
  <c r="BL4"/>
  <c r="BL5"/>
  <c r="BL6"/>
  <c r="BL7"/>
  <c r="BL8"/>
  <c r="BL9"/>
  <c r="BL10"/>
  <c r="BL11"/>
  <c r="BL12"/>
  <c r="BL16"/>
  <c r="BL17"/>
  <c r="BL47"/>
  <c r="BL70"/>
  <c r="BL79"/>
  <c r="BL80"/>
  <c r="BL81"/>
  <c r="BL84"/>
  <c r="BL86"/>
  <c r="BL87"/>
  <c r="BL88"/>
  <c r="BL89"/>
  <c r="BL90"/>
  <c r="BL91"/>
  <c r="BL93"/>
  <c r="BL94"/>
  <c r="BL95"/>
  <c r="BL96"/>
  <c r="BL111"/>
  <c r="BL122"/>
  <c r="BL129"/>
  <c r="BL128"/>
  <c r="BL131"/>
  <c r="BL132"/>
  <c r="BL133"/>
  <c r="BL134"/>
  <c r="BL135"/>
  <c r="BL136"/>
  <c r="BL145"/>
  <c r="BL146"/>
  <c r="BL148"/>
  <c r="BL149"/>
  <c r="BL150"/>
  <c r="BL156"/>
  <c r="BL161"/>
  <c r="BL162"/>
  <c r="BL163"/>
  <c r="BL164"/>
  <c r="BL165"/>
  <c r="BL166"/>
  <c r="BL167"/>
  <c r="BL168"/>
  <c r="BL169"/>
  <c r="BL170"/>
  <c r="BL171"/>
  <c r="BL172"/>
  <c r="BL173"/>
  <c r="BL174"/>
  <c r="BL175"/>
  <c r="BL176"/>
  <c r="BL177"/>
  <c r="BL178"/>
  <c r="BL179"/>
  <c r="BL180"/>
  <c r="BL181"/>
  <c r="BL187"/>
  <c r="BL188"/>
  <c r="BL189"/>
  <c r="BL190"/>
  <c r="BL191"/>
  <c r="BL192"/>
  <c r="BL193"/>
  <c r="BL194"/>
  <c r="BL195"/>
  <c r="BL196"/>
  <c r="BL197"/>
  <c r="BL198"/>
  <c r="BL199"/>
  <c r="BL200"/>
  <c r="BL201"/>
  <c r="BL202"/>
  <c r="BL203"/>
  <c r="BL204"/>
  <c r="BL205"/>
  <c r="BL206"/>
  <c r="BL209"/>
  <c r="BL210"/>
  <c r="BL211"/>
  <c r="BL212"/>
  <c r="BL213"/>
  <c r="BL214"/>
  <c r="BL215"/>
  <c r="BL216"/>
  <c r="BL217"/>
  <c r="BL218"/>
  <c r="BL219"/>
  <c r="BL220"/>
  <c r="BL221"/>
  <c r="BL222"/>
  <c r="BL223"/>
  <c r="BL224"/>
  <c r="BL225"/>
  <c r="BL226"/>
  <c r="BL227"/>
  <c r="BL229"/>
  <c r="BL232"/>
  <c r="BL234"/>
  <c r="BL235"/>
  <c r="BL236"/>
  <c r="BL237"/>
  <c r="BL238"/>
  <c r="BL239"/>
  <c r="BL240"/>
  <c r="BL241"/>
  <c r="BL242"/>
  <c r="BL243"/>
  <c r="BL244"/>
  <c r="BL245"/>
  <c r="BL246"/>
  <c r="BL247"/>
  <c r="BL248"/>
  <c r="BL249"/>
  <c r="BL250"/>
  <c r="BL251"/>
  <c r="BL252"/>
  <c r="BL253"/>
  <c r="BL254"/>
  <c r="BL255"/>
  <c r="BL256"/>
  <c r="BL257"/>
  <c r="BL258"/>
  <c r="BL259"/>
  <c r="BL260"/>
  <c r="BL261"/>
  <c r="BL262"/>
  <c r="BL263"/>
  <c r="BL272"/>
  <c r="BL274"/>
  <c r="BL276"/>
  <c r="BL277"/>
  <c r="BL313"/>
  <c r="BL314"/>
  <c r="BL325"/>
  <c r="BL326"/>
  <c r="BL332"/>
  <c r="BL333"/>
  <c r="BL334"/>
  <c r="BL335"/>
  <c r="BL339"/>
  <c r="BL340"/>
  <c r="BL345"/>
  <c r="BL382"/>
  <c r="BL384"/>
  <c r="BL385"/>
  <c r="BL390"/>
  <c r="BL391"/>
  <c r="BL392"/>
  <c r="BL13"/>
  <c r="BL14"/>
  <c r="BL15"/>
  <c r="BL56"/>
  <c r="BL59"/>
  <c r="BL60"/>
  <c r="BL68"/>
  <c r="BL97"/>
  <c r="BL98"/>
  <c r="BL99"/>
  <c r="BL100"/>
  <c r="BL102"/>
  <c r="BL103"/>
  <c r="BL106"/>
  <c r="BL107"/>
  <c r="BL108"/>
  <c r="BL114"/>
  <c r="BL121"/>
  <c r="BL123"/>
  <c r="BL137"/>
  <c r="BL138"/>
  <c r="BL139"/>
  <c r="BL141"/>
  <c r="BL147"/>
  <c r="BL151"/>
  <c r="BL152"/>
  <c r="BL153"/>
  <c r="BL154"/>
  <c r="BL155"/>
  <c r="BL267"/>
  <c r="BL268"/>
  <c r="BL282"/>
  <c r="BL283"/>
  <c r="BL284"/>
  <c r="BL285"/>
  <c r="BL286"/>
  <c r="BL296"/>
  <c r="BL304"/>
  <c r="BL305"/>
  <c r="BL306"/>
  <c r="BL312"/>
  <c r="BL319"/>
  <c r="BL19"/>
  <c r="BL21"/>
  <c r="BL23"/>
  <c r="BL27"/>
  <c r="BL28"/>
  <c r="BL31"/>
  <c r="BL33"/>
  <c r="BL35"/>
  <c r="BL37"/>
  <c r="BL45"/>
  <c r="BL51"/>
  <c r="BL281"/>
  <c r="BL327"/>
  <c r="BL330"/>
  <c r="BL331"/>
  <c r="BL337"/>
  <c r="BL338"/>
  <c r="BL349"/>
  <c r="BL350"/>
  <c r="BL356"/>
  <c r="BL358"/>
  <c r="BL359"/>
  <c r="BL366"/>
  <c r="BL368"/>
  <c r="BL373"/>
  <c r="BL374"/>
  <c r="BL375"/>
  <c r="BL376"/>
  <c r="BL380"/>
  <c r="BL20"/>
  <c r="BL22"/>
  <c r="BL24"/>
  <c r="BL25"/>
  <c r="BL26"/>
  <c r="BL29"/>
  <c r="BL30"/>
  <c r="BL34"/>
  <c r="BL36"/>
  <c r="BL38"/>
  <c r="BL39"/>
  <c r="BL40"/>
  <c r="BL41"/>
  <c r="BL42"/>
  <c r="BL43"/>
  <c r="BL44"/>
  <c r="BL46"/>
  <c r="BL48"/>
  <c r="BL49"/>
  <c r="BL50"/>
  <c r="BL52"/>
  <c r="BL53"/>
  <c r="BL54"/>
  <c r="BL55"/>
  <c r="BL58"/>
  <c r="BL61"/>
  <c r="BL63"/>
  <c r="BL64"/>
  <c r="BL65"/>
  <c r="BL66"/>
  <c r="BL67"/>
  <c r="BL76"/>
  <c r="BL77"/>
  <c r="BL78"/>
  <c r="BL104"/>
  <c r="BL105"/>
  <c r="BL109"/>
  <c r="BL110"/>
  <c r="BL112"/>
  <c r="BL113"/>
  <c r="BL115"/>
  <c r="BL117"/>
  <c r="BL118"/>
  <c r="BL119"/>
  <c r="BL120"/>
  <c r="BL125"/>
  <c r="BL126"/>
  <c r="BL157"/>
  <c r="BL264"/>
  <c r="BL265"/>
  <c r="BL266"/>
  <c r="BL269"/>
  <c r="BL270"/>
  <c r="BL271"/>
  <c r="BL275"/>
  <c r="BL278"/>
  <c r="BL279"/>
  <c r="BL280"/>
  <c r="BL287"/>
  <c r="BL288"/>
  <c r="BL289"/>
  <c r="BL290"/>
  <c r="BL291"/>
  <c r="BL292"/>
  <c r="BL293"/>
  <c r="BL294"/>
  <c r="BL295"/>
  <c r="BL297"/>
  <c r="BL298"/>
  <c r="BL299"/>
  <c r="BL300"/>
  <c r="BL301"/>
  <c r="BL302"/>
  <c r="BL303"/>
  <c r="BL307"/>
  <c r="BL308"/>
  <c r="BL309"/>
  <c r="BL310"/>
  <c r="BL311"/>
  <c r="BL315"/>
  <c r="BL316"/>
  <c r="BL317"/>
  <c r="BL321"/>
  <c r="BL322"/>
  <c r="BL323"/>
  <c r="BL324"/>
  <c r="BL328"/>
  <c r="BL329"/>
  <c r="BL341"/>
  <c r="BL342"/>
  <c r="BL343"/>
  <c r="BL344"/>
  <c r="BL346"/>
  <c r="BL348"/>
  <c r="BL353"/>
  <c r="BL355"/>
  <c r="BL357"/>
  <c r="BL360"/>
  <c r="BL361"/>
  <c r="BL362"/>
  <c r="BL363"/>
  <c r="BL364"/>
  <c r="BL365"/>
  <c r="BL367"/>
  <c r="BL369"/>
  <c r="BL370"/>
  <c r="BL371"/>
  <c r="BL377"/>
  <c r="BL378"/>
  <c r="BL379"/>
  <c r="BL381"/>
  <c r="BL388"/>
  <c r="BL389"/>
  <c r="BL393"/>
  <c r="BL394"/>
  <c r="BL395"/>
  <c r="BL396"/>
  <c r="BL397"/>
  <c r="BL398"/>
  <c r="BL399"/>
  <c r="BL400"/>
  <c r="BL62"/>
  <c r="BL57"/>
  <c r="BL116"/>
  <c r="BL92"/>
  <c r="BL85"/>
  <c r="AV2"/>
  <c r="AV3"/>
  <c r="AV4"/>
  <c r="AV5"/>
  <c r="AV6"/>
  <c r="AV7"/>
  <c r="AV8"/>
  <c r="AV9"/>
  <c r="AV10"/>
  <c r="AV11"/>
  <c r="AV12"/>
  <c r="AV16"/>
  <c r="AV17"/>
  <c r="AV47"/>
  <c r="AV70"/>
  <c r="AV79"/>
  <c r="AV80"/>
  <c r="AV81"/>
  <c r="AV84"/>
  <c r="AV86"/>
  <c r="AV87"/>
  <c r="AV88"/>
  <c r="AV89"/>
  <c r="AV90"/>
  <c r="AV91"/>
  <c r="AV93"/>
  <c r="AV94"/>
  <c r="AV95"/>
  <c r="AV96"/>
  <c r="AV111"/>
  <c r="AV122"/>
  <c r="AV129"/>
  <c r="AV128"/>
  <c r="AV131"/>
  <c r="AV132"/>
  <c r="AV133"/>
  <c r="AV134"/>
  <c r="AV135"/>
  <c r="AV136"/>
  <c r="AV145"/>
  <c r="AV146"/>
  <c r="AV148"/>
  <c r="AV149"/>
  <c r="AV150"/>
  <c r="AV156"/>
  <c r="AV161"/>
  <c r="AV162"/>
  <c r="AV163"/>
  <c r="AV164"/>
  <c r="AV165"/>
  <c r="AV166"/>
  <c r="AV167"/>
  <c r="AV168"/>
  <c r="AV169"/>
  <c r="AV170"/>
  <c r="AV171"/>
  <c r="AV172"/>
  <c r="AV173"/>
  <c r="AV174"/>
  <c r="AV175"/>
  <c r="AV176"/>
  <c r="AV177"/>
  <c r="AV178"/>
  <c r="AV179"/>
  <c r="AV180"/>
  <c r="AV181"/>
  <c r="AV187"/>
  <c r="AV188"/>
  <c r="AV189"/>
  <c r="AV190"/>
  <c r="AV191"/>
  <c r="AV192"/>
  <c r="AV193"/>
  <c r="AV194"/>
  <c r="AV195"/>
  <c r="AV196"/>
  <c r="AV197"/>
  <c r="AV198"/>
  <c r="AV199"/>
  <c r="AV200"/>
  <c r="AV201"/>
  <c r="AV202"/>
  <c r="AV203"/>
  <c r="AV204"/>
  <c r="AV205"/>
  <c r="AV206"/>
  <c r="AV209"/>
  <c r="AV210"/>
  <c r="AV211"/>
  <c r="AV212"/>
  <c r="AV213"/>
  <c r="AV214"/>
  <c r="AV215"/>
  <c r="AV216"/>
  <c r="AV217"/>
  <c r="AV218"/>
  <c r="AV219"/>
  <c r="AV220"/>
  <c r="AV221"/>
  <c r="AV222"/>
  <c r="AV223"/>
  <c r="AV224"/>
  <c r="AV225"/>
  <c r="AV226"/>
  <c r="AV227"/>
  <c r="AV229"/>
  <c r="AV232"/>
  <c r="AV234"/>
  <c r="AV235"/>
  <c r="AV236"/>
  <c r="AV237"/>
  <c r="AV238"/>
  <c r="AV239"/>
  <c r="AV240"/>
  <c r="AV241"/>
  <c r="AV242"/>
  <c r="AV243"/>
  <c r="AV244"/>
  <c r="AV245"/>
  <c r="AV246"/>
  <c r="AV247"/>
  <c r="AV248"/>
  <c r="AV249"/>
  <c r="AV250"/>
  <c r="AV251"/>
  <c r="AV252"/>
  <c r="AV253"/>
  <c r="AV254"/>
  <c r="AV255"/>
  <c r="AV256"/>
  <c r="AV257"/>
  <c r="AV258"/>
  <c r="AV259"/>
  <c r="AV260"/>
  <c r="AV261"/>
  <c r="AV262"/>
  <c r="AV263"/>
  <c r="AV272"/>
  <c r="AV274"/>
  <c r="AV276"/>
  <c r="AV277"/>
  <c r="AV313"/>
  <c r="AV314"/>
  <c r="AV325"/>
  <c r="AV326"/>
  <c r="AV332"/>
  <c r="AV333"/>
  <c r="AV334"/>
  <c r="AV335"/>
  <c r="AV339"/>
  <c r="AV340"/>
  <c r="AV345"/>
  <c r="AV382"/>
  <c r="AV384"/>
  <c r="AV385"/>
  <c r="AV390"/>
  <c r="AV391"/>
  <c r="AV392"/>
  <c r="AV13"/>
  <c r="AV14"/>
  <c r="AV15"/>
  <c r="AV56"/>
  <c r="AV59"/>
  <c r="AV60"/>
  <c r="AV68"/>
  <c r="AV97"/>
  <c r="AV98"/>
  <c r="AV99"/>
  <c r="AV100"/>
  <c r="AV102"/>
  <c r="AV103"/>
  <c r="AV106"/>
  <c r="AV107"/>
  <c r="AV108"/>
  <c r="AV114"/>
  <c r="AV121"/>
  <c r="AV123"/>
  <c r="AV137"/>
  <c r="AV138"/>
  <c r="AV139"/>
  <c r="AV141"/>
  <c r="AV147"/>
  <c r="AV151"/>
  <c r="AV152"/>
  <c r="AV153"/>
  <c r="AV154"/>
  <c r="AV155"/>
  <c r="AV267"/>
  <c r="AV268"/>
  <c r="AV282"/>
  <c r="AV283"/>
  <c r="AV284"/>
  <c r="AV285"/>
  <c r="AV286"/>
  <c r="AV296"/>
  <c r="AV304"/>
  <c r="AV305"/>
  <c r="AV306"/>
  <c r="AV312"/>
  <c r="AV319"/>
  <c r="AV19"/>
  <c r="AV21"/>
  <c r="AV23"/>
  <c r="AV27"/>
  <c r="AV28"/>
  <c r="AV31"/>
  <c r="AV33"/>
  <c r="AV35"/>
  <c r="AV37"/>
  <c r="AV45"/>
  <c r="AV51"/>
  <c r="AV281"/>
  <c r="AV327"/>
  <c r="AV330"/>
  <c r="AV331"/>
  <c r="AV337"/>
  <c r="AV338"/>
  <c r="AV349"/>
  <c r="AV350"/>
  <c r="AV356"/>
  <c r="AV358"/>
  <c r="AV359"/>
  <c r="AV366"/>
  <c r="AV368"/>
  <c r="AV373"/>
  <c r="AV374"/>
  <c r="AV375"/>
  <c r="AV376"/>
  <c r="AV380"/>
  <c r="AV20"/>
  <c r="AV22"/>
  <c r="AV24"/>
  <c r="AV25"/>
  <c r="AV26"/>
  <c r="AV29"/>
  <c r="AV30"/>
  <c r="AV34"/>
  <c r="AV36"/>
  <c r="AV38"/>
  <c r="AV39"/>
  <c r="AV40"/>
  <c r="AV41"/>
  <c r="AV42"/>
  <c r="AV43"/>
  <c r="AV44"/>
  <c r="AV46"/>
  <c r="AV48"/>
  <c r="AV49"/>
  <c r="AV50"/>
  <c r="AV52"/>
  <c r="AV53"/>
  <c r="AV54"/>
  <c r="AV55"/>
  <c r="AV58"/>
  <c r="AV61"/>
  <c r="AV63"/>
  <c r="AV64"/>
  <c r="AV65"/>
  <c r="AV66"/>
  <c r="AV67"/>
  <c r="AV76"/>
  <c r="AV77"/>
  <c r="AV78"/>
  <c r="AV104"/>
  <c r="AV105"/>
  <c r="AV109"/>
  <c r="AV110"/>
  <c r="AV112"/>
  <c r="AV113"/>
  <c r="AV115"/>
  <c r="AV117"/>
  <c r="AV118"/>
  <c r="AV119"/>
  <c r="AV120"/>
  <c r="AV125"/>
  <c r="AV126"/>
  <c r="AV157"/>
  <c r="AV264"/>
  <c r="AU264" s="1" a="1"/>
  <c r="AU264" s="1"/>
  <c r="AV265"/>
  <c r="AV266"/>
  <c r="AU266" s="1" a="1"/>
  <c r="AU266" s="1"/>
  <c r="AV269"/>
  <c r="AV270"/>
  <c r="AU270" s="1" a="1"/>
  <c r="AU270" s="1"/>
  <c r="AV271"/>
  <c r="AV275"/>
  <c r="AU275" s="1" a="1"/>
  <c r="AU275" s="1"/>
  <c r="AV278"/>
  <c r="AV279"/>
  <c r="AU279" s="1" a="1"/>
  <c r="AU279" s="1"/>
  <c r="AV280"/>
  <c r="AV287"/>
  <c r="AU287" s="1" a="1"/>
  <c r="AU287" s="1"/>
  <c r="AV288"/>
  <c r="AV289"/>
  <c r="AU289" s="1" a="1"/>
  <c r="AU289" s="1"/>
  <c r="AV290"/>
  <c r="AV291"/>
  <c r="AU291" s="1" a="1"/>
  <c r="AU291" s="1"/>
  <c r="AV292"/>
  <c r="AV293"/>
  <c r="AU293" s="1" a="1"/>
  <c r="AU293" s="1"/>
  <c r="AV294"/>
  <c r="AV295"/>
  <c r="AU295" s="1" a="1"/>
  <c r="AU295" s="1"/>
  <c r="AV297"/>
  <c r="AV298"/>
  <c r="AU298" s="1" a="1"/>
  <c r="AU298" s="1"/>
  <c r="AV299"/>
  <c r="AV300"/>
  <c r="AU300" s="1" a="1"/>
  <c r="AU300" s="1"/>
  <c r="AV301"/>
  <c r="AV302"/>
  <c r="AU302" s="1" a="1"/>
  <c r="AU302" s="1"/>
  <c r="AV303"/>
  <c r="AV307"/>
  <c r="AU307" s="1" a="1"/>
  <c r="AU307" s="1"/>
  <c r="AV308"/>
  <c r="AV309"/>
  <c r="AU309" s="1" a="1"/>
  <c r="AU309" s="1"/>
  <c r="AV310"/>
  <c r="AV311"/>
  <c r="AU311" s="1" a="1"/>
  <c r="AU311" s="1"/>
  <c r="AV315"/>
  <c r="AV316"/>
  <c r="AU316" s="1" a="1"/>
  <c r="AU316" s="1"/>
  <c r="AV317"/>
  <c r="AV321"/>
  <c r="AU321" s="1" a="1"/>
  <c r="AU321" s="1"/>
  <c r="AV322"/>
  <c r="AV323"/>
  <c r="AU323" s="1" a="1"/>
  <c r="AU323" s="1"/>
  <c r="AV324"/>
  <c r="AV328"/>
  <c r="AU328" s="1" a="1"/>
  <c r="AU328" s="1"/>
  <c r="AV329"/>
  <c r="AV341"/>
  <c r="AU341" s="1" a="1"/>
  <c r="AU341" s="1"/>
  <c r="AV342"/>
  <c r="AV343"/>
  <c r="AU343" s="1" a="1"/>
  <c r="AU343" s="1"/>
  <c r="AV344"/>
  <c r="AV346"/>
  <c r="AU346" s="1" a="1"/>
  <c r="AU346" s="1"/>
  <c r="AV348"/>
  <c r="AV353"/>
  <c r="AU353" s="1" a="1"/>
  <c r="AU353" s="1"/>
  <c r="AV355"/>
  <c r="AV357"/>
  <c r="AU357" s="1" a="1"/>
  <c r="AU357" s="1"/>
  <c r="AV360"/>
  <c r="AV361"/>
  <c r="AU361" s="1" a="1"/>
  <c r="AU361" s="1"/>
  <c r="AV362"/>
  <c r="AV363"/>
  <c r="AU363" s="1" a="1"/>
  <c r="AU363" s="1"/>
  <c r="AV364"/>
  <c r="AV365"/>
  <c r="AU365" s="1" a="1"/>
  <c r="AU365" s="1"/>
  <c r="AV367"/>
  <c r="AV369"/>
  <c r="AU369" s="1" a="1"/>
  <c r="AU369" s="1"/>
  <c r="AV370"/>
  <c r="AV371"/>
  <c r="AU371" s="1" a="1"/>
  <c r="AU371" s="1"/>
  <c r="AV377"/>
  <c r="AV378"/>
  <c r="AU378" s="1" a="1"/>
  <c r="AU378" s="1"/>
  <c r="AV379"/>
  <c r="AV381"/>
  <c r="AU381" s="1" a="1"/>
  <c r="AU381" s="1"/>
  <c r="AV388"/>
  <c r="AV389"/>
  <c r="AU389" s="1" a="1"/>
  <c r="AU389" s="1"/>
  <c r="AV393"/>
  <c r="AV394"/>
  <c r="AU394" s="1" a="1"/>
  <c r="AU394" s="1"/>
  <c r="AV395"/>
  <c r="AV396"/>
  <c r="AU396" s="1" a="1"/>
  <c r="AU396" s="1"/>
  <c r="AV397"/>
  <c r="AV398"/>
  <c r="AU398" s="1" a="1"/>
  <c r="AU398" s="1"/>
  <c r="AV399"/>
  <c r="AV400"/>
  <c r="AU400" s="1" a="1"/>
  <c r="AU400" s="1"/>
  <c r="AV62"/>
  <c r="AV57"/>
  <c r="AU57" s="1" a="1"/>
  <c r="AU57" s="1"/>
  <c r="AV116"/>
  <c r="AV92"/>
  <c r="AU92" s="1" a="1"/>
  <c r="AU92" s="1"/>
  <c r="AV85"/>
  <c r="AF2"/>
  <c r="AF3"/>
  <c r="AF4"/>
  <c r="AF5"/>
  <c r="AF6"/>
  <c r="AF7"/>
  <c r="AF8"/>
  <c r="AF9"/>
  <c r="AF10"/>
  <c r="AF11"/>
  <c r="AF12"/>
  <c r="AF16"/>
  <c r="AF17"/>
  <c r="AF47"/>
  <c r="AF70"/>
  <c r="AF79"/>
  <c r="AF80"/>
  <c r="AF81"/>
  <c r="AF84"/>
  <c r="AF86"/>
  <c r="AF87"/>
  <c r="AF88"/>
  <c r="AF89"/>
  <c r="AF90"/>
  <c r="AF91"/>
  <c r="AF93"/>
  <c r="AF94"/>
  <c r="AF95"/>
  <c r="AF96"/>
  <c r="AF111"/>
  <c r="AF122"/>
  <c r="AF129"/>
  <c r="AF128"/>
  <c r="AF131"/>
  <c r="AF132"/>
  <c r="AF133"/>
  <c r="AF134"/>
  <c r="AF135"/>
  <c r="AF136"/>
  <c r="AF145"/>
  <c r="AF146"/>
  <c r="AF148"/>
  <c r="AF149"/>
  <c r="AF150"/>
  <c r="AF156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9"/>
  <c r="AF232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72"/>
  <c r="AF274"/>
  <c r="AF276"/>
  <c r="AF277"/>
  <c r="AF313"/>
  <c r="AF314"/>
  <c r="AF325"/>
  <c r="AF326"/>
  <c r="AF332"/>
  <c r="AF333"/>
  <c r="AF334"/>
  <c r="AF335"/>
  <c r="AF339"/>
  <c r="AF340"/>
  <c r="AF345"/>
  <c r="AF382"/>
  <c r="AF384"/>
  <c r="AF385"/>
  <c r="AF390"/>
  <c r="AF391"/>
  <c r="AF392"/>
  <c r="AF13"/>
  <c r="AF14"/>
  <c r="AF15"/>
  <c r="AF56"/>
  <c r="AF59"/>
  <c r="AF60"/>
  <c r="AF68"/>
  <c r="AF97"/>
  <c r="AF98"/>
  <c r="AF99"/>
  <c r="AF100"/>
  <c r="AF102"/>
  <c r="AF103"/>
  <c r="AF106"/>
  <c r="AF107"/>
  <c r="AF108"/>
  <c r="AF114"/>
  <c r="AF121"/>
  <c r="AF123"/>
  <c r="AF137"/>
  <c r="AF138"/>
  <c r="AF139"/>
  <c r="AF141"/>
  <c r="AF147"/>
  <c r="AF151"/>
  <c r="AF152"/>
  <c r="AF153"/>
  <c r="AF154"/>
  <c r="AF155"/>
  <c r="AF267"/>
  <c r="AF268"/>
  <c r="AF282"/>
  <c r="AF283"/>
  <c r="AF284"/>
  <c r="AF285"/>
  <c r="AF286"/>
  <c r="AF296"/>
  <c r="AF304"/>
  <c r="AF305"/>
  <c r="AF306"/>
  <c r="AF312"/>
  <c r="AF319"/>
  <c r="AF19"/>
  <c r="AF21"/>
  <c r="AF23"/>
  <c r="AF27"/>
  <c r="AF28"/>
  <c r="AF31"/>
  <c r="AF33"/>
  <c r="AF35"/>
  <c r="AF37"/>
  <c r="AF45"/>
  <c r="AF51"/>
  <c r="AF281"/>
  <c r="AF327"/>
  <c r="AF330"/>
  <c r="AF331"/>
  <c r="AF337"/>
  <c r="AF338"/>
  <c r="AF349"/>
  <c r="AF350"/>
  <c r="AF356"/>
  <c r="AF358"/>
  <c r="AF359"/>
  <c r="AF366"/>
  <c r="AF368"/>
  <c r="AF373"/>
  <c r="AF374"/>
  <c r="AF375"/>
  <c r="AF376"/>
  <c r="AF380"/>
  <c r="AF20"/>
  <c r="AF22"/>
  <c r="AF24"/>
  <c r="AF25"/>
  <c r="AF26"/>
  <c r="AF29"/>
  <c r="AF30"/>
  <c r="AF34"/>
  <c r="AF36"/>
  <c r="AF38"/>
  <c r="AF39"/>
  <c r="AF40"/>
  <c r="AF41"/>
  <c r="AF42"/>
  <c r="AF43"/>
  <c r="AF44"/>
  <c r="AF46"/>
  <c r="AF48"/>
  <c r="AF49"/>
  <c r="AF50"/>
  <c r="AF52"/>
  <c r="AF53"/>
  <c r="AF54"/>
  <c r="AF55"/>
  <c r="AF58"/>
  <c r="AF61"/>
  <c r="AF63"/>
  <c r="AF64"/>
  <c r="AF65"/>
  <c r="AF66"/>
  <c r="AF67"/>
  <c r="AF76"/>
  <c r="AF77"/>
  <c r="AF78"/>
  <c r="AF104"/>
  <c r="AF105"/>
  <c r="AF109"/>
  <c r="AF110"/>
  <c r="AF112"/>
  <c r="AF113"/>
  <c r="AF115"/>
  <c r="AF117"/>
  <c r="AF118"/>
  <c r="AF119"/>
  <c r="AF120"/>
  <c r="AF125"/>
  <c r="AF126"/>
  <c r="AF157"/>
  <c r="AF264"/>
  <c r="AF265"/>
  <c r="AF266"/>
  <c r="AF269"/>
  <c r="AF270"/>
  <c r="AF271"/>
  <c r="AF275"/>
  <c r="AF278"/>
  <c r="AF279"/>
  <c r="AF280"/>
  <c r="AF287"/>
  <c r="AF288"/>
  <c r="AF289"/>
  <c r="AF290"/>
  <c r="AF291"/>
  <c r="AF292"/>
  <c r="AF293"/>
  <c r="AF294"/>
  <c r="AF295"/>
  <c r="AF297"/>
  <c r="AF298"/>
  <c r="AF299"/>
  <c r="AF300"/>
  <c r="AF301"/>
  <c r="AF302"/>
  <c r="AF303"/>
  <c r="AF307"/>
  <c r="AF308"/>
  <c r="AF309"/>
  <c r="AF310"/>
  <c r="AF311"/>
  <c r="AF315"/>
  <c r="AF316"/>
  <c r="AF317"/>
  <c r="AF321"/>
  <c r="AF322"/>
  <c r="AF323"/>
  <c r="AF324"/>
  <c r="AF328"/>
  <c r="AF329"/>
  <c r="AF341"/>
  <c r="AF342"/>
  <c r="AF343"/>
  <c r="AF344"/>
  <c r="AF346"/>
  <c r="AF348"/>
  <c r="AF353"/>
  <c r="AF355"/>
  <c r="AF357"/>
  <c r="AF360"/>
  <c r="AF361"/>
  <c r="AF362"/>
  <c r="AF363"/>
  <c r="AF364"/>
  <c r="AF365"/>
  <c r="AF367"/>
  <c r="AF369"/>
  <c r="AF370"/>
  <c r="AF371"/>
  <c r="AF377"/>
  <c r="AF378"/>
  <c r="AF379"/>
  <c r="AF381"/>
  <c r="AF388"/>
  <c r="AF389"/>
  <c r="AF393"/>
  <c r="AF394"/>
  <c r="AF395"/>
  <c r="AF396"/>
  <c r="AF397"/>
  <c r="AF398"/>
  <c r="AF399"/>
  <c r="AF400"/>
  <c r="AF62"/>
  <c r="AF57"/>
  <c r="AF116"/>
  <c r="AF92"/>
  <c r="AF85"/>
  <c r="P2"/>
  <c r="P3"/>
  <c r="P4"/>
  <c r="P5"/>
  <c r="P6"/>
  <c r="P7"/>
  <c r="P8"/>
  <c r="P9"/>
  <c r="P10"/>
  <c r="P11"/>
  <c r="P12"/>
  <c r="P16"/>
  <c r="O16" s="1" a="1"/>
  <c r="O16" s="1"/>
  <c r="P17"/>
  <c r="P47"/>
  <c r="P70"/>
  <c r="P79"/>
  <c r="P80"/>
  <c r="P81"/>
  <c r="P84"/>
  <c r="P86"/>
  <c r="O86" s="1" a="1"/>
  <c r="O86" s="1"/>
  <c r="P87"/>
  <c r="P88"/>
  <c r="P89"/>
  <c r="P90"/>
  <c r="P91"/>
  <c r="P93"/>
  <c r="P94"/>
  <c r="P95"/>
  <c r="O95" s="1" a="1"/>
  <c r="O95" s="1"/>
  <c r="P96"/>
  <c r="P111"/>
  <c r="P122"/>
  <c r="P129"/>
  <c r="P128"/>
  <c r="P131"/>
  <c r="P132"/>
  <c r="P133"/>
  <c r="O133" s="1" a="1"/>
  <c r="O133" s="1"/>
  <c r="P134"/>
  <c r="P135"/>
  <c r="P136"/>
  <c r="P145"/>
  <c r="P146"/>
  <c r="P148"/>
  <c r="P149"/>
  <c r="P150"/>
  <c r="O150" s="1" a="1"/>
  <c r="O150" s="1"/>
  <c r="P156"/>
  <c r="P161"/>
  <c r="P162"/>
  <c r="P163"/>
  <c r="P164"/>
  <c r="P165"/>
  <c r="P166"/>
  <c r="P167"/>
  <c r="O167" s="1" a="1"/>
  <c r="O167" s="1"/>
  <c r="P168"/>
  <c r="P169"/>
  <c r="P170"/>
  <c r="P171"/>
  <c r="P172"/>
  <c r="P173"/>
  <c r="P174"/>
  <c r="P175"/>
  <c r="O175" s="1" a="1"/>
  <c r="O175" s="1"/>
  <c r="P176"/>
  <c r="P177"/>
  <c r="P178"/>
  <c r="P179"/>
  <c r="P180"/>
  <c r="P181"/>
  <c r="P187"/>
  <c r="P188"/>
  <c r="O188" s="1" a="1"/>
  <c r="O188" s="1"/>
  <c r="P189"/>
  <c r="P190"/>
  <c r="P191"/>
  <c r="P192"/>
  <c r="P193"/>
  <c r="P194"/>
  <c r="P195"/>
  <c r="P196"/>
  <c r="O196" s="1" a="1"/>
  <c r="O196" s="1"/>
  <c r="P197"/>
  <c r="P198"/>
  <c r="P199"/>
  <c r="P200"/>
  <c r="P201"/>
  <c r="P202"/>
  <c r="P203"/>
  <c r="P204"/>
  <c r="O204" s="1" a="1"/>
  <c r="O204" s="1"/>
  <c r="P205"/>
  <c r="P206"/>
  <c r="P209"/>
  <c r="P210"/>
  <c r="P211"/>
  <c r="P212"/>
  <c r="P213"/>
  <c r="P214"/>
  <c r="O214" s="1" a="1"/>
  <c r="O214" s="1"/>
  <c r="P215"/>
  <c r="P216"/>
  <c r="P217"/>
  <c r="P218"/>
  <c r="P219"/>
  <c r="P220"/>
  <c r="P221"/>
  <c r="P222"/>
  <c r="O222" s="1" a="1"/>
  <c r="O222" s="1"/>
  <c r="P223"/>
  <c r="P224"/>
  <c r="P225"/>
  <c r="P226"/>
  <c r="P227"/>
  <c r="P229"/>
  <c r="P232"/>
  <c r="P234"/>
  <c r="O234" s="1" a="1"/>
  <c r="O234" s="1"/>
  <c r="P235"/>
  <c r="P236"/>
  <c r="P237"/>
  <c r="P238"/>
  <c r="P239"/>
  <c r="P240"/>
  <c r="P241"/>
  <c r="P242"/>
  <c r="O242" s="1" a="1"/>
  <c r="O242" s="1"/>
  <c r="P243"/>
  <c r="P244"/>
  <c r="P245"/>
  <c r="P246"/>
  <c r="P247"/>
  <c r="P248"/>
  <c r="P249"/>
  <c r="P250"/>
  <c r="O250" s="1" a="1"/>
  <c r="O250" s="1"/>
  <c r="P251"/>
  <c r="P252"/>
  <c r="P253"/>
  <c r="P254"/>
  <c r="P255"/>
  <c r="P256"/>
  <c r="P257"/>
  <c r="P258"/>
  <c r="O258" s="1" a="1"/>
  <c r="O258" s="1"/>
  <c r="P259"/>
  <c r="P260"/>
  <c r="P261"/>
  <c r="P262"/>
  <c r="P263"/>
  <c r="P272"/>
  <c r="P274"/>
  <c r="P276"/>
  <c r="O276" s="1" a="1"/>
  <c r="O276" s="1"/>
  <c r="P277"/>
  <c r="P313"/>
  <c r="P314"/>
  <c r="P325"/>
  <c r="P326"/>
  <c r="P332"/>
  <c r="P333"/>
  <c r="P334"/>
  <c r="O334" s="1" a="1"/>
  <c r="O334" s="1"/>
  <c r="P335"/>
  <c r="P339"/>
  <c r="P340"/>
  <c r="P345"/>
  <c r="P382"/>
  <c r="P384"/>
  <c r="P385"/>
  <c r="P390"/>
  <c r="O390" s="1" a="1"/>
  <c r="O390" s="1"/>
  <c r="P391"/>
  <c r="P392"/>
  <c r="P13"/>
  <c r="P14"/>
  <c r="P15"/>
  <c r="P56"/>
  <c r="P59"/>
  <c r="O59" s="1" a="1"/>
  <c r="O59" s="1"/>
  <c r="P60"/>
  <c r="P68"/>
  <c r="P97"/>
  <c r="P98"/>
  <c r="P99"/>
  <c r="P100"/>
  <c r="P102"/>
  <c r="P103"/>
  <c r="O103" s="1" a="1"/>
  <c r="O103" s="1"/>
  <c r="P106"/>
  <c r="P107"/>
  <c r="P108"/>
  <c r="P114"/>
  <c r="P121"/>
  <c r="P123"/>
  <c r="P137"/>
  <c r="P138"/>
  <c r="O138" s="1" a="1"/>
  <c r="O138" s="1"/>
  <c r="P139"/>
  <c r="P141"/>
  <c r="P147"/>
  <c r="P151"/>
  <c r="P152"/>
  <c r="P153"/>
  <c r="P154"/>
  <c r="P155"/>
  <c r="O155" s="1" a="1"/>
  <c r="O155" s="1"/>
  <c r="P267"/>
  <c r="P268"/>
  <c r="P282"/>
  <c r="P283"/>
  <c r="P284"/>
  <c r="P285"/>
  <c r="P286"/>
  <c r="P296"/>
  <c r="O296" s="1" a="1"/>
  <c r="O296" s="1"/>
  <c r="P304"/>
  <c r="P305"/>
  <c r="P306"/>
  <c r="P312"/>
  <c r="P319"/>
  <c r="P19"/>
  <c r="P21"/>
  <c r="P23"/>
  <c r="O23" s="1" a="1"/>
  <c r="O23" s="1"/>
  <c r="P27"/>
  <c r="P28"/>
  <c r="P31"/>
  <c r="P33"/>
  <c r="P35"/>
  <c r="P37"/>
  <c r="P45"/>
  <c r="P51"/>
  <c r="O51" s="1" a="1"/>
  <c r="O51" s="1"/>
  <c r="P281"/>
  <c r="P327"/>
  <c r="P330"/>
  <c r="P331"/>
  <c r="P337"/>
  <c r="P338"/>
  <c r="P349"/>
  <c r="P350"/>
  <c r="O350" s="1" a="1"/>
  <c r="O350" s="1"/>
  <c r="P356"/>
  <c r="P358"/>
  <c r="P359"/>
  <c r="P366"/>
  <c r="P368"/>
  <c r="P373"/>
  <c r="P374"/>
  <c r="P375"/>
  <c r="O375" s="1" a="1"/>
  <c r="O375" s="1"/>
  <c r="P376"/>
  <c r="P380"/>
  <c r="P20"/>
  <c r="P22"/>
  <c r="P24"/>
  <c r="P25"/>
  <c r="P26"/>
  <c r="P29"/>
  <c r="O29" s="1" a="1"/>
  <c r="O29" s="1"/>
  <c r="P30"/>
  <c r="P34"/>
  <c r="P36"/>
  <c r="P38"/>
  <c r="P39"/>
  <c r="P40"/>
  <c r="P41"/>
  <c r="P42"/>
  <c r="O42" s="1" a="1"/>
  <c r="O42" s="1"/>
  <c r="P43"/>
  <c r="P44"/>
  <c r="P46"/>
  <c r="P48"/>
  <c r="P49"/>
  <c r="P50"/>
  <c r="P52"/>
  <c r="P53"/>
  <c r="O53" s="1" a="1"/>
  <c r="O53" s="1"/>
  <c r="P54"/>
  <c r="P55"/>
  <c r="P58"/>
  <c r="P61"/>
  <c r="P63"/>
  <c r="P64"/>
  <c r="P65"/>
  <c r="P66"/>
  <c r="O66" s="1" a="1"/>
  <c r="O66" s="1"/>
  <c r="P67"/>
  <c r="P76"/>
  <c r="P77"/>
  <c r="P78"/>
  <c r="P104"/>
  <c r="P105"/>
  <c r="P109"/>
  <c r="P110"/>
  <c r="O110" s="1" a="1"/>
  <c r="O110" s="1"/>
  <c r="P112"/>
  <c r="P113"/>
  <c r="P115"/>
  <c r="P117"/>
  <c r="P118"/>
  <c r="P119"/>
  <c r="P120"/>
  <c r="P125"/>
  <c r="O125" s="1" a="1"/>
  <c r="O125" s="1"/>
  <c r="P126"/>
  <c r="P157"/>
  <c r="P264"/>
  <c r="P265"/>
  <c r="P266"/>
  <c r="P269"/>
  <c r="P270"/>
  <c r="P271"/>
  <c r="O271" s="1" a="1"/>
  <c r="O271" s="1"/>
  <c r="P275"/>
  <c r="P278"/>
  <c r="P279"/>
  <c r="P280"/>
  <c r="P287"/>
  <c r="P288"/>
  <c r="P289"/>
  <c r="P290"/>
  <c r="O290" s="1" a="1"/>
  <c r="O290" s="1"/>
  <c r="P291"/>
  <c r="P292"/>
  <c r="P293"/>
  <c r="P294"/>
  <c r="P295"/>
  <c r="P297"/>
  <c r="P298"/>
  <c r="P299"/>
  <c r="O299" s="1" a="1"/>
  <c r="O299" s="1"/>
  <c r="P300"/>
  <c r="P301"/>
  <c r="P302"/>
  <c r="P303"/>
  <c r="P307"/>
  <c r="P308"/>
  <c r="P309"/>
  <c r="P310"/>
  <c r="O310" s="1" a="1"/>
  <c r="O310" s="1"/>
  <c r="P311"/>
  <c r="P315"/>
  <c r="P316"/>
  <c r="P317"/>
  <c r="P321"/>
  <c r="P322"/>
  <c r="P323"/>
  <c r="P324"/>
  <c r="O324" s="1" a="1"/>
  <c r="O324" s="1"/>
  <c r="P328"/>
  <c r="P329"/>
  <c r="P341"/>
  <c r="P342"/>
  <c r="P343"/>
  <c r="P344"/>
  <c r="P346"/>
  <c r="P348"/>
  <c r="O348" s="1" a="1"/>
  <c r="O348" s="1"/>
  <c r="P353"/>
  <c r="P355"/>
  <c r="P357"/>
  <c r="P360"/>
  <c r="P361"/>
  <c r="P362"/>
  <c r="P363"/>
  <c r="P364"/>
  <c r="O364" s="1" a="1"/>
  <c r="O364" s="1"/>
  <c r="P365"/>
  <c r="P367"/>
  <c r="P369"/>
  <c r="P370"/>
  <c r="O370" s="1" a="1"/>
  <c r="O370" s="1"/>
  <c r="P371"/>
  <c r="P377"/>
  <c r="P378"/>
  <c r="P379"/>
  <c r="O379" s="1" a="1"/>
  <c r="O379" s="1"/>
  <c r="P381"/>
  <c r="P388"/>
  <c r="P389"/>
  <c r="P393"/>
  <c r="O393" s="1" a="1"/>
  <c r="O393" s="1"/>
  <c r="P394"/>
  <c r="P395"/>
  <c r="P396"/>
  <c r="P397"/>
  <c r="O397" s="1" a="1"/>
  <c r="O397" s="1"/>
  <c r="P398"/>
  <c r="P399"/>
  <c r="P400"/>
  <c r="P62"/>
  <c r="O62" s="1" a="1"/>
  <c r="O62" s="1"/>
  <c r="P57"/>
  <c r="P116"/>
  <c r="P92"/>
  <c r="P85"/>
  <c r="O85" s="1" a="1"/>
  <c r="O85" s="1"/>
  <c r="FC2" a="1"/>
  <c r="FC2" s="1"/>
  <c r="FC3" a="1"/>
  <c r="FC3" s="1"/>
  <c r="FC4" a="1"/>
  <c r="FC4" s="1"/>
  <c r="FC5" a="1"/>
  <c r="FC5" s="1"/>
  <c r="FC8" a="1"/>
  <c r="FC8" s="1"/>
  <c r="FC9" a="1"/>
  <c r="FC9" s="1"/>
  <c r="FC12" a="1"/>
  <c r="FC12" s="1"/>
  <c r="FC16" a="1"/>
  <c r="FC16" s="1"/>
  <c r="FC70" a="1"/>
  <c r="FC70" s="1"/>
  <c r="FC79" a="1"/>
  <c r="FC79" s="1"/>
  <c r="FC84" a="1"/>
  <c r="FC84" s="1"/>
  <c r="FC86" a="1"/>
  <c r="FC86" s="1"/>
  <c r="FC89" a="1"/>
  <c r="FC89" s="1"/>
  <c r="FC90" a="1"/>
  <c r="FC90" s="1"/>
  <c r="FC94" a="1"/>
  <c r="FC94" s="1"/>
  <c r="FC95" a="1"/>
  <c r="FC95" s="1"/>
  <c r="FC122" a="1"/>
  <c r="FC122" s="1"/>
  <c r="FC129" a="1"/>
  <c r="FC129" s="1"/>
  <c r="FC132" a="1"/>
  <c r="FC132" s="1"/>
  <c r="FC133" a="1"/>
  <c r="FC133" s="1"/>
  <c r="FC136" a="1"/>
  <c r="FC136" s="1"/>
  <c r="FC145" a="1"/>
  <c r="FC145" s="1"/>
  <c r="FC149" a="1"/>
  <c r="FC149" s="1"/>
  <c r="FC150" a="1"/>
  <c r="FC150" s="1"/>
  <c r="FC162" a="1"/>
  <c r="FC162" s="1"/>
  <c r="FC163" a="1"/>
  <c r="FC163" s="1"/>
  <c r="FC166" a="1"/>
  <c r="FC166" s="1"/>
  <c r="FC167" a="1"/>
  <c r="FC167" s="1"/>
  <c r="FC168" a="1"/>
  <c r="FC168" s="1"/>
  <c r="FC171" a="1"/>
  <c r="FC171" s="1"/>
  <c r="FC209" a="1"/>
  <c r="FC209" s="1"/>
  <c r="FC242" a="1"/>
  <c r="FC242" s="1"/>
  <c r="FC59" a="1"/>
  <c r="FC59" s="1"/>
  <c r="FC138" a="1"/>
  <c r="FC138" s="1"/>
  <c r="FC283" a="1"/>
  <c r="FC283" s="1"/>
  <c r="FC366" a="1"/>
  <c r="FC366" s="1"/>
  <c r="FC61" a="1"/>
  <c r="FC61" s="1"/>
  <c r="FC125" a="1"/>
  <c r="FC125" s="1"/>
  <c r="FC290" a="1"/>
  <c r="FC290" s="1"/>
  <c r="FC310" a="1"/>
  <c r="FC310" s="1"/>
  <c r="FC316" a="1"/>
  <c r="FC316" s="1"/>
  <c r="FC317" a="1"/>
  <c r="FC317" s="1"/>
  <c r="FC360" a="1"/>
  <c r="FC360" s="1"/>
  <c r="FC393" a="1"/>
  <c r="FC393" s="1"/>
  <c r="O5" a="1"/>
  <c r="O5" s="1"/>
  <c r="FB2" a="1"/>
  <c r="FB2" s="1"/>
  <c r="FB3" a="1"/>
  <c r="FB3" s="1"/>
  <c r="FB4" a="1"/>
  <c r="FB4" s="1"/>
  <c r="FB5" a="1"/>
  <c r="FB5" s="1"/>
  <c r="FB6" a="1"/>
  <c r="FB6" s="1"/>
  <c r="FB7" a="1"/>
  <c r="FB7" s="1"/>
  <c r="FB9" a="1"/>
  <c r="FB9" s="1"/>
  <c r="FB10" a="1"/>
  <c r="FB10" s="1"/>
  <c r="FB11" a="1"/>
  <c r="FB11" s="1"/>
  <c r="FB12" a="1"/>
  <c r="FB12" s="1"/>
  <c r="FB16" a="1"/>
  <c r="FB16" s="1"/>
  <c r="FB17" a="1"/>
  <c r="FB17" s="1"/>
  <c r="FB47" a="1"/>
  <c r="FB47" s="1"/>
  <c r="FB70" a="1"/>
  <c r="FB70" s="1"/>
  <c r="FB79" a="1"/>
  <c r="FB79" s="1"/>
  <c r="FB80" a="1"/>
  <c r="FB80" s="1"/>
  <c r="FB81" a="1"/>
  <c r="FB81" s="1"/>
  <c r="FB84" a="1"/>
  <c r="FB84" s="1"/>
  <c r="FB86" a="1"/>
  <c r="FB86" s="1"/>
  <c r="FB87" a="1"/>
  <c r="FB87" s="1"/>
  <c r="FB88" a="1"/>
  <c r="FB88" s="1"/>
  <c r="FB89" a="1"/>
  <c r="FB89" s="1"/>
  <c r="FB90" a="1"/>
  <c r="FB90" s="1"/>
  <c r="FB91" a="1"/>
  <c r="FB91" s="1"/>
  <c r="FB93" a="1"/>
  <c r="FB93" s="1"/>
  <c r="FB94" a="1"/>
  <c r="FB94" s="1"/>
  <c r="FB95" a="1"/>
  <c r="FB95" s="1"/>
  <c r="FB96" a="1"/>
  <c r="FB96" s="1"/>
  <c r="FB111" a="1"/>
  <c r="FB111" s="1"/>
  <c r="FB122" a="1"/>
  <c r="FB122" s="1"/>
  <c r="FB129" a="1"/>
  <c r="FB129" s="1"/>
  <c r="FB128" a="1"/>
  <c r="FB128" s="1"/>
  <c r="FB131" a="1"/>
  <c r="FB131" s="1"/>
  <c r="FB132" a="1"/>
  <c r="FB132" s="1"/>
  <c r="FB133" a="1"/>
  <c r="FB133" s="1"/>
  <c r="FB134" a="1"/>
  <c r="FB134" s="1"/>
  <c r="FB135" a="1"/>
  <c r="FB135" s="1"/>
  <c r="FB136" a="1"/>
  <c r="FB136" s="1"/>
  <c r="FB145" a="1"/>
  <c r="FB145" s="1"/>
  <c r="FB146" a="1"/>
  <c r="FB146" s="1"/>
  <c r="FB148" a="1"/>
  <c r="FB148" s="1"/>
  <c r="FB149" a="1"/>
  <c r="FB149" s="1"/>
  <c r="FB150" a="1"/>
  <c r="FB150" s="1"/>
  <c r="FB156" a="1"/>
  <c r="FB156" s="1"/>
  <c r="FB161" a="1"/>
  <c r="FB161" s="1"/>
  <c r="FB162" a="1"/>
  <c r="FB162" s="1"/>
  <c r="FB163" a="1"/>
  <c r="FB163" s="1"/>
  <c r="FB164" a="1"/>
  <c r="FB164" s="1"/>
  <c r="FB165" a="1"/>
  <c r="FB165" s="1"/>
  <c r="FB166" a="1"/>
  <c r="FB166" s="1"/>
  <c r="FB167" a="1"/>
  <c r="FB167" s="1"/>
  <c r="FB168" a="1"/>
  <c r="FB168" s="1"/>
  <c r="FB169" a="1"/>
  <c r="FB169" s="1"/>
  <c r="FB170" a="1"/>
  <c r="FB170" s="1"/>
  <c r="FB171" a="1"/>
  <c r="FB171" s="1"/>
  <c r="FB172" a="1"/>
  <c r="FB172" s="1"/>
  <c r="FB173" a="1"/>
  <c r="FB173" s="1"/>
  <c r="FB174" a="1"/>
  <c r="FB174" s="1"/>
  <c r="FB175" a="1"/>
  <c r="FB175" s="1"/>
  <c r="FB176" a="1"/>
  <c r="FB176" s="1"/>
  <c r="FB177" a="1"/>
  <c r="FB177" s="1"/>
  <c r="FB178" a="1"/>
  <c r="FB178" s="1"/>
  <c r="FB179" a="1"/>
  <c r="FB179" s="1"/>
  <c r="FB180" a="1"/>
  <c r="FB180" s="1"/>
  <c r="FB181" a="1"/>
  <c r="FB181" s="1"/>
  <c r="FB187" a="1"/>
  <c r="FB187" s="1"/>
  <c r="FB188" a="1"/>
  <c r="FB188" s="1"/>
  <c r="FB189" a="1"/>
  <c r="FB189" s="1"/>
  <c r="FB190" a="1"/>
  <c r="FB190" s="1"/>
  <c r="FB191" a="1"/>
  <c r="FB191" s="1"/>
  <c r="FB192" a="1"/>
  <c r="FB192" s="1"/>
  <c r="FB193" a="1"/>
  <c r="FB193" s="1"/>
  <c r="FB194" a="1"/>
  <c r="FB194" s="1"/>
  <c r="FB195" a="1"/>
  <c r="FB195" s="1"/>
  <c r="FB196" a="1"/>
  <c r="FB196" s="1"/>
  <c r="FB197" a="1"/>
  <c r="FB197" s="1"/>
  <c r="FB198" a="1"/>
  <c r="FB198" s="1"/>
  <c r="FB199" a="1"/>
  <c r="FB199" s="1"/>
  <c r="FB200" a="1"/>
  <c r="FB200" s="1"/>
  <c r="FB201" a="1"/>
  <c r="FB201" s="1"/>
  <c r="FB202" a="1"/>
  <c r="FB202" s="1"/>
  <c r="FB203" a="1"/>
  <c r="FB203" s="1"/>
  <c r="FB204" a="1"/>
  <c r="FB204" s="1"/>
  <c r="FB205" a="1"/>
  <c r="FB205" s="1"/>
  <c r="FB206" a="1"/>
  <c r="FB206" s="1"/>
  <c r="FB209" a="1"/>
  <c r="FB209" s="1"/>
  <c r="FB210" a="1"/>
  <c r="FB210" s="1"/>
  <c r="FB211" a="1"/>
  <c r="FB211" s="1"/>
  <c r="FB212" a="1"/>
  <c r="FB212" s="1"/>
  <c r="FB213" a="1"/>
  <c r="FB213" s="1"/>
  <c r="FB214" a="1"/>
  <c r="FB214" s="1"/>
  <c r="FB215" a="1"/>
  <c r="FB215" s="1"/>
  <c r="FB216" a="1"/>
  <c r="FB216" s="1"/>
  <c r="FB217" a="1"/>
  <c r="FB217" s="1"/>
  <c r="FB218" a="1"/>
  <c r="FB218" s="1"/>
  <c r="FB219" a="1"/>
  <c r="FB219" s="1"/>
  <c r="FB220" a="1"/>
  <c r="FB220" s="1"/>
  <c r="FB221" a="1"/>
  <c r="FB221" s="1"/>
  <c r="FB222" a="1"/>
  <c r="FB222" s="1"/>
  <c r="FB223" a="1"/>
  <c r="FB223" s="1"/>
  <c r="FB224" a="1"/>
  <c r="FB224" s="1"/>
  <c r="FB225" a="1"/>
  <c r="FB225" s="1"/>
  <c r="FB226" a="1"/>
  <c r="FB226" s="1"/>
  <c r="FB227" a="1"/>
  <c r="FB227" s="1"/>
  <c r="FB229" a="1"/>
  <c r="FB229" s="1"/>
  <c r="FB232" a="1"/>
  <c r="FB232" s="1"/>
  <c r="FB234" a="1"/>
  <c r="FB234" s="1"/>
  <c r="FB235" a="1"/>
  <c r="FB235" s="1"/>
  <c r="FB236" a="1"/>
  <c r="FB236" s="1"/>
  <c r="FB237" a="1"/>
  <c r="FB237" s="1"/>
  <c r="FB238" a="1"/>
  <c r="FB238" s="1"/>
  <c r="FB239" a="1"/>
  <c r="FB239" s="1"/>
  <c r="FB240" a="1"/>
  <c r="FB240" s="1"/>
  <c r="FB241" a="1"/>
  <c r="FB241" s="1"/>
  <c r="FB242" a="1"/>
  <c r="FB242" s="1"/>
  <c r="FB243" a="1"/>
  <c r="FB243" s="1"/>
  <c r="FB244" a="1"/>
  <c r="FB244" s="1"/>
  <c r="FB245" a="1"/>
  <c r="FB245" s="1"/>
  <c r="FB246" a="1"/>
  <c r="FB246" s="1"/>
  <c r="FB247" a="1"/>
  <c r="FB247" s="1"/>
  <c r="FB248" a="1"/>
  <c r="FB248" s="1"/>
  <c r="FB249" a="1"/>
  <c r="FB249" s="1"/>
  <c r="FB250" a="1"/>
  <c r="FB250" s="1"/>
  <c r="FB251" a="1"/>
  <c r="FB251" s="1"/>
  <c r="FB252" a="1"/>
  <c r="FB252" s="1"/>
  <c r="FB253" a="1"/>
  <c r="FB253" s="1"/>
  <c r="FB254" a="1"/>
  <c r="FB254" s="1"/>
  <c r="FB255" a="1"/>
  <c r="FB255" s="1"/>
  <c r="FB256" a="1"/>
  <c r="FB256" s="1"/>
  <c r="FB257" a="1"/>
  <c r="FB257" s="1"/>
  <c r="FB258" a="1"/>
  <c r="FB258" s="1"/>
  <c r="FB259" a="1"/>
  <c r="FB259" s="1"/>
  <c r="FB260" a="1"/>
  <c r="FB260" s="1"/>
  <c r="FB261" a="1"/>
  <c r="FB261" s="1"/>
  <c r="FB262" a="1"/>
  <c r="FB262" s="1"/>
  <c r="FB263" a="1"/>
  <c r="FB263" s="1"/>
  <c r="FB272" a="1"/>
  <c r="FB272" s="1"/>
  <c r="FB274" a="1"/>
  <c r="FB274" s="1"/>
  <c r="FB276" a="1"/>
  <c r="FB276" s="1"/>
  <c r="FB277" a="1"/>
  <c r="FB277" s="1"/>
  <c r="FB313" a="1"/>
  <c r="FB313" s="1"/>
  <c r="FB314" a="1"/>
  <c r="FB314" s="1"/>
  <c r="FB325" a="1"/>
  <c r="FB325" s="1"/>
  <c r="FB326" a="1"/>
  <c r="FB326" s="1"/>
  <c r="FB332" a="1"/>
  <c r="FB332" s="1"/>
  <c r="FB333" a="1"/>
  <c r="FB333" s="1"/>
  <c r="FB334" a="1"/>
  <c r="FB334" s="1"/>
  <c r="FB335" a="1"/>
  <c r="FB335" s="1"/>
  <c r="FB339" a="1"/>
  <c r="FB339" s="1"/>
  <c r="FB340" a="1"/>
  <c r="FB340" s="1"/>
  <c r="FB345" a="1"/>
  <c r="FB345" s="1"/>
  <c r="FB382" a="1"/>
  <c r="FB382" s="1"/>
  <c r="FB384" a="1"/>
  <c r="FB384" s="1"/>
  <c r="FB385" a="1"/>
  <c r="FB385" s="1"/>
  <c r="FB390" a="1"/>
  <c r="FB390" s="1"/>
  <c r="FB391" a="1"/>
  <c r="FB391" s="1"/>
  <c r="FB392" a="1"/>
  <c r="FB392" s="1"/>
  <c r="FB13" a="1"/>
  <c r="FB13" s="1"/>
  <c r="FB14" a="1"/>
  <c r="FB14" s="1"/>
  <c r="FB15" a="1"/>
  <c r="FB15" s="1"/>
  <c r="FB56" a="1"/>
  <c r="FB56" s="1"/>
  <c r="FB59" a="1"/>
  <c r="FB59" s="1"/>
  <c r="FB60" a="1"/>
  <c r="FB60" s="1"/>
  <c r="FB68" a="1"/>
  <c r="FB68" s="1"/>
  <c r="FB97" a="1"/>
  <c r="FB97" s="1"/>
  <c r="FB98" a="1"/>
  <c r="FB98" s="1"/>
  <c r="FB99" a="1"/>
  <c r="FB99" s="1"/>
  <c r="FB100" a="1"/>
  <c r="FB100" s="1"/>
  <c r="FB102" a="1"/>
  <c r="FB102" s="1"/>
  <c r="FB103" a="1"/>
  <c r="FB103" s="1"/>
  <c r="FB106" a="1"/>
  <c r="FB106" s="1"/>
  <c r="FB107" a="1"/>
  <c r="FB107" s="1"/>
  <c r="FB108" a="1"/>
  <c r="FB108" s="1"/>
  <c r="FB114" a="1"/>
  <c r="FB114" s="1"/>
  <c r="FB121" a="1"/>
  <c r="FB121" s="1"/>
  <c r="FB123" a="1"/>
  <c r="FB123" s="1"/>
  <c r="FB137" a="1"/>
  <c r="FB137" s="1"/>
  <c r="FB138" a="1"/>
  <c r="FB138" s="1"/>
  <c r="FB139" a="1"/>
  <c r="FB139" s="1"/>
  <c r="FB141" a="1"/>
  <c r="FB141" s="1"/>
  <c r="FB147" a="1"/>
  <c r="FB147" s="1"/>
  <c r="FB151" a="1"/>
  <c r="FB151" s="1"/>
  <c r="FB152" a="1"/>
  <c r="FB152" s="1"/>
  <c r="FB153" a="1"/>
  <c r="FB153" s="1"/>
  <c r="FB154" a="1"/>
  <c r="FB154" s="1"/>
  <c r="FB155" a="1"/>
  <c r="FB155" s="1"/>
  <c r="FB267" a="1"/>
  <c r="FB267" s="1"/>
  <c r="FB268" a="1"/>
  <c r="FB268" s="1"/>
  <c r="FB282" a="1"/>
  <c r="FB282" s="1"/>
  <c r="FB283" a="1"/>
  <c r="FB283" s="1"/>
  <c r="FB284" a="1"/>
  <c r="FB284" s="1"/>
  <c r="FB285" a="1"/>
  <c r="FB285" s="1"/>
  <c r="FB286" a="1"/>
  <c r="FB286" s="1"/>
  <c r="FB296" a="1"/>
  <c r="FB296" s="1"/>
  <c r="FB304" a="1"/>
  <c r="FB304" s="1"/>
  <c r="FB305" a="1"/>
  <c r="FB305" s="1"/>
  <c r="FB306" a="1"/>
  <c r="FB306" s="1"/>
  <c r="FB312" a="1"/>
  <c r="FB312" s="1"/>
  <c r="FB319" a="1"/>
  <c r="FB319" s="1"/>
  <c r="FB19" a="1"/>
  <c r="FB19" s="1"/>
  <c r="FB21" a="1"/>
  <c r="FB21" s="1"/>
  <c r="FB23" a="1"/>
  <c r="FB23" s="1"/>
  <c r="FB27" a="1"/>
  <c r="FB27" s="1"/>
  <c r="FB28" a="1"/>
  <c r="FB28" s="1"/>
  <c r="FB31" a="1"/>
  <c r="FB31" s="1"/>
  <c r="FB33" a="1"/>
  <c r="FB33" s="1"/>
  <c r="FB35" a="1"/>
  <c r="FB35" s="1"/>
  <c r="FB37" a="1"/>
  <c r="FB37" s="1"/>
  <c r="FB45" a="1"/>
  <c r="FB45" s="1"/>
  <c r="FB51" a="1"/>
  <c r="FB51" s="1"/>
  <c r="FB281" a="1"/>
  <c r="FB281" s="1"/>
  <c r="FB327" a="1"/>
  <c r="FB327" s="1"/>
  <c r="FB330" a="1"/>
  <c r="FB330" s="1"/>
  <c r="FB331" a="1"/>
  <c r="FB331" s="1"/>
  <c r="FB337" a="1"/>
  <c r="FB337" s="1"/>
  <c r="FB338" a="1"/>
  <c r="FB338" s="1"/>
  <c r="FB349" a="1"/>
  <c r="FB349" s="1"/>
  <c r="FB350" a="1"/>
  <c r="FB350" s="1"/>
  <c r="FB356" a="1"/>
  <c r="FB356" s="1"/>
  <c r="FB358" a="1"/>
  <c r="FB358" s="1"/>
  <c r="FB359" a="1"/>
  <c r="FB359" s="1"/>
  <c r="FB366" a="1"/>
  <c r="FB366" s="1"/>
  <c r="FB368" a="1"/>
  <c r="FB368" s="1"/>
  <c r="FB373" a="1"/>
  <c r="FB373" s="1"/>
  <c r="FB374" a="1"/>
  <c r="FB374" s="1"/>
  <c r="FB375" a="1"/>
  <c r="FB375" s="1"/>
  <c r="FB376" a="1"/>
  <c r="FB376" s="1"/>
  <c r="FB380" a="1"/>
  <c r="FB380" s="1"/>
  <c r="FB20" a="1"/>
  <c r="FB20" s="1"/>
  <c r="FB22" a="1"/>
  <c r="FB22" s="1"/>
  <c r="FB24" a="1"/>
  <c r="FB24" s="1"/>
  <c r="FB25" a="1"/>
  <c r="FB25" s="1"/>
  <c r="FB26" a="1"/>
  <c r="FB26" s="1"/>
  <c r="FB29" a="1"/>
  <c r="FB29" s="1"/>
  <c r="FB30" a="1"/>
  <c r="FB30" s="1"/>
  <c r="FB34" a="1"/>
  <c r="FB34" s="1"/>
  <c r="FB36" a="1"/>
  <c r="FB36" s="1"/>
  <c r="FB38" a="1"/>
  <c r="FB38" s="1"/>
  <c r="FB39" a="1"/>
  <c r="FB39" s="1"/>
  <c r="FB40" a="1"/>
  <c r="FB40" s="1"/>
  <c r="FB41" a="1"/>
  <c r="FB41" s="1"/>
  <c r="FB42" a="1"/>
  <c r="FB42" s="1"/>
  <c r="FB43" a="1"/>
  <c r="FB43" s="1"/>
  <c r="FB44" a="1"/>
  <c r="FB44" s="1"/>
  <c r="FB46" a="1"/>
  <c r="FB46" s="1"/>
  <c r="FB48" a="1"/>
  <c r="FB48" s="1"/>
  <c r="FB49" a="1"/>
  <c r="FB49" s="1"/>
  <c r="FB50" a="1"/>
  <c r="FB50" s="1"/>
  <c r="FB52" a="1"/>
  <c r="FB52" s="1"/>
  <c r="FB53" a="1"/>
  <c r="FB53" s="1"/>
  <c r="FB54" a="1"/>
  <c r="FB54" s="1"/>
  <c r="FB55" a="1"/>
  <c r="FB55" s="1"/>
  <c r="FB58" a="1"/>
  <c r="FB58" s="1"/>
  <c r="FB61" a="1"/>
  <c r="FB61" s="1"/>
  <c r="FB63" a="1"/>
  <c r="FB63" s="1"/>
  <c r="FB64" a="1"/>
  <c r="FB64" s="1"/>
  <c r="FB65" a="1"/>
  <c r="FB65" s="1"/>
  <c r="FB66" a="1"/>
  <c r="FB66" s="1"/>
  <c r="FB67" a="1"/>
  <c r="FB67" s="1"/>
  <c r="FB76" a="1"/>
  <c r="FB76" s="1"/>
  <c r="FB77" a="1"/>
  <c r="FB77" s="1"/>
  <c r="FB78" a="1"/>
  <c r="FB78" s="1"/>
  <c r="FB104" a="1"/>
  <c r="FB104" s="1"/>
  <c r="FB105" a="1"/>
  <c r="FB105" s="1"/>
  <c r="FB109" a="1"/>
  <c r="FB109" s="1"/>
  <c r="FB110" a="1"/>
  <c r="FB110" s="1"/>
  <c r="FB112" a="1"/>
  <c r="FB112" s="1"/>
  <c r="FB113" a="1"/>
  <c r="FB113" s="1"/>
  <c r="FB115" a="1"/>
  <c r="FB115" s="1"/>
  <c r="FB117" a="1"/>
  <c r="FB117" s="1"/>
  <c r="FB118" a="1"/>
  <c r="FB118" s="1"/>
  <c r="FB119" a="1"/>
  <c r="FB119" s="1"/>
  <c r="FB120" a="1"/>
  <c r="FB120" s="1"/>
  <c r="FB125" a="1"/>
  <c r="FB125" s="1"/>
  <c r="FB126" a="1"/>
  <c r="FB126" s="1"/>
  <c r="FB157" a="1"/>
  <c r="FB157" s="1"/>
  <c r="FB264" a="1"/>
  <c r="FB264" s="1"/>
  <c r="FB265" a="1"/>
  <c r="FB265" s="1"/>
  <c r="FB266" a="1"/>
  <c r="FB266" s="1"/>
  <c r="FB269" a="1"/>
  <c r="FB269" s="1"/>
  <c r="FB270" a="1"/>
  <c r="FB270" s="1"/>
  <c r="FB271" a="1"/>
  <c r="FB271" s="1"/>
  <c r="FB275" a="1"/>
  <c r="FB275" s="1"/>
  <c r="FB278" a="1"/>
  <c r="FB278" s="1"/>
  <c r="FB279" a="1"/>
  <c r="FB279" s="1"/>
  <c r="FB280" a="1"/>
  <c r="FB280" s="1"/>
  <c r="FB287" a="1"/>
  <c r="FB287" s="1"/>
  <c r="FB288" a="1"/>
  <c r="FB288" s="1"/>
  <c r="FB289" a="1"/>
  <c r="FB289" s="1"/>
  <c r="FB290" a="1"/>
  <c r="FB290" s="1"/>
  <c r="FB291" a="1"/>
  <c r="FB291" s="1"/>
  <c r="FB292" a="1"/>
  <c r="FB292" s="1"/>
  <c r="FB293" a="1"/>
  <c r="FB293" s="1"/>
  <c r="FB294" a="1"/>
  <c r="FB294" s="1"/>
  <c r="FB295" a="1"/>
  <c r="FB295" s="1"/>
  <c r="FB297" a="1"/>
  <c r="FB297" s="1"/>
  <c r="FB298" a="1"/>
  <c r="FB298" s="1"/>
  <c r="FB299" a="1"/>
  <c r="FB299" s="1"/>
  <c r="FB300" a="1"/>
  <c r="FB300" s="1"/>
  <c r="FB301" a="1"/>
  <c r="FB301" s="1"/>
  <c r="FB302" a="1"/>
  <c r="FB302" s="1"/>
  <c r="FB303" a="1"/>
  <c r="FB303" s="1"/>
  <c r="FB307" a="1"/>
  <c r="FB307" s="1"/>
  <c r="FB308" a="1"/>
  <c r="FB308" s="1"/>
  <c r="FB309" a="1"/>
  <c r="FB309" s="1"/>
  <c r="FB310" a="1"/>
  <c r="FB310" s="1"/>
  <c r="FB311" a="1"/>
  <c r="FB311" s="1"/>
  <c r="FB315" a="1"/>
  <c r="FB315" s="1"/>
  <c r="FB316" a="1"/>
  <c r="FB316" s="1"/>
  <c r="FB317" a="1"/>
  <c r="FB317" s="1"/>
  <c r="FB321" a="1"/>
  <c r="FB321" s="1"/>
  <c r="FB322" a="1"/>
  <c r="FB322" s="1"/>
  <c r="FB323" a="1"/>
  <c r="FB323" s="1"/>
  <c r="FB324" a="1"/>
  <c r="FB324" s="1"/>
  <c r="FB328" a="1"/>
  <c r="FB328" s="1"/>
  <c r="FB329" a="1"/>
  <c r="FB329" s="1"/>
  <c r="FB341" a="1"/>
  <c r="FB341" s="1"/>
  <c r="FB342" a="1"/>
  <c r="FB342" s="1"/>
  <c r="FB343" a="1"/>
  <c r="FB343" s="1"/>
  <c r="FB344" a="1"/>
  <c r="FB344" s="1"/>
  <c r="FB346" a="1"/>
  <c r="FB346" s="1"/>
  <c r="FB348" a="1"/>
  <c r="FB348" s="1"/>
  <c r="FB353" a="1"/>
  <c r="FB353" s="1"/>
  <c r="FB355" a="1"/>
  <c r="FB355" s="1"/>
  <c r="FB357" a="1"/>
  <c r="FB357" s="1"/>
  <c r="FB360" a="1"/>
  <c r="FB360" s="1"/>
  <c r="FB361" a="1"/>
  <c r="FB361" s="1"/>
  <c r="FB362" a="1"/>
  <c r="FB362" s="1"/>
  <c r="FB363" a="1"/>
  <c r="FB363" s="1"/>
  <c r="FB364" a="1"/>
  <c r="FB364" s="1"/>
  <c r="FB365" a="1"/>
  <c r="FB365" s="1"/>
  <c r="FB367" a="1"/>
  <c r="FB367" s="1"/>
  <c r="FB369" a="1"/>
  <c r="FB369" s="1"/>
  <c r="FB370" a="1"/>
  <c r="FB370" s="1"/>
  <c r="FB371" a="1"/>
  <c r="FB371" s="1"/>
  <c r="FB377" a="1"/>
  <c r="FB377" s="1"/>
  <c r="FB378" a="1"/>
  <c r="FB378" s="1"/>
  <c r="FB379" a="1"/>
  <c r="FB379" s="1"/>
  <c r="FB381" a="1"/>
  <c r="FB381" s="1"/>
  <c r="FB388" a="1"/>
  <c r="FB388" s="1"/>
  <c r="FB389" a="1"/>
  <c r="FB389" s="1"/>
  <c r="FB393" a="1"/>
  <c r="FB393" s="1"/>
  <c r="FB394" a="1"/>
  <c r="FB394" s="1"/>
  <c r="FB395" a="1"/>
  <c r="FB395" s="1"/>
  <c r="FB396" a="1"/>
  <c r="FB396" s="1"/>
  <c r="FB397" a="1"/>
  <c r="FB397" s="1"/>
  <c r="FB398" a="1"/>
  <c r="FB398" s="1"/>
  <c r="FB399" a="1"/>
  <c r="FB399" s="1"/>
  <c r="FB400" a="1"/>
  <c r="FB400" s="1"/>
  <c r="FB62" a="1"/>
  <c r="FB62" s="1"/>
  <c r="FB57" a="1"/>
  <c r="FB57" s="1"/>
  <c r="FB116" a="1"/>
  <c r="FB116" s="1"/>
  <c r="FB92" a="1"/>
  <c r="FB92" s="1"/>
  <c r="FB85" a="1"/>
  <c r="FB85" s="1"/>
  <c r="N2" a="1"/>
  <c r="N2" s="1"/>
  <c r="N3" a="1"/>
  <c r="N3" s="1"/>
  <c r="N4" a="1"/>
  <c r="N4" s="1"/>
  <c r="N5" a="1"/>
  <c r="N5" s="1"/>
  <c r="N6" a="1"/>
  <c r="N6" s="1"/>
  <c r="N7" a="1"/>
  <c r="N7" s="1"/>
  <c r="N8" a="1"/>
  <c r="N8" s="1"/>
  <c r="N9" a="1"/>
  <c r="N9" s="1"/>
  <c r="N10" a="1"/>
  <c r="N10" s="1"/>
  <c r="N11" a="1"/>
  <c r="N11" s="1"/>
  <c r="N12" a="1"/>
  <c r="N12" s="1"/>
  <c r="N16" a="1"/>
  <c r="N16" s="1"/>
  <c r="N17" a="1"/>
  <c r="N17" s="1"/>
  <c r="N47" a="1"/>
  <c r="N47" s="1"/>
  <c r="N70" a="1"/>
  <c r="N70" s="1"/>
  <c r="N79" a="1"/>
  <c r="N79" s="1"/>
  <c r="N80" a="1"/>
  <c r="N80" s="1"/>
  <c r="N81" a="1"/>
  <c r="N81" s="1"/>
  <c r="N84" a="1"/>
  <c r="N84" s="1"/>
  <c r="N86" a="1"/>
  <c r="N86" s="1"/>
  <c r="N87" a="1"/>
  <c r="N87" s="1"/>
  <c r="N88" a="1"/>
  <c r="N88" s="1"/>
  <c r="N89" a="1"/>
  <c r="N89" s="1"/>
  <c r="N90" a="1"/>
  <c r="N90" s="1"/>
  <c r="N91" a="1"/>
  <c r="N91" s="1"/>
  <c r="N93" a="1"/>
  <c r="N93" s="1"/>
  <c r="N94" a="1"/>
  <c r="N94" s="1"/>
  <c r="N95" a="1"/>
  <c r="N95" s="1"/>
  <c r="N96" a="1"/>
  <c r="N96" s="1"/>
  <c r="N111" a="1"/>
  <c r="N111" s="1"/>
  <c r="N122" a="1"/>
  <c r="N122" s="1"/>
  <c r="N129" a="1"/>
  <c r="N129" s="1"/>
  <c r="N128" a="1"/>
  <c r="N128" s="1"/>
  <c r="N131" a="1"/>
  <c r="N131" s="1"/>
  <c r="N132" a="1"/>
  <c r="N132" s="1"/>
  <c r="N133" a="1"/>
  <c r="N133" s="1"/>
  <c r="N134" a="1"/>
  <c r="N134" s="1"/>
  <c r="N135" a="1"/>
  <c r="N135" s="1"/>
  <c r="N136" a="1"/>
  <c r="N136" s="1"/>
  <c r="N145" a="1"/>
  <c r="N145" s="1"/>
  <c r="N146" a="1"/>
  <c r="N146" s="1"/>
  <c r="N148" a="1"/>
  <c r="N148" s="1"/>
  <c r="N149" a="1"/>
  <c r="N149" s="1"/>
  <c r="N150" a="1"/>
  <c r="N150" s="1"/>
  <c r="N156" a="1"/>
  <c r="N156" s="1"/>
  <c r="N161" a="1"/>
  <c r="N161" s="1"/>
  <c r="N162" a="1"/>
  <c r="N162" s="1"/>
  <c r="N163" a="1"/>
  <c r="N163" s="1"/>
  <c r="N164" a="1"/>
  <c r="N164" s="1"/>
  <c r="N165" a="1"/>
  <c r="N165" s="1"/>
  <c r="N166" a="1"/>
  <c r="N166" s="1"/>
  <c r="N167" a="1"/>
  <c r="N167" s="1"/>
  <c r="N168" a="1"/>
  <c r="N168" s="1"/>
  <c r="N169" a="1"/>
  <c r="N169" s="1"/>
  <c r="N170" a="1"/>
  <c r="N170" s="1"/>
  <c r="N171" a="1"/>
  <c r="N171" s="1"/>
  <c r="N172" a="1"/>
  <c r="N172" s="1"/>
  <c r="N173" a="1"/>
  <c r="N173" s="1"/>
  <c r="N174" a="1"/>
  <c r="N174" s="1"/>
  <c r="N175" a="1"/>
  <c r="N175" s="1"/>
  <c r="N176" a="1"/>
  <c r="N176" s="1"/>
  <c r="N177" a="1"/>
  <c r="N177" s="1"/>
  <c r="N178" a="1"/>
  <c r="N178" s="1"/>
  <c r="N179" a="1"/>
  <c r="N179" s="1"/>
  <c r="N180" a="1"/>
  <c r="N180" s="1"/>
  <c r="N181" a="1"/>
  <c r="N181" s="1"/>
  <c r="N187" a="1"/>
  <c r="N187" s="1"/>
  <c r="N188" a="1"/>
  <c r="N188" s="1"/>
  <c r="N189" a="1"/>
  <c r="N189" s="1"/>
  <c r="N190" a="1"/>
  <c r="N190" s="1"/>
  <c r="N191" a="1"/>
  <c r="N191" s="1"/>
  <c r="N192" a="1"/>
  <c r="N192" s="1"/>
  <c r="N193" a="1"/>
  <c r="N193" s="1"/>
  <c r="N194" a="1"/>
  <c r="N194" s="1"/>
  <c r="N195" a="1"/>
  <c r="N195" s="1"/>
  <c r="N196" a="1"/>
  <c r="N196" s="1"/>
  <c r="N197" a="1"/>
  <c r="N197" s="1"/>
  <c r="N198" a="1"/>
  <c r="N198" s="1"/>
  <c r="N199" a="1"/>
  <c r="N199" s="1"/>
  <c r="N200" a="1"/>
  <c r="N200" s="1"/>
  <c r="N201" a="1"/>
  <c r="N201" s="1"/>
  <c r="N202" a="1"/>
  <c r="N202" s="1"/>
  <c r="N203" a="1"/>
  <c r="N203" s="1"/>
  <c r="N204" a="1"/>
  <c r="N204" s="1"/>
  <c r="N205" a="1"/>
  <c r="N205" s="1"/>
  <c r="N206" a="1"/>
  <c r="N206" s="1"/>
  <c r="N209" a="1"/>
  <c r="N209" s="1"/>
  <c r="N210" a="1"/>
  <c r="N210" s="1"/>
  <c r="N211" a="1"/>
  <c r="N211" s="1"/>
  <c r="N212" a="1"/>
  <c r="N212" s="1"/>
  <c r="N213" a="1"/>
  <c r="N213" s="1"/>
  <c r="N214" a="1"/>
  <c r="N214" s="1"/>
  <c r="N215" a="1"/>
  <c r="N215" s="1"/>
  <c r="N216" a="1"/>
  <c r="N216" s="1"/>
  <c r="N217" a="1"/>
  <c r="N217" s="1"/>
  <c r="N218" a="1"/>
  <c r="N218" s="1"/>
  <c r="N219" a="1"/>
  <c r="N219" s="1"/>
  <c r="N220" a="1"/>
  <c r="N220" s="1"/>
  <c r="N221" a="1"/>
  <c r="N221" s="1"/>
  <c r="N222" a="1"/>
  <c r="N222" s="1"/>
  <c r="N223" a="1"/>
  <c r="N223" s="1"/>
  <c r="N224" a="1"/>
  <c r="N224" s="1"/>
  <c r="N225" a="1"/>
  <c r="N225" s="1"/>
  <c r="N226" a="1"/>
  <c r="N226" s="1"/>
  <c r="N227" a="1"/>
  <c r="N227" s="1"/>
  <c r="N229" a="1"/>
  <c r="N229" s="1"/>
  <c r="N232" a="1"/>
  <c r="N232" s="1"/>
  <c r="N234" a="1"/>
  <c r="N234" s="1"/>
  <c r="N235" a="1"/>
  <c r="N235" s="1"/>
  <c r="N236" a="1"/>
  <c r="N236" s="1"/>
  <c r="N237" a="1"/>
  <c r="N237" s="1"/>
  <c r="N238" a="1"/>
  <c r="N238" s="1"/>
  <c r="N239" a="1"/>
  <c r="N239" s="1"/>
  <c r="N240" a="1"/>
  <c r="N240" s="1"/>
  <c r="N241" a="1"/>
  <c r="N241" s="1"/>
  <c r="N242" a="1"/>
  <c r="N242" s="1"/>
  <c r="N243" a="1"/>
  <c r="N243" s="1"/>
  <c r="N244" a="1"/>
  <c r="N244" s="1"/>
  <c r="N245" a="1"/>
  <c r="N245" s="1"/>
  <c r="N246" a="1"/>
  <c r="N246" s="1"/>
  <c r="N247" a="1"/>
  <c r="N247" s="1"/>
  <c r="N248" a="1"/>
  <c r="N248" s="1"/>
  <c r="N249" a="1"/>
  <c r="N249" s="1"/>
  <c r="N250" a="1"/>
  <c r="N250" s="1"/>
  <c r="N251" a="1"/>
  <c r="N251" s="1"/>
  <c r="N252" a="1"/>
  <c r="N252" s="1"/>
  <c r="N253" a="1"/>
  <c r="N253" s="1"/>
  <c r="N254" a="1"/>
  <c r="N254" s="1"/>
  <c r="N255" a="1"/>
  <c r="N255" s="1"/>
  <c r="N256" a="1"/>
  <c r="N256" s="1"/>
  <c r="N257" a="1"/>
  <c r="N257" s="1"/>
  <c r="N258" a="1"/>
  <c r="N258" s="1"/>
  <c r="N259" a="1"/>
  <c r="N259" s="1"/>
  <c r="N260" a="1"/>
  <c r="N260" s="1"/>
  <c r="N261" a="1"/>
  <c r="N261" s="1"/>
  <c r="N262" a="1"/>
  <c r="N262" s="1"/>
  <c r="N263" a="1"/>
  <c r="N263" s="1"/>
  <c r="N272" a="1"/>
  <c r="N272" s="1"/>
  <c r="N274" a="1"/>
  <c r="N274" s="1"/>
  <c r="N276" a="1"/>
  <c r="N276" s="1"/>
  <c r="N277" a="1"/>
  <c r="N277" s="1"/>
  <c r="N313" a="1"/>
  <c r="N313" s="1"/>
  <c r="N314" a="1"/>
  <c r="N314" s="1"/>
  <c r="N325" a="1"/>
  <c r="N325" s="1"/>
  <c r="N326" a="1"/>
  <c r="N326" s="1"/>
  <c r="N332" a="1"/>
  <c r="N332" s="1"/>
  <c r="N333" a="1"/>
  <c r="N333" s="1"/>
  <c r="N334" a="1"/>
  <c r="N334" s="1"/>
  <c r="N335" a="1"/>
  <c r="N335" s="1"/>
  <c r="N339" a="1"/>
  <c r="N339" s="1"/>
  <c r="N340" a="1"/>
  <c r="N340" s="1"/>
  <c r="N345" a="1"/>
  <c r="N345" s="1"/>
  <c r="N382" a="1"/>
  <c r="N382" s="1"/>
  <c r="N384" a="1"/>
  <c r="N384" s="1"/>
  <c r="N385" a="1"/>
  <c r="N385" s="1"/>
  <c r="N390" a="1"/>
  <c r="N390" s="1"/>
  <c r="N391" a="1"/>
  <c r="N391" s="1"/>
  <c r="N392" a="1"/>
  <c r="N392" s="1"/>
  <c r="N13" a="1"/>
  <c r="N13" s="1"/>
  <c r="N14" a="1"/>
  <c r="N14" s="1"/>
  <c r="N15" a="1"/>
  <c r="N15" s="1"/>
  <c r="N56" a="1"/>
  <c r="N56" s="1"/>
  <c r="N59" a="1"/>
  <c r="N59" s="1"/>
  <c r="N60" a="1"/>
  <c r="N60" s="1"/>
  <c r="N68" a="1"/>
  <c r="N68" s="1"/>
  <c r="N97" a="1"/>
  <c r="N97" s="1"/>
  <c r="N98" a="1"/>
  <c r="N98" s="1"/>
  <c r="N99" a="1"/>
  <c r="N99" s="1"/>
  <c r="N100" a="1"/>
  <c r="N100" s="1"/>
  <c r="N102" a="1"/>
  <c r="N102" s="1"/>
  <c r="N103" a="1"/>
  <c r="N103" s="1"/>
  <c r="N106" a="1"/>
  <c r="N106" s="1"/>
  <c r="N107" a="1"/>
  <c r="N107" s="1"/>
  <c r="N108" a="1"/>
  <c r="N108" s="1"/>
  <c r="N114" a="1"/>
  <c r="N114" s="1"/>
  <c r="N121" a="1"/>
  <c r="N121" s="1"/>
  <c r="N123" a="1"/>
  <c r="N123" s="1"/>
  <c r="N137" a="1"/>
  <c r="N137" s="1"/>
  <c r="N138" a="1"/>
  <c r="N138" s="1"/>
  <c r="N139" a="1"/>
  <c r="N139" s="1"/>
  <c r="N141" a="1"/>
  <c r="N141" s="1"/>
  <c r="N147" a="1"/>
  <c r="N147" s="1"/>
  <c r="N151" a="1"/>
  <c r="N151" s="1"/>
  <c r="N152" a="1"/>
  <c r="N152" s="1"/>
  <c r="N153" a="1"/>
  <c r="N153" s="1"/>
  <c r="N154" a="1"/>
  <c r="N154" s="1"/>
  <c r="N155" a="1"/>
  <c r="N155" s="1"/>
  <c r="N267" a="1"/>
  <c r="N267" s="1"/>
  <c r="N268" a="1"/>
  <c r="N268" s="1"/>
  <c r="N282" a="1"/>
  <c r="N282" s="1"/>
  <c r="N283" a="1"/>
  <c r="N283" s="1"/>
  <c r="N284" a="1"/>
  <c r="N284" s="1"/>
  <c r="N285" a="1"/>
  <c r="N285" s="1"/>
  <c r="N286" a="1"/>
  <c r="N286" s="1"/>
  <c r="N296" a="1"/>
  <c r="N296" s="1"/>
  <c r="N304" a="1"/>
  <c r="N304" s="1"/>
  <c r="N305" a="1"/>
  <c r="N305" s="1"/>
  <c r="N306" a="1"/>
  <c r="N306" s="1"/>
  <c r="N312" a="1"/>
  <c r="N312" s="1"/>
  <c r="N319" a="1"/>
  <c r="N319" s="1"/>
  <c r="N19" a="1"/>
  <c r="N19" s="1"/>
  <c r="N21" a="1"/>
  <c r="N21" s="1"/>
  <c r="N23" a="1"/>
  <c r="N23" s="1"/>
  <c r="N27" a="1"/>
  <c r="N27" s="1"/>
  <c r="N28" a="1"/>
  <c r="N28" s="1"/>
  <c r="N31" a="1"/>
  <c r="N31" s="1"/>
  <c r="N33" a="1"/>
  <c r="N33" s="1"/>
  <c r="N35" a="1"/>
  <c r="N35" s="1"/>
  <c r="N37" a="1"/>
  <c r="N37" s="1"/>
  <c r="N45" a="1"/>
  <c r="N45" s="1"/>
  <c r="N51" a="1"/>
  <c r="N51" s="1"/>
  <c r="N281" a="1"/>
  <c r="N281" s="1"/>
  <c r="N327" a="1"/>
  <c r="N327" s="1"/>
  <c r="N330" a="1"/>
  <c r="N330" s="1"/>
  <c r="N331" a="1"/>
  <c r="N331" s="1"/>
  <c r="N337" a="1"/>
  <c r="N337" s="1"/>
  <c r="N338" a="1"/>
  <c r="N338" s="1"/>
  <c r="N349" a="1"/>
  <c r="N349" s="1"/>
  <c r="N350" a="1"/>
  <c r="N350" s="1"/>
  <c r="N356" a="1"/>
  <c r="N356" s="1"/>
  <c r="N358" a="1"/>
  <c r="N358" s="1"/>
  <c r="N359" a="1"/>
  <c r="N359" s="1"/>
  <c r="N366" a="1"/>
  <c r="N366" s="1"/>
  <c r="N368" a="1"/>
  <c r="N368" s="1"/>
  <c r="N373" a="1"/>
  <c r="N373" s="1"/>
  <c r="N374" a="1"/>
  <c r="N374" s="1"/>
  <c r="N375" a="1"/>
  <c r="N375" s="1"/>
  <c r="N376" a="1"/>
  <c r="N376" s="1"/>
  <c r="N380" a="1"/>
  <c r="N380" s="1"/>
  <c r="N20" a="1"/>
  <c r="N20" s="1"/>
  <c r="N22" a="1"/>
  <c r="N22" s="1"/>
  <c r="N24" a="1"/>
  <c r="N24" s="1"/>
  <c r="N25" a="1"/>
  <c r="N25" s="1"/>
  <c r="N26" a="1"/>
  <c r="N26" s="1"/>
  <c r="N29" a="1"/>
  <c r="N29" s="1"/>
  <c r="N30" a="1"/>
  <c r="N30" s="1"/>
  <c r="N34" a="1"/>
  <c r="N34" s="1"/>
  <c r="N36" a="1"/>
  <c r="N36" s="1"/>
  <c r="N38" a="1"/>
  <c r="N38" s="1"/>
  <c r="N39" a="1"/>
  <c r="N39" s="1"/>
  <c r="N40" a="1"/>
  <c r="N40" s="1"/>
  <c r="N41" a="1"/>
  <c r="N41" s="1"/>
  <c r="N42" a="1"/>
  <c r="N42" s="1"/>
  <c r="N43" a="1"/>
  <c r="N43" s="1"/>
  <c r="N44" a="1"/>
  <c r="N44" s="1"/>
  <c r="N46" a="1"/>
  <c r="N46" s="1"/>
  <c r="N48" a="1"/>
  <c r="N48" s="1"/>
  <c r="N49" a="1"/>
  <c r="N49" s="1"/>
  <c r="N50" a="1"/>
  <c r="N50" s="1"/>
  <c r="N52" a="1"/>
  <c r="N52" s="1"/>
  <c r="N53" a="1"/>
  <c r="N53" s="1"/>
  <c r="N54" a="1"/>
  <c r="N54" s="1"/>
  <c r="N55" a="1"/>
  <c r="N55" s="1"/>
  <c r="N58" a="1"/>
  <c r="N58" s="1"/>
  <c r="N61" a="1"/>
  <c r="N61" s="1"/>
  <c r="N63" a="1"/>
  <c r="N63" s="1"/>
  <c r="N64" a="1"/>
  <c r="N64" s="1"/>
  <c r="N65" a="1"/>
  <c r="N65" s="1"/>
  <c r="N66" a="1"/>
  <c r="N66" s="1"/>
  <c r="N67" a="1"/>
  <c r="N67" s="1"/>
  <c r="N76" a="1"/>
  <c r="N76" s="1"/>
  <c r="N77" a="1"/>
  <c r="N77" s="1"/>
  <c r="N78" a="1"/>
  <c r="N78" s="1"/>
  <c r="N104" a="1"/>
  <c r="N104" s="1"/>
  <c r="N105" a="1"/>
  <c r="N105" s="1"/>
  <c r="N109" a="1"/>
  <c r="N109" s="1"/>
  <c r="N110" a="1"/>
  <c r="N110" s="1"/>
  <c r="N112" a="1"/>
  <c r="N112" s="1"/>
  <c r="N113" a="1"/>
  <c r="N113" s="1"/>
  <c r="N115" a="1"/>
  <c r="N115" s="1"/>
  <c r="N117" a="1"/>
  <c r="N117" s="1"/>
  <c r="N118" a="1"/>
  <c r="N118" s="1"/>
  <c r="N119" a="1"/>
  <c r="N119" s="1"/>
  <c r="N120" a="1"/>
  <c r="N120" s="1"/>
  <c r="N125" a="1"/>
  <c r="N125" s="1"/>
  <c r="N126" a="1"/>
  <c r="N126" s="1"/>
  <c r="N157" a="1"/>
  <c r="N157" s="1"/>
  <c r="N264" a="1"/>
  <c r="N264" s="1"/>
  <c r="N265" a="1"/>
  <c r="N265" s="1"/>
  <c r="N266" a="1"/>
  <c r="N266" s="1"/>
  <c r="N269" a="1"/>
  <c r="N269" s="1"/>
  <c r="N270" a="1"/>
  <c r="N270" s="1"/>
  <c r="N271" a="1"/>
  <c r="N271" s="1"/>
  <c r="N275" a="1"/>
  <c r="N275" s="1"/>
  <c r="N278" a="1"/>
  <c r="N278" s="1"/>
  <c r="N279" a="1"/>
  <c r="N279" s="1"/>
  <c r="N280" a="1"/>
  <c r="N280" s="1"/>
  <c r="N287" a="1"/>
  <c r="N287" s="1"/>
  <c r="N288" a="1"/>
  <c r="N288" s="1"/>
  <c r="N289" a="1"/>
  <c r="N289" s="1"/>
  <c r="N290" a="1"/>
  <c r="N290" s="1"/>
  <c r="N291" a="1"/>
  <c r="N291" s="1"/>
  <c r="N292" a="1"/>
  <c r="N292" s="1"/>
  <c r="N293" a="1"/>
  <c r="N293" s="1"/>
  <c r="N294" a="1"/>
  <c r="N294" s="1"/>
  <c r="N295" a="1"/>
  <c r="N295" s="1"/>
  <c r="N297" a="1"/>
  <c r="N297" s="1"/>
  <c r="N298" a="1"/>
  <c r="N298" s="1"/>
  <c r="N299" a="1"/>
  <c r="N299" s="1"/>
  <c r="N300" a="1"/>
  <c r="N300" s="1"/>
  <c r="N301" a="1"/>
  <c r="N301" s="1"/>
  <c r="N302" a="1"/>
  <c r="N302" s="1"/>
  <c r="N303" a="1"/>
  <c r="N303" s="1"/>
  <c r="N307" a="1"/>
  <c r="N307" s="1"/>
  <c r="N308" a="1"/>
  <c r="N308" s="1"/>
  <c r="N309" a="1"/>
  <c r="N309" s="1"/>
  <c r="N310" a="1"/>
  <c r="N310" s="1"/>
  <c r="N311" a="1"/>
  <c r="N311" s="1"/>
  <c r="N315" a="1"/>
  <c r="N315" s="1"/>
  <c r="N316" a="1"/>
  <c r="N316" s="1"/>
  <c r="N317" a="1"/>
  <c r="N317" s="1"/>
  <c r="N321" a="1"/>
  <c r="N321" s="1"/>
  <c r="N322" a="1"/>
  <c r="N322" s="1"/>
  <c r="N323" a="1"/>
  <c r="N323" s="1"/>
  <c r="N324" a="1"/>
  <c r="N324" s="1"/>
  <c r="N328" a="1"/>
  <c r="N328" s="1"/>
  <c r="N329" a="1"/>
  <c r="N329" s="1"/>
  <c r="N341" a="1"/>
  <c r="N341" s="1"/>
  <c r="N342" a="1"/>
  <c r="N342" s="1"/>
  <c r="N343" a="1"/>
  <c r="N343" s="1"/>
  <c r="N344" a="1"/>
  <c r="N344" s="1"/>
  <c r="N346" a="1"/>
  <c r="N346" s="1"/>
  <c r="N348" a="1"/>
  <c r="N348" s="1"/>
  <c r="N353" a="1"/>
  <c r="N353" s="1"/>
  <c r="N355" a="1"/>
  <c r="N355" s="1"/>
  <c r="N357" a="1"/>
  <c r="N357" s="1"/>
  <c r="N360" a="1"/>
  <c r="N360" s="1"/>
  <c r="N361" a="1"/>
  <c r="N361" s="1"/>
  <c r="N362" a="1"/>
  <c r="N362" s="1"/>
  <c r="N363" a="1"/>
  <c r="N363" s="1"/>
  <c r="N364" a="1"/>
  <c r="N364" s="1"/>
  <c r="N365" a="1"/>
  <c r="N365" s="1"/>
  <c r="N367" a="1"/>
  <c r="N367" s="1"/>
  <c r="N369" a="1"/>
  <c r="N369" s="1"/>
  <c r="N370" a="1"/>
  <c r="N370" s="1"/>
  <c r="N371" a="1"/>
  <c r="N371" s="1"/>
  <c r="N377" a="1"/>
  <c r="N377" s="1"/>
  <c r="N378" a="1"/>
  <c r="N378" s="1"/>
  <c r="N379" a="1"/>
  <c r="N379" s="1"/>
  <c r="N381" a="1"/>
  <c r="N381" s="1"/>
  <c r="N388" a="1"/>
  <c r="N388" s="1"/>
  <c r="N389" a="1"/>
  <c r="N389" s="1"/>
  <c r="N393" a="1"/>
  <c r="N393" s="1"/>
  <c r="N394" a="1"/>
  <c r="N394" s="1"/>
  <c r="N395" a="1"/>
  <c r="N395" s="1"/>
  <c r="N396" a="1"/>
  <c r="N396" s="1"/>
  <c r="N397" a="1"/>
  <c r="N397" s="1"/>
  <c r="N398" a="1"/>
  <c r="N398" s="1"/>
  <c r="N399" a="1"/>
  <c r="N399" s="1"/>
  <c r="N400" a="1"/>
  <c r="N400" s="1"/>
  <c r="N62" a="1"/>
  <c r="N62" s="1"/>
  <c r="N57" a="1"/>
  <c r="N57" s="1"/>
  <c r="N116" a="1"/>
  <c r="N116" s="1"/>
  <c r="N92" a="1"/>
  <c r="N92" s="1"/>
  <c r="N85" a="1"/>
  <c r="N85" s="1"/>
  <c r="FA2" a="1"/>
  <c r="FA2" s="1"/>
  <c r="FA3" a="1"/>
  <c r="FA3" s="1"/>
  <c r="FA4" a="1"/>
  <c r="FA4" s="1"/>
  <c r="FA5" a="1"/>
  <c r="FA5" s="1"/>
  <c r="FA6" a="1"/>
  <c r="FA6" s="1"/>
  <c r="FA7" a="1"/>
  <c r="FA7" s="1"/>
  <c r="FA9" a="1"/>
  <c r="FA9" s="1"/>
  <c r="FA10" a="1"/>
  <c r="FA10" s="1"/>
  <c r="FA11" a="1"/>
  <c r="FA11" s="1"/>
  <c r="FA12" a="1"/>
  <c r="FA12" s="1"/>
  <c r="FA16" a="1"/>
  <c r="FA16" s="1"/>
  <c r="FA17" a="1"/>
  <c r="FA17" s="1"/>
  <c r="FA47" a="1"/>
  <c r="FA47" s="1"/>
  <c r="FA70" a="1"/>
  <c r="FA70" s="1"/>
  <c r="FA79" a="1"/>
  <c r="FA79" s="1"/>
  <c r="FA80" a="1"/>
  <c r="FA80" s="1"/>
  <c r="FA81" a="1"/>
  <c r="FA81" s="1"/>
  <c r="FA84" a="1"/>
  <c r="FA84" s="1"/>
  <c r="FA86" a="1"/>
  <c r="FA86" s="1"/>
  <c r="FA87" a="1"/>
  <c r="FA87" s="1"/>
  <c r="FA88" a="1"/>
  <c r="FA88" s="1"/>
  <c r="FA89" a="1"/>
  <c r="FA89" s="1"/>
  <c r="FA90" a="1"/>
  <c r="FA90" s="1"/>
  <c r="FA91" a="1"/>
  <c r="FA91" s="1"/>
  <c r="FA93" a="1"/>
  <c r="FA93" s="1"/>
  <c r="FA94" a="1"/>
  <c r="FA94" s="1"/>
  <c r="FA95" a="1"/>
  <c r="FA95" s="1"/>
  <c r="FA96" a="1"/>
  <c r="FA96" s="1"/>
  <c r="FA111" a="1"/>
  <c r="FA111" s="1"/>
  <c r="FA122" a="1"/>
  <c r="FA122" s="1"/>
  <c r="FA129" a="1"/>
  <c r="FA129" s="1"/>
  <c r="FA128" a="1"/>
  <c r="FA128" s="1"/>
  <c r="FA131" a="1"/>
  <c r="FA131" s="1"/>
  <c r="FA132" a="1"/>
  <c r="FA132" s="1"/>
  <c r="FA133" a="1"/>
  <c r="FA133" s="1"/>
  <c r="FA134" a="1"/>
  <c r="FA134" s="1"/>
  <c r="FA135" a="1"/>
  <c r="FA135" s="1"/>
  <c r="FA136" a="1"/>
  <c r="FA136" s="1"/>
  <c r="FA145" a="1"/>
  <c r="FA145" s="1"/>
  <c r="FA146" a="1"/>
  <c r="FA146" s="1"/>
  <c r="FA148" a="1"/>
  <c r="FA148" s="1"/>
  <c r="FA149" a="1"/>
  <c r="FA149" s="1"/>
  <c r="FA150" a="1"/>
  <c r="FA150" s="1"/>
  <c r="FA156" a="1"/>
  <c r="FA156" s="1"/>
  <c r="FA161" a="1"/>
  <c r="FA161" s="1"/>
  <c r="FA162" a="1"/>
  <c r="FA162" s="1"/>
  <c r="FA163" a="1"/>
  <c r="FA163" s="1"/>
  <c r="FA164" a="1"/>
  <c r="FA164" s="1"/>
  <c r="FA165" a="1"/>
  <c r="FA165" s="1"/>
  <c r="FA166" a="1"/>
  <c r="FA166" s="1"/>
  <c r="FA167" a="1"/>
  <c r="FA167" s="1"/>
  <c r="FA168" a="1"/>
  <c r="FA168" s="1"/>
  <c r="FA169" a="1"/>
  <c r="FA169" s="1"/>
  <c r="FA170" a="1"/>
  <c r="FA170" s="1"/>
  <c r="FA171" a="1"/>
  <c r="FA171" s="1"/>
  <c r="FA172" a="1"/>
  <c r="FA172" s="1"/>
  <c r="FA173" a="1"/>
  <c r="FA173" s="1"/>
  <c r="FA174" a="1"/>
  <c r="FA174" s="1"/>
  <c r="FA175" a="1"/>
  <c r="FA175" s="1"/>
  <c r="FA176" a="1"/>
  <c r="FA176" s="1"/>
  <c r="FA177" a="1"/>
  <c r="FA177" s="1"/>
  <c r="FA178" a="1"/>
  <c r="FA178" s="1"/>
  <c r="FA179" a="1"/>
  <c r="FA179" s="1"/>
  <c r="FA180" a="1"/>
  <c r="FA180" s="1"/>
  <c r="FA181" a="1"/>
  <c r="FA181" s="1"/>
  <c r="FA187" a="1"/>
  <c r="FA187" s="1"/>
  <c r="FA188" a="1"/>
  <c r="FA188" s="1"/>
  <c r="FA189" a="1"/>
  <c r="FA189" s="1"/>
  <c r="FA190" a="1"/>
  <c r="FA190" s="1"/>
  <c r="FA191" a="1"/>
  <c r="FA191" s="1"/>
  <c r="FA192" a="1"/>
  <c r="FA192" s="1"/>
  <c r="FA193" a="1"/>
  <c r="FA193" s="1"/>
  <c r="FA194" a="1"/>
  <c r="FA194" s="1"/>
  <c r="FA195" a="1"/>
  <c r="FA195" s="1"/>
  <c r="FA196" a="1"/>
  <c r="FA196" s="1"/>
  <c r="FA197" a="1"/>
  <c r="FA197" s="1"/>
  <c r="FA198" a="1"/>
  <c r="FA198" s="1"/>
  <c r="FA199" a="1"/>
  <c r="FA199" s="1"/>
  <c r="FA200" a="1"/>
  <c r="FA200" s="1"/>
  <c r="FA201" a="1"/>
  <c r="FA201" s="1"/>
  <c r="FA202" a="1"/>
  <c r="FA202" s="1"/>
  <c r="FA203" a="1"/>
  <c r="FA203" s="1"/>
  <c r="FA204" a="1"/>
  <c r="FA204" s="1"/>
  <c r="FA205" a="1"/>
  <c r="FA205" s="1"/>
  <c r="FA206" a="1"/>
  <c r="FA206" s="1"/>
  <c r="FA209" a="1"/>
  <c r="FA209" s="1"/>
  <c r="FA210" a="1"/>
  <c r="FA210" s="1"/>
  <c r="FA211" a="1"/>
  <c r="FA211" s="1"/>
  <c r="FA212" a="1"/>
  <c r="FA212" s="1"/>
  <c r="FA213" a="1"/>
  <c r="FA213" s="1"/>
  <c r="FA214" a="1"/>
  <c r="FA214" s="1"/>
  <c r="FA215" a="1"/>
  <c r="FA215" s="1"/>
  <c r="FA216" a="1"/>
  <c r="FA216" s="1"/>
  <c r="FA217" a="1"/>
  <c r="FA217" s="1"/>
  <c r="FA218" a="1"/>
  <c r="FA218" s="1"/>
  <c r="FA219" a="1"/>
  <c r="FA219" s="1"/>
  <c r="FA220" a="1"/>
  <c r="FA220" s="1"/>
  <c r="FA221" a="1"/>
  <c r="FA221" s="1"/>
  <c r="FA222" a="1"/>
  <c r="FA222" s="1"/>
  <c r="FA223" a="1"/>
  <c r="FA223" s="1"/>
  <c r="FA224" a="1"/>
  <c r="FA224" s="1"/>
  <c r="FA225" a="1"/>
  <c r="FA225" s="1"/>
  <c r="FA226" a="1"/>
  <c r="FA226" s="1"/>
  <c r="FA227" a="1"/>
  <c r="FA227" s="1"/>
  <c r="FA229" a="1"/>
  <c r="FA229" s="1"/>
  <c r="FA232" a="1"/>
  <c r="FA232" s="1"/>
  <c r="FA234" a="1"/>
  <c r="FA234" s="1"/>
  <c r="FA235" a="1"/>
  <c r="FA235" s="1"/>
  <c r="FA236" a="1"/>
  <c r="FA236" s="1"/>
  <c r="FA237" a="1"/>
  <c r="FA237" s="1"/>
  <c r="FA238" a="1"/>
  <c r="FA238" s="1"/>
  <c r="FA239" a="1"/>
  <c r="FA239" s="1"/>
  <c r="FA240" a="1"/>
  <c r="FA240" s="1"/>
  <c r="FA241" a="1"/>
  <c r="FA241" s="1"/>
  <c r="FA242" a="1"/>
  <c r="FA242" s="1"/>
  <c r="FA243" a="1"/>
  <c r="FA243" s="1"/>
  <c r="FA244" a="1"/>
  <c r="FA244" s="1"/>
  <c r="FA245" a="1"/>
  <c r="FA245" s="1"/>
  <c r="FA246" a="1"/>
  <c r="FA246" s="1"/>
  <c r="FA247" a="1"/>
  <c r="FA247" s="1"/>
  <c r="FA248" a="1"/>
  <c r="FA248" s="1"/>
  <c r="FA249" a="1"/>
  <c r="FA249" s="1"/>
  <c r="FA250" a="1"/>
  <c r="FA250" s="1"/>
  <c r="FA251" a="1"/>
  <c r="FA251" s="1"/>
  <c r="FA252" a="1"/>
  <c r="FA252" s="1"/>
  <c r="FA253" a="1"/>
  <c r="FA253" s="1"/>
  <c r="FA254" a="1"/>
  <c r="FA254" s="1"/>
  <c r="FA255" a="1"/>
  <c r="FA255" s="1"/>
  <c r="FA256" a="1"/>
  <c r="FA256" s="1"/>
  <c r="FA257" a="1"/>
  <c r="FA257" s="1"/>
  <c r="FA258" a="1"/>
  <c r="FA258" s="1"/>
  <c r="FA259" a="1"/>
  <c r="FA259" s="1"/>
  <c r="FA260" a="1"/>
  <c r="FA260" s="1"/>
  <c r="FA261" a="1"/>
  <c r="FA261" s="1"/>
  <c r="FA262" a="1"/>
  <c r="FA262" s="1"/>
  <c r="FA263" a="1"/>
  <c r="FA263" s="1"/>
  <c r="FA272" a="1"/>
  <c r="FA272" s="1"/>
  <c r="FA274" a="1"/>
  <c r="FA274" s="1"/>
  <c r="FA276" a="1"/>
  <c r="FA276" s="1"/>
  <c r="FA277" a="1"/>
  <c r="FA277" s="1"/>
  <c r="FA313" a="1"/>
  <c r="FA313" s="1"/>
  <c r="FA314" a="1"/>
  <c r="FA314" s="1"/>
  <c r="FA325" a="1"/>
  <c r="FA325" s="1"/>
  <c r="FA326" a="1"/>
  <c r="FA326" s="1"/>
  <c r="FA332" a="1"/>
  <c r="FA332" s="1"/>
  <c r="FA333" a="1"/>
  <c r="FA333" s="1"/>
  <c r="FA334" a="1"/>
  <c r="FA334" s="1"/>
  <c r="FA335" a="1"/>
  <c r="FA335" s="1"/>
  <c r="FA339" a="1"/>
  <c r="FA339" s="1"/>
  <c r="FA340" a="1"/>
  <c r="FA340" s="1"/>
  <c r="FA345" a="1"/>
  <c r="FA345" s="1"/>
  <c r="FA382" a="1"/>
  <c r="FA382" s="1"/>
  <c r="FA384" a="1"/>
  <c r="FA384" s="1"/>
  <c r="FA385" a="1"/>
  <c r="FA385" s="1"/>
  <c r="FA390" a="1"/>
  <c r="FA390" s="1"/>
  <c r="FA391" a="1"/>
  <c r="FA391" s="1"/>
  <c r="FA392" a="1"/>
  <c r="FA392" s="1"/>
  <c r="FA13" a="1"/>
  <c r="FA13" s="1"/>
  <c r="FA14" a="1"/>
  <c r="FA14" s="1"/>
  <c r="FA15" a="1"/>
  <c r="FA15" s="1"/>
  <c r="FA56" a="1"/>
  <c r="FA56" s="1"/>
  <c r="FA59" a="1"/>
  <c r="FA59" s="1"/>
  <c r="FA60" a="1"/>
  <c r="FA60" s="1"/>
  <c r="FA68" a="1"/>
  <c r="FA68" s="1"/>
  <c r="FA97" a="1"/>
  <c r="FA97" s="1"/>
  <c r="FA98" a="1"/>
  <c r="FA98" s="1"/>
  <c r="FA99" a="1"/>
  <c r="FA99" s="1"/>
  <c r="FA100" a="1"/>
  <c r="FA100" s="1"/>
  <c r="FA102" a="1"/>
  <c r="FA102" s="1"/>
  <c r="FA103" a="1"/>
  <c r="FA103" s="1"/>
  <c r="FA106" a="1"/>
  <c r="FA106" s="1"/>
  <c r="FA107" a="1"/>
  <c r="FA107" s="1"/>
  <c r="FA108" a="1"/>
  <c r="FA108" s="1"/>
  <c r="FA114" a="1"/>
  <c r="FA114" s="1"/>
  <c r="FA121" a="1"/>
  <c r="FA121" s="1"/>
  <c r="FA123" a="1"/>
  <c r="FA123" s="1"/>
  <c r="FA137" a="1"/>
  <c r="FA137" s="1"/>
  <c r="FA138" a="1"/>
  <c r="FA138" s="1"/>
  <c r="FA139" a="1"/>
  <c r="FA139" s="1"/>
  <c r="FA141" a="1"/>
  <c r="FA141" s="1"/>
  <c r="FA147" a="1"/>
  <c r="FA147" s="1"/>
  <c r="FA151" a="1"/>
  <c r="FA151" s="1"/>
  <c r="FA152" a="1"/>
  <c r="FA152" s="1"/>
  <c r="FA153" a="1"/>
  <c r="FA153" s="1"/>
  <c r="FA154" a="1"/>
  <c r="FA154" s="1"/>
  <c r="FA155" a="1"/>
  <c r="FA155" s="1"/>
  <c r="FA267" a="1"/>
  <c r="FA267" s="1"/>
  <c r="FA268" a="1"/>
  <c r="FA268" s="1"/>
  <c r="FA282" a="1"/>
  <c r="FA282" s="1"/>
  <c r="FA283" a="1"/>
  <c r="FA283" s="1"/>
  <c r="FA284" a="1"/>
  <c r="FA284" s="1"/>
  <c r="FA285" a="1"/>
  <c r="FA285" s="1"/>
  <c r="FA286" a="1"/>
  <c r="FA286" s="1"/>
  <c r="FA296" a="1"/>
  <c r="FA296" s="1"/>
  <c r="FA304" a="1"/>
  <c r="FA304" s="1"/>
  <c r="FA305" a="1"/>
  <c r="FA305" s="1"/>
  <c r="FA306" a="1"/>
  <c r="FA306" s="1"/>
  <c r="FA312" a="1"/>
  <c r="FA312" s="1"/>
  <c r="FA319" a="1"/>
  <c r="FA319" s="1"/>
  <c r="FA19" a="1"/>
  <c r="FA19" s="1"/>
  <c r="FA21" a="1"/>
  <c r="FA21" s="1"/>
  <c r="FA23" a="1"/>
  <c r="FA23" s="1"/>
  <c r="FA27" a="1"/>
  <c r="FA27" s="1"/>
  <c r="FA28" a="1"/>
  <c r="FA28" s="1"/>
  <c r="FA31" a="1"/>
  <c r="FA31" s="1"/>
  <c r="FA33" a="1"/>
  <c r="FA33" s="1"/>
  <c r="FA35" a="1"/>
  <c r="FA35" s="1"/>
  <c r="FA37" a="1"/>
  <c r="FA37" s="1"/>
  <c r="FA45" a="1"/>
  <c r="FA45" s="1"/>
  <c r="FA51" a="1"/>
  <c r="FA51" s="1"/>
  <c r="FA281" a="1"/>
  <c r="FA281" s="1"/>
  <c r="FA327" a="1"/>
  <c r="FA327" s="1"/>
  <c r="FA330" a="1"/>
  <c r="FA330" s="1"/>
  <c r="FA331" a="1"/>
  <c r="FA331" s="1"/>
  <c r="FA337" a="1"/>
  <c r="FA337" s="1"/>
  <c r="FA338" a="1"/>
  <c r="FA338" s="1"/>
  <c r="FA349" a="1"/>
  <c r="FA349" s="1"/>
  <c r="FA350" a="1"/>
  <c r="FA350" s="1"/>
  <c r="FA356" a="1"/>
  <c r="FA356" s="1"/>
  <c r="FA358" a="1"/>
  <c r="FA358" s="1"/>
  <c r="FA359" a="1"/>
  <c r="FA359" s="1"/>
  <c r="FA366" a="1"/>
  <c r="FA366" s="1"/>
  <c r="FA368" a="1"/>
  <c r="FA368" s="1"/>
  <c r="FA373" a="1"/>
  <c r="FA373" s="1"/>
  <c r="FA374" a="1"/>
  <c r="FA374" s="1"/>
  <c r="FA375" a="1"/>
  <c r="FA375" s="1"/>
  <c r="FA376" a="1"/>
  <c r="FA376" s="1"/>
  <c r="FA380" a="1"/>
  <c r="FA380" s="1"/>
  <c r="FA20" a="1"/>
  <c r="FA20" s="1"/>
  <c r="FA22" a="1"/>
  <c r="FA22" s="1"/>
  <c r="FA24" a="1"/>
  <c r="FA24" s="1"/>
  <c r="FA25" a="1"/>
  <c r="FA25" s="1"/>
  <c r="FA26" a="1"/>
  <c r="FA26" s="1"/>
  <c r="FA29" a="1"/>
  <c r="FA29" s="1"/>
  <c r="FA30" a="1"/>
  <c r="FA30" s="1"/>
  <c r="FA34" a="1"/>
  <c r="FA34" s="1"/>
  <c r="FA36" a="1"/>
  <c r="FA36" s="1"/>
  <c r="FA38" a="1"/>
  <c r="FA38" s="1"/>
  <c r="FA39" a="1"/>
  <c r="FA39" s="1"/>
  <c r="FA40" a="1"/>
  <c r="FA40" s="1"/>
  <c r="FA41" a="1"/>
  <c r="FA41" s="1"/>
  <c r="FA42" a="1"/>
  <c r="FA42" s="1"/>
  <c r="FA43" a="1"/>
  <c r="FA43" s="1"/>
  <c r="FA44" a="1"/>
  <c r="FA44" s="1"/>
  <c r="FA46" a="1"/>
  <c r="FA46" s="1"/>
  <c r="FA48" a="1"/>
  <c r="FA48" s="1"/>
  <c r="FA49" a="1"/>
  <c r="FA49" s="1"/>
  <c r="FA50" a="1"/>
  <c r="FA50" s="1"/>
  <c r="FA52" a="1"/>
  <c r="FA52" s="1"/>
  <c r="FA53" a="1"/>
  <c r="FA53" s="1"/>
  <c r="FA54" a="1"/>
  <c r="FA54" s="1"/>
  <c r="FA55" a="1"/>
  <c r="FA55" s="1"/>
  <c r="FA58" a="1"/>
  <c r="FA58" s="1"/>
  <c r="FA61" a="1"/>
  <c r="FA61" s="1"/>
  <c r="FA63" a="1"/>
  <c r="FA63" s="1"/>
  <c r="FA64" a="1"/>
  <c r="FA64" s="1"/>
  <c r="FA65" a="1"/>
  <c r="FA65" s="1"/>
  <c r="FA66" a="1"/>
  <c r="FA66" s="1"/>
  <c r="FA67" a="1"/>
  <c r="FA67" s="1"/>
  <c r="FA76" a="1"/>
  <c r="FA76" s="1"/>
  <c r="FA77" a="1"/>
  <c r="FA77" s="1"/>
  <c r="FA78" a="1"/>
  <c r="FA78" s="1"/>
  <c r="FA104" a="1"/>
  <c r="FA104" s="1"/>
  <c r="FA105" a="1"/>
  <c r="FA105" s="1"/>
  <c r="FA109" a="1"/>
  <c r="FA109" s="1"/>
  <c r="FA110" a="1"/>
  <c r="FA110" s="1"/>
  <c r="FA112" a="1"/>
  <c r="FA112" s="1"/>
  <c r="FA113" a="1"/>
  <c r="FA113" s="1"/>
  <c r="FA115" a="1"/>
  <c r="FA115" s="1"/>
  <c r="FA117" a="1"/>
  <c r="FA117" s="1"/>
  <c r="FA118" a="1"/>
  <c r="FA118" s="1"/>
  <c r="FA119" a="1"/>
  <c r="FA119" s="1"/>
  <c r="FA120" a="1"/>
  <c r="FA120" s="1"/>
  <c r="FA125" a="1"/>
  <c r="FA125" s="1"/>
  <c r="FA126" a="1"/>
  <c r="FA126" s="1"/>
  <c r="FA157" a="1"/>
  <c r="FA157" s="1"/>
  <c r="FA264" a="1"/>
  <c r="FA264" s="1"/>
  <c r="FA265" a="1"/>
  <c r="FA265" s="1"/>
  <c r="FA266" a="1"/>
  <c r="FA266" s="1"/>
  <c r="FA269" a="1"/>
  <c r="FA269" s="1"/>
  <c r="FA270" a="1"/>
  <c r="FA270" s="1"/>
  <c r="FA271" a="1"/>
  <c r="FA271" s="1"/>
  <c r="FA275" a="1"/>
  <c r="FA275" s="1"/>
  <c r="FA278" a="1"/>
  <c r="FA278" s="1"/>
  <c r="FA279" a="1"/>
  <c r="FA279" s="1"/>
  <c r="FA280" a="1"/>
  <c r="FA280" s="1"/>
  <c r="FA287" a="1"/>
  <c r="FA287" s="1"/>
  <c r="FA288" a="1"/>
  <c r="FA288" s="1"/>
  <c r="FA289" a="1"/>
  <c r="FA289" s="1"/>
  <c r="FA290" a="1"/>
  <c r="FA290" s="1"/>
  <c r="FA291" a="1"/>
  <c r="FA291" s="1"/>
  <c r="FA292" a="1"/>
  <c r="FA292" s="1"/>
  <c r="FA293" a="1"/>
  <c r="FA293" s="1"/>
  <c r="FA294" a="1"/>
  <c r="FA294" s="1"/>
  <c r="FA295" a="1"/>
  <c r="FA295" s="1"/>
  <c r="FA297" a="1"/>
  <c r="FA297" s="1"/>
  <c r="FA298" a="1"/>
  <c r="FA298" s="1"/>
  <c r="FA299" a="1"/>
  <c r="FA299" s="1"/>
  <c r="FA300" a="1"/>
  <c r="FA300" s="1"/>
  <c r="FA301" a="1"/>
  <c r="FA301" s="1"/>
  <c r="FA302" a="1"/>
  <c r="FA302" s="1"/>
  <c r="FA303" a="1"/>
  <c r="FA303" s="1"/>
  <c r="FA307" a="1"/>
  <c r="FA307" s="1"/>
  <c r="FA308" a="1"/>
  <c r="FA308" s="1"/>
  <c r="FA309" a="1"/>
  <c r="FA309" s="1"/>
  <c r="FA310" a="1"/>
  <c r="FA310" s="1"/>
  <c r="FA311" a="1"/>
  <c r="FA311" s="1"/>
  <c r="FA315" a="1"/>
  <c r="FA315" s="1"/>
  <c r="FA316" a="1"/>
  <c r="FA316" s="1"/>
  <c r="FA317" a="1"/>
  <c r="FA317" s="1"/>
  <c r="FA321" a="1"/>
  <c r="FA321" s="1"/>
  <c r="FA322" a="1"/>
  <c r="FA322" s="1"/>
  <c r="FA323" a="1"/>
  <c r="FA323" s="1"/>
  <c r="FA324" a="1"/>
  <c r="FA324" s="1"/>
  <c r="FA328" a="1"/>
  <c r="FA328" s="1"/>
  <c r="FA329" a="1"/>
  <c r="FA329" s="1"/>
  <c r="FA341" a="1"/>
  <c r="FA341" s="1"/>
  <c r="FA342" a="1"/>
  <c r="FA342" s="1"/>
  <c r="FA343" a="1"/>
  <c r="FA343" s="1"/>
  <c r="FA344" a="1"/>
  <c r="FA344" s="1"/>
  <c r="FA346" a="1"/>
  <c r="FA346" s="1"/>
  <c r="FA348" a="1"/>
  <c r="FA348" s="1"/>
  <c r="FA353" a="1"/>
  <c r="FA353" s="1"/>
  <c r="FA355" a="1"/>
  <c r="FA355" s="1"/>
  <c r="FA357" a="1"/>
  <c r="FA357" s="1"/>
  <c r="FA360" a="1"/>
  <c r="FA360" s="1"/>
  <c r="FA361" a="1"/>
  <c r="FA361" s="1"/>
  <c r="FA362" a="1"/>
  <c r="FA362" s="1"/>
  <c r="FA363" a="1"/>
  <c r="FA363" s="1"/>
  <c r="FA364" a="1"/>
  <c r="FA364" s="1"/>
  <c r="FA365" a="1"/>
  <c r="FA365" s="1"/>
  <c r="FA367" a="1"/>
  <c r="FA367" s="1"/>
  <c r="FA369" a="1"/>
  <c r="FA369" s="1"/>
  <c r="FA370" a="1"/>
  <c r="FA370" s="1"/>
  <c r="FA371" a="1"/>
  <c r="FA371" s="1"/>
  <c r="FA377" a="1"/>
  <c r="FA377" s="1"/>
  <c r="FA378" a="1"/>
  <c r="FA378" s="1"/>
  <c r="FA379" a="1"/>
  <c r="FA379" s="1"/>
  <c r="FA381" a="1"/>
  <c r="FA381" s="1"/>
  <c r="FA388" a="1"/>
  <c r="FA388" s="1"/>
  <c r="FA389" a="1"/>
  <c r="FA389" s="1"/>
  <c r="FA393" a="1"/>
  <c r="FA393" s="1"/>
  <c r="FA394" a="1"/>
  <c r="FA394" s="1"/>
  <c r="FA395" a="1"/>
  <c r="FA395" s="1"/>
  <c r="FA396" a="1"/>
  <c r="FA396" s="1"/>
  <c r="FA397" a="1"/>
  <c r="FA397" s="1"/>
  <c r="FA398" a="1"/>
  <c r="FA398" s="1"/>
  <c r="FA399" a="1"/>
  <c r="FA399" s="1"/>
  <c r="FA400" a="1"/>
  <c r="FA400" s="1"/>
  <c r="FA62" a="1"/>
  <c r="FA62" s="1"/>
  <c r="FA57" a="1"/>
  <c r="FA57" s="1"/>
  <c r="FA116" a="1"/>
  <c r="FA116" s="1"/>
  <c r="FA92" a="1"/>
  <c r="FA92" s="1"/>
  <c r="FA85" a="1"/>
  <c r="FA85" s="1"/>
  <c r="M2" a="1"/>
  <c r="M2" s="1"/>
  <c r="M3" a="1"/>
  <c r="M3" s="1"/>
  <c r="M4" a="1"/>
  <c r="M4" s="1"/>
  <c r="M5" a="1"/>
  <c r="M5" s="1"/>
  <c r="M6" a="1"/>
  <c r="M6" s="1"/>
  <c r="M7" a="1"/>
  <c r="M7" s="1"/>
  <c r="M8" a="1"/>
  <c r="M8" s="1"/>
  <c r="M9" a="1"/>
  <c r="M9" s="1"/>
  <c r="M10" a="1"/>
  <c r="M10" s="1"/>
  <c r="M11" a="1"/>
  <c r="M11" s="1"/>
  <c r="M12" a="1"/>
  <c r="M12" s="1"/>
  <c r="M16" a="1"/>
  <c r="M16" s="1"/>
  <c r="M17" a="1"/>
  <c r="M17" s="1"/>
  <c r="M47" a="1"/>
  <c r="M47" s="1"/>
  <c r="M70" a="1"/>
  <c r="M70" s="1"/>
  <c r="M79" a="1"/>
  <c r="M79" s="1"/>
  <c r="M80" a="1"/>
  <c r="M80" s="1"/>
  <c r="M81" a="1"/>
  <c r="M81" s="1"/>
  <c r="M84" a="1"/>
  <c r="M84" s="1"/>
  <c r="M86" a="1"/>
  <c r="M86" s="1"/>
  <c r="M87" a="1"/>
  <c r="M87" s="1"/>
  <c r="M88" a="1"/>
  <c r="M88" s="1"/>
  <c r="M89" a="1"/>
  <c r="M89" s="1"/>
  <c r="M90" a="1"/>
  <c r="M90" s="1"/>
  <c r="M91" a="1"/>
  <c r="M91" s="1"/>
  <c r="M93" a="1"/>
  <c r="M93" s="1"/>
  <c r="M94" a="1"/>
  <c r="M94" s="1"/>
  <c r="M95" a="1"/>
  <c r="M95" s="1"/>
  <c r="M96" a="1"/>
  <c r="M96" s="1"/>
  <c r="M111" a="1"/>
  <c r="M111" s="1"/>
  <c r="M122" a="1"/>
  <c r="M122" s="1"/>
  <c r="M128" a="1"/>
  <c r="M128" s="1"/>
  <c r="M131" a="1"/>
  <c r="M131" s="1"/>
  <c r="M132" a="1"/>
  <c r="M132" s="1"/>
  <c r="M133" a="1"/>
  <c r="M133" s="1"/>
  <c r="M134" a="1"/>
  <c r="M134" s="1"/>
  <c r="M135" a="1"/>
  <c r="M135" s="1"/>
  <c r="M136" a="1"/>
  <c r="M136" s="1"/>
  <c r="M145" a="1"/>
  <c r="M145" s="1"/>
  <c r="M146" a="1"/>
  <c r="M146" s="1"/>
  <c r="M148" a="1"/>
  <c r="M148" s="1"/>
  <c r="M149" a="1"/>
  <c r="M149" s="1"/>
  <c r="M150" a="1"/>
  <c r="M150" s="1"/>
  <c r="M156" a="1"/>
  <c r="M156" s="1"/>
  <c r="M161" a="1"/>
  <c r="M161" s="1"/>
  <c r="M162" a="1"/>
  <c r="M162" s="1"/>
  <c r="M163" a="1"/>
  <c r="M163" s="1"/>
  <c r="M164" a="1"/>
  <c r="M164" s="1"/>
  <c r="M165" a="1"/>
  <c r="M165" s="1"/>
  <c r="M166" a="1"/>
  <c r="M166" s="1"/>
  <c r="M167" a="1"/>
  <c r="M167" s="1"/>
  <c r="M168" a="1"/>
  <c r="M168" s="1"/>
  <c r="M169" a="1"/>
  <c r="M169" s="1"/>
  <c r="M170" a="1"/>
  <c r="M170" s="1"/>
  <c r="M171" a="1"/>
  <c r="M171" s="1"/>
  <c r="M172" a="1"/>
  <c r="M172" s="1"/>
  <c r="M173" a="1"/>
  <c r="M173" s="1"/>
  <c r="M174" a="1"/>
  <c r="M174" s="1"/>
  <c r="M175" a="1"/>
  <c r="M175" s="1"/>
  <c r="M176" a="1"/>
  <c r="M176" s="1"/>
  <c r="M177" a="1"/>
  <c r="M177" s="1"/>
  <c r="M178" a="1"/>
  <c r="M178" s="1"/>
  <c r="M179" a="1"/>
  <c r="M179" s="1"/>
  <c r="M180" a="1"/>
  <c r="M180" s="1"/>
  <c r="M181" a="1"/>
  <c r="M181" s="1"/>
  <c r="M187" a="1"/>
  <c r="M187" s="1"/>
  <c r="M188" a="1"/>
  <c r="M188" s="1"/>
  <c r="M189" a="1"/>
  <c r="M189" s="1"/>
  <c r="M190" a="1"/>
  <c r="M190" s="1"/>
  <c r="M191" a="1"/>
  <c r="M191" s="1"/>
  <c r="M192" a="1"/>
  <c r="M192" s="1"/>
  <c r="M193" a="1"/>
  <c r="M193" s="1"/>
  <c r="M194" a="1"/>
  <c r="M194" s="1"/>
  <c r="M195" a="1"/>
  <c r="M195" s="1"/>
  <c r="M196" a="1"/>
  <c r="M196" s="1"/>
  <c r="M197" a="1"/>
  <c r="M197" s="1"/>
  <c r="M198" a="1"/>
  <c r="M198" s="1"/>
  <c r="M199" a="1"/>
  <c r="M199" s="1"/>
  <c r="M200" a="1"/>
  <c r="M200" s="1"/>
  <c r="M201" a="1"/>
  <c r="M201" s="1"/>
  <c r="M202" a="1"/>
  <c r="M202" s="1"/>
  <c r="M203" a="1"/>
  <c r="M203" s="1"/>
  <c r="M204" a="1"/>
  <c r="M204" s="1"/>
  <c r="M205" a="1"/>
  <c r="M205" s="1"/>
  <c r="M206" a="1"/>
  <c r="M206" s="1"/>
  <c r="M209" a="1"/>
  <c r="M209" s="1"/>
  <c r="M210" a="1"/>
  <c r="M210" s="1"/>
  <c r="M211" a="1"/>
  <c r="M211" s="1"/>
  <c r="M212" a="1"/>
  <c r="M212" s="1"/>
  <c r="M213" a="1"/>
  <c r="M213" s="1"/>
  <c r="M214" a="1"/>
  <c r="M214" s="1"/>
  <c r="M215" a="1"/>
  <c r="M215" s="1"/>
  <c r="M216" a="1"/>
  <c r="M216" s="1"/>
  <c r="M218" a="1"/>
  <c r="M218" s="1"/>
  <c r="M219" a="1"/>
  <c r="M219" s="1"/>
  <c r="M220" a="1"/>
  <c r="M220" s="1"/>
  <c r="M221" a="1"/>
  <c r="M221" s="1"/>
  <c r="M222" a="1"/>
  <c r="M222" s="1"/>
  <c r="M223" a="1"/>
  <c r="M223" s="1"/>
  <c r="M224" a="1"/>
  <c r="M224" s="1"/>
  <c r="M225" a="1"/>
  <c r="M225" s="1"/>
  <c r="M226" a="1"/>
  <c r="M226" s="1"/>
  <c r="M227" a="1"/>
  <c r="M227" s="1"/>
  <c r="M229" a="1"/>
  <c r="M229" s="1"/>
  <c r="M232" a="1"/>
  <c r="M232" s="1"/>
  <c r="M234" a="1"/>
  <c r="M234" s="1"/>
  <c r="M235" a="1"/>
  <c r="M235" s="1"/>
  <c r="M236" a="1"/>
  <c r="M236" s="1"/>
  <c r="M237" a="1"/>
  <c r="M237" s="1"/>
  <c r="M238" a="1"/>
  <c r="M238" s="1"/>
  <c r="M239" a="1"/>
  <c r="M239" s="1"/>
  <c r="M240" a="1"/>
  <c r="M240" s="1"/>
  <c r="M241" a="1"/>
  <c r="M241" s="1"/>
  <c r="M242" a="1"/>
  <c r="M242" s="1"/>
  <c r="M243" a="1"/>
  <c r="M243" s="1"/>
  <c r="M244" a="1"/>
  <c r="M244" s="1"/>
  <c r="M245" a="1"/>
  <c r="M245" s="1"/>
  <c r="M246" a="1"/>
  <c r="M246" s="1"/>
  <c r="M247" a="1"/>
  <c r="M247" s="1"/>
  <c r="M248" a="1"/>
  <c r="M248" s="1"/>
  <c r="M249" a="1"/>
  <c r="M249" s="1"/>
  <c r="M250" a="1"/>
  <c r="M250" s="1"/>
  <c r="M251" a="1"/>
  <c r="M251" s="1"/>
  <c r="M252" a="1"/>
  <c r="M252" s="1"/>
  <c r="M253" a="1"/>
  <c r="M253" s="1"/>
  <c r="M254" a="1"/>
  <c r="M254" s="1"/>
  <c r="M255" a="1"/>
  <c r="M255" s="1"/>
  <c r="M256" a="1"/>
  <c r="M256" s="1"/>
  <c r="M257" a="1"/>
  <c r="M257" s="1"/>
  <c r="M258" a="1"/>
  <c r="M258" s="1"/>
  <c r="M259" a="1"/>
  <c r="M259" s="1"/>
  <c r="M260" a="1"/>
  <c r="M260" s="1"/>
  <c r="M261" a="1"/>
  <c r="M261" s="1"/>
  <c r="M262" a="1"/>
  <c r="M262" s="1"/>
  <c r="M263" a="1"/>
  <c r="M263" s="1"/>
  <c r="M272" a="1"/>
  <c r="M272" s="1"/>
  <c r="M274" a="1"/>
  <c r="M274" s="1"/>
  <c r="M276" a="1"/>
  <c r="M276" s="1"/>
  <c r="M277" a="1"/>
  <c r="M277" s="1"/>
  <c r="M313" a="1"/>
  <c r="M313" s="1"/>
  <c r="M314" a="1"/>
  <c r="M314" s="1"/>
  <c r="M325" a="1"/>
  <c r="M325" s="1"/>
  <c r="M326" a="1"/>
  <c r="M326" s="1"/>
  <c r="M332" a="1"/>
  <c r="M332" s="1"/>
  <c r="M333" a="1"/>
  <c r="M333" s="1"/>
  <c r="M334" a="1"/>
  <c r="M334" s="1"/>
  <c r="M335" a="1"/>
  <c r="M335" s="1"/>
  <c r="M339" a="1"/>
  <c r="M339" s="1"/>
  <c r="M340" a="1"/>
  <c r="M340" s="1"/>
  <c r="M345" a="1"/>
  <c r="M345" s="1"/>
  <c r="M382" a="1"/>
  <c r="M382" s="1"/>
  <c r="M384" a="1"/>
  <c r="M384" s="1"/>
  <c r="M385" a="1"/>
  <c r="M385" s="1"/>
  <c r="M390" a="1"/>
  <c r="M390" s="1"/>
  <c r="M391" a="1"/>
  <c r="M391" s="1"/>
  <c r="M392" a="1"/>
  <c r="M392" s="1"/>
  <c r="M13" a="1"/>
  <c r="M13" s="1"/>
  <c r="M56" a="1"/>
  <c r="M56" s="1"/>
  <c r="M59" a="1"/>
  <c r="M59" s="1"/>
  <c r="M60" a="1"/>
  <c r="M60" s="1"/>
  <c r="M68" a="1"/>
  <c r="M68" s="1"/>
  <c r="M97" a="1"/>
  <c r="M97" s="1"/>
  <c r="M98" a="1"/>
  <c r="M98" s="1"/>
  <c r="M99" a="1"/>
  <c r="M99" s="1"/>
  <c r="M100" a="1"/>
  <c r="M100" s="1"/>
  <c r="M102" a="1"/>
  <c r="M102" s="1"/>
  <c r="M103" a="1"/>
  <c r="M103" s="1"/>
  <c r="M106" a="1"/>
  <c r="M106" s="1"/>
  <c r="M107" a="1"/>
  <c r="M107" s="1"/>
  <c r="M108" a="1"/>
  <c r="M108" s="1"/>
  <c r="M114" a="1"/>
  <c r="M114" s="1"/>
  <c r="M121" a="1"/>
  <c r="M121" s="1"/>
  <c r="M123" a="1"/>
  <c r="M123" s="1"/>
  <c r="M137" a="1"/>
  <c r="M137" s="1"/>
  <c r="M138" a="1"/>
  <c r="M138" s="1"/>
  <c r="M139" a="1"/>
  <c r="M139" s="1"/>
  <c r="M141" a="1"/>
  <c r="M141" s="1"/>
  <c r="M147" a="1"/>
  <c r="M147" s="1"/>
  <c r="M151" a="1"/>
  <c r="M151" s="1"/>
  <c r="M152" a="1"/>
  <c r="M152" s="1"/>
  <c r="M153" a="1"/>
  <c r="M153" s="1"/>
  <c r="M154" a="1"/>
  <c r="M154" s="1"/>
  <c r="M155" a="1"/>
  <c r="M155" s="1"/>
  <c r="M267" a="1"/>
  <c r="M267" s="1"/>
  <c r="M268" a="1"/>
  <c r="M268" s="1"/>
  <c r="M282" a="1"/>
  <c r="M282" s="1"/>
  <c r="M283" a="1"/>
  <c r="M283" s="1"/>
  <c r="M284" a="1"/>
  <c r="M284" s="1"/>
  <c r="M285" a="1"/>
  <c r="M285" s="1"/>
  <c r="M286" a="1"/>
  <c r="M286" s="1"/>
  <c r="M296" a="1"/>
  <c r="M296" s="1"/>
  <c r="M304" a="1"/>
  <c r="M304" s="1"/>
  <c r="M305" a="1"/>
  <c r="M305" s="1"/>
  <c r="M306" a="1"/>
  <c r="M306" s="1"/>
  <c r="M312" a="1"/>
  <c r="M312" s="1"/>
  <c r="M319" a="1"/>
  <c r="M319" s="1"/>
  <c r="M19" a="1"/>
  <c r="M19" s="1"/>
  <c r="M21" a="1"/>
  <c r="M21" s="1"/>
  <c r="M23" a="1"/>
  <c r="M23" s="1"/>
  <c r="M27" a="1"/>
  <c r="M27" s="1"/>
  <c r="M28" a="1"/>
  <c r="M28" s="1"/>
  <c r="M31" a="1"/>
  <c r="M31" s="1"/>
  <c r="M33" a="1"/>
  <c r="M33" s="1"/>
  <c r="M35" a="1"/>
  <c r="M35" s="1"/>
  <c r="M37" a="1"/>
  <c r="M37" s="1"/>
  <c r="M45" a="1"/>
  <c r="M45" s="1"/>
  <c r="M51" a="1"/>
  <c r="M51" s="1"/>
  <c r="M281" a="1"/>
  <c r="M281" s="1"/>
  <c r="M327" a="1"/>
  <c r="M327" s="1"/>
  <c r="M330" a="1"/>
  <c r="M330" s="1"/>
  <c r="M331" a="1"/>
  <c r="M331" s="1"/>
  <c r="M337" a="1"/>
  <c r="M337" s="1"/>
  <c r="M338" a="1"/>
  <c r="M338" s="1"/>
  <c r="M349" a="1"/>
  <c r="M349" s="1"/>
  <c r="M350" a="1"/>
  <c r="M350" s="1"/>
  <c r="M356" a="1"/>
  <c r="M356" s="1"/>
  <c r="M358" a="1"/>
  <c r="M358" s="1"/>
  <c r="M359" a="1"/>
  <c r="M359" s="1"/>
  <c r="M366" a="1"/>
  <c r="M366" s="1"/>
  <c r="M368" a="1"/>
  <c r="M368" s="1"/>
  <c r="M373" a="1"/>
  <c r="M373" s="1"/>
  <c r="M374" a="1"/>
  <c r="M374" s="1"/>
  <c r="M375" a="1"/>
  <c r="M375" s="1"/>
  <c r="M376" a="1"/>
  <c r="M376" s="1"/>
  <c r="M380" a="1"/>
  <c r="M380" s="1"/>
  <c r="M20" a="1"/>
  <c r="M20" s="1"/>
  <c r="M22" a="1"/>
  <c r="M22" s="1"/>
  <c r="M24" a="1"/>
  <c r="M24" s="1"/>
  <c r="M25" a="1"/>
  <c r="M25" s="1"/>
  <c r="M26" a="1"/>
  <c r="M26" s="1"/>
  <c r="M29" a="1"/>
  <c r="M29" s="1"/>
  <c r="M30" a="1"/>
  <c r="M30" s="1"/>
  <c r="M34" a="1"/>
  <c r="M34" s="1"/>
  <c r="M36" a="1"/>
  <c r="M36" s="1"/>
  <c r="M38" a="1"/>
  <c r="M38" s="1"/>
  <c r="M39" a="1"/>
  <c r="M39" s="1"/>
  <c r="M40" a="1"/>
  <c r="M40" s="1"/>
  <c r="M41" a="1"/>
  <c r="M41" s="1"/>
  <c r="M42" a="1"/>
  <c r="M42" s="1"/>
  <c r="M43" a="1"/>
  <c r="M43" s="1"/>
  <c r="M44" a="1"/>
  <c r="M44" s="1"/>
  <c r="M46" a="1"/>
  <c r="M46" s="1"/>
  <c r="M48" a="1"/>
  <c r="M48" s="1"/>
  <c r="M49" a="1"/>
  <c r="M49" s="1"/>
  <c r="M50" a="1"/>
  <c r="M50" s="1"/>
  <c r="M52" a="1"/>
  <c r="M52" s="1"/>
  <c r="M53" a="1"/>
  <c r="M53" s="1"/>
  <c r="M54" a="1"/>
  <c r="M54" s="1"/>
  <c r="M55" a="1"/>
  <c r="M55" s="1"/>
  <c r="M58" a="1"/>
  <c r="M58" s="1"/>
  <c r="M61" a="1"/>
  <c r="M61" s="1"/>
  <c r="M63" a="1"/>
  <c r="M63" s="1"/>
  <c r="M64" a="1"/>
  <c r="M64" s="1"/>
  <c r="M65" a="1"/>
  <c r="M65" s="1"/>
  <c r="M66" a="1"/>
  <c r="M66" s="1"/>
  <c r="M67" a="1"/>
  <c r="M67" s="1"/>
  <c r="M76" a="1"/>
  <c r="M76" s="1"/>
  <c r="M77" a="1"/>
  <c r="M77" s="1"/>
  <c r="M78" a="1"/>
  <c r="M78" s="1"/>
  <c r="M104" a="1"/>
  <c r="M104" s="1"/>
  <c r="M105" a="1"/>
  <c r="M105" s="1"/>
  <c r="M109" a="1"/>
  <c r="M109" s="1"/>
  <c r="M110" a="1"/>
  <c r="M110" s="1"/>
  <c r="M112" a="1"/>
  <c r="M112" s="1"/>
  <c r="M113" a="1"/>
  <c r="M113" s="1"/>
  <c r="M115" a="1"/>
  <c r="M115" s="1"/>
  <c r="M117" a="1"/>
  <c r="M117" s="1"/>
  <c r="M118" a="1"/>
  <c r="M118" s="1"/>
  <c r="M119" a="1"/>
  <c r="M119" s="1"/>
  <c r="M120" a="1"/>
  <c r="M120" s="1"/>
  <c r="M125" a="1"/>
  <c r="M125" s="1"/>
  <c r="M126" a="1"/>
  <c r="M126" s="1"/>
  <c r="M157" a="1"/>
  <c r="M157" s="1"/>
  <c r="M264" a="1"/>
  <c r="M264" s="1"/>
  <c r="M265" a="1"/>
  <c r="M265" s="1"/>
  <c r="M266" a="1"/>
  <c r="M266" s="1"/>
  <c r="M269" a="1"/>
  <c r="M269" s="1"/>
  <c r="M270" a="1"/>
  <c r="M270" s="1"/>
  <c r="M271" a="1"/>
  <c r="M271" s="1"/>
  <c r="M275" a="1"/>
  <c r="M275" s="1"/>
  <c r="M278" a="1"/>
  <c r="M278" s="1"/>
  <c r="M279" a="1"/>
  <c r="M279" s="1"/>
  <c r="M280" a="1"/>
  <c r="M280" s="1"/>
  <c r="M287" a="1"/>
  <c r="M287" s="1"/>
  <c r="M288" a="1"/>
  <c r="M288" s="1"/>
  <c r="M289" a="1"/>
  <c r="M289" s="1"/>
  <c r="M290" a="1"/>
  <c r="M290" s="1"/>
  <c r="M291" a="1"/>
  <c r="M291" s="1"/>
  <c r="M292" a="1"/>
  <c r="M292" s="1"/>
  <c r="M293" a="1"/>
  <c r="M293" s="1"/>
  <c r="M294" a="1"/>
  <c r="M294" s="1"/>
  <c r="M295" a="1"/>
  <c r="M295" s="1"/>
  <c r="M297" a="1"/>
  <c r="M297" s="1"/>
  <c r="M298" a="1"/>
  <c r="M298" s="1"/>
  <c r="M299" a="1"/>
  <c r="M299" s="1"/>
  <c r="M300" a="1"/>
  <c r="M300" s="1"/>
  <c r="M301" a="1"/>
  <c r="M301" s="1"/>
  <c r="M302" a="1"/>
  <c r="M302" s="1"/>
  <c r="M303" a="1"/>
  <c r="M303" s="1"/>
  <c r="M307" a="1"/>
  <c r="M307" s="1"/>
  <c r="M308" a="1"/>
  <c r="M308" s="1"/>
  <c r="M309" a="1"/>
  <c r="M309" s="1"/>
  <c r="M310" a="1"/>
  <c r="M310" s="1"/>
  <c r="M311" a="1"/>
  <c r="M311" s="1"/>
  <c r="M315" a="1"/>
  <c r="M315" s="1"/>
  <c r="M316" a="1"/>
  <c r="M316" s="1"/>
  <c r="M317" a="1"/>
  <c r="M317" s="1"/>
  <c r="M321" a="1"/>
  <c r="M321" s="1"/>
  <c r="M322" a="1"/>
  <c r="M322" s="1"/>
  <c r="M323" a="1"/>
  <c r="M323" s="1"/>
  <c r="M324" a="1"/>
  <c r="M324" s="1"/>
  <c r="M328" a="1"/>
  <c r="M328" s="1"/>
  <c r="M329" a="1"/>
  <c r="M329" s="1"/>
  <c r="M341" a="1"/>
  <c r="M341" s="1"/>
  <c r="M342" a="1"/>
  <c r="M342" s="1"/>
  <c r="M343" a="1"/>
  <c r="M343" s="1"/>
  <c r="M344" a="1"/>
  <c r="M344" s="1"/>
  <c r="M346" a="1"/>
  <c r="M346" s="1"/>
  <c r="M348" a="1"/>
  <c r="M348" s="1"/>
  <c r="M353" a="1"/>
  <c r="M353" s="1"/>
  <c r="M355" a="1"/>
  <c r="M355" s="1"/>
  <c r="M357" a="1"/>
  <c r="M357" s="1"/>
  <c r="M360" a="1"/>
  <c r="M360" s="1"/>
  <c r="M361" a="1"/>
  <c r="M361" s="1"/>
  <c r="M362" a="1"/>
  <c r="M362" s="1"/>
  <c r="M363" a="1"/>
  <c r="M363" s="1"/>
  <c r="M364" a="1"/>
  <c r="M364" s="1"/>
  <c r="M365" a="1"/>
  <c r="M365" s="1"/>
  <c r="M367" a="1"/>
  <c r="M367" s="1"/>
  <c r="M369" a="1"/>
  <c r="M369" s="1"/>
  <c r="M370" a="1"/>
  <c r="M370" s="1"/>
  <c r="M371" a="1"/>
  <c r="M371" s="1"/>
  <c r="M377" a="1"/>
  <c r="M377" s="1"/>
  <c r="M378" a="1"/>
  <c r="M378" s="1"/>
  <c r="M379" a="1"/>
  <c r="M379" s="1"/>
  <c r="M381" a="1"/>
  <c r="M381" s="1"/>
  <c r="M388" a="1"/>
  <c r="M388" s="1"/>
  <c r="M389" a="1"/>
  <c r="M389" s="1"/>
  <c r="M393" a="1"/>
  <c r="M393" s="1"/>
  <c r="M394" a="1"/>
  <c r="M394" s="1"/>
  <c r="M395" a="1"/>
  <c r="M395" s="1"/>
  <c r="M396" a="1"/>
  <c r="M396" s="1"/>
  <c r="M397" a="1"/>
  <c r="M397" s="1"/>
  <c r="M398" a="1"/>
  <c r="M398" s="1"/>
  <c r="M399" a="1"/>
  <c r="M399" s="1"/>
  <c r="M400" a="1"/>
  <c r="M400" s="1"/>
  <c r="M62" a="1"/>
  <c r="M62" s="1"/>
  <c r="M57" a="1"/>
  <c r="M57" s="1"/>
  <c r="M116" a="1"/>
  <c r="M116" s="1"/>
  <c r="M92" a="1"/>
  <c r="M92" s="1"/>
  <c r="M85" a="1"/>
  <c r="M85" s="1"/>
  <c r="FC110" l="1" a="1"/>
  <c r="FC110" s="1"/>
  <c r="FC78" a="1"/>
  <c r="FC78" s="1"/>
  <c r="FC48" a="1"/>
  <c r="FC48" s="1"/>
  <c r="FC38" a="1"/>
  <c r="FC38" s="1"/>
  <c r="FC22" a="1"/>
  <c r="FC22" s="1"/>
  <c r="FC331" a="1"/>
  <c r="FC331" s="1"/>
  <c r="FC33" a="1"/>
  <c r="FC33" s="1"/>
  <c r="FC312" a="1"/>
  <c r="FC312" s="1"/>
  <c r="FC103" a="1"/>
  <c r="FC103" s="1"/>
  <c r="AE2" a="1"/>
  <c r="AE2" s="1"/>
  <c r="O360" a="1"/>
  <c r="O360" s="1"/>
  <c r="O342" a="1"/>
  <c r="O342" s="1"/>
  <c r="O317" a="1"/>
  <c r="O317" s="1"/>
  <c r="O303" a="1"/>
  <c r="O303" s="1"/>
  <c r="O294" a="1"/>
  <c r="O294" s="1"/>
  <c r="O280" a="1"/>
  <c r="O280" s="1"/>
  <c r="O265" a="1"/>
  <c r="O265" s="1"/>
  <c r="O117" a="1"/>
  <c r="O117" s="1"/>
  <c r="O78" a="1"/>
  <c r="O78" s="1"/>
  <c r="O61" a="1"/>
  <c r="O61" s="1"/>
  <c r="O48" a="1"/>
  <c r="O48" s="1"/>
  <c r="AU126" a="1"/>
  <c r="AU126" s="1"/>
  <c r="AU120" a="1"/>
  <c r="AU120" s="1"/>
  <c r="AU118" a="1"/>
  <c r="AU118" s="1"/>
  <c r="AU115" a="1"/>
  <c r="AU115" s="1"/>
  <c r="AU112" a="1"/>
  <c r="AU112" s="1"/>
  <c r="AU109" a="1"/>
  <c r="AU109" s="1"/>
  <c r="AU104" a="1"/>
  <c r="AU104" s="1"/>
  <c r="AU77" a="1"/>
  <c r="AU77" s="1"/>
  <c r="AU67" a="1"/>
  <c r="AU67" s="1"/>
  <c r="AU65" a="1"/>
  <c r="AU65" s="1"/>
  <c r="AU63" a="1"/>
  <c r="AU63" s="1"/>
  <c r="AU58" a="1"/>
  <c r="AU58" s="1"/>
  <c r="AU54" a="1"/>
  <c r="AU54" s="1"/>
  <c r="AU52" a="1"/>
  <c r="AU52" s="1"/>
  <c r="AU49" a="1"/>
  <c r="AU49" s="1"/>
  <c r="AU46" a="1"/>
  <c r="AU46" s="1"/>
  <c r="AU43" a="1"/>
  <c r="AU43" s="1"/>
  <c r="AU41" a="1"/>
  <c r="AU41" s="1"/>
  <c r="AU39" a="1"/>
  <c r="AU39" s="1"/>
  <c r="AU36" a="1"/>
  <c r="AU36" s="1"/>
  <c r="AU30" a="1"/>
  <c r="AU30" s="1"/>
  <c r="AU26" a="1"/>
  <c r="AU26" s="1"/>
  <c r="AU24" a="1"/>
  <c r="AU24" s="1"/>
  <c r="AU20" a="1"/>
  <c r="AU20" s="1"/>
  <c r="AU376" a="1"/>
  <c r="AU376" s="1"/>
  <c r="AU374" a="1"/>
  <c r="AU374" s="1"/>
  <c r="AU368" a="1"/>
  <c r="AU368" s="1"/>
  <c r="AU359" a="1"/>
  <c r="AU359" s="1"/>
  <c r="AU356" a="1"/>
  <c r="AU356" s="1"/>
  <c r="AU349" a="1"/>
  <c r="AU349" s="1"/>
  <c r="AU337" a="1"/>
  <c r="AU337" s="1"/>
  <c r="AU330" a="1"/>
  <c r="AU330" s="1"/>
  <c r="AU281" a="1"/>
  <c r="AU281" s="1"/>
  <c r="AU45" a="1"/>
  <c r="AU45" s="1"/>
  <c r="AU35" a="1"/>
  <c r="AU35" s="1"/>
  <c r="AU31" a="1"/>
  <c r="AU31" s="1"/>
  <c r="AU27" a="1"/>
  <c r="AU27" s="1"/>
  <c r="AU21" a="1"/>
  <c r="AU21" s="1"/>
  <c r="AU319" a="1"/>
  <c r="AU319" s="1"/>
  <c r="AU306" a="1"/>
  <c r="AU306" s="1"/>
  <c r="AU304" a="1"/>
  <c r="AU304" s="1"/>
  <c r="AU286" a="1"/>
  <c r="AU286" s="1"/>
  <c r="AU284" a="1"/>
  <c r="AU284" s="1"/>
  <c r="AU282" a="1"/>
  <c r="AU282" s="1"/>
  <c r="AU267" a="1"/>
  <c r="AU267" s="1"/>
  <c r="AU154" a="1"/>
  <c r="AU154" s="1"/>
  <c r="AU152" a="1"/>
  <c r="AU152" s="1"/>
  <c r="AU147" a="1"/>
  <c r="AU147" s="1"/>
  <c r="AU139" a="1"/>
  <c r="AU139" s="1"/>
  <c r="AU137" a="1"/>
  <c r="AU137" s="1"/>
  <c r="AU121" a="1"/>
  <c r="AU121" s="1"/>
  <c r="AU108" a="1"/>
  <c r="AU108" s="1"/>
  <c r="AU106" a="1"/>
  <c r="AU106" s="1"/>
  <c r="AU102" a="1"/>
  <c r="AU102" s="1"/>
  <c r="AU99" a="1"/>
  <c r="AU99" s="1"/>
  <c r="AU97" a="1"/>
  <c r="AU97" s="1"/>
  <c r="AU60" a="1"/>
  <c r="AU60" s="1"/>
  <c r="AU15" a="1"/>
  <c r="AU15" s="1"/>
  <c r="AU13" a="1"/>
  <c r="AU13" s="1"/>
  <c r="AU391" a="1"/>
  <c r="AU391" s="1"/>
  <c r="AU385" a="1"/>
  <c r="AU385" s="1"/>
  <c r="AU382" a="1"/>
  <c r="AU382" s="1"/>
  <c r="AU340" a="1"/>
  <c r="AU340" s="1"/>
  <c r="AU335" a="1"/>
  <c r="AU335" s="1"/>
  <c r="AU333" a="1"/>
  <c r="AU333" s="1"/>
  <c r="AU326" a="1"/>
  <c r="AU326" s="1"/>
  <c r="AU314" a="1"/>
  <c r="AU314" s="1"/>
  <c r="AU277" a="1"/>
  <c r="AU277" s="1"/>
  <c r="AU274" a="1"/>
  <c r="AU274" s="1"/>
  <c r="AU263" a="1"/>
  <c r="AU263" s="1"/>
  <c r="AU261" a="1"/>
  <c r="AU261" s="1"/>
  <c r="AU259" a="1"/>
  <c r="AU259" s="1"/>
  <c r="AU257" a="1"/>
  <c r="AU257" s="1"/>
  <c r="AU255" a="1"/>
  <c r="AU255" s="1"/>
  <c r="AU253" a="1"/>
  <c r="AU253" s="1"/>
  <c r="AU251" a="1"/>
  <c r="AU251" s="1"/>
  <c r="AU249" a="1"/>
  <c r="AU249" s="1"/>
  <c r="AU247" a="1"/>
  <c r="AU247" s="1"/>
  <c r="AU245" a="1"/>
  <c r="AU245" s="1"/>
  <c r="AU243" a="1"/>
  <c r="AU243" s="1"/>
  <c r="AU241" a="1"/>
  <c r="AU241" s="1"/>
  <c r="AU239" a="1"/>
  <c r="AU239" s="1"/>
  <c r="AU237" a="1"/>
  <c r="AU237" s="1"/>
  <c r="AU235" a="1"/>
  <c r="AU235" s="1"/>
  <c r="AU232" a="1"/>
  <c r="AU232" s="1"/>
  <c r="AU227" a="1"/>
  <c r="AU227" s="1"/>
  <c r="AU225" a="1"/>
  <c r="AU225" s="1"/>
  <c r="AU223" a="1"/>
  <c r="AU223" s="1"/>
  <c r="AU221" a="1"/>
  <c r="AU221" s="1"/>
  <c r="AU219" a="1"/>
  <c r="AU219" s="1"/>
  <c r="AU217" a="1"/>
  <c r="AU217" s="1"/>
  <c r="AU215" a="1"/>
  <c r="AU215" s="1"/>
  <c r="AU213" a="1"/>
  <c r="AU213" s="1"/>
  <c r="AU211" a="1"/>
  <c r="AU211" s="1"/>
  <c r="AU209" a="1"/>
  <c r="AU209" s="1"/>
  <c r="AU205" a="1"/>
  <c r="AU205" s="1"/>
  <c r="AU203" a="1"/>
  <c r="AU203" s="1"/>
  <c r="AU201" a="1"/>
  <c r="AU201" s="1"/>
  <c r="AU199" a="1"/>
  <c r="AU199" s="1"/>
  <c r="AU197" a="1"/>
  <c r="AU197" s="1"/>
  <c r="AU195" a="1"/>
  <c r="AU195" s="1"/>
  <c r="AU193" a="1"/>
  <c r="AU193" s="1"/>
  <c r="AU191" a="1"/>
  <c r="AU191" s="1"/>
  <c r="AU189" a="1"/>
  <c r="AU189" s="1"/>
  <c r="AU187" a="1"/>
  <c r="AU187" s="1"/>
  <c r="AU180" a="1"/>
  <c r="AU180" s="1"/>
  <c r="AU178" a="1"/>
  <c r="AU178" s="1"/>
  <c r="AU176" a="1"/>
  <c r="AU176" s="1"/>
  <c r="AU174" a="1"/>
  <c r="AU174" s="1"/>
  <c r="AU172" a="1"/>
  <c r="AU172" s="1"/>
  <c r="AU170" a="1"/>
  <c r="AU170" s="1"/>
  <c r="AU168" a="1"/>
  <c r="AU168" s="1"/>
  <c r="AU166" a="1"/>
  <c r="AU166" s="1"/>
  <c r="AU164" a="1"/>
  <c r="AU164" s="1"/>
  <c r="AU162" a="1"/>
  <c r="AU162" s="1"/>
  <c r="AU156" a="1"/>
  <c r="AU156" s="1"/>
  <c r="AU149" a="1"/>
  <c r="AU149" s="1"/>
  <c r="AU146" a="1"/>
  <c r="AU146" s="1"/>
  <c r="AU136" a="1"/>
  <c r="AU136" s="1"/>
  <c r="AU134" a="1"/>
  <c r="AU134" s="1"/>
  <c r="AU132" a="1"/>
  <c r="AU132" s="1"/>
  <c r="AU128" a="1"/>
  <c r="AU128" s="1"/>
  <c r="AU122" a="1"/>
  <c r="AU122" s="1"/>
  <c r="AU96" a="1"/>
  <c r="AU96" s="1"/>
  <c r="AU94" a="1"/>
  <c r="AU94" s="1"/>
  <c r="AU91" a="1"/>
  <c r="AU91" s="1"/>
  <c r="AU89" a="1"/>
  <c r="AU89" s="1"/>
  <c r="AU87" a="1"/>
  <c r="AU87" s="1"/>
  <c r="AU84" a="1"/>
  <c r="AU84" s="1"/>
  <c r="AU80" a="1"/>
  <c r="AU80" s="1"/>
  <c r="AU70" a="1"/>
  <c r="AU70" s="1"/>
  <c r="AU17" a="1"/>
  <c r="AU17" s="1"/>
  <c r="AU12" a="1"/>
  <c r="AU12" s="1"/>
  <c r="AU10" a="1"/>
  <c r="AU10" s="1"/>
  <c r="AU8" a="1"/>
  <c r="AU8" s="1"/>
  <c r="AU6" a="1"/>
  <c r="AU6" s="1"/>
  <c r="AU4" a="1"/>
  <c r="AU4" s="1"/>
  <c r="AU2" a="1"/>
  <c r="AU2" s="1"/>
  <c r="FC369" a="1"/>
  <c r="FC369" s="1"/>
  <c r="FC357" a="1"/>
  <c r="FC357" s="1"/>
  <c r="FC302" a="1"/>
  <c r="FC302" s="1"/>
  <c r="FC279" a="1"/>
  <c r="FC279" s="1"/>
  <c r="FC118" a="1"/>
  <c r="FC118" s="1"/>
  <c r="FC109" a="1"/>
  <c r="FC109" s="1"/>
  <c r="FC65" a="1"/>
  <c r="FC65" s="1"/>
  <c r="FC41" a="1"/>
  <c r="FC41" s="1"/>
  <c r="FC26" a="1"/>
  <c r="FC26" s="1"/>
  <c r="FC241" a="1"/>
  <c r="FC241" s="1"/>
  <c r="FC225" a="1"/>
  <c r="FC225" s="1"/>
  <c r="FC178" a="1"/>
  <c r="FC178" s="1"/>
  <c r="FC176" a="1"/>
  <c r="FC176" s="1"/>
  <c r="FC170" a="1"/>
  <c r="FC170" s="1"/>
  <c r="O38" a="1"/>
  <c r="O38" s="1"/>
  <c r="O22" a="1"/>
  <c r="O22" s="1"/>
  <c r="O366" a="1"/>
  <c r="O366" s="1"/>
  <c r="O331" a="1"/>
  <c r="O331" s="1"/>
  <c r="O33" a="1"/>
  <c r="O33" s="1"/>
  <c r="O312" a="1"/>
  <c r="O312" s="1"/>
  <c r="O283" a="1"/>
  <c r="O283" s="1"/>
  <c r="O151" a="1"/>
  <c r="O151" s="1"/>
  <c r="O114" a="1"/>
  <c r="O114" s="1"/>
  <c r="O98" a="1"/>
  <c r="O98" s="1"/>
  <c r="O14" a="1"/>
  <c r="O14" s="1"/>
  <c r="O345" a="1"/>
  <c r="O345" s="1"/>
  <c r="O325" a="1"/>
  <c r="O325" s="1"/>
  <c r="O262" a="1"/>
  <c r="O262" s="1"/>
  <c r="O254" a="1"/>
  <c r="O254" s="1"/>
  <c r="O246" a="1"/>
  <c r="O246" s="1"/>
  <c r="O238" a="1"/>
  <c r="O238" s="1"/>
  <c r="O226" a="1"/>
  <c r="O226" s="1"/>
  <c r="O218" a="1"/>
  <c r="O218" s="1"/>
  <c r="O210" a="1"/>
  <c r="O210" s="1"/>
  <c r="O200" a="1"/>
  <c r="O200" s="1"/>
  <c r="O192" a="1"/>
  <c r="O192" s="1"/>
  <c r="O179" a="1"/>
  <c r="O179" s="1"/>
  <c r="O171" a="1"/>
  <c r="O171" s="1"/>
  <c r="O163" a="1"/>
  <c r="O163" s="1"/>
  <c r="O145" a="1"/>
  <c r="O145" s="1"/>
  <c r="O129" a="1"/>
  <c r="O129" s="1"/>
  <c r="O90" a="1"/>
  <c r="O90" s="1"/>
  <c r="O79" a="1"/>
  <c r="O79" s="1"/>
  <c r="O9" a="1"/>
  <c r="O9" s="1"/>
  <c r="AU85" a="1"/>
  <c r="AU85" s="1"/>
  <c r="AU116" a="1"/>
  <c r="AU116" s="1"/>
  <c r="AU62" a="1"/>
  <c r="AU62" s="1"/>
  <c r="AU399" a="1"/>
  <c r="AU399" s="1"/>
  <c r="AU397" a="1"/>
  <c r="AU397" s="1"/>
  <c r="AU395" a="1"/>
  <c r="AU395" s="1"/>
  <c r="AU393" a="1"/>
  <c r="AU393" s="1"/>
  <c r="AU388" a="1"/>
  <c r="AU388" s="1"/>
  <c r="AU379" a="1"/>
  <c r="AU379" s="1"/>
  <c r="AU377" a="1"/>
  <c r="AU377" s="1"/>
  <c r="AU370" a="1"/>
  <c r="AU370" s="1"/>
  <c r="AU367" a="1"/>
  <c r="AU367" s="1"/>
  <c r="AU364" a="1"/>
  <c r="AU364" s="1"/>
  <c r="AU362" a="1"/>
  <c r="AU362" s="1"/>
  <c r="AU360" a="1"/>
  <c r="AU360" s="1"/>
  <c r="AU355" a="1"/>
  <c r="AU355" s="1"/>
  <c r="AU348" a="1"/>
  <c r="AU348" s="1"/>
  <c r="AU344" a="1"/>
  <c r="AU344" s="1"/>
  <c r="AU342" a="1"/>
  <c r="AU342" s="1"/>
  <c r="AU329" a="1"/>
  <c r="AU329" s="1"/>
  <c r="AU324" a="1"/>
  <c r="AU324" s="1"/>
  <c r="AU322" a="1"/>
  <c r="AU322" s="1"/>
  <c r="AU317" a="1"/>
  <c r="AU317" s="1"/>
  <c r="AU315" a="1"/>
  <c r="AU315" s="1"/>
  <c r="AU310" a="1"/>
  <c r="AU310" s="1"/>
  <c r="AU308" a="1"/>
  <c r="AU308" s="1"/>
  <c r="AU303" a="1"/>
  <c r="AU303" s="1"/>
  <c r="AU301" a="1"/>
  <c r="AU301" s="1"/>
  <c r="AU299" a="1"/>
  <c r="AU299" s="1"/>
  <c r="AU297" a="1"/>
  <c r="AU297" s="1"/>
  <c r="AU294" a="1"/>
  <c r="AU294" s="1"/>
  <c r="AU292" a="1"/>
  <c r="AU292" s="1"/>
  <c r="AU290" a="1"/>
  <c r="AU290" s="1"/>
  <c r="AU288" a="1"/>
  <c r="AU288" s="1"/>
  <c r="AU280" a="1"/>
  <c r="AU280" s="1"/>
  <c r="AU278" a="1"/>
  <c r="AU278" s="1"/>
  <c r="AU271" a="1"/>
  <c r="AU271" s="1"/>
  <c r="AU269" a="1"/>
  <c r="AU269" s="1"/>
  <c r="AU265" a="1"/>
  <c r="AU265" s="1"/>
  <c r="AU157" a="1"/>
  <c r="AU157" s="1"/>
  <c r="AU125" a="1"/>
  <c r="AU125" s="1"/>
  <c r="AU119" a="1"/>
  <c r="AU119" s="1"/>
  <c r="AU117" a="1"/>
  <c r="AU117" s="1"/>
  <c r="AU113" a="1"/>
  <c r="AU113" s="1"/>
  <c r="AU110" a="1"/>
  <c r="AU110" s="1"/>
  <c r="AU105" a="1"/>
  <c r="AU105" s="1"/>
  <c r="AU78" a="1"/>
  <c r="AU78" s="1"/>
  <c r="AU76" a="1"/>
  <c r="AU76" s="1"/>
  <c r="AU66" a="1"/>
  <c r="AU66" s="1"/>
  <c r="AU64" a="1"/>
  <c r="AU64" s="1"/>
  <c r="AU61" a="1"/>
  <c r="AU61" s="1"/>
  <c r="AU55" a="1"/>
  <c r="AU55" s="1"/>
  <c r="AU53" a="1"/>
  <c r="AU53" s="1"/>
  <c r="AU50" a="1"/>
  <c r="AU50" s="1"/>
  <c r="AU48" a="1"/>
  <c r="AU48" s="1"/>
  <c r="AU44" a="1"/>
  <c r="AU44" s="1"/>
  <c r="AU42" a="1"/>
  <c r="AU42" s="1"/>
  <c r="AU40" a="1"/>
  <c r="AU40" s="1"/>
  <c r="AU38" a="1"/>
  <c r="AU38" s="1"/>
  <c r="AU34" a="1"/>
  <c r="AU34" s="1"/>
  <c r="AU29" a="1"/>
  <c r="AU29" s="1"/>
  <c r="AU25" a="1"/>
  <c r="AU25" s="1"/>
  <c r="AU22" a="1"/>
  <c r="AU22" s="1"/>
  <c r="AU380" a="1"/>
  <c r="AU380" s="1"/>
  <c r="AU375" a="1"/>
  <c r="AU375" s="1"/>
  <c r="AU373" a="1"/>
  <c r="AU373" s="1"/>
  <c r="AU366" a="1"/>
  <c r="AU366" s="1"/>
  <c r="AU358" a="1"/>
  <c r="AU358" s="1"/>
  <c r="AU350" a="1"/>
  <c r="AU350" s="1"/>
  <c r="AU338" a="1"/>
  <c r="AU338" s="1"/>
  <c r="AU331" a="1"/>
  <c r="AU331" s="1"/>
  <c r="AU327" a="1"/>
  <c r="AU327" s="1"/>
  <c r="AU51" a="1"/>
  <c r="AU51" s="1"/>
  <c r="AU37" a="1"/>
  <c r="AU37" s="1"/>
  <c r="AU33" a="1"/>
  <c r="AU33" s="1"/>
  <c r="AU28" a="1"/>
  <c r="AU28" s="1"/>
  <c r="AU23" a="1"/>
  <c r="AU23" s="1"/>
  <c r="AU19" a="1"/>
  <c r="AU19" s="1"/>
  <c r="AU312" a="1"/>
  <c r="AU312" s="1"/>
  <c r="AU305" a="1"/>
  <c r="AU305" s="1"/>
  <c r="AU296" a="1"/>
  <c r="AU296" s="1"/>
  <c r="AU285" a="1"/>
  <c r="AU285" s="1"/>
  <c r="AU283" a="1"/>
  <c r="AU283" s="1"/>
  <c r="AU268" a="1"/>
  <c r="AU268" s="1"/>
  <c r="AU155" a="1"/>
  <c r="AU155" s="1"/>
  <c r="AU153" a="1"/>
  <c r="AU153" s="1"/>
  <c r="AU151" a="1"/>
  <c r="AU151" s="1"/>
  <c r="AU141" a="1"/>
  <c r="AU141" s="1"/>
  <c r="AU138" a="1"/>
  <c r="AU138" s="1"/>
  <c r="AU123" a="1"/>
  <c r="AU123" s="1"/>
  <c r="AU114" a="1"/>
  <c r="AU114" s="1"/>
  <c r="AU107" a="1"/>
  <c r="AU107" s="1"/>
  <c r="AU103" a="1"/>
  <c r="AU103" s="1"/>
  <c r="AU100" a="1"/>
  <c r="AU100" s="1"/>
  <c r="AU98" a="1"/>
  <c r="AU98" s="1"/>
  <c r="AU68" a="1"/>
  <c r="AU68" s="1"/>
  <c r="AU59" a="1"/>
  <c r="AU59" s="1"/>
  <c r="AU56" a="1"/>
  <c r="AU56" s="1"/>
  <c r="AU14" a="1"/>
  <c r="AU14" s="1"/>
  <c r="AU392" a="1"/>
  <c r="AU392" s="1"/>
  <c r="AU390" a="1"/>
  <c r="AU390" s="1"/>
  <c r="AU384" a="1"/>
  <c r="AU384" s="1"/>
  <c r="AU345" a="1"/>
  <c r="AU345" s="1"/>
  <c r="AU339" a="1"/>
  <c r="AU339" s="1"/>
  <c r="AU334" a="1"/>
  <c r="AU334" s="1"/>
  <c r="AU332" a="1"/>
  <c r="AU332" s="1"/>
  <c r="AU325" a="1"/>
  <c r="AU325" s="1"/>
  <c r="AU313" a="1"/>
  <c r="AU313" s="1"/>
  <c r="AU276" a="1"/>
  <c r="AU276" s="1"/>
  <c r="AU272" a="1"/>
  <c r="AU272" s="1"/>
  <c r="AU262" a="1"/>
  <c r="AU262" s="1"/>
  <c r="AU260" a="1"/>
  <c r="AU260" s="1"/>
  <c r="AU258" a="1"/>
  <c r="AU258" s="1"/>
  <c r="AU256" a="1"/>
  <c r="AU256" s="1"/>
  <c r="AU254" a="1"/>
  <c r="AU254" s="1"/>
  <c r="AU252" a="1"/>
  <c r="AU252" s="1"/>
  <c r="AU250" a="1"/>
  <c r="AU250" s="1"/>
  <c r="AU248" a="1"/>
  <c r="AU248" s="1"/>
  <c r="AU246" a="1"/>
  <c r="AU246" s="1"/>
  <c r="AU244" a="1"/>
  <c r="AU244" s="1"/>
  <c r="AU242" a="1"/>
  <c r="AU242" s="1"/>
  <c r="AU240" a="1"/>
  <c r="AU240" s="1"/>
  <c r="AU238" a="1"/>
  <c r="AU238" s="1"/>
  <c r="AU236" a="1"/>
  <c r="AU236" s="1"/>
  <c r="AU234" a="1"/>
  <c r="AU234" s="1"/>
  <c r="AU229" a="1"/>
  <c r="AU229" s="1"/>
  <c r="AU226" a="1"/>
  <c r="AU226" s="1"/>
  <c r="AU224" a="1"/>
  <c r="AU224" s="1"/>
  <c r="AU222" a="1"/>
  <c r="AU222" s="1"/>
  <c r="AU220" a="1"/>
  <c r="AU220" s="1"/>
  <c r="AU218" a="1"/>
  <c r="AU218" s="1"/>
  <c r="AU216" a="1"/>
  <c r="AU216" s="1"/>
  <c r="AU214" a="1"/>
  <c r="AU214" s="1"/>
  <c r="AU212" a="1"/>
  <c r="AU212" s="1"/>
  <c r="AU210" a="1"/>
  <c r="AU210" s="1"/>
  <c r="AU206" a="1"/>
  <c r="AU206" s="1"/>
  <c r="AU204" a="1"/>
  <c r="AU204" s="1"/>
  <c r="AU202" a="1"/>
  <c r="AU202" s="1"/>
  <c r="AU200" a="1"/>
  <c r="AU200" s="1"/>
  <c r="AU198" a="1"/>
  <c r="AU198" s="1"/>
  <c r="AU196" a="1"/>
  <c r="AU196" s="1"/>
  <c r="AU194" a="1"/>
  <c r="AU194" s="1"/>
  <c r="AU192" a="1"/>
  <c r="AU192" s="1"/>
  <c r="AU190" a="1"/>
  <c r="AU190" s="1"/>
  <c r="AU188" a="1"/>
  <c r="AU188" s="1"/>
  <c r="AU181" a="1"/>
  <c r="AU181" s="1"/>
  <c r="AU179" a="1"/>
  <c r="AU179" s="1"/>
  <c r="AU177" a="1"/>
  <c r="AU177" s="1"/>
  <c r="AU175" a="1"/>
  <c r="AU175" s="1"/>
  <c r="AU173" a="1"/>
  <c r="AU173" s="1"/>
  <c r="AU171" a="1"/>
  <c r="AU171" s="1"/>
  <c r="AU169" a="1"/>
  <c r="AU169" s="1"/>
  <c r="AU167" a="1"/>
  <c r="AU167" s="1"/>
  <c r="AU165" a="1"/>
  <c r="AU165" s="1"/>
  <c r="AU163" a="1"/>
  <c r="AU163" s="1"/>
  <c r="AU161" a="1"/>
  <c r="AU161" s="1"/>
  <c r="AU150" a="1"/>
  <c r="AU150" s="1"/>
  <c r="AU148" a="1"/>
  <c r="AU148" s="1"/>
  <c r="AU145" a="1"/>
  <c r="AU145" s="1"/>
  <c r="AU135" a="1"/>
  <c r="AU135" s="1"/>
  <c r="AU133" a="1"/>
  <c r="AU133" s="1"/>
  <c r="AU131" a="1"/>
  <c r="AU131" s="1"/>
  <c r="AU129" a="1"/>
  <c r="AU129" s="1"/>
  <c r="AU111" a="1"/>
  <c r="AU111" s="1"/>
  <c r="AU95" a="1"/>
  <c r="AU95" s="1"/>
  <c r="AU93" a="1"/>
  <c r="AU93" s="1"/>
  <c r="AU90" a="1"/>
  <c r="AU90" s="1"/>
  <c r="AU88" a="1"/>
  <c r="AU88" s="1"/>
  <c r="AU86" a="1"/>
  <c r="AU86" s="1"/>
  <c r="AU81" a="1"/>
  <c r="AU81" s="1"/>
  <c r="AU79" a="1"/>
  <c r="AU79" s="1"/>
  <c r="AU47" a="1"/>
  <c r="AU47" s="1"/>
  <c r="AU16" a="1"/>
  <c r="AU16" s="1"/>
  <c r="AU11" a="1"/>
  <c r="AU11" s="1"/>
  <c r="AU9" a="1"/>
  <c r="AU9" s="1"/>
  <c r="AU7" a="1"/>
  <c r="AU7" s="1"/>
  <c r="AU5" a="1"/>
  <c r="AU5" s="1"/>
  <c r="AU3" a="1"/>
  <c r="AU3" s="1"/>
  <c r="FC117" a="1"/>
  <c r="FC117" s="1"/>
  <c r="FC66" a="1"/>
  <c r="FC66" s="1"/>
  <c r="FC53" a="1"/>
  <c r="FC53" s="1"/>
  <c r="FC42" a="1"/>
  <c r="FC42" s="1"/>
  <c r="FC29" a="1"/>
  <c r="FC29" s="1"/>
  <c r="FC375" a="1"/>
  <c r="FC375" s="1"/>
  <c r="FC350" a="1"/>
  <c r="FC350" s="1"/>
  <c r="FC51" a="1"/>
  <c r="FC51" s="1"/>
  <c r="FC23" a="1"/>
  <c r="FC23" s="1"/>
  <c r="FC296" a="1"/>
  <c r="FC296" s="1"/>
  <c r="FC155" a="1"/>
  <c r="FC155" s="1"/>
  <c r="FC151" a="1"/>
  <c r="FC151" s="1"/>
  <c r="FC114" a="1"/>
  <c r="FC114" s="1"/>
  <c r="FC98" a="1"/>
  <c r="FC98" s="1"/>
  <c r="FC14" a="1"/>
  <c r="FC14" s="1"/>
  <c r="FC345" a="1"/>
  <c r="FC345" s="1"/>
  <c r="FC325" a="1"/>
  <c r="FC325" s="1"/>
  <c r="FC262" a="1"/>
  <c r="FC262" s="1"/>
  <c r="FC254" a="1"/>
  <c r="FC254" s="1"/>
  <c r="FC246" a="1"/>
  <c r="FC246" s="1"/>
  <c r="FC238" a="1"/>
  <c r="FC238" s="1"/>
  <c r="FC226" a="1"/>
  <c r="FC226" s="1"/>
  <c r="FC218" a="1"/>
  <c r="FC218" s="1"/>
  <c r="FC210" a="1"/>
  <c r="FC210" s="1"/>
  <c r="FC204" a="1"/>
  <c r="FC204" s="1"/>
  <c r="FC196" a="1"/>
  <c r="FC196" s="1"/>
  <c r="FC188" a="1"/>
  <c r="FC188" s="1"/>
  <c r="FC175" a="1"/>
  <c r="FC175" s="1"/>
  <c r="O363" a="1"/>
  <c r="O363" s="1"/>
  <c r="O353" a="1"/>
  <c r="O353" s="1"/>
  <c r="O323" a="1"/>
  <c r="O323" s="1"/>
  <c r="O311" a="1"/>
  <c r="O311" s="1"/>
  <c r="O298" a="1"/>
  <c r="O298" s="1"/>
  <c r="O291" a="1"/>
  <c r="O291" s="1"/>
  <c r="O270" a="1"/>
  <c r="O270" s="1"/>
  <c r="O266" a="1"/>
  <c r="O266" s="1"/>
  <c r="O264" a="1"/>
  <c r="O264" s="1"/>
  <c r="O120" a="1"/>
  <c r="O120" s="1"/>
  <c r="O118" a="1"/>
  <c r="O118" s="1"/>
  <c r="O115" a="1"/>
  <c r="O115" s="1"/>
  <c r="O109" a="1"/>
  <c r="O109" s="1"/>
  <c r="O104" a="1"/>
  <c r="O104" s="1"/>
  <c r="O77" a="1"/>
  <c r="O77" s="1"/>
  <c r="O65" a="1"/>
  <c r="O65" s="1"/>
  <c r="O63" a="1"/>
  <c r="O63" s="1"/>
  <c r="O58" a="1"/>
  <c r="O58" s="1"/>
  <c r="O52" a="1"/>
  <c r="O52" s="1"/>
  <c r="O49" a="1"/>
  <c r="O49" s="1"/>
  <c r="O46" a="1"/>
  <c r="O46" s="1"/>
  <c r="O41" a="1"/>
  <c r="O41" s="1"/>
  <c r="O39" a="1"/>
  <c r="O39" s="1"/>
  <c r="O36" a="1"/>
  <c r="O36" s="1"/>
  <c r="O26" a="1"/>
  <c r="O26" s="1"/>
  <c r="O24" a="1"/>
  <c r="O24" s="1"/>
  <c r="O20" a="1"/>
  <c r="O20" s="1"/>
  <c r="O374" a="1"/>
  <c r="O374" s="1"/>
  <c r="O356" a="1"/>
  <c r="O356" s="1"/>
  <c r="O330" a="1"/>
  <c r="O330" s="1"/>
  <c r="O281" a="1"/>
  <c r="O281" s="1"/>
  <c r="O35" a="1"/>
  <c r="O35" s="1"/>
  <c r="O31" a="1"/>
  <c r="O31" s="1"/>
  <c r="O27" a="1"/>
  <c r="O27" s="1"/>
  <c r="O319" a="1"/>
  <c r="O319" s="1"/>
  <c r="O306" a="1"/>
  <c r="O306" s="1"/>
  <c r="O304" a="1"/>
  <c r="O304" s="1"/>
  <c r="O286" a="1"/>
  <c r="O286" s="1"/>
  <c r="O284" a="1"/>
  <c r="O284" s="1"/>
  <c r="O282" a="1"/>
  <c r="O282" s="1"/>
  <c r="O267" a="1"/>
  <c r="O267" s="1"/>
  <c r="O152" a="1"/>
  <c r="O152" s="1"/>
  <c r="O147" a="1"/>
  <c r="O147" s="1"/>
  <c r="O139" a="1"/>
  <c r="O139" s="1"/>
  <c r="O121" a="1"/>
  <c r="O121" s="1"/>
  <c r="O108" a="1"/>
  <c r="O108" s="1"/>
  <c r="O106" a="1"/>
  <c r="O106" s="1"/>
  <c r="O99" a="1"/>
  <c r="O99" s="1"/>
  <c r="O97" a="1"/>
  <c r="O97" s="1"/>
  <c r="O60" a="1"/>
  <c r="O60" s="1"/>
  <c r="O15" a="1"/>
  <c r="O15" s="1"/>
  <c r="O13" a="1"/>
  <c r="O13" s="1"/>
  <c r="O391" a="1"/>
  <c r="O391" s="1"/>
  <c r="O382" a="1"/>
  <c r="O382" s="1"/>
  <c r="O340" a="1"/>
  <c r="O340" s="1"/>
  <c r="O335" a="1"/>
  <c r="O335" s="1"/>
  <c r="O326" a="1"/>
  <c r="O326" s="1"/>
  <c r="O314" a="1"/>
  <c r="O314" s="1"/>
  <c r="O277" a="1"/>
  <c r="O277" s="1"/>
  <c r="O263" a="1"/>
  <c r="O263" s="1"/>
  <c r="O261" a="1"/>
  <c r="O261" s="1"/>
  <c r="O259" a="1"/>
  <c r="O259" s="1"/>
  <c r="O257" a="1"/>
  <c r="O257" s="1"/>
  <c r="O255" a="1"/>
  <c r="O255" s="1"/>
  <c r="O253" a="1"/>
  <c r="O253" s="1"/>
  <c r="O251" a="1"/>
  <c r="O251" s="1"/>
  <c r="O247" a="1"/>
  <c r="O247" s="1"/>
  <c r="O245" a="1"/>
  <c r="O245" s="1"/>
  <c r="O243" a="1"/>
  <c r="O243" s="1"/>
  <c r="O239" a="1"/>
  <c r="O239" s="1"/>
  <c r="O237" a="1"/>
  <c r="O237" s="1"/>
  <c r="O235" a="1"/>
  <c r="O235" s="1"/>
  <c r="O227" a="1"/>
  <c r="O227" s="1"/>
  <c r="O225" a="1"/>
  <c r="O225" s="1"/>
  <c r="O223" a="1"/>
  <c r="O223" s="1"/>
  <c r="O221" a="1"/>
  <c r="O221" s="1"/>
  <c r="O219" a="1"/>
  <c r="O219" s="1"/>
  <c r="O217" a="1"/>
  <c r="O217" s="1"/>
  <c r="O215" a="1"/>
  <c r="O215" s="1"/>
  <c r="O211" a="1"/>
  <c r="O211" s="1"/>
  <c r="O209" a="1"/>
  <c r="O209" s="1"/>
  <c r="O205" a="1"/>
  <c r="O205" s="1"/>
  <c r="O201" a="1"/>
  <c r="O201" s="1"/>
  <c r="O199" a="1"/>
  <c r="O199" s="1"/>
  <c r="O197" a="1"/>
  <c r="O197" s="1"/>
  <c r="O193" a="1"/>
  <c r="O193" s="1"/>
  <c r="O191" a="1"/>
  <c r="O191" s="1"/>
  <c r="O189" a="1"/>
  <c r="O189" s="1"/>
  <c r="O187" a="1"/>
  <c r="O187" s="1"/>
  <c r="O180" a="1"/>
  <c r="O180" s="1"/>
  <c r="O178" a="1"/>
  <c r="O178" s="1"/>
  <c r="O176" a="1"/>
  <c r="O176" s="1"/>
  <c r="O172" a="1"/>
  <c r="O172" s="1"/>
  <c r="O170" a="1"/>
  <c r="O170" s="1"/>
  <c r="O168" a="1"/>
  <c r="O168" s="1"/>
  <c r="O164" a="1"/>
  <c r="O164" s="1"/>
  <c r="O162" a="1"/>
  <c r="O162" s="1"/>
  <c r="O156" a="1"/>
  <c r="O156" s="1"/>
  <c r="O146" a="1"/>
  <c r="O146" s="1"/>
  <c r="O136" a="1"/>
  <c r="O136" s="1"/>
  <c r="O134" a="1"/>
  <c r="O134" s="1"/>
  <c r="O132" a="1"/>
  <c r="O132" s="1"/>
  <c r="O128" a="1"/>
  <c r="O128" s="1"/>
  <c r="O122" a="1"/>
  <c r="O122" s="1"/>
  <c r="O96" a="1"/>
  <c r="O96" s="1"/>
  <c r="O91" a="1"/>
  <c r="O91" s="1"/>
  <c r="O89" a="1"/>
  <c r="O89" s="1"/>
  <c r="O87" a="1"/>
  <c r="O87" s="1"/>
  <c r="O80" a="1"/>
  <c r="O80" s="1"/>
  <c r="O70" a="1"/>
  <c r="O70" s="1"/>
  <c r="O17" a="1"/>
  <c r="O17" s="1"/>
  <c r="O10" a="1"/>
  <c r="O10" s="1"/>
  <c r="O8" a="1"/>
  <c r="O8" s="1"/>
  <c r="O6" a="1"/>
  <c r="O6" s="1"/>
  <c r="O4" a="1"/>
  <c r="O4" s="1"/>
  <c r="O2" a="1"/>
  <c r="O2" s="1"/>
  <c r="FC57" a="1"/>
  <c r="FC57" s="1"/>
  <c r="FC394" a="1"/>
  <c r="FC394" s="1"/>
  <c r="FC371" a="1"/>
  <c r="FC371" s="1"/>
  <c r="FC365" a="1"/>
  <c r="FC365" s="1"/>
  <c r="FC343" a="1"/>
  <c r="FC343" s="1"/>
  <c r="FC307" a="1"/>
  <c r="FC307" s="1"/>
  <c r="FC291" a="1"/>
  <c r="FC291" s="1"/>
  <c r="FC287" a="1"/>
  <c r="FC287" s="1"/>
  <c r="FC266" a="1"/>
  <c r="FC266" s="1"/>
  <c r="FC126" a="1"/>
  <c r="FC126" s="1"/>
  <c r="FC112" a="1"/>
  <c r="FC112" s="1"/>
  <c r="FC67" a="1"/>
  <c r="FC67" s="1"/>
  <c r="FC63" a="1"/>
  <c r="FC63" s="1"/>
  <c r="FC49" a="1"/>
  <c r="FC49" s="1"/>
  <c r="FC43" a="1"/>
  <c r="FC43" s="1"/>
  <c r="FC36" a="1"/>
  <c r="FC36" s="1"/>
  <c r="FC30" a="1"/>
  <c r="FC30" s="1"/>
  <c r="FC24" a="1"/>
  <c r="FC24" s="1"/>
  <c r="FC376" a="1"/>
  <c r="FC376" s="1"/>
  <c r="FC359" a="1"/>
  <c r="FC359" s="1"/>
  <c r="FC356" a="1"/>
  <c r="FC356" s="1"/>
  <c r="FC337" a="1"/>
  <c r="FC337" s="1"/>
  <c r="FC35" a="1"/>
  <c r="FC35" s="1"/>
  <c r="FC31" a="1"/>
  <c r="FC31" s="1"/>
  <c r="FC27" a="1"/>
  <c r="FC27" s="1"/>
  <c r="FC319" a="1"/>
  <c r="FC319" s="1"/>
  <c r="FC284" a="1"/>
  <c r="FC284" s="1"/>
  <c r="FC282" a="1"/>
  <c r="FC282" s="1"/>
  <c r="FC267" a="1"/>
  <c r="FC267" s="1"/>
  <c r="FC152" a="1"/>
  <c r="FC152" s="1"/>
  <c r="FC121" a="1"/>
  <c r="FC121" s="1"/>
  <c r="FC108" a="1"/>
  <c r="FC108" s="1"/>
  <c r="FC99" a="1"/>
  <c r="FC99" s="1"/>
  <c r="FC60" a="1"/>
  <c r="FC60" s="1"/>
  <c r="FC13" a="1"/>
  <c r="FC13" s="1"/>
  <c r="FC391" a="1"/>
  <c r="FC391" s="1"/>
  <c r="FC382" a="1"/>
  <c r="FC382" s="1"/>
  <c r="FC326" a="1"/>
  <c r="FC326" s="1"/>
  <c r="FC314" a="1"/>
  <c r="FC314" s="1"/>
  <c r="FC277" a="1"/>
  <c r="FC277" s="1"/>
  <c r="FC263" a="1"/>
  <c r="FC263" s="1"/>
  <c r="FC255" a="1"/>
  <c r="FC255" s="1"/>
  <c r="FC253" a="1"/>
  <c r="FC253" s="1"/>
  <c r="FC251" a="1"/>
  <c r="FC251" s="1"/>
  <c r="FC247" a="1"/>
  <c r="FC247" s="1"/>
  <c r="FC239" a="1"/>
  <c r="FC239" s="1"/>
  <c r="FC237" a="1"/>
  <c r="FC237" s="1"/>
  <c r="FC232" a="1"/>
  <c r="FC232" s="1"/>
  <c r="FC227" a="1"/>
  <c r="FC227" s="1"/>
  <c r="FC221" a="1"/>
  <c r="FC221" s="1"/>
  <c r="FC219" a="1"/>
  <c r="FC219" s="1"/>
  <c r="FC215" a="1"/>
  <c r="FC215" s="1"/>
  <c r="FC213" a="1"/>
  <c r="FC213" s="1"/>
  <c r="FC211" a="1"/>
  <c r="FC211" s="1"/>
  <c r="FC205" a="1"/>
  <c r="FC205" s="1"/>
  <c r="FC201" a="1"/>
  <c r="FC201" s="1"/>
  <c r="FC199" a="1"/>
  <c r="FC199" s="1"/>
  <c r="FC197" a="1"/>
  <c r="FC197" s="1"/>
  <c r="FC195" a="1"/>
  <c r="FC195" s="1"/>
  <c r="FC193" a="1"/>
  <c r="FC193" s="1"/>
  <c r="FC191" a="1"/>
  <c r="FC191" s="1"/>
  <c r="FC189" a="1"/>
  <c r="FC189" s="1"/>
  <c r="FC180" a="1"/>
  <c r="FC180" s="1"/>
  <c r="FC174" a="1"/>
  <c r="FC174" s="1"/>
  <c r="FC172" a="1"/>
  <c r="FC172" s="1"/>
  <c r="O116" a="1"/>
  <c r="O116" s="1"/>
  <c r="O399" a="1"/>
  <c r="O399" s="1"/>
  <c r="O395" a="1"/>
  <c r="O395" s="1"/>
  <c r="O388" a="1"/>
  <c r="O388" s="1"/>
  <c r="O377" a="1"/>
  <c r="O377" s="1"/>
  <c r="O367" a="1"/>
  <c r="O367" s="1"/>
  <c r="O362" a="1"/>
  <c r="O362" s="1"/>
  <c r="O355" a="1"/>
  <c r="O355" s="1"/>
  <c r="O344" a="1"/>
  <c r="O344" s="1"/>
  <c r="O329" a="1"/>
  <c r="O329" s="1"/>
  <c r="O322" a="1"/>
  <c r="O322" s="1"/>
  <c r="O315" a="1"/>
  <c r="O315" s="1"/>
  <c r="O308" a="1"/>
  <c r="O308" s="1"/>
  <c r="O301" a="1"/>
  <c r="O301" s="1"/>
  <c r="O297" a="1"/>
  <c r="O297" s="1"/>
  <c r="O292" a="1"/>
  <c r="O292" s="1"/>
  <c r="O288" a="1"/>
  <c r="O288" s="1"/>
  <c r="O278" a="1"/>
  <c r="O278" s="1"/>
  <c r="O269" a="1"/>
  <c r="O269" s="1"/>
  <c r="O157" a="1"/>
  <c r="O157" s="1"/>
  <c r="O119" a="1"/>
  <c r="O119" s="1"/>
  <c r="O113" a="1"/>
  <c r="O113" s="1"/>
  <c r="O105" a="1"/>
  <c r="O105" s="1"/>
  <c r="O76" a="1"/>
  <c r="O76" s="1"/>
  <c r="O64" a="1"/>
  <c r="O64" s="1"/>
  <c r="O55" a="1"/>
  <c r="O55" s="1"/>
  <c r="O50" a="1"/>
  <c r="O50" s="1"/>
  <c r="O44" a="1"/>
  <c r="O44" s="1"/>
  <c r="O40" a="1"/>
  <c r="O40" s="1"/>
  <c r="O34" a="1"/>
  <c r="O34" s="1"/>
  <c r="O25" a="1"/>
  <c r="O25" s="1"/>
  <c r="O380" a="1"/>
  <c r="O380" s="1"/>
  <c r="O373" a="1"/>
  <c r="O373" s="1"/>
  <c r="O358" a="1"/>
  <c r="O358" s="1"/>
  <c r="O338" a="1"/>
  <c r="O338" s="1"/>
  <c r="O327" a="1"/>
  <c r="O327" s="1"/>
  <c r="O37" a="1"/>
  <c r="O37" s="1"/>
  <c r="O28" a="1"/>
  <c r="O28" s="1"/>
  <c r="O19" a="1"/>
  <c r="O19" s="1"/>
  <c r="O305" a="1"/>
  <c r="O305" s="1"/>
  <c r="O285" a="1"/>
  <c r="O285" s="1"/>
  <c r="O268" a="1"/>
  <c r="O268" s="1"/>
  <c r="O153" a="1"/>
  <c r="O153" s="1"/>
  <c r="O141" a="1"/>
  <c r="O141" s="1"/>
  <c r="O123" a="1"/>
  <c r="O123" s="1"/>
  <c r="O107" a="1"/>
  <c r="O107" s="1"/>
  <c r="O100" a="1"/>
  <c r="O100" s="1"/>
  <c r="O68" a="1"/>
  <c r="O68" s="1"/>
  <c r="O56" a="1"/>
  <c r="O56" s="1"/>
  <c r="O392" a="1"/>
  <c r="O392" s="1"/>
  <c r="O384" a="1"/>
  <c r="O384" s="1"/>
  <c r="O339" a="1"/>
  <c r="O339" s="1"/>
  <c r="O332" a="1"/>
  <c r="O332" s="1"/>
  <c r="O313" a="1"/>
  <c r="O313" s="1"/>
  <c r="O272" a="1"/>
  <c r="O272" s="1"/>
  <c r="O260" a="1"/>
  <c r="O260" s="1"/>
  <c r="O256" a="1"/>
  <c r="O256" s="1"/>
  <c r="O252" a="1"/>
  <c r="O252" s="1"/>
  <c r="O248" a="1"/>
  <c r="O248" s="1"/>
  <c r="O244" a="1"/>
  <c r="O244" s="1"/>
  <c r="O240" a="1"/>
  <c r="O240" s="1"/>
  <c r="O236" a="1"/>
  <c r="O236" s="1"/>
  <c r="O229" a="1"/>
  <c r="O229" s="1"/>
  <c r="O224" a="1"/>
  <c r="O224" s="1"/>
  <c r="O220" a="1"/>
  <c r="O220" s="1"/>
  <c r="O216" a="1"/>
  <c r="O216" s="1"/>
  <c r="O212" a="1"/>
  <c r="O212" s="1"/>
  <c r="O206" a="1"/>
  <c r="O206" s="1"/>
  <c r="O202" a="1"/>
  <c r="O202" s="1"/>
  <c r="O198" a="1"/>
  <c r="O198" s="1"/>
  <c r="O194" a="1"/>
  <c r="O194" s="1"/>
  <c r="O190" a="1"/>
  <c r="O190" s="1"/>
  <c r="O181" a="1"/>
  <c r="O181" s="1"/>
  <c r="O177" a="1"/>
  <c r="O177" s="1"/>
  <c r="O173" a="1"/>
  <c r="O173" s="1"/>
  <c r="O169" a="1"/>
  <c r="O169" s="1"/>
  <c r="O165" a="1"/>
  <c r="O165" s="1"/>
  <c r="O161" a="1"/>
  <c r="O161" s="1"/>
  <c r="O148" a="1"/>
  <c r="O148" s="1"/>
  <c r="O135" a="1"/>
  <c r="O135" s="1"/>
  <c r="O131" a="1"/>
  <c r="O131" s="1"/>
  <c r="O111" a="1"/>
  <c r="O111" s="1"/>
  <c r="O93" a="1"/>
  <c r="O93" s="1"/>
  <c r="O88" a="1"/>
  <c r="O88" s="1"/>
  <c r="O81" a="1"/>
  <c r="O81" s="1"/>
  <c r="O47" a="1"/>
  <c r="O47" s="1"/>
  <c r="O11" a="1"/>
  <c r="O11" s="1"/>
  <c r="O7" a="1"/>
  <c r="O7" s="1"/>
  <c r="O3" a="1"/>
  <c r="O3" s="1"/>
  <c r="FC116" a="1"/>
  <c r="FC116" s="1"/>
  <c r="FC399" a="1"/>
  <c r="FC399" s="1"/>
  <c r="FC395" a="1"/>
  <c r="FC395" s="1"/>
  <c r="FC388" a="1"/>
  <c r="FC388" s="1"/>
  <c r="FC377" a="1"/>
  <c r="FC377" s="1"/>
  <c r="FC367" a="1"/>
  <c r="FC367" s="1"/>
  <c r="FC362" a="1"/>
  <c r="FC362" s="1"/>
  <c r="FC355" a="1"/>
  <c r="FC355" s="1"/>
  <c r="FC344" a="1"/>
  <c r="FC344" s="1"/>
  <c r="FC329" a="1"/>
  <c r="FC329" s="1"/>
  <c r="FC322" a="1"/>
  <c r="FC322" s="1"/>
  <c r="FC315" a="1"/>
  <c r="FC315" s="1"/>
  <c r="FC308" a="1"/>
  <c r="FC308" s="1"/>
  <c r="FC301" a="1"/>
  <c r="FC301" s="1"/>
  <c r="FC297" a="1"/>
  <c r="FC297" s="1"/>
  <c r="FC292" a="1"/>
  <c r="FC292" s="1"/>
  <c r="FC288" a="1"/>
  <c r="FC288" s="1"/>
  <c r="FC278" a="1"/>
  <c r="FC278" s="1"/>
  <c r="FC269" a="1"/>
  <c r="FC269" s="1"/>
  <c r="FC157" a="1"/>
  <c r="FC157" s="1"/>
  <c r="FC119" a="1"/>
  <c r="FC119" s="1"/>
  <c r="FC113" a="1"/>
  <c r="FC113" s="1"/>
  <c r="FC105" a="1"/>
  <c r="FC105" s="1"/>
  <c r="FC76" a="1"/>
  <c r="FC76" s="1"/>
  <c r="FC64" a="1"/>
  <c r="FC64" s="1"/>
  <c r="FC55" a="1"/>
  <c r="FC55" s="1"/>
  <c r="FC50" a="1"/>
  <c r="FC50" s="1"/>
  <c r="FC44" a="1"/>
  <c r="FC44" s="1"/>
  <c r="FC40" a="1"/>
  <c r="FC40" s="1"/>
  <c r="FC34" a="1"/>
  <c r="FC34" s="1"/>
  <c r="FC25" a="1"/>
  <c r="FC25" s="1"/>
  <c r="FC380" a="1"/>
  <c r="FC380" s="1"/>
  <c r="FC373" a="1"/>
  <c r="FC373" s="1"/>
  <c r="FC358" a="1"/>
  <c r="FC358" s="1"/>
  <c r="FC338" a="1"/>
  <c r="FC338" s="1"/>
  <c r="FC327" a="1"/>
  <c r="FC327" s="1"/>
  <c r="FC37" a="1"/>
  <c r="FC37" s="1"/>
  <c r="FC28" a="1"/>
  <c r="FC28" s="1"/>
  <c r="FC19" a="1"/>
  <c r="FC19" s="1"/>
  <c r="FC305" a="1"/>
  <c r="FC305" s="1"/>
  <c r="FC285" a="1"/>
  <c r="FC285" s="1"/>
  <c r="FC268" a="1"/>
  <c r="FC268" s="1"/>
  <c r="FC153" a="1"/>
  <c r="FC153" s="1"/>
  <c r="FC141" a="1"/>
  <c r="FC141" s="1"/>
  <c r="FC123" a="1"/>
  <c r="FC123" s="1"/>
  <c r="FC107" a="1"/>
  <c r="FC107" s="1"/>
  <c r="FC100" a="1"/>
  <c r="FC100" s="1"/>
  <c r="FC68" a="1"/>
  <c r="FC68" s="1"/>
  <c r="FC56" a="1"/>
  <c r="FC56" s="1"/>
  <c r="FC392" a="1"/>
  <c r="FC392" s="1"/>
  <c r="FC384" a="1"/>
  <c r="FC384" s="1"/>
  <c r="FC339" a="1"/>
  <c r="FC339" s="1"/>
  <c r="FC332" a="1"/>
  <c r="FC332" s="1"/>
  <c r="FC313" a="1"/>
  <c r="FC313" s="1"/>
  <c r="FC272" a="1"/>
  <c r="FC272" s="1"/>
  <c r="FC260" a="1"/>
  <c r="FC260" s="1"/>
  <c r="FC256" a="1"/>
  <c r="FC256" s="1"/>
  <c r="FC252" a="1"/>
  <c r="FC252" s="1"/>
  <c r="FC248" a="1"/>
  <c r="FC248" s="1"/>
  <c r="FC244" a="1"/>
  <c r="FC244" s="1"/>
  <c r="FC240" a="1"/>
  <c r="FC240" s="1"/>
  <c r="FC236" a="1"/>
  <c r="FC236" s="1"/>
  <c r="FC229" a="1"/>
  <c r="FC229" s="1"/>
  <c r="FC224" a="1"/>
  <c r="FC224" s="1"/>
  <c r="FC220" a="1"/>
  <c r="FC220" s="1"/>
  <c r="FC216" a="1"/>
  <c r="FC216" s="1"/>
  <c r="FC212" a="1"/>
  <c r="FC212" s="1"/>
  <c r="FC206" a="1"/>
  <c r="FC206" s="1"/>
  <c r="AX337"/>
  <c r="AX281"/>
  <c r="AX35"/>
  <c r="AX27"/>
  <c r="AX319"/>
  <c r="AX304"/>
  <c r="AX284"/>
  <c r="AX267"/>
  <c r="AX152"/>
  <c r="AX139"/>
  <c r="AX121"/>
  <c r="AX106"/>
  <c r="AX99"/>
  <c r="AX60"/>
  <c r="AX15"/>
  <c r="AX391"/>
  <c r="AX382"/>
  <c r="AX335"/>
  <c r="AX326"/>
  <c r="AX277"/>
  <c r="AX263"/>
  <c r="AX259"/>
  <c r="AX255"/>
  <c r="AX251"/>
  <c r="AX247"/>
  <c r="AX243"/>
  <c r="AX239"/>
  <c r="AX235"/>
  <c r="AX227"/>
  <c r="AX223"/>
  <c r="AX219"/>
  <c r="AX215"/>
  <c r="AX211"/>
  <c r="AX205"/>
  <c r="AX201"/>
  <c r="AX197"/>
  <c r="AX193"/>
  <c r="AX189"/>
  <c r="AX180"/>
  <c r="AX176"/>
  <c r="AX172"/>
  <c r="AX168"/>
  <c r="R85"/>
  <c r="R62"/>
  <c r="R397"/>
  <c r="R393"/>
  <c r="R379"/>
  <c r="R370"/>
  <c r="R364"/>
  <c r="R360"/>
  <c r="R348"/>
  <c r="R342"/>
  <c r="R324"/>
  <c r="R317"/>
  <c r="R310"/>
  <c r="R303"/>
  <c r="R299"/>
  <c r="R294"/>
  <c r="R290"/>
  <c r="R280"/>
  <c r="R271"/>
  <c r="R265"/>
  <c r="R125"/>
  <c r="R117"/>
  <c r="R110"/>
  <c r="R78"/>
  <c r="R66"/>
  <c r="R61"/>
  <c r="R53"/>
  <c r="R48"/>
  <c r="R42"/>
  <c r="R38"/>
  <c r="R29"/>
  <c r="R22"/>
  <c r="R375"/>
  <c r="R366"/>
  <c r="R350"/>
  <c r="R331"/>
  <c r="R51"/>
  <c r="R33"/>
  <c r="R23"/>
  <c r="R312"/>
  <c r="R296"/>
  <c r="R283"/>
  <c r="R155"/>
  <c r="R151"/>
  <c r="R138"/>
  <c r="R114"/>
  <c r="R103"/>
  <c r="R98"/>
  <c r="R59"/>
  <c r="R14"/>
  <c r="R390"/>
  <c r="R345"/>
  <c r="R334"/>
  <c r="R325"/>
  <c r="R276"/>
  <c r="R262"/>
  <c r="R258"/>
  <c r="R254"/>
  <c r="R250"/>
  <c r="R246"/>
  <c r="R242"/>
  <c r="R238"/>
  <c r="R234"/>
  <c r="R226"/>
  <c r="R222"/>
  <c r="R218"/>
  <c r="R214"/>
  <c r="R210"/>
  <c r="R204"/>
  <c r="R200"/>
  <c r="R196"/>
  <c r="R192"/>
  <c r="R188"/>
  <c r="R179"/>
  <c r="R175"/>
  <c r="R171"/>
  <c r="R167"/>
  <c r="R163"/>
  <c r="R150"/>
  <c r="R145"/>
  <c r="R133"/>
  <c r="R129"/>
  <c r="R95"/>
  <c r="R90"/>
  <c r="R86"/>
  <c r="R79"/>
  <c r="R16"/>
  <c r="R9"/>
  <c r="R5"/>
  <c r="R57"/>
  <c r="R398"/>
  <c r="R394"/>
  <c r="R381"/>
  <c r="R371"/>
  <c r="R365"/>
  <c r="R361"/>
  <c r="R353"/>
  <c r="R343"/>
  <c r="R328"/>
  <c r="R321"/>
  <c r="R311"/>
  <c r="R307"/>
  <c r="R300"/>
  <c r="R295"/>
  <c r="R291"/>
  <c r="R287"/>
  <c r="R275"/>
  <c r="R266"/>
  <c r="R126"/>
  <c r="R118"/>
  <c r="R112"/>
  <c r="R104"/>
  <c r="R67"/>
  <c r="R63"/>
  <c r="R54"/>
  <c r="R49"/>
  <c r="R43"/>
  <c r="R39"/>
  <c r="R30"/>
  <c r="R24"/>
  <c r="R376"/>
  <c r="R368"/>
  <c r="R356"/>
  <c r="R337"/>
  <c r="R281"/>
  <c r="R35"/>
  <c r="R27"/>
  <c r="R319"/>
  <c r="R304"/>
  <c r="R284"/>
  <c r="R267"/>
  <c r="R152"/>
  <c r="R139"/>
  <c r="R121"/>
  <c r="R106"/>
  <c r="R99"/>
  <c r="R60"/>
  <c r="R2"/>
  <c r="AX57"/>
  <c r="AX398"/>
  <c r="AX394"/>
  <c r="AX381"/>
  <c r="AX371"/>
  <c r="AX365"/>
  <c r="AX361"/>
  <c r="AX353"/>
  <c r="AX343"/>
  <c r="AX328"/>
  <c r="AX321"/>
  <c r="AX311"/>
  <c r="AX307"/>
  <c r="AX300"/>
  <c r="AX295"/>
  <c r="AX291"/>
  <c r="AX287"/>
  <c r="AX275"/>
  <c r="AX266"/>
  <c r="AX126"/>
  <c r="AX118"/>
  <c r="AX112"/>
  <c r="AX104"/>
  <c r="AX67"/>
  <c r="AX63"/>
  <c r="AX54"/>
  <c r="AX49"/>
  <c r="AX43"/>
  <c r="AX39"/>
  <c r="AX30"/>
  <c r="AX24"/>
  <c r="AX376"/>
  <c r="AX368"/>
  <c r="AX356"/>
  <c r="R3"/>
  <c r="R92"/>
  <c r="R400"/>
  <c r="R396"/>
  <c r="R389"/>
  <c r="R378"/>
  <c r="R369"/>
  <c r="R363"/>
  <c r="R357"/>
  <c r="R346"/>
  <c r="R341"/>
  <c r="R323"/>
  <c r="R316"/>
  <c r="R309"/>
  <c r="R302"/>
  <c r="R298"/>
  <c r="R293"/>
  <c r="R289"/>
  <c r="R279"/>
  <c r="R270"/>
  <c r="R264"/>
  <c r="R120"/>
  <c r="R115"/>
  <c r="R109"/>
  <c r="R77"/>
  <c r="R65"/>
  <c r="R58"/>
  <c r="R52"/>
  <c r="R46"/>
  <c r="R41"/>
  <c r="R36"/>
  <c r="R26"/>
  <c r="R20"/>
  <c r="R374"/>
  <c r="R359"/>
  <c r="R349"/>
  <c r="R330"/>
  <c r="R45"/>
  <c r="R31"/>
  <c r="R21"/>
  <c r="R306"/>
  <c r="R286"/>
  <c r="R282"/>
  <c r="R154"/>
  <c r="R147"/>
  <c r="R137"/>
  <c r="R108"/>
  <c r="R102"/>
  <c r="R97"/>
  <c r="R13"/>
  <c r="R385"/>
  <c r="R340"/>
  <c r="R333"/>
  <c r="R314"/>
  <c r="R274"/>
  <c r="R261"/>
  <c r="R257"/>
  <c r="R253"/>
  <c r="R249"/>
  <c r="R245"/>
  <c r="R241"/>
  <c r="R237"/>
  <c r="R232"/>
  <c r="R225"/>
  <c r="R221"/>
  <c r="R217"/>
  <c r="R213"/>
  <c r="R209"/>
  <c r="R203"/>
  <c r="R199"/>
  <c r="R195"/>
  <c r="R191"/>
  <c r="R187"/>
  <c r="R178"/>
  <c r="R174"/>
  <c r="R170"/>
  <c r="R166"/>
  <c r="R162"/>
  <c r="R149"/>
  <c r="R136"/>
  <c r="R132"/>
  <c r="R122"/>
  <c r="R94"/>
  <c r="R89"/>
  <c r="R84"/>
  <c r="R70"/>
  <c r="R12"/>
  <c r="R8"/>
  <c r="R4"/>
  <c r="AX85"/>
  <c r="AX62"/>
  <c r="AX397"/>
  <c r="AX393"/>
  <c r="AX379"/>
  <c r="AX370"/>
  <c r="AX364"/>
  <c r="AX360"/>
  <c r="AX348"/>
  <c r="AX342"/>
  <c r="AX324"/>
  <c r="AX317"/>
  <c r="AX310"/>
  <c r="AX303"/>
  <c r="AX299"/>
  <c r="AX294"/>
  <c r="AX290"/>
  <c r="AX280"/>
  <c r="AX271"/>
  <c r="AX265"/>
  <c r="AX125"/>
  <c r="AX117"/>
  <c r="AX110"/>
  <c r="AX78"/>
  <c r="AX66"/>
  <c r="AX61"/>
  <c r="AX53"/>
  <c r="AX48"/>
  <c r="AX42"/>
  <c r="AX38"/>
  <c r="AX29"/>
  <c r="AX22"/>
  <c r="AX375"/>
  <c r="AX366"/>
  <c r="AX350"/>
  <c r="AX331"/>
  <c r="AX51"/>
  <c r="AX33"/>
  <c r="AX23"/>
  <c r="AX312"/>
  <c r="AX296"/>
  <c r="AX283"/>
  <c r="AX155"/>
  <c r="AX151"/>
  <c r="AX138"/>
  <c r="AX114"/>
  <c r="AX103"/>
  <c r="AX98"/>
  <c r="AX59"/>
  <c r="AX14"/>
  <c r="AX390"/>
  <c r="AX345"/>
  <c r="AX334"/>
  <c r="AX325"/>
  <c r="AX276"/>
  <c r="AX262"/>
  <c r="AX258"/>
  <c r="AX254"/>
  <c r="AX250"/>
  <c r="AX246"/>
  <c r="AX242"/>
  <c r="AX238"/>
  <c r="AX234"/>
  <c r="AX226"/>
  <c r="AX222"/>
  <c r="AX218"/>
  <c r="AX214"/>
  <c r="AX210"/>
  <c r="AX204"/>
  <c r="AX200"/>
  <c r="AX196"/>
  <c r="AX192"/>
  <c r="AX188"/>
  <c r="AX179"/>
  <c r="AX175"/>
  <c r="AX171"/>
  <c r="AX167"/>
  <c r="AX163"/>
  <c r="AX150"/>
  <c r="AX145"/>
  <c r="AX133"/>
  <c r="AX129"/>
  <c r="AX95"/>
  <c r="AX90"/>
  <c r="AX86"/>
  <c r="AX79"/>
  <c r="AX16"/>
  <c r="AX9"/>
  <c r="AX5"/>
  <c r="FF85"/>
  <c r="FF62"/>
  <c r="FF397"/>
  <c r="FF393"/>
  <c r="FF379"/>
  <c r="FF370"/>
  <c r="FF364"/>
  <c r="FF360"/>
  <c r="FF348"/>
  <c r="FF342"/>
  <c r="FF324"/>
  <c r="FF317"/>
  <c r="FF310"/>
  <c r="FF303"/>
  <c r="FF299"/>
  <c r="FF294"/>
  <c r="FF290"/>
  <c r="FF280"/>
  <c r="FF271"/>
  <c r="FF265"/>
  <c r="FF125"/>
  <c r="FF117"/>
  <c r="FF110"/>
  <c r="FF78"/>
  <c r="FF66"/>
  <c r="FF61"/>
  <c r="FF53"/>
  <c r="FF48"/>
  <c r="FF42"/>
  <c r="FF38"/>
  <c r="FF29"/>
  <c r="FF22"/>
  <c r="FF375"/>
  <c r="FF366"/>
  <c r="FF350"/>
  <c r="FF331"/>
  <c r="FF51"/>
  <c r="FF33"/>
  <c r="FF23"/>
  <c r="FF312"/>
  <c r="FF296"/>
  <c r="FF283"/>
  <c r="FF155"/>
  <c r="FF151"/>
  <c r="FF138"/>
  <c r="FF114"/>
  <c r="FF103"/>
  <c r="FF98"/>
  <c r="FF59"/>
  <c r="FF14"/>
  <c r="FF390"/>
  <c r="FF345"/>
  <c r="FF334"/>
  <c r="FF325"/>
  <c r="FF276"/>
  <c r="FF262"/>
  <c r="FF258"/>
  <c r="FF254"/>
  <c r="FF250"/>
  <c r="FF246"/>
  <c r="FF242"/>
  <c r="FF238"/>
  <c r="FF234"/>
  <c r="FF226"/>
  <c r="FF222"/>
  <c r="FF218"/>
  <c r="FF214"/>
  <c r="FF210"/>
  <c r="FF204"/>
  <c r="FF200"/>
  <c r="FF196"/>
  <c r="FF192"/>
  <c r="FF188"/>
  <c r="FF179"/>
  <c r="FF175"/>
  <c r="FF171"/>
  <c r="FF167"/>
  <c r="FF163"/>
  <c r="FF150"/>
  <c r="FF145"/>
  <c r="FF133"/>
  <c r="FF129"/>
  <c r="FF95"/>
  <c r="FF90"/>
  <c r="FF86"/>
  <c r="FF79"/>
  <c r="FF16"/>
  <c r="FF9"/>
  <c r="FF5"/>
  <c r="S57"/>
  <c r="S398"/>
  <c r="S394"/>
  <c r="S381"/>
  <c r="S371"/>
  <c r="S365"/>
  <c r="S361"/>
  <c r="S343"/>
  <c r="S328"/>
  <c r="S321"/>
  <c r="S307"/>
  <c r="S300"/>
  <c r="S295"/>
  <c r="S287"/>
  <c r="S275"/>
  <c r="S126"/>
  <c r="S112"/>
  <c r="S67"/>
  <c r="S54"/>
  <c r="S43"/>
  <c r="S30"/>
  <c r="AX164"/>
  <c r="AX156"/>
  <c r="AX146"/>
  <c r="AX134"/>
  <c r="AX128"/>
  <c r="AX96"/>
  <c r="AX91"/>
  <c r="AX87"/>
  <c r="AX80"/>
  <c r="AX17"/>
  <c r="AX10"/>
  <c r="AX6"/>
  <c r="AX2"/>
  <c r="FF57"/>
  <c r="FF398"/>
  <c r="FF394"/>
  <c r="FF381"/>
  <c r="FF371"/>
  <c r="FF365"/>
  <c r="FF361"/>
  <c r="FF353"/>
  <c r="FF343"/>
  <c r="FF328"/>
  <c r="FF321"/>
  <c r="FF311"/>
  <c r="FF307"/>
  <c r="FF300"/>
  <c r="FF295"/>
  <c r="FF291"/>
  <c r="FF287"/>
  <c r="FF275"/>
  <c r="FF266"/>
  <c r="FF126"/>
  <c r="FF118"/>
  <c r="FF112"/>
  <c r="FF104"/>
  <c r="FF67"/>
  <c r="FF63"/>
  <c r="FF54"/>
  <c r="FF49"/>
  <c r="FF43"/>
  <c r="FF39"/>
  <c r="FF30"/>
  <c r="FF24"/>
  <c r="FF376"/>
  <c r="FF368"/>
  <c r="FF356"/>
  <c r="FF337"/>
  <c r="FF281"/>
  <c r="FF35"/>
  <c r="FF27"/>
  <c r="FF319"/>
  <c r="FF304"/>
  <c r="FF284"/>
  <c r="FF267"/>
  <c r="FF152"/>
  <c r="FF139"/>
  <c r="FF121"/>
  <c r="FF106"/>
  <c r="FF99"/>
  <c r="FF60"/>
  <c r="FF15"/>
  <c r="FF391"/>
  <c r="FF382"/>
  <c r="FF335"/>
  <c r="FF326"/>
  <c r="FF277"/>
  <c r="FF263"/>
  <c r="FF259"/>
  <c r="FF255"/>
  <c r="FF251"/>
  <c r="FF247"/>
  <c r="FF243"/>
  <c r="FF239"/>
  <c r="FF235"/>
  <c r="FF227"/>
  <c r="FF223"/>
  <c r="FF219"/>
  <c r="FF215"/>
  <c r="FF211"/>
  <c r="FF205"/>
  <c r="FF201"/>
  <c r="FF197"/>
  <c r="FF193"/>
  <c r="FF189"/>
  <c r="FF180"/>
  <c r="FF176"/>
  <c r="FF172"/>
  <c r="FF168"/>
  <c r="FF164"/>
  <c r="FF156"/>
  <c r="FF146"/>
  <c r="FF134"/>
  <c r="FF128"/>
  <c r="FF96"/>
  <c r="FF91"/>
  <c r="FF87"/>
  <c r="FF80"/>
  <c r="FF17"/>
  <c r="FF10"/>
  <c r="FF6"/>
  <c r="FF2"/>
  <c r="R15"/>
  <c r="R391"/>
  <c r="R382"/>
  <c r="R335"/>
  <c r="R326"/>
  <c r="R277"/>
  <c r="R263"/>
  <c r="R259"/>
  <c r="R255"/>
  <c r="R251"/>
  <c r="R247"/>
  <c r="R243"/>
  <c r="R239"/>
  <c r="R235"/>
  <c r="R227"/>
  <c r="R223"/>
  <c r="R219"/>
  <c r="R215"/>
  <c r="R211"/>
  <c r="R205"/>
  <c r="R201"/>
  <c r="R197"/>
  <c r="R193"/>
  <c r="R189"/>
  <c r="R180"/>
  <c r="R176"/>
  <c r="R172"/>
  <c r="R168"/>
  <c r="R164"/>
  <c r="R156"/>
  <c r="R146"/>
  <c r="R134"/>
  <c r="R128"/>
  <c r="R96"/>
  <c r="R91"/>
  <c r="R87"/>
  <c r="R80"/>
  <c r="R17"/>
  <c r="R10"/>
  <c r="R6"/>
  <c r="AX116"/>
  <c r="AX399"/>
  <c r="AX395"/>
  <c r="AX388"/>
  <c r="AX377"/>
  <c r="AX367"/>
  <c r="AX362"/>
  <c r="AX355"/>
  <c r="AX344"/>
  <c r="AX329"/>
  <c r="AX322"/>
  <c r="AX315"/>
  <c r="AX308"/>
  <c r="AX301"/>
  <c r="AX297"/>
  <c r="AX292"/>
  <c r="AX288"/>
  <c r="AX278"/>
  <c r="AX269"/>
  <c r="AX157"/>
  <c r="AX119"/>
  <c r="AX113"/>
  <c r="AX105"/>
  <c r="AX76"/>
  <c r="AX64"/>
  <c r="AX55"/>
  <c r="AX50"/>
  <c r="AX44"/>
  <c r="AX40"/>
  <c r="AX34"/>
  <c r="AX25"/>
  <c r="AX380"/>
  <c r="AX373"/>
  <c r="AX358"/>
  <c r="AX338"/>
  <c r="AX327"/>
  <c r="AX37"/>
  <c r="AX28"/>
  <c r="AX19"/>
  <c r="AX305"/>
  <c r="AX285"/>
  <c r="AX268"/>
  <c r="AX153"/>
  <c r="AX141"/>
  <c r="AX123"/>
  <c r="AX107"/>
  <c r="AX100"/>
  <c r="AX68"/>
  <c r="AX56"/>
  <c r="AX392"/>
  <c r="AX384"/>
  <c r="AX339"/>
  <c r="AX332"/>
  <c r="AX313"/>
  <c r="AX272"/>
  <c r="AX260"/>
  <c r="AX256"/>
  <c r="AX252"/>
  <c r="AX248"/>
  <c r="AX244"/>
  <c r="AX240"/>
  <c r="AX236"/>
  <c r="AX229"/>
  <c r="AX224"/>
  <c r="AX220"/>
  <c r="AX216"/>
  <c r="AX212"/>
  <c r="AX206"/>
  <c r="AX202"/>
  <c r="AX198"/>
  <c r="AX194"/>
  <c r="AX190"/>
  <c r="AX181"/>
  <c r="AX177"/>
  <c r="AX173"/>
  <c r="AX169"/>
  <c r="AX165"/>
  <c r="AX161"/>
  <c r="AX148"/>
  <c r="AX135"/>
  <c r="AX131"/>
  <c r="AX111"/>
  <c r="AX93"/>
  <c r="AX88"/>
  <c r="AX81"/>
  <c r="AX47"/>
  <c r="AX11"/>
  <c r="AX7"/>
  <c r="AX3"/>
  <c r="FF116"/>
  <c r="FF399"/>
  <c r="FF395"/>
  <c r="FF388"/>
  <c r="FF377"/>
  <c r="FF367"/>
  <c r="FF362"/>
  <c r="FF355"/>
  <c r="FF344"/>
  <c r="FF329"/>
  <c r="FF322"/>
  <c r="FF315"/>
  <c r="FF308"/>
  <c r="FF301"/>
  <c r="FF297"/>
  <c r="FF292"/>
  <c r="FF288"/>
  <c r="FF278"/>
  <c r="FF269"/>
  <c r="FF157"/>
  <c r="FF119"/>
  <c r="FF113"/>
  <c r="FF105"/>
  <c r="FF76"/>
  <c r="FF64"/>
  <c r="FF55"/>
  <c r="FF50"/>
  <c r="FF44"/>
  <c r="FF40"/>
  <c r="FF34"/>
  <c r="FF25"/>
  <c r="FF380"/>
  <c r="FF373"/>
  <c r="FF358"/>
  <c r="FF338"/>
  <c r="FF327"/>
  <c r="FF37"/>
  <c r="FF28"/>
  <c r="FF19"/>
  <c r="FF305"/>
  <c r="FF285"/>
  <c r="FF268"/>
  <c r="FF153"/>
  <c r="FF141"/>
  <c r="FF123"/>
  <c r="FF107"/>
  <c r="FF100"/>
  <c r="FF68"/>
  <c r="FF56"/>
  <c r="FF392"/>
  <c r="FF384"/>
  <c r="FF339"/>
  <c r="FF332"/>
  <c r="FF313"/>
  <c r="FF272"/>
  <c r="FF260"/>
  <c r="FF256"/>
  <c r="FF252"/>
  <c r="FF248"/>
  <c r="FF244"/>
  <c r="FF240"/>
  <c r="FF236"/>
  <c r="FF229"/>
  <c r="FF224"/>
  <c r="FF220"/>
  <c r="FF216"/>
  <c r="FF212"/>
  <c r="FF206"/>
  <c r="FF202"/>
  <c r="FF198"/>
  <c r="FF194"/>
  <c r="FF190"/>
  <c r="FF181"/>
  <c r="FF177"/>
  <c r="FF173"/>
  <c r="FF169"/>
  <c r="FF165"/>
  <c r="FF161"/>
  <c r="FF148"/>
  <c r="FF135"/>
  <c r="FF131"/>
  <c r="FF111"/>
  <c r="FF93"/>
  <c r="FF88"/>
  <c r="FF81"/>
  <c r="FF47"/>
  <c r="FF11"/>
  <c r="FF7"/>
  <c r="FF3"/>
  <c r="S92"/>
  <c r="S400"/>
  <c r="S396"/>
  <c r="S389"/>
  <c r="S378"/>
  <c r="S369"/>
  <c r="S357"/>
  <c r="S346"/>
  <c r="S341"/>
  <c r="S316"/>
  <c r="S309"/>
  <c r="S302"/>
  <c r="S293"/>
  <c r="S289"/>
  <c r="S279"/>
  <c r="S359"/>
  <c r="S349"/>
  <c r="S45"/>
  <c r="S21"/>
  <c r="S154"/>
  <c r="S137"/>
  <c r="S102"/>
  <c r="S385"/>
  <c r="S333"/>
  <c r="S274"/>
  <c r="S249"/>
  <c r="S241"/>
  <c r="S232"/>
  <c r="S213"/>
  <c r="S203"/>
  <c r="S195"/>
  <c r="S174"/>
  <c r="S166"/>
  <c r="S149"/>
  <c r="S94"/>
  <c r="S84"/>
  <c r="S12"/>
  <c r="AY396"/>
  <c r="R116"/>
  <c r="R399"/>
  <c r="R395"/>
  <c r="R388"/>
  <c r="R377"/>
  <c r="R367"/>
  <c r="R362"/>
  <c r="R355"/>
  <c r="R344"/>
  <c r="R329"/>
  <c r="R322"/>
  <c r="R315"/>
  <c r="R308"/>
  <c r="R301"/>
  <c r="R297"/>
  <c r="R292"/>
  <c r="R288"/>
  <c r="R278"/>
  <c r="R269"/>
  <c r="R157"/>
  <c r="R119"/>
  <c r="R113"/>
  <c r="R105"/>
  <c r="R76"/>
  <c r="R64"/>
  <c r="R55"/>
  <c r="R50"/>
  <c r="R44"/>
  <c r="R40"/>
  <c r="R34"/>
  <c r="R25"/>
  <c r="R380"/>
  <c r="R373"/>
  <c r="R358"/>
  <c r="R338"/>
  <c r="R327"/>
  <c r="R37"/>
  <c r="R28"/>
  <c r="R19"/>
  <c r="R305"/>
  <c r="R285"/>
  <c r="R268"/>
  <c r="R153"/>
  <c r="R141"/>
  <c r="R123"/>
  <c r="R107"/>
  <c r="R100"/>
  <c r="R68"/>
  <c r="R56"/>
  <c r="R392"/>
  <c r="R384"/>
  <c r="R339"/>
  <c r="R332"/>
  <c r="R313"/>
  <c r="R272"/>
  <c r="R260"/>
  <c r="R256"/>
  <c r="R252"/>
  <c r="R248"/>
  <c r="R244"/>
  <c r="R240"/>
  <c r="R236"/>
  <c r="R229"/>
  <c r="R224"/>
  <c r="R220"/>
  <c r="R216"/>
  <c r="R212"/>
  <c r="R206"/>
  <c r="R202"/>
  <c r="R198"/>
  <c r="R194"/>
  <c r="R190"/>
  <c r="R181"/>
  <c r="R177"/>
  <c r="R173"/>
  <c r="R169"/>
  <c r="R165"/>
  <c r="R161"/>
  <c r="R148"/>
  <c r="R135"/>
  <c r="R131"/>
  <c r="R111"/>
  <c r="R93"/>
  <c r="R88"/>
  <c r="R81"/>
  <c r="R47"/>
  <c r="R11"/>
  <c r="R7"/>
  <c r="AX92"/>
  <c r="AX400"/>
  <c r="AX396"/>
  <c r="AX389"/>
  <c r="AX378"/>
  <c r="AX369"/>
  <c r="AX363"/>
  <c r="AX357"/>
  <c r="AX346"/>
  <c r="AX341"/>
  <c r="AX323"/>
  <c r="AX316"/>
  <c r="AX309"/>
  <c r="AX302"/>
  <c r="AX298"/>
  <c r="AX293"/>
  <c r="AX289"/>
  <c r="AX279"/>
  <c r="AX270"/>
  <c r="AX264"/>
  <c r="AX120"/>
  <c r="AX115"/>
  <c r="AX109"/>
  <c r="AX77"/>
  <c r="AX65"/>
  <c r="AX58"/>
  <c r="AX52"/>
  <c r="AX46"/>
  <c r="AX41"/>
  <c r="AX36"/>
  <c r="AX26"/>
  <c r="AX20"/>
  <c r="AX374"/>
  <c r="AX359"/>
  <c r="AX349"/>
  <c r="AX330"/>
  <c r="AX45"/>
  <c r="AX31"/>
  <c r="AX21"/>
  <c r="AX306"/>
  <c r="AX286"/>
  <c r="AX282"/>
  <c r="AX154"/>
  <c r="AX147"/>
  <c r="AX137"/>
  <c r="AX108"/>
  <c r="AX102"/>
  <c r="AX97"/>
  <c r="AX13"/>
  <c r="AX385"/>
  <c r="AX340"/>
  <c r="AX333"/>
  <c r="AX314"/>
  <c r="AX274"/>
  <c r="AX261"/>
  <c r="AX257"/>
  <c r="AX253"/>
  <c r="AX249"/>
  <c r="AX245"/>
  <c r="AX241"/>
  <c r="AX237"/>
  <c r="AX232"/>
  <c r="AX225"/>
  <c r="AX221"/>
  <c r="AX217"/>
  <c r="AX213"/>
  <c r="AX209"/>
  <c r="AX203"/>
  <c r="AX199"/>
  <c r="AX195"/>
  <c r="AX191"/>
  <c r="AX187"/>
  <c r="AX178"/>
  <c r="AX174"/>
  <c r="AX170"/>
  <c r="AX166"/>
  <c r="AX162"/>
  <c r="AX149"/>
  <c r="AX136"/>
  <c r="AX132"/>
  <c r="AX122"/>
  <c r="AX94"/>
  <c r="AX89"/>
  <c r="AX84"/>
  <c r="AX70"/>
  <c r="AX12"/>
  <c r="AX8"/>
  <c r="AX4"/>
  <c r="FF92"/>
  <c r="FF400"/>
  <c r="FF396"/>
  <c r="FF389"/>
  <c r="FF378"/>
  <c r="FF369"/>
  <c r="FF363"/>
  <c r="FF357"/>
  <c r="FF346"/>
  <c r="FF341"/>
  <c r="FF323"/>
  <c r="FF316"/>
  <c r="FF309"/>
  <c r="FF302"/>
  <c r="FF298"/>
  <c r="FF293"/>
  <c r="FF289"/>
  <c r="FF279"/>
  <c r="FF270"/>
  <c r="FF264"/>
  <c r="FF120"/>
  <c r="FF115"/>
  <c r="FF109"/>
  <c r="FF77"/>
  <c r="FF65"/>
  <c r="FF58"/>
  <c r="FF52"/>
  <c r="FF46"/>
  <c r="FF41"/>
  <c r="FF36"/>
  <c r="FF26"/>
  <c r="FF20"/>
  <c r="FF374"/>
  <c r="FF359"/>
  <c r="FF349"/>
  <c r="FF330"/>
  <c r="FF45"/>
  <c r="FF31"/>
  <c r="FF21"/>
  <c r="FF306"/>
  <c r="FF286"/>
  <c r="FF282"/>
  <c r="FF154"/>
  <c r="FF147"/>
  <c r="FF137"/>
  <c r="FF108"/>
  <c r="FF102"/>
  <c r="FF97"/>
  <c r="FF13"/>
  <c r="FF385"/>
  <c r="FF340"/>
  <c r="FF333"/>
  <c r="FF314"/>
  <c r="FF274"/>
  <c r="FF261"/>
  <c r="FF257"/>
  <c r="FF253"/>
  <c r="FF249"/>
  <c r="FF245"/>
  <c r="FF241"/>
  <c r="FF237"/>
  <c r="FF232"/>
  <c r="FF225"/>
  <c r="FF221"/>
  <c r="FF217"/>
  <c r="FF213"/>
  <c r="FF209"/>
  <c r="FF203"/>
  <c r="FF199"/>
  <c r="FF195"/>
  <c r="FF191"/>
  <c r="FF187"/>
  <c r="FF178"/>
  <c r="FF174"/>
  <c r="FF170"/>
  <c r="FF166"/>
  <c r="FF162"/>
  <c r="FF149"/>
  <c r="FF136"/>
  <c r="FF132"/>
  <c r="FF122"/>
  <c r="FF94"/>
  <c r="FF89"/>
  <c r="FF84"/>
  <c r="FF70"/>
  <c r="FF12"/>
  <c r="FF8"/>
  <c r="FF4"/>
  <c r="S376"/>
  <c r="S368"/>
  <c r="S337"/>
  <c r="AY57"/>
  <c r="AY398"/>
  <c r="AY394"/>
  <c r="AY381"/>
  <c r="AY371"/>
  <c r="AY365"/>
  <c r="AY361"/>
  <c r="AY353"/>
  <c r="AY343"/>
  <c r="AY328"/>
  <c r="AY321"/>
  <c r="AY311"/>
  <c r="AY307"/>
  <c r="AY300"/>
  <c r="AY295"/>
  <c r="AY291"/>
  <c r="AY287"/>
  <c r="AY275"/>
  <c r="AY266"/>
  <c r="AY126"/>
  <c r="AY118"/>
  <c r="AY112"/>
  <c r="AY104"/>
  <c r="AY67"/>
  <c r="AY63"/>
  <c r="AY54"/>
  <c r="AY49"/>
  <c r="AY43"/>
  <c r="AY39"/>
  <c r="AY30"/>
  <c r="AY24"/>
  <c r="AY376"/>
  <c r="AY368"/>
  <c r="AY337"/>
  <c r="AY281"/>
  <c r="AY35"/>
  <c r="AY27"/>
  <c r="AY304"/>
  <c r="AY284"/>
  <c r="AY267"/>
  <c r="AY152"/>
  <c r="AY121"/>
  <c r="AY106"/>
  <c r="AY99"/>
  <c r="AY60"/>
  <c r="AY391"/>
  <c r="AY335"/>
  <c r="AY326"/>
  <c r="AY263"/>
  <c r="AY259"/>
  <c r="AY251"/>
  <c r="AY247"/>
  <c r="AY235"/>
  <c r="AY223"/>
  <c r="AY197"/>
  <c r="AY193"/>
  <c r="AY189"/>
  <c r="AY180"/>
  <c r="AY176"/>
  <c r="AY172"/>
  <c r="AY168"/>
  <c r="AY164"/>
  <c r="AY156"/>
  <c r="AY146"/>
  <c r="AY134"/>
  <c r="AY128"/>
  <c r="AY96"/>
  <c r="AY91"/>
  <c r="AY87"/>
  <c r="AY80"/>
  <c r="AY17"/>
  <c r="AY10"/>
  <c r="AY6"/>
  <c r="AY2"/>
  <c r="FG398"/>
  <c r="FG381"/>
  <c r="FG361"/>
  <c r="FG353"/>
  <c r="FG328"/>
  <c r="FG321"/>
  <c r="FG311"/>
  <c r="FG300"/>
  <c r="FG295"/>
  <c r="FG275"/>
  <c r="FG118"/>
  <c r="FG104"/>
  <c r="FG54"/>
  <c r="FG39"/>
  <c r="FG368"/>
  <c r="FG281"/>
  <c r="FG304"/>
  <c r="FG139"/>
  <c r="FG106"/>
  <c r="FG15"/>
  <c r="FG335"/>
  <c r="FG259"/>
  <c r="FG243"/>
  <c r="FG235"/>
  <c r="FG223"/>
  <c r="FG176"/>
  <c r="FG168"/>
  <c r="FG164"/>
  <c r="FG156"/>
  <c r="FG146"/>
  <c r="FG134"/>
  <c r="FG128"/>
  <c r="FG96"/>
  <c r="FG91"/>
  <c r="FG87"/>
  <c r="FG80"/>
  <c r="FG17"/>
  <c r="FG10"/>
  <c r="FG6"/>
  <c r="FG2"/>
  <c r="AY165"/>
  <c r="AY148"/>
  <c r="AY131"/>
  <c r="AY93"/>
  <c r="AY81"/>
  <c r="AY11"/>
  <c r="AY3"/>
  <c r="FG202"/>
  <c r="FG198"/>
  <c r="FG194"/>
  <c r="FG190"/>
  <c r="FG181"/>
  <c r="FG177"/>
  <c r="FG173"/>
  <c r="FG169"/>
  <c r="FG165"/>
  <c r="FG161"/>
  <c r="FG148"/>
  <c r="FG135"/>
  <c r="FG131"/>
  <c r="FG111"/>
  <c r="FG93"/>
  <c r="FG88"/>
  <c r="FG81"/>
  <c r="FG47"/>
  <c r="FG11"/>
  <c r="FG7"/>
  <c r="FG3"/>
  <c r="AY369"/>
  <c r="AY357"/>
  <c r="AY323"/>
  <c r="AY302"/>
  <c r="AY120"/>
  <c r="AY52"/>
  <c r="AY36"/>
  <c r="AY31"/>
  <c r="AY154"/>
  <c r="AY237"/>
  <c r="AY178"/>
  <c r="AY132"/>
  <c r="AY94"/>
  <c r="AY84"/>
  <c r="AY4"/>
  <c r="FG92"/>
  <c r="FG400"/>
  <c r="FG396"/>
  <c r="FG389"/>
  <c r="FG378"/>
  <c r="FG369"/>
  <c r="FG363"/>
  <c r="FG357"/>
  <c r="FG346"/>
  <c r="FG341"/>
  <c r="FG323"/>
  <c r="FG316"/>
  <c r="FG309"/>
  <c r="FG302"/>
  <c r="FG298"/>
  <c r="FG293"/>
  <c r="FG289"/>
  <c r="FG279"/>
  <c r="FG270"/>
  <c r="FG264"/>
  <c r="FG120"/>
  <c r="FG115"/>
  <c r="FG109"/>
  <c r="FG77"/>
  <c r="FG65"/>
  <c r="FG58"/>
  <c r="FG52"/>
  <c r="FG46"/>
  <c r="FG41"/>
  <c r="FG26"/>
  <c r="FG20"/>
  <c r="FG374"/>
  <c r="FG349"/>
  <c r="FG330"/>
  <c r="FG45"/>
  <c r="FG21"/>
  <c r="FG306"/>
  <c r="FG286"/>
  <c r="FG154"/>
  <c r="FG147"/>
  <c r="FG137"/>
  <c r="FG102"/>
  <c r="FG97"/>
  <c r="FG385"/>
  <c r="FG340"/>
  <c r="FG333"/>
  <c r="FG274"/>
  <c r="FG261"/>
  <c r="FG257"/>
  <c r="FG249"/>
  <c r="FG245"/>
  <c r="FG241"/>
  <c r="FG225"/>
  <c r="FG217"/>
  <c r="FG209"/>
  <c r="FG203"/>
  <c r="FG187"/>
  <c r="FG178"/>
  <c r="FG170"/>
  <c r="FG166"/>
  <c r="FG162"/>
  <c r="FG149"/>
  <c r="FG136"/>
  <c r="FG132"/>
  <c r="FG122"/>
  <c r="FG94"/>
  <c r="FG89"/>
  <c r="FG84"/>
  <c r="FG70"/>
  <c r="FG12"/>
  <c r="FG8"/>
  <c r="FG4"/>
  <c r="S85"/>
  <c r="S62"/>
  <c r="S397"/>
  <c r="S393"/>
  <c r="S379"/>
  <c r="S370"/>
  <c r="S364"/>
  <c r="S360"/>
  <c r="S348"/>
  <c r="S342"/>
  <c r="S324"/>
  <c r="S317"/>
  <c r="S310"/>
  <c r="S303"/>
  <c r="S299"/>
  <c r="S294"/>
  <c r="S290"/>
  <c r="S280"/>
  <c r="S271"/>
  <c r="S265"/>
  <c r="S125"/>
  <c r="S117"/>
  <c r="S110"/>
  <c r="S78"/>
  <c r="S66"/>
  <c r="S61"/>
  <c r="S53"/>
  <c r="S48"/>
  <c r="S42"/>
  <c r="S38"/>
  <c r="S29"/>
  <c r="S22"/>
  <c r="S375"/>
  <c r="S366"/>
  <c r="S350"/>
  <c r="S331"/>
  <c r="S51"/>
  <c r="S33"/>
  <c r="S23"/>
  <c r="S312"/>
  <c r="S296"/>
  <c r="S283"/>
  <c r="S155"/>
  <c r="S151"/>
  <c r="S138"/>
  <c r="S114"/>
  <c r="S103"/>
  <c r="S98"/>
  <c r="S59"/>
  <c r="S14"/>
  <c r="S390"/>
  <c r="S345"/>
  <c r="S334"/>
  <c r="S325"/>
  <c r="S276"/>
  <c r="S262"/>
  <c r="S258"/>
  <c r="S254"/>
  <c r="S250"/>
  <c r="S246"/>
  <c r="S242"/>
  <c r="S238"/>
  <c r="S234"/>
  <c r="S226"/>
  <c r="S222"/>
  <c r="S218"/>
  <c r="S214"/>
  <c r="S210"/>
  <c r="S204"/>
  <c r="S200"/>
  <c r="S196"/>
  <c r="S192"/>
  <c r="S188"/>
  <c r="S179"/>
  <c r="S175"/>
  <c r="S171"/>
  <c r="S167"/>
  <c r="S163"/>
  <c r="S150"/>
  <c r="S145"/>
  <c r="S133"/>
  <c r="S129"/>
  <c r="S95"/>
  <c r="S90"/>
  <c r="S86"/>
  <c r="S79"/>
  <c r="S16"/>
  <c r="S9"/>
  <c r="S5"/>
  <c r="AY85"/>
  <c r="AY62"/>
  <c r="AY397"/>
  <c r="AY393"/>
  <c r="AY379"/>
  <c r="AY370"/>
  <c r="AY364"/>
  <c r="AY360"/>
  <c r="AY348"/>
  <c r="AY342"/>
  <c r="AY324"/>
  <c r="AY317"/>
  <c r="AY310"/>
  <c r="AY303"/>
  <c r="AY299"/>
  <c r="AY294"/>
  <c r="AY290"/>
  <c r="AY280"/>
  <c r="AY271"/>
  <c r="AY265"/>
  <c r="AY125"/>
  <c r="AY117"/>
  <c r="AY110"/>
  <c r="AY78"/>
  <c r="AY66"/>
  <c r="AY61"/>
  <c r="AY53"/>
  <c r="AY48"/>
  <c r="AY42"/>
  <c r="AY38"/>
  <c r="AY29"/>
  <c r="AY22"/>
  <c r="AY375"/>
  <c r="AY366"/>
  <c r="AY350"/>
  <c r="AY331"/>
  <c r="AY51"/>
  <c r="AY33"/>
  <c r="AY23"/>
  <c r="AY312"/>
  <c r="AY296"/>
  <c r="AY283"/>
  <c r="AY155"/>
  <c r="AY151"/>
  <c r="AY138"/>
  <c r="AY114"/>
  <c r="AY103"/>
  <c r="AY98"/>
  <c r="AY59"/>
  <c r="AY14"/>
  <c r="AY390"/>
  <c r="AY345"/>
  <c r="AY334"/>
  <c r="AY325"/>
  <c r="AY276"/>
  <c r="AY262"/>
  <c r="AY258"/>
  <c r="AY254"/>
  <c r="AY250"/>
  <c r="AY246"/>
  <c r="AY242"/>
  <c r="AY238"/>
  <c r="AY234"/>
  <c r="AY226"/>
  <c r="AY222"/>
  <c r="AY218"/>
  <c r="AY214"/>
  <c r="AY210"/>
  <c r="AY204"/>
  <c r="AY200"/>
  <c r="AY196"/>
  <c r="AY192"/>
  <c r="AY188"/>
  <c r="AY179"/>
  <c r="AY175"/>
  <c r="AY171"/>
  <c r="AY167"/>
  <c r="AY163"/>
  <c r="AY150"/>
  <c r="AY145"/>
  <c r="AY133"/>
  <c r="AY129"/>
  <c r="AY95"/>
  <c r="AY90"/>
  <c r="AY86"/>
  <c r="AY79"/>
  <c r="AY16"/>
  <c r="AY9"/>
  <c r="AY5"/>
  <c r="FG85"/>
  <c r="FG62"/>
  <c r="FG397"/>
  <c r="FG393"/>
  <c r="FG379"/>
  <c r="FG370"/>
  <c r="FG364"/>
  <c r="FG360"/>
  <c r="FG348"/>
  <c r="FG342"/>
  <c r="FG324"/>
  <c r="FG317"/>
  <c r="FG310"/>
  <c r="FG303"/>
  <c r="FG299"/>
  <c r="FG294"/>
  <c r="FG290"/>
  <c r="FG280"/>
  <c r="FG271"/>
  <c r="FG265"/>
  <c r="FG125"/>
  <c r="FG117"/>
  <c r="FG110"/>
  <c r="FG78"/>
  <c r="FG66"/>
  <c r="FG61"/>
  <c r="FG53"/>
  <c r="FG48"/>
  <c r="FG42"/>
  <c r="FG38"/>
  <c r="FG29"/>
  <c r="FG22"/>
  <c r="FG375"/>
  <c r="FG366"/>
  <c r="FG350"/>
  <c r="FG331"/>
  <c r="FG51"/>
  <c r="FG33"/>
  <c r="FG23"/>
  <c r="FG312"/>
  <c r="FG296"/>
  <c r="FG283"/>
  <c r="FG155"/>
  <c r="FG151"/>
  <c r="FG138"/>
  <c r="FG114"/>
  <c r="FG103"/>
  <c r="FG98"/>
  <c r="FG59"/>
  <c r="FG14"/>
  <c r="FG390"/>
  <c r="FG345"/>
  <c r="FG334"/>
  <c r="FG325"/>
  <c r="FG276"/>
  <c r="FG262"/>
  <c r="FG258"/>
  <c r="FG254"/>
  <c r="FG250"/>
  <c r="FG246"/>
  <c r="FG242"/>
  <c r="FG238"/>
  <c r="FG234"/>
  <c r="FG226"/>
  <c r="FG222"/>
  <c r="FG218"/>
  <c r="FG214"/>
  <c r="FG210"/>
  <c r="FG204"/>
  <c r="FG200"/>
  <c r="FG196"/>
  <c r="FG192"/>
  <c r="FG188"/>
  <c r="FG179"/>
  <c r="FG175"/>
  <c r="FG171"/>
  <c r="FG167"/>
  <c r="FG163"/>
  <c r="FG150"/>
  <c r="FG145"/>
  <c r="FG133"/>
  <c r="FG129"/>
  <c r="FG95"/>
  <c r="FG90"/>
  <c r="FG86"/>
  <c r="FG79"/>
  <c r="FG16"/>
  <c r="FG9"/>
  <c r="FG5"/>
  <c r="FC389" a="1"/>
  <c r="FC389" s="1"/>
  <c r="O94" a="1"/>
  <c r="O94" s="1"/>
  <c r="FC398" a="1"/>
  <c r="FC398" s="1"/>
  <c r="FC381" a="1"/>
  <c r="FC381" s="1"/>
  <c r="O398" a="1"/>
  <c r="O398" s="1"/>
  <c r="O166" a="1"/>
  <c r="O166" s="1"/>
  <c r="O12" a="1"/>
  <c r="O12" s="1"/>
  <c r="FC97" a="1"/>
  <c r="FC97" s="1"/>
  <c r="FC293" a="1"/>
  <c r="FC293" s="1"/>
  <c r="FC281" a="1"/>
  <c r="FC281" s="1"/>
  <c r="FC21" a="1"/>
  <c r="FC21" s="1"/>
  <c r="FC340" a="1"/>
  <c r="FC340" s="1"/>
  <c r="O92" a="1"/>
  <c r="O92" s="1"/>
  <c r="FC328" a="1"/>
  <c r="FC328" s="1"/>
  <c r="FC311" a="1"/>
  <c r="FC311" s="1"/>
  <c r="FC304" a="1"/>
  <c r="FC304" s="1"/>
  <c r="FC15" a="1"/>
  <c r="FC15" s="1"/>
  <c r="O365" a="1"/>
  <c r="O365" s="1"/>
  <c r="O346" a="1"/>
  <c r="O346" s="1"/>
  <c r="O43" a="1"/>
  <c r="O43" s="1"/>
  <c r="O337" a="1"/>
  <c r="O337" s="1"/>
  <c r="FC92" a="1"/>
  <c r="FC92" s="1"/>
  <c r="FC396" a="1"/>
  <c r="FC396" s="1"/>
  <c r="FC361" a="1"/>
  <c r="FC361" s="1"/>
  <c r="FC346" a="1"/>
  <c r="FC346" s="1"/>
  <c r="FC323" a="1"/>
  <c r="FC323" s="1"/>
  <c r="FC295" a="1"/>
  <c r="FC295" s="1"/>
  <c r="FC289" a="1"/>
  <c r="FC289" s="1"/>
  <c r="FC374" a="1"/>
  <c r="FC374" s="1"/>
  <c r="FC330" a="1"/>
  <c r="FC330" s="1"/>
  <c r="FC259" a="1"/>
  <c r="FC259" s="1"/>
  <c r="O275" a="1"/>
  <c r="O275" s="1"/>
  <c r="O249" a="1"/>
  <c r="O249" s="1"/>
  <c r="FC264" a="1"/>
  <c r="FC264" s="1"/>
  <c r="FC115" a="1"/>
  <c r="FC115" s="1"/>
  <c r="FC306" a="1"/>
  <c r="FC306" s="1"/>
  <c r="FC257" a="1"/>
  <c r="FC257" s="1"/>
  <c r="FC245" a="1"/>
  <c r="FC245" s="1"/>
  <c r="O328" a="1"/>
  <c r="O328" s="1"/>
  <c r="O67" a="1"/>
  <c r="O67" s="1"/>
  <c r="O333" a="1"/>
  <c r="O333" s="1"/>
  <c r="O213" a="1"/>
  <c r="O213" s="1"/>
  <c r="O400" a="1"/>
  <c r="O400" s="1"/>
  <c r="O381" a="1"/>
  <c r="O381" s="1"/>
  <c r="O343" a="1"/>
  <c r="O343" s="1"/>
  <c r="O321" a="1"/>
  <c r="O321" s="1"/>
  <c r="O300" a="1"/>
  <c r="O300" s="1"/>
  <c r="O289" a="1"/>
  <c r="O289" s="1"/>
  <c r="O368" a="1"/>
  <c r="O368" s="1"/>
  <c r="O21" a="1"/>
  <c r="O21" s="1"/>
  <c r="FC309" a="1"/>
  <c r="FC309" s="1"/>
  <c r="FC298" a="1"/>
  <c r="FC298" s="1"/>
  <c r="FC275" a="1"/>
  <c r="FC275" s="1"/>
  <c r="FC52" a="1"/>
  <c r="FC52" s="1"/>
  <c r="FC20" a="1"/>
  <c r="FC20" s="1"/>
  <c r="FC139" a="1"/>
  <c r="FC139" s="1"/>
  <c r="FC335" a="1"/>
  <c r="FC335" s="1"/>
  <c r="FC217" a="1"/>
  <c r="FC217" s="1"/>
  <c r="O57" a="1"/>
  <c r="O57" s="1"/>
  <c r="O357" a="1"/>
  <c r="O357" s="1"/>
  <c r="O126" a="1"/>
  <c r="O126" s="1"/>
  <c r="O54" a="1"/>
  <c r="O54" s="1"/>
  <c r="O376" a="1"/>
  <c r="O376" s="1"/>
  <c r="O359" a="1"/>
  <c r="O359" s="1"/>
  <c r="O102" a="1"/>
  <c r="O102" s="1"/>
  <c r="FC400" a="1"/>
  <c r="FC400" s="1"/>
  <c r="FC378" a="1"/>
  <c r="FC378" s="1"/>
  <c r="FC363" a="1"/>
  <c r="FC363" s="1"/>
  <c r="FC353" a="1"/>
  <c r="FC353" s="1"/>
  <c r="FC341" a="1"/>
  <c r="FC341" s="1"/>
  <c r="FC321" a="1"/>
  <c r="FC321" s="1"/>
  <c r="FC300" a="1"/>
  <c r="FC300" s="1"/>
  <c r="FC270" a="1"/>
  <c r="FC270" s="1"/>
  <c r="FC120" a="1"/>
  <c r="FC120" s="1"/>
  <c r="FC77" a="1"/>
  <c r="FC77" s="1"/>
  <c r="FC54" a="1"/>
  <c r="FC54" s="1"/>
  <c r="FC46" a="1"/>
  <c r="FC46" s="1"/>
  <c r="FC349" a="1"/>
  <c r="FC349" s="1"/>
  <c r="FC147" a="1"/>
  <c r="FC147" s="1"/>
  <c r="FC106" a="1"/>
  <c r="FC106" s="1"/>
  <c r="FC333" a="1"/>
  <c r="FC333" s="1"/>
  <c r="FC261" a="1"/>
  <c r="FC261" s="1"/>
  <c r="FC243" a="1"/>
  <c r="FC243" s="1"/>
  <c r="FC235" a="1"/>
  <c r="FC235" s="1"/>
  <c r="FC223" a="1"/>
  <c r="FC223" s="1"/>
  <c r="FC203" a="1"/>
  <c r="FC203" s="1"/>
  <c r="FC58" a="1"/>
  <c r="FC58" s="1"/>
  <c r="FC39" a="1"/>
  <c r="FC39" s="1"/>
  <c r="FC368" a="1"/>
  <c r="FC368" s="1"/>
  <c r="FC45" a="1"/>
  <c r="FC45" s="1"/>
  <c r="FC286" a="1"/>
  <c r="FC286" s="1"/>
  <c r="FC137" a="1"/>
  <c r="FC137" s="1"/>
  <c r="FC102" a="1"/>
  <c r="FC102" s="1"/>
  <c r="FC385" a="1"/>
  <c r="FC385" s="1"/>
  <c r="FC274" a="1"/>
  <c r="FC274" s="1"/>
  <c r="FC249" a="1"/>
  <c r="FC249" s="1"/>
  <c r="FC187" a="1"/>
  <c r="FC187" s="1"/>
  <c r="FG57"/>
  <c r="FG394"/>
  <c r="FG371"/>
  <c r="FG365"/>
  <c r="FG343"/>
  <c r="FG307"/>
  <c r="FG291"/>
  <c r="FG287"/>
  <c r="FG266"/>
  <c r="FG126"/>
  <c r="FG112"/>
  <c r="FG67"/>
  <c r="FG63"/>
  <c r="FG49"/>
  <c r="FG43"/>
  <c r="FG30"/>
  <c r="FG24"/>
  <c r="FG376"/>
  <c r="FG356"/>
  <c r="FG337"/>
  <c r="FG35"/>
  <c r="FG27"/>
  <c r="FG319"/>
  <c r="FG284"/>
  <c r="FG267"/>
  <c r="FG152"/>
  <c r="FG121"/>
  <c r="FG99"/>
  <c r="FG60"/>
  <c r="FG391"/>
  <c r="FG382"/>
  <c r="FG326"/>
  <c r="FG277"/>
  <c r="FG263"/>
  <c r="FG255"/>
  <c r="FG251"/>
  <c r="FG247"/>
  <c r="FG239"/>
  <c r="FG227"/>
  <c r="FG219"/>
  <c r="FG215"/>
  <c r="FG211"/>
  <c r="FG205"/>
  <c r="FG201"/>
  <c r="FG197"/>
  <c r="FG193"/>
  <c r="FG189"/>
  <c r="FG180"/>
  <c r="FG172"/>
  <c r="FG116"/>
  <c r="FG399"/>
  <c r="FG395"/>
  <c r="FG388"/>
  <c r="FG377"/>
  <c r="FG367"/>
  <c r="FG362"/>
  <c r="FG355"/>
  <c r="FG344"/>
  <c r="FG329"/>
  <c r="FG322"/>
  <c r="FG315"/>
  <c r="FG308"/>
  <c r="FG301"/>
  <c r="FG297"/>
  <c r="FG292"/>
  <c r="FG288"/>
  <c r="FG278"/>
  <c r="FG269"/>
  <c r="FG157"/>
  <c r="FG119"/>
  <c r="FG113"/>
  <c r="FG105"/>
  <c r="FG76"/>
  <c r="FG64"/>
  <c r="FG55"/>
  <c r="FG50"/>
  <c r="FG44"/>
  <c r="FG40"/>
  <c r="FG34"/>
  <c r="FG25"/>
  <c r="FG380"/>
  <c r="FG373"/>
  <c r="FG358"/>
  <c r="FG338"/>
  <c r="FG327"/>
  <c r="FG37"/>
  <c r="FG28"/>
  <c r="FG19"/>
  <c r="FG305"/>
  <c r="FG285"/>
  <c r="FG268"/>
  <c r="FG153"/>
  <c r="FG141"/>
  <c r="FG123"/>
  <c r="FG107"/>
  <c r="FG100"/>
  <c r="FG68"/>
  <c r="FG56"/>
  <c r="FG392"/>
  <c r="FG384"/>
  <c r="FG339"/>
  <c r="FG332"/>
  <c r="FG313"/>
  <c r="FG272"/>
  <c r="FG260"/>
  <c r="FG256"/>
  <c r="FG252"/>
  <c r="FG248"/>
  <c r="FG244"/>
  <c r="FG240"/>
  <c r="FG236"/>
  <c r="FG229"/>
  <c r="FG224"/>
  <c r="FG220"/>
  <c r="FG216"/>
  <c r="FG212"/>
  <c r="FG206"/>
  <c r="FG36"/>
  <c r="FG359"/>
  <c r="FG31"/>
  <c r="FG282"/>
  <c r="FG108"/>
  <c r="FG13"/>
  <c r="FG314"/>
  <c r="FG253"/>
  <c r="FG237"/>
  <c r="FG232"/>
  <c r="FG221"/>
  <c r="FG213"/>
  <c r="FG199"/>
  <c r="FG195"/>
  <c r="FG191"/>
  <c r="FG174"/>
  <c r="O394" a="1"/>
  <c r="O394" s="1"/>
  <c r="O371" a="1"/>
  <c r="O371" s="1"/>
  <c r="O361" a="1"/>
  <c r="O361" s="1"/>
  <c r="O307" a="1"/>
  <c r="O307" s="1"/>
  <c r="O295" a="1"/>
  <c r="O295" s="1"/>
  <c r="O287" a="1"/>
  <c r="O287" s="1"/>
  <c r="O112" a="1"/>
  <c r="O112" s="1"/>
  <c r="O30" a="1"/>
  <c r="O30" s="1"/>
  <c r="O378" a="1"/>
  <c r="O378" s="1"/>
  <c r="O316" a="1"/>
  <c r="O316" s="1"/>
  <c r="O302" a="1"/>
  <c r="O302" s="1"/>
  <c r="O274" a="1"/>
  <c r="O274" s="1"/>
  <c r="O241" a="1"/>
  <c r="O241" s="1"/>
  <c r="O195" a="1"/>
  <c r="O195" s="1"/>
  <c r="AY356"/>
  <c r="AY319"/>
  <c r="AY139"/>
  <c r="AY15"/>
  <c r="AY382"/>
  <c r="AY277"/>
  <c r="AY255"/>
  <c r="AY243"/>
  <c r="AY239"/>
  <c r="AY227"/>
  <c r="AY219"/>
  <c r="AY215"/>
  <c r="AY211"/>
  <c r="AY205"/>
  <c r="AY201"/>
  <c r="AY116"/>
  <c r="AY399"/>
  <c r="AY395"/>
  <c r="AY388"/>
  <c r="AY377"/>
  <c r="AY367"/>
  <c r="AY362"/>
  <c r="AY355"/>
  <c r="AY344"/>
  <c r="AY329"/>
  <c r="AY322"/>
  <c r="AY315"/>
  <c r="AY308"/>
  <c r="AY301"/>
  <c r="AY297"/>
  <c r="AY292"/>
  <c r="AY288"/>
  <c r="AY278"/>
  <c r="AY269"/>
  <c r="AY157"/>
  <c r="AY119"/>
  <c r="AY113"/>
  <c r="AY105"/>
  <c r="AY76"/>
  <c r="AY64"/>
  <c r="AY55"/>
  <c r="AY50"/>
  <c r="AY44"/>
  <c r="AY40"/>
  <c r="AY34"/>
  <c r="AY25"/>
  <c r="AY380"/>
  <c r="AY373"/>
  <c r="AY358"/>
  <c r="AY338"/>
  <c r="AY327"/>
  <c r="AY37"/>
  <c r="AY28"/>
  <c r="AY19"/>
  <c r="AY305"/>
  <c r="AY285"/>
  <c r="AY268"/>
  <c r="AY153"/>
  <c r="AY141"/>
  <c r="AY123"/>
  <c r="AY107"/>
  <c r="AY100"/>
  <c r="AY68"/>
  <c r="AY56"/>
  <c r="AY392"/>
  <c r="AY384"/>
  <c r="AY339"/>
  <c r="AY332"/>
  <c r="AY313"/>
  <c r="AY272"/>
  <c r="AY260"/>
  <c r="AY256"/>
  <c r="AY252"/>
  <c r="AY248"/>
  <c r="AY244"/>
  <c r="AY240"/>
  <c r="AY236"/>
  <c r="AY229"/>
  <c r="AY224"/>
  <c r="AY220"/>
  <c r="AY216"/>
  <c r="AY212"/>
  <c r="AY206"/>
  <c r="AY202"/>
  <c r="AY198"/>
  <c r="AY194"/>
  <c r="AY190"/>
  <c r="AY181"/>
  <c r="AY177"/>
  <c r="AY173"/>
  <c r="AY169"/>
  <c r="AY161"/>
  <c r="AY135"/>
  <c r="AY111"/>
  <c r="AY88"/>
  <c r="AY47"/>
  <c r="AY7"/>
  <c r="AY92"/>
  <c r="AY400"/>
  <c r="AY389"/>
  <c r="AY378"/>
  <c r="AY363"/>
  <c r="AY346"/>
  <c r="AY341"/>
  <c r="AY316"/>
  <c r="AY309"/>
  <c r="AY298"/>
  <c r="AY293"/>
  <c r="AY289"/>
  <c r="AY279"/>
  <c r="AY270"/>
  <c r="AY264"/>
  <c r="AY115"/>
  <c r="AY109"/>
  <c r="AY77"/>
  <c r="AY65"/>
  <c r="AY58"/>
  <c r="AY46"/>
  <c r="AY41"/>
  <c r="AY26"/>
  <c r="AY20"/>
  <c r="AY374"/>
  <c r="AY359"/>
  <c r="AY349"/>
  <c r="AY330"/>
  <c r="AY45"/>
  <c r="AY21"/>
  <c r="AY306"/>
  <c r="AY286"/>
  <c r="AY282"/>
  <c r="AY147"/>
  <c r="AY137"/>
  <c r="AY108"/>
  <c r="AY102"/>
  <c r="AY97"/>
  <c r="AY13"/>
  <c r="AY385"/>
  <c r="AY340"/>
  <c r="AY333"/>
  <c r="AY314"/>
  <c r="AY274"/>
  <c r="AY261"/>
  <c r="AY257"/>
  <c r="AY253"/>
  <c r="AY249"/>
  <c r="AY245"/>
  <c r="AY241"/>
  <c r="AY232"/>
  <c r="AY225"/>
  <c r="AY221"/>
  <c r="AY217"/>
  <c r="AY213"/>
  <c r="AY209"/>
  <c r="AY203"/>
  <c r="AY199"/>
  <c r="AY195"/>
  <c r="AY191"/>
  <c r="AY187"/>
  <c r="AY174"/>
  <c r="AY170"/>
  <c r="AY166"/>
  <c r="AY162"/>
  <c r="AY149"/>
  <c r="AY136"/>
  <c r="AY122"/>
  <c r="AY89"/>
  <c r="AY70"/>
  <c r="AY12"/>
  <c r="AY8"/>
  <c r="O396" a="1"/>
  <c r="O396" s="1"/>
  <c r="O369" a="1"/>
  <c r="O369" s="1"/>
  <c r="O309" a="1"/>
  <c r="O309" s="1"/>
  <c r="O293" a="1"/>
  <c r="O293" s="1"/>
  <c r="O137" a="1"/>
  <c r="O137" s="1"/>
  <c r="O385" a="1"/>
  <c r="O385" s="1"/>
  <c r="O149" a="1"/>
  <c r="O149" s="1"/>
  <c r="O84" a="1"/>
  <c r="O84" s="1"/>
  <c r="O389" a="1"/>
  <c r="O389" s="1"/>
  <c r="O341" a="1"/>
  <c r="O341" s="1"/>
  <c r="O279" a="1"/>
  <c r="O279" s="1"/>
  <c r="O349" a="1"/>
  <c r="O349" s="1"/>
  <c r="O45" a="1"/>
  <c r="O45" s="1"/>
  <c r="O154" a="1"/>
  <c r="O154" s="1"/>
  <c r="O232" a="1"/>
  <c r="O232" s="1"/>
  <c r="O203" a="1"/>
  <c r="O203" s="1"/>
  <c r="O174" a="1"/>
  <c r="O174" s="1"/>
  <c r="S353"/>
  <c r="S311"/>
  <c r="S291"/>
  <c r="S266"/>
  <c r="S118"/>
  <c r="S104"/>
  <c r="S63"/>
  <c r="S49"/>
  <c r="S39"/>
  <c r="S24"/>
  <c r="S356"/>
  <c r="S281"/>
  <c r="S35"/>
  <c r="S27"/>
  <c r="S319"/>
  <c r="S304"/>
  <c r="S284"/>
  <c r="S267"/>
  <c r="S152"/>
  <c r="S139"/>
  <c r="S121"/>
  <c r="S106"/>
  <c r="S99"/>
  <c r="S60"/>
  <c r="S15"/>
  <c r="S391"/>
  <c r="S382"/>
  <c r="S335"/>
  <c r="S326"/>
  <c r="S277"/>
  <c r="S263"/>
  <c r="S259"/>
  <c r="S255"/>
  <c r="S251"/>
  <c r="S247"/>
  <c r="S243"/>
  <c r="S239"/>
  <c r="S235"/>
  <c r="S227"/>
  <c r="S223"/>
  <c r="S219"/>
  <c r="S215"/>
  <c r="S211"/>
  <c r="S205"/>
  <c r="S201"/>
  <c r="S197"/>
  <c r="S193"/>
  <c r="S189"/>
  <c r="S180"/>
  <c r="S176"/>
  <c r="S172"/>
  <c r="S168"/>
  <c r="S164"/>
  <c r="S156"/>
  <c r="S146"/>
  <c r="S134"/>
  <c r="S128"/>
  <c r="S96"/>
  <c r="S91"/>
  <c r="S87"/>
  <c r="S80"/>
  <c r="S17"/>
  <c r="S10"/>
  <c r="S6"/>
  <c r="S2"/>
  <c r="S116"/>
  <c r="S399"/>
  <c r="S395"/>
  <c r="S388"/>
  <c r="S377"/>
  <c r="S367"/>
  <c r="S362"/>
  <c r="S355"/>
  <c r="S344"/>
  <c r="S329"/>
  <c r="S322"/>
  <c r="S315"/>
  <c r="S308"/>
  <c r="S301"/>
  <c r="S297"/>
  <c r="S292"/>
  <c r="S288"/>
  <c r="S278"/>
  <c r="S269"/>
  <c r="S157"/>
  <c r="S119"/>
  <c r="S113"/>
  <c r="S105"/>
  <c r="S76"/>
  <c r="S64"/>
  <c r="S55"/>
  <c r="S50"/>
  <c r="S44"/>
  <c r="S40"/>
  <c r="S34"/>
  <c r="S25"/>
  <c r="S380"/>
  <c r="S373"/>
  <c r="S358"/>
  <c r="S338"/>
  <c r="S327"/>
  <c r="S37"/>
  <c r="S28"/>
  <c r="S19"/>
  <c r="S305"/>
  <c r="S285"/>
  <c r="S268"/>
  <c r="S153"/>
  <c r="S141"/>
  <c r="S123"/>
  <c r="S107"/>
  <c r="S100"/>
  <c r="S68"/>
  <c r="S56"/>
  <c r="S392"/>
  <c r="S384"/>
  <c r="S339"/>
  <c r="S332"/>
  <c r="S313"/>
  <c r="S272"/>
  <c r="S260"/>
  <c r="S256"/>
  <c r="S252"/>
  <c r="S248"/>
  <c r="S244"/>
  <c r="S240"/>
  <c r="S236"/>
  <c r="S229"/>
  <c r="S224"/>
  <c r="S220"/>
  <c r="S216"/>
  <c r="S212"/>
  <c r="S206"/>
  <c r="S202"/>
  <c r="S198"/>
  <c r="S194"/>
  <c r="S190"/>
  <c r="S181"/>
  <c r="S177"/>
  <c r="S173"/>
  <c r="S169"/>
  <c r="S165"/>
  <c r="S161"/>
  <c r="S148"/>
  <c r="S135"/>
  <c r="S131"/>
  <c r="S111"/>
  <c r="S93"/>
  <c r="S88"/>
  <c r="S81"/>
  <c r="S47"/>
  <c r="S11"/>
  <c r="S7"/>
  <c r="S3"/>
  <c r="S363"/>
  <c r="S323"/>
  <c r="S298"/>
  <c r="S270"/>
  <c r="S264"/>
  <c r="S120"/>
  <c r="S115"/>
  <c r="S109"/>
  <c r="S77"/>
  <c r="S65"/>
  <c r="S58"/>
  <c r="S52"/>
  <c r="S46"/>
  <c r="S41"/>
  <c r="S36"/>
  <c r="S26"/>
  <c r="S20"/>
  <c r="S374"/>
  <c r="S330"/>
  <c r="S31"/>
  <c r="S306"/>
  <c r="S286"/>
  <c r="S282"/>
  <c r="S147"/>
  <c r="S108"/>
  <c r="S97"/>
  <c r="S13"/>
  <c r="S340"/>
  <c r="S314"/>
  <c r="S261"/>
  <c r="S257"/>
  <c r="S253"/>
  <c r="S245"/>
  <c r="S237"/>
  <c r="S225"/>
  <c r="S221"/>
  <c r="S217"/>
  <c r="S209"/>
  <c r="S199"/>
  <c r="S191"/>
  <c r="S187"/>
  <c r="S178"/>
  <c r="S170"/>
  <c r="S162"/>
  <c r="S136"/>
  <c r="S132"/>
  <c r="S122"/>
  <c r="S89"/>
  <c r="S70"/>
  <c r="S8"/>
  <c r="S4"/>
  <c r="L209" i="8" l="1"/>
  <c r="W209"/>
  <c r="AA209" s="1"/>
  <c r="AB209" s="1"/>
  <c r="X209"/>
  <c r="Z209"/>
  <c r="AE209"/>
  <c r="AF209"/>
  <c r="AG209"/>
  <c r="AJ209"/>
  <c r="AM209"/>
  <c r="AN209"/>
  <c r="L208"/>
  <c r="W208"/>
  <c r="X208"/>
  <c r="Z208"/>
  <c r="AE208"/>
  <c r="AF208"/>
  <c r="AG208"/>
  <c r="AJ208"/>
  <c r="AM208"/>
  <c r="AN208"/>
  <c r="H85" i="10"/>
  <c r="I85"/>
  <c r="AD85" a="1"/>
  <c r="AD85" s="1"/>
  <c r="BJ85" a="1"/>
  <c r="BJ85" s="1"/>
  <c r="BY85" a="1"/>
  <c r="BY85" s="1"/>
  <c r="BZ85" a="1"/>
  <c r="BZ85" s="1"/>
  <c r="CO85" a="1"/>
  <c r="CO85" s="1"/>
  <c r="CP85" a="1"/>
  <c r="CP85" s="1"/>
  <c r="DE85" a="1"/>
  <c r="DE85" s="1"/>
  <c r="DF85" a="1"/>
  <c r="DF85" s="1"/>
  <c r="DU85" a="1"/>
  <c r="DU85" s="1"/>
  <c r="DV85" a="1"/>
  <c r="DV85" s="1"/>
  <c r="EK85" a="1"/>
  <c r="EK85" s="1"/>
  <c r="EL85" a="1"/>
  <c r="EL85" s="1"/>
  <c r="H92"/>
  <c r="I92"/>
  <c r="AD92" a="1"/>
  <c r="AD92" s="1"/>
  <c r="BJ92" a="1"/>
  <c r="BJ92" s="1"/>
  <c r="BY92" a="1"/>
  <c r="BY92" s="1"/>
  <c r="BZ92" a="1"/>
  <c r="BZ92" s="1"/>
  <c r="CO92" a="1"/>
  <c r="CO92" s="1"/>
  <c r="CP92" a="1"/>
  <c r="CP92" s="1"/>
  <c r="DE92" a="1"/>
  <c r="DE92" s="1"/>
  <c r="DF92" a="1"/>
  <c r="DF92" s="1"/>
  <c r="DU92" a="1"/>
  <c r="DU92" s="1"/>
  <c r="DV92" a="1"/>
  <c r="DV92" s="1"/>
  <c r="EK92" a="1"/>
  <c r="EK92" s="1"/>
  <c r="EL92" a="1"/>
  <c r="EL92" s="1"/>
  <c r="AC62" a="1"/>
  <c r="AC62" s="1"/>
  <c r="AC57" a="1"/>
  <c r="AC57" s="1"/>
  <c r="H62"/>
  <c r="H57"/>
  <c r="H116"/>
  <c r="L205" i="8"/>
  <c r="L206"/>
  <c r="L207"/>
  <c r="W205"/>
  <c r="W206"/>
  <c r="W207"/>
  <c r="X205"/>
  <c r="X206"/>
  <c r="X207"/>
  <c r="Z205"/>
  <c r="Z206"/>
  <c r="Z207"/>
  <c r="AA205"/>
  <c r="AA206"/>
  <c r="AA207"/>
  <c r="AB205"/>
  <c r="AB206"/>
  <c r="AB207"/>
  <c r="AE205"/>
  <c r="AE206"/>
  <c r="AE207"/>
  <c r="AF205"/>
  <c r="AF206"/>
  <c r="AF207"/>
  <c r="AG205"/>
  <c r="AG206"/>
  <c r="AG207"/>
  <c r="AJ205"/>
  <c r="AJ206"/>
  <c r="AJ207"/>
  <c r="AM205"/>
  <c r="AM206"/>
  <c r="AM207"/>
  <c r="AN205"/>
  <c r="AN206"/>
  <c r="AN207"/>
  <c r="I62" i="10"/>
  <c r="I57"/>
  <c r="I116"/>
  <c r="AC116" a="1"/>
  <c r="AC116" s="1"/>
  <c r="AD62" a="1"/>
  <c r="AD62" s="1"/>
  <c r="AD57" a="1"/>
  <c r="AD57" s="1"/>
  <c r="AD116" a="1"/>
  <c r="AD116" s="1"/>
  <c r="BI62" a="1"/>
  <c r="BI62" s="1"/>
  <c r="BI57" a="1"/>
  <c r="BI57" s="1"/>
  <c r="BI116" a="1"/>
  <c r="BI116" s="1"/>
  <c r="BJ62" a="1"/>
  <c r="BJ62" s="1"/>
  <c r="BJ57" a="1"/>
  <c r="BJ57" s="1"/>
  <c r="BJ116" a="1"/>
  <c r="BJ116" s="1"/>
  <c r="BY62" a="1"/>
  <c r="BY62" s="1"/>
  <c r="BY57" a="1"/>
  <c r="BY57" s="1"/>
  <c r="BY116" a="1"/>
  <c r="BY116" s="1"/>
  <c r="BZ62" a="1"/>
  <c r="BZ62" s="1"/>
  <c r="BZ57" a="1"/>
  <c r="BZ57" s="1"/>
  <c r="BZ116" a="1"/>
  <c r="BZ116" s="1"/>
  <c r="CO62" a="1"/>
  <c r="CO62" s="1"/>
  <c r="CO57" a="1"/>
  <c r="CO57" s="1"/>
  <c r="CO116" a="1"/>
  <c r="CO116" s="1"/>
  <c r="CP62" a="1"/>
  <c r="CP62" s="1"/>
  <c r="CP57" a="1"/>
  <c r="CP57" s="1"/>
  <c r="CP116" a="1"/>
  <c r="CP116" s="1"/>
  <c r="DE62" a="1"/>
  <c r="DE62" s="1"/>
  <c r="DE57" a="1"/>
  <c r="DE57" s="1"/>
  <c r="DE116" a="1"/>
  <c r="DE116" s="1"/>
  <c r="DF62" a="1"/>
  <c r="DF62" s="1"/>
  <c r="DF57" a="1"/>
  <c r="DF57" s="1"/>
  <c r="DF116" a="1"/>
  <c r="DF116" s="1"/>
  <c r="DU62" a="1"/>
  <c r="DU62" s="1"/>
  <c r="DU57" a="1"/>
  <c r="DU57" s="1"/>
  <c r="DU116" a="1"/>
  <c r="DU116" s="1"/>
  <c r="DV62" a="1"/>
  <c r="DV62" s="1"/>
  <c r="DV57" a="1"/>
  <c r="DV57" s="1"/>
  <c r="DV116" a="1"/>
  <c r="DV116" s="1"/>
  <c r="EK62" a="1"/>
  <c r="EK62" s="1"/>
  <c r="EK57" a="1"/>
  <c r="EK57" s="1"/>
  <c r="EK116" a="1"/>
  <c r="EK116" s="1"/>
  <c r="EL62" a="1"/>
  <c r="EL62" s="1"/>
  <c r="EL57" a="1"/>
  <c r="EL57" s="1"/>
  <c r="EL116" a="1"/>
  <c r="EL116" s="1"/>
  <c r="BY2" a="1"/>
  <c r="BY2" s="1"/>
  <c r="BZ2" a="1"/>
  <c r="BZ2" s="1"/>
  <c r="EM7" a="1"/>
  <c r="EM7" s="1"/>
  <c r="EM9" a="1"/>
  <c r="EM9" s="1"/>
  <c r="EM47" a="1"/>
  <c r="EM47" s="1"/>
  <c r="EM90" a="1"/>
  <c r="EM90" s="1"/>
  <c r="EM93" a="1"/>
  <c r="EM93" s="1"/>
  <c r="EM129" a="1"/>
  <c r="EM129" s="1"/>
  <c r="EM135" a="1"/>
  <c r="EM135" s="1"/>
  <c r="EM145" a="1"/>
  <c r="EM145" s="1"/>
  <c r="EM148" a="1"/>
  <c r="EM148" s="1"/>
  <c r="EM163" a="1"/>
  <c r="EM163" s="1"/>
  <c r="EM171" a="1"/>
  <c r="EM171" s="1"/>
  <c r="EM179" a="1"/>
  <c r="EM179" s="1"/>
  <c r="EM181" a="1"/>
  <c r="EM181" s="1"/>
  <c r="EM190" a="1"/>
  <c r="EM190" s="1"/>
  <c r="EM192" a="1"/>
  <c r="EM192" s="1"/>
  <c r="EM194" a="1"/>
  <c r="EM194" s="1"/>
  <c r="EM200" a="1"/>
  <c r="EM200" s="1"/>
  <c r="EM204" a="1"/>
  <c r="EM204" s="1"/>
  <c r="EM210" a="1"/>
  <c r="EM210" s="1"/>
  <c r="EM214" a="1"/>
  <c r="EM214" s="1"/>
  <c r="EM218" a="1"/>
  <c r="EM218" s="1"/>
  <c r="EM222" a="1"/>
  <c r="EM222" s="1"/>
  <c r="EM226" a="1"/>
  <c r="EM226" s="1"/>
  <c r="EM234" a="1"/>
  <c r="EM234" s="1"/>
  <c r="EM238" a="1"/>
  <c r="EM238" s="1"/>
  <c r="EM242" a="1"/>
  <c r="EM242" s="1"/>
  <c r="EM244" a="1"/>
  <c r="EM244" s="1"/>
  <c r="EM246" a="1"/>
  <c r="EM246" s="1"/>
  <c r="EM250" a="1"/>
  <c r="EM250" s="1"/>
  <c r="EM252" a="1"/>
  <c r="EM252" s="1"/>
  <c r="EM254" a="1"/>
  <c r="EM254" s="1"/>
  <c r="EM258" a="1"/>
  <c r="EM258" s="1"/>
  <c r="EM260" a="1"/>
  <c r="EM260" s="1"/>
  <c r="EM262" a="1"/>
  <c r="EM262" s="1"/>
  <c r="EM276" a="1"/>
  <c r="EM276" s="1"/>
  <c r="EM313" a="1"/>
  <c r="EM313" s="1"/>
  <c r="EM325" a="1"/>
  <c r="EM325" s="1"/>
  <c r="EM334" a="1"/>
  <c r="EM334" s="1"/>
  <c r="EM345" a="1"/>
  <c r="EM345" s="1"/>
  <c r="EM390" a="1"/>
  <c r="EM390" s="1"/>
  <c r="EM14" a="1"/>
  <c r="EM14" s="1"/>
  <c r="EM59" a="1"/>
  <c r="EM59" s="1"/>
  <c r="EM68" a="1"/>
  <c r="EM68" s="1"/>
  <c r="EM98" a="1"/>
  <c r="EM98" s="1"/>
  <c r="EM103" a="1"/>
  <c r="EM103" s="1"/>
  <c r="EM107" a="1"/>
  <c r="EM107" s="1"/>
  <c r="EM114" a="1"/>
  <c r="EM114" s="1"/>
  <c r="EM138" a="1"/>
  <c r="EM138" s="1"/>
  <c r="EM151" a="1"/>
  <c r="EM151" s="1"/>
  <c r="EM153" a="1"/>
  <c r="EM153" s="1"/>
  <c r="EM155" a="1"/>
  <c r="EM155" s="1"/>
  <c r="EM283" a="1"/>
  <c r="EM283" s="1"/>
  <c r="EM285" a="1"/>
  <c r="EM285" s="1"/>
  <c r="EM296" a="1"/>
  <c r="EM296" s="1"/>
  <c r="EM312" a="1"/>
  <c r="EM312" s="1"/>
  <c r="EM19" a="1"/>
  <c r="EM19" s="1"/>
  <c r="EM21" a="1"/>
  <c r="EM21" s="1"/>
  <c r="EM25" a="1"/>
  <c r="EM25" s="1"/>
  <c r="EM29" a="1"/>
  <c r="EM29" s="1"/>
  <c r="EM34" a="1"/>
  <c r="EM34" s="1"/>
  <c r="EM38" a="1"/>
  <c r="EM38" s="1"/>
  <c r="EM42" a="1"/>
  <c r="EM42" s="1"/>
  <c r="EM44" a="1"/>
  <c r="EM44" s="1"/>
  <c r="EM46" a="1"/>
  <c r="EM46" s="1"/>
  <c r="EM51" a="1"/>
  <c r="EM51" s="1"/>
  <c r="EM53" a="1"/>
  <c r="EM53" s="1"/>
  <c r="EM55" a="1"/>
  <c r="EM55" s="1"/>
  <c r="EM64" a="1"/>
  <c r="EM64" s="1"/>
  <c r="EM66" a="1"/>
  <c r="EM66" s="1"/>
  <c r="EM76" a="1"/>
  <c r="EM76" s="1"/>
  <c r="EM105" a="1"/>
  <c r="EM105" s="1"/>
  <c r="EM110" a="1"/>
  <c r="EM110" s="1"/>
  <c r="EM113" a="1"/>
  <c r="EM113" s="1"/>
  <c r="EM119" a="1"/>
  <c r="EM119" s="1"/>
  <c r="EM125" a="1"/>
  <c r="EM125" s="1"/>
  <c r="EM157" a="1"/>
  <c r="EM157" s="1"/>
  <c r="EM269" a="1"/>
  <c r="EM269" s="1"/>
  <c r="EM271" a="1"/>
  <c r="EM271" s="1"/>
  <c r="EM278" a="1"/>
  <c r="EM278" s="1"/>
  <c r="EM280" a="1"/>
  <c r="EM280" s="1"/>
  <c r="EM287" a="1"/>
  <c r="EM287" s="1"/>
  <c r="EM289" a="1"/>
  <c r="EM289" s="1"/>
  <c r="EM291" a="1"/>
  <c r="EM291" s="1"/>
  <c r="EM293" a="1"/>
  <c r="EM293" s="1"/>
  <c r="EM295" a="1"/>
  <c r="EM295" s="1"/>
  <c r="EM300" a="1"/>
  <c r="EM300" s="1"/>
  <c r="EM302" a="1"/>
  <c r="EM302" s="1"/>
  <c r="EM307" a="1"/>
  <c r="EM307" s="1"/>
  <c r="EM309" a="1"/>
  <c r="EM309" s="1"/>
  <c r="EM311" a="1"/>
  <c r="EM311" s="1"/>
  <c r="EM316" a="1"/>
  <c r="EM316" s="1"/>
  <c r="EM321" a="1"/>
  <c r="EM321" s="1"/>
  <c r="EM323" a="1"/>
  <c r="EM323" s="1"/>
  <c r="EM327" a="1"/>
  <c r="EM327" s="1"/>
  <c r="EM329" a="1"/>
  <c r="EM329" s="1"/>
  <c r="EM331" a="1"/>
  <c r="EM331" s="1"/>
  <c r="EM338" a="1"/>
  <c r="EM338" s="1"/>
  <c r="EM341" a="1"/>
  <c r="EM341" s="1"/>
  <c r="EM342" a="1"/>
  <c r="EM342" s="1"/>
  <c r="EM346" a="1"/>
  <c r="EM346" s="1"/>
  <c r="EM348" a="1"/>
  <c r="EM348" s="1"/>
  <c r="EM350" a="1"/>
  <c r="EM350" s="1"/>
  <c r="EM353" a="1"/>
  <c r="EM353" s="1"/>
  <c r="EM355" a="1"/>
  <c r="EM355" s="1"/>
  <c r="EM358" a="1"/>
  <c r="EM358" s="1"/>
  <c r="EM359" a="1"/>
  <c r="EM359" s="1"/>
  <c r="EM362" a="1"/>
  <c r="EM362" s="1"/>
  <c r="EM363" a="1"/>
  <c r="EM363" s="1"/>
  <c r="EM365" a="1"/>
  <c r="EM365" s="1"/>
  <c r="EM366" a="1"/>
  <c r="EM366" s="1"/>
  <c r="EM367" a="1"/>
  <c r="EM367" s="1"/>
  <c r="EM369" a="1"/>
  <c r="EM369" s="1"/>
  <c r="EM370" a="1"/>
  <c r="EM370" s="1"/>
  <c r="EM371" a="1"/>
  <c r="EM371" s="1"/>
  <c r="EM375" a="1"/>
  <c r="EM375" s="1"/>
  <c r="EM376" a="1"/>
  <c r="EM376" s="1"/>
  <c r="EM380" a="1"/>
  <c r="EM380" s="1"/>
  <c r="EM389" a="1"/>
  <c r="EM389" s="1"/>
  <c r="EM393" a="1"/>
  <c r="EM393" s="1"/>
  <c r="EM395" a="1"/>
  <c r="EM395" s="1"/>
  <c r="EM397" a="1"/>
  <c r="EM397" s="1"/>
  <c r="EM399" a="1"/>
  <c r="EM399" s="1"/>
  <c r="EM400" a="1"/>
  <c r="EM400" s="1"/>
  <c r="DW2" a="1"/>
  <c r="DW2" s="1"/>
  <c r="DW4" a="1"/>
  <c r="DW4" s="1"/>
  <c r="DW5" a="1"/>
  <c r="DW5" s="1"/>
  <c r="DW6" a="1"/>
  <c r="DW6" s="1"/>
  <c r="DW9" a="1"/>
  <c r="DW9" s="1"/>
  <c r="DW10" a="1"/>
  <c r="DW10" s="1"/>
  <c r="DW17" a="1"/>
  <c r="DW17" s="1"/>
  <c r="DW70" a="1"/>
  <c r="DW70" s="1"/>
  <c r="DW79" a="1"/>
  <c r="DW79" s="1"/>
  <c r="DW80" a="1"/>
  <c r="DW80" s="1"/>
  <c r="DW84" a="1"/>
  <c r="DW84" s="1"/>
  <c r="DW87" a="1"/>
  <c r="DW87" s="1"/>
  <c r="DW89" a="1"/>
  <c r="DW89" s="1"/>
  <c r="DW90" a="1"/>
  <c r="DW90" s="1"/>
  <c r="DW91" a="1"/>
  <c r="DW91" s="1"/>
  <c r="DW94" a="1"/>
  <c r="DW94" s="1"/>
  <c r="DW96" a="1"/>
  <c r="DW96" s="1"/>
  <c r="DW122" a="1"/>
  <c r="DW122" s="1"/>
  <c r="DW129" a="1"/>
  <c r="DW129" s="1"/>
  <c r="DW128" a="1"/>
  <c r="DW128" s="1"/>
  <c r="DW132" a="1"/>
  <c r="DW132" s="1"/>
  <c r="DW133" a="1"/>
  <c r="DW133" s="1"/>
  <c r="DW134" a="1"/>
  <c r="DW134" s="1"/>
  <c r="DW136" a="1"/>
  <c r="DW136" s="1"/>
  <c r="DW145" a="1"/>
  <c r="DW145" s="1"/>
  <c r="DW146" a="1"/>
  <c r="DW146" s="1"/>
  <c r="DW156" a="1"/>
  <c r="DW156" s="1"/>
  <c r="DW163" a="1"/>
  <c r="DW163" s="1"/>
  <c r="DW164" a="1"/>
  <c r="DW164" s="1"/>
  <c r="DW166" a="1"/>
  <c r="DW166" s="1"/>
  <c r="DW168" a="1"/>
  <c r="DW168" s="1"/>
  <c r="DW170" a="1"/>
  <c r="DW170" s="1"/>
  <c r="DW171" a="1"/>
  <c r="DW171" s="1"/>
  <c r="DW172" a="1"/>
  <c r="DW172" s="1"/>
  <c r="DW174" a="1"/>
  <c r="DW174" s="1"/>
  <c r="DW175" a="1"/>
  <c r="DW175" s="1"/>
  <c r="DW176" a="1"/>
  <c r="DW176" s="1"/>
  <c r="DW178" a="1"/>
  <c r="DW178" s="1"/>
  <c r="DW179" a="1"/>
  <c r="DW179" s="1"/>
  <c r="DW180" a="1"/>
  <c r="DW180" s="1"/>
  <c r="DW187" a="1"/>
  <c r="DW187" s="1"/>
  <c r="DW188" a="1"/>
  <c r="DW188" s="1"/>
  <c r="DW189" a="1"/>
  <c r="DW189" s="1"/>
  <c r="DW191" a="1"/>
  <c r="DW191" s="1"/>
  <c r="DW192" a="1"/>
  <c r="DW192" s="1"/>
  <c r="DW193" a="1"/>
  <c r="DW193" s="1"/>
  <c r="DW195" a="1"/>
  <c r="DW195" s="1"/>
  <c r="DW196" a="1"/>
  <c r="DW196" s="1"/>
  <c r="DW197" a="1"/>
  <c r="DW197" s="1"/>
  <c r="DW199" a="1"/>
  <c r="DW199" s="1"/>
  <c r="DW200" a="1"/>
  <c r="DW200" s="1"/>
  <c r="DW201" a="1"/>
  <c r="DW201" s="1"/>
  <c r="DW203" a="1"/>
  <c r="DW203" s="1"/>
  <c r="DW204" a="1"/>
  <c r="DW204" s="1"/>
  <c r="DW205" a="1"/>
  <c r="DW205" s="1"/>
  <c r="DW209" a="1"/>
  <c r="DW209" s="1"/>
  <c r="DW210" a="1"/>
  <c r="DW210" s="1"/>
  <c r="DW211" a="1"/>
  <c r="DW211" s="1"/>
  <c r="DW214" a="1"/>
  <c r="DW214" s="1"/>
  <c r="DW215" a="1"/>
  <c r="DW215" s="1"/>
  <c r="DW217" a="1"/>
  <c r="DW217" s="1"/>
  <c r="DW218" a="1"/>
  <c r="DW218" s="1"/>
  <c r="DW219" a="1"/>
  <c r="DW219" s="1"/>
  <c r="DW221" a="1"/>
  <c r="DW221" s="1"/>
  <c r="DW222" a="1"/>
  <c r="DW222" s="1"/>
  <c r="DW223" a="1"/>
  <c r="DW223" s="1"/>
  <c r="DW225" a="1"/>
  <c r="DW225" s="1"/>
  <c r="DW226" a="1"/>
  <c r="DW226" s="1"/>
  <c r="DW227" a="1"/>
  <c r="DW227" s="1"/>
  <c r="DW234" a="1"/>
  <c r="DW234" s="1"/>
  <c r="DW235" a="1"/>
  <c r="DW235" s="1"/>
  <c r="DW237" a="1"/>
  <c r="DW237" s="1"/>
  <c r="DW238" a="1"/>
  <c r="DW238" s="1"/>
  <c r="DW239" a="1"/>
  <c r="DW239" s="1"/>
  <c r="DW241" a="1"/>
  <c r="DW241" s="1"/>
  <c r="DW242" a="1"/>
  <c r="DW242" s="1"/>
  <c r="DW243" a="1"/>
  <c r="DW243" s="1"/>
  <c r="DW245" a="1"/>
  <c r="DW245" s="1"/>
  <c r="DW247" a="1"/>
  <c r="DW247" s="1"/>
  <c r="DW249" a="1"/>
  <c r="DW249" s="1"/>
  <c r="DW250" a="1"/>
  <c r="DW250" s="1"/>
  <c r="DW251" a="1"/>
  <c r="DW251" s="1"/>
  <c r="DW253" a="1"/>
  <c r="DW253" s="1"/>
  <c r="DW254" a="1"/>
  <c r="DW254" s="1"/>
  <c r="DW255" a="1"/>
  <c r="DW255" s="1"/>
  <c r="DW257" a="1"/>
  <c r="DW257" s="1"/>
  <c r="DW258" a="1"/>
  <c r="DW258" s="1"/>
  <c r="DW259" a="1"/>
  <c r="DW259" s="1"/>
  <c r="DW261" a="1"/>
  <c r="DW261" s="1"/>
  <c r="DW262" a="1"/>
  <c r="DW262" s="1"/>
  <c r="DW263" a="1"/>
  <c r="DW263" s="1"/>
  <c r="DW274" a="1"/>
  <c r="DW274" s="1"/>
  <c r="DW276" a="1"/>
  <c r="DW276" s="1"/>
  <c r="DW277" a="1"/>
  <c r="DW277" s="1"/>
  <c r="DW325" a="1"/>
  <c r="DW325" s="1"/>
  <c r="DW326" a="1"/>
  <c r="DW326" s="1"/>
  <c r="DW333" a="1"/>
  <c r="DW333" s="1"/>
  <c r="DW334" a="1"/>
  <c r="DW334" s="1"/>
  <c r="DW335" a="1"/>
  <c r="DW335" s="1"/>
  <c r="DW340" a="1"/>
  <c r="DW340" s="1"/>
  <c r="DW382" a="1"/>
  <c r="DW382" s="1"/>
  <c r="DW385" a="1"/>
  <c r="DW385" s="1"/>
  <c r="DW391" a="1"/>
  <c r="DW391" s="1"/>
  <c r="DW14" a="1"/>
  <c r="DW14" s="1"/>
  <c r="DW15" a="1"/>
  <c r="DW15" s="1"/>
  <c r="DW59" a="1"/>
  <c r="DW59" s="1"/>
  <c r="DW60" a="1"/>
  <c r="DW60" s="1"/>
  <c r="DW97" a="1"/>
  <c r="DW97" s="1"/>
  <c r="DW98" a="1"/>
  <c r="DW98" s="1"/>
  <c r="DW99" a="1"/>
  <c r="DW99" s="1"/>
  <c r="DW103" a="1"/>
  <c r="DW103" s="1"/>
  <c r="DW106" a="1"/>
  <c r="DW106" s="1"/>
  <c r="DW108" a="1"/>
  <c r="DW108" s="1"/>
  <c r="DW114" a="1"/>
  <c r="DW114" s="1"/>
  <c r="DW121" a="1"/>
  <c r="DW121" s="1"/>
  <c r="DW138" a="1"/>
  <c r="DW138" s="1"/>
  <c r="DW139" a="1"/>
  <c r="DW139" s="1"/>
  <c r="DW147" a="1"/>
  <c r="DW147" s="1"/>
  <c r="DW151" a="1"/>
  <c r="DW151" s="1"/>
  <c r="DW152" a="1"/>
  <c r="DW152" s="1"/>
  <c r="DW154" a="1"/>
  <c r="DW154" s="1"/>
  <c r="DW155" a="1"/>
  <c r="DW155" s="1"/>
  <c r="DW267" a="1"/>
  <c r="DW267" s="1"/>
  <c r="DW283" a="1"/>
  <c r="DW283" s="1"/>
  <c r="DW284" a="1"/>
  <c r="DW284" s="1"/>
  <c r="DW286" a="1"/>
  <c r="DW286" s="1"/>
  <c r="DW296" a="1"/>
  <c r="DW296" s="1"/>
  <c r="DW304" a="1"/>
  <c r="DW304" s="1"/>
  <c r="DW306" a="1"/>
  <c r="DW306" s="1"/>
  <c r="DW312" a="1"/>
  <c r="DW312" s="1"/>
  <c r="DW319" a="1"/>
  <c r="DW319" s="1"/>
  <c r="DW20" a="1"/>
  <c r="DW20" s="1"/>
  <c r="DW21" a="1"/>
  <c r="DW21" s="1"/>
  <c r="DW22" a="1"/>
  <c r="DW22" s="1"/>
  <c r="DW25" a="1"/>
  <c r="DW25" s="1"/>
  <c r="DW26" a="1"/>
  <c r="DW26" s="1"/>
  <c r="DW28" a="1"/>
  <c r="DW28" s="1"/>
  <c r="DW30" a="1"/>
  <c r="DW30" s="1"/>
  <c r="DW33" a="1"/>
  <c r="DW33" s="1"/>
  <c r="DW34" a="1"/>
  <c r="DW34" s="1"/>
  <c r="DW35" a="1"/>
  <c r="DW35" s="1"/>
  <c r="DW37" a="1"/>
  <c r="DW37" s="1"/>
  <c r="DW38" a="1"/>
  <c r="DW38" s="1"/>
  <c r="DW39" a="1"/>
  <c r="DW39" s="1"/>
  <c r="DW41" a="1"/>
  <c r="DW41" s="1"/>
  <c r="DW43" a="1"/>
  <c r="DW43" s="1"/>
  <c r="DW45" a="1"/>
  <c r="DW45" s="1"/>
  <c r="DW46" a="1"/>
  <c r="DW46" s="1"/>
  <c r="DW48" a="1"/>
  <c r="DW48" s="1"/>
  <c r="DW50" a="1"/>
  <c r="DW50" s="1"/>
  <c r="DW51" a="1"/>
  <c r="DW51" s="1"/>
  <c r="DW52" a="1"/>
  <c r="DW52" s="1"/>
  <c r="DW54" a="1"/>
  <c r="DW54" s="1"/>
  <c r="DW55" a="1"/>
  <c r="DW55" s="1"/>
  <c r="DW58" a="1"/>
  <c r="DW58" s="1"/>
  <c r="DW65" a="1"/>
  <c r="DW65" s="1"/>
  <c r="DW67" a="1"/>
  <c r="DW67" s="1"/>
  <c r="DW76" a="1"/>
  <c r="DW76" s="1"/>
  <c r="DW77" a="1"/>
  <c r="DW77" s="1"/>
  <c r="DW105" a="1"/>
  <c r="DW105" s="1"/>
  <c r="DW109" a="1"/>
  <c r="DW109" s="1"/>
  <c r="DW112" a="1"/>
  <c r="DW112" s="1"/>
  <c r="DW113" a="1"/>
  <c r="DW113" s="1"/>
  <c r="DW115" a="1"/>
  <c r="DW115" s="1"/>
  <c r="DW118" a="1"/>
  <c r="DW118" s="1"/>
  <c r="DW119" a="1"/>
  <c r="DW119" s="1"/>
  <c r="DW120" a="1"/>
  <c r="DW120" s="1"/>
  <c r="DW126" a="1"/>
  <c r="DW126" s="1"/>
  <c r="DW264" a="1"/>
  <c r="DW264" s="1"/>
  <c r="DW266" a="1"/>
  <c r="DW266" s="1"/>
  <c r="DW269" a="1"/>
  <c r="DW269" s="1"/>
  <c r="DW270" a="1"/>
  <c r="DW270" s="1"/>
  <c r="DW275" a="1"/>
  <c r="DW275" s="1"/>
  <c r="DW278" a="1"/>
  <c r="DW278" s="1"/>
  <c r="DW279" a="1"/>
  <c r="DW279" s="1"/>
  <c r="DW281" a="1"/>
  <c r="DW281" s="1"/>
  <c r="DW288" a="1"/>
  <c r="DW288" s="1"/>
  <c r="DW290" a="1"/>
  <c r="DW290" s="1"/>
  <c r="DW291" a="1"/>
  <c r="DW291" s="1"/>
  <c r="DW292" a="1"/>
  <c r="DW292" s="1"/>
  <c r="DW294" a="1"/>
  <c r="DW294" s="1"/>
  <c r="DW295" a="1"/>
  <c r="DW295" s="1"/>
  <c r="DW297" a="1"/>
  <c r="DW297" s="1"/>
  <c r="DW299" a="1"/>
  <c r="DW299" s="1"/>
  <c r="DW300" a="1"/>
  <c r="DW300" s="1"/>
  <c r="DW301" a="1"/>
  <c r="DW301" s="1"/>
  <c r="DW303" a="1"/>
  <c r="DW303" s="1"/>
  <c r="DW307" a="1"/>
  <c r="DW307" s="1"/>
  <c r="DW308" a="1"/>
  <c r="DW308" s="1"/>
  <c r="DW310" a="1"/>
  <c r="DW310" s="1"/>
  <c r="DW315" a="1"/>
  <c r="DW315" s="1"/>
  <c r="DW317" a="1"/>
  <c r="DW317" s="1"/>
  <c r="DW321" a="1"/>
  <c r="DW321" s="1"/>
  <c r="DW322" a="1"/>
  <c r="DW322" s="1"/>
  <c r="DW324" a="1"/>
  <c r="DW324" s="1"/>
  <c r="DW327" a="1"/>
  <c r="DW327" s="1"/>
  <c r="DW328" a="1"/>
  <c r="DW328" s="1"/>
  <c r="DW330" a="1"/>
  <c r="DW330" s="1"/>
  <c r="DW331" a="1"/>
  <c r="DW331" s="1"/>
  <c r="DW337" a="1"/>
  <c r="DW337" s="1"/>
  <c r="DW341" a="1"/>
  <c r="DW341" s="1"/>
  <c r="DW342" a="1"/>
  <c r="DW342" s="1"/>
  <c r="DW343" a="1"/>
  <c r="DW343" s="1"/>
  <c r="DW346" a="1"/>
  <c r="DW346" s="1"/>
  <c r="DW348" a="1"/>
  <c r="DW348" s="1"/>
  <c r="DW349" a="1"/>
  <c r="DW349" s="1"/>
  <c r="DW353" a="1"/>
  <c r="DW353" s="1"/>
  <c r="DW356" a="1"/>
  <c r="DW356" s="1"/>
  <c r="DW358" a="1"/>
  <c r="DW358" s="1"/>
  <c r="DW359" a="1"/>
  <c r="DW359" s="1"/>
  <c r="DW360" a="1"/>
  <c r="DW360" s="1"/>
  <c r="DW362" a="1"/>
  <c r="DW362" s="1"/>
  <c r="DW364" a="1"/>
  <c r="DW364" s="1"/>
  <c r="DW366" a="1"/>
  <c r="DW366" s="1"/>
  <c r="DW367" a="1"/>
  <c r="DW367" s="1"/>
  <c r="DW368" a="1"/>
  <c r="DW368" s="1"/>
  <c r="DW370" a="1"/>
  <c r="DW370" s="1"/>
  <c r="DW371" a="1"/>
  <c r="DW371" s="1"/>
  <c r="DW373" a="1"/>
  <c r="DW373" s="1"/>
  <c r="DW375" a="1"/>
  <c r="DW375" s="1"/>
  <c r="DW377" a="1"/>
  <c r="DW377" s="1"/>
  <c r="DW379" a="1"/>
  <c r="DW379" s="1"/>
  <c r="DW380" a="1"/>
  <c r="DW380" s="1"/>
  <c r="DW381" a="1"/>
  <c r="DW381" s="1"/>
  <c r="DW389" a="1"/>
  <c r="DW389" s="1"/>
  <c r="DW393" a="1"/>
  <c r="DW393" s="1"/>
  <c r="DW394" a="1"/>
  <c r="DW394" s="1"/>
  <c r="DW396" a="1"/>
  <c r="DW396" s="1"/>
  <c r="DW398" a="1"/>
  <c r="DW398" s="1"/>
  <c r="DW400" a="1"/>
  <c r="DW400" s="1"/>
  <c r="DG2" a="1"/>
  <c r="DG2" s="1"/>
  <c r="DG3" a="1"/>
  <c r="DG3" s="1"/>
  <c r="DG6" a="1"/>
  <c r="DG6" s="1"/>
  <c r="DG7" a="1"/>
  <c r="DG7" s="1"/>
  <c r="DG9" a="1"/>
  <c r="DG9" s="1"/>
  <c r="DG10" a="1"/>
  <c r="DG10" s="1"/>
  <c r="DG11" a="1"/>
  <c r="DG11" s="1"/>
  <c r="DG16" a="1"/>
  <c r="DG16" s="1"/>
  <c r="DG47" a="1"/>
  <c r="DG47" s="1"/>
  <c r="DG79" a="1"/>
  <c r="DG79" s="1"/>
  <c r="DG80" a="1"/>
  <c r="DG80" s="1"/>
  <c r="DG81" a="1"/>
  <c r="DG81" s="1"/>
  <c r="DG87" a="1"/>
  <c r="DG87" s="1"/>
  <c r="DG88" a="1"/>
  <c r="DG88" s="1"/>
  <c r="DG90" a="1"/>
  <c r="DG90" s="1"/>
  <c r="DG91" a="1"/>
  <c r="DG91" s="1"/>
  <c r="DG93" a="1"/>
  <c r="DG93" s="1"/>
  <c r="DG95" a="1"/>
  <c r="DG95" s="1"/>
  <c r="DG111" a="1"/>
  <c r="DG111" s="1"/>
  <c r="DG129" a="1"/>
  <c r="DG129" s="1"/>
  <c r="DG128" a="1"/>
  <c r="DG128" s="1"/>
  <c r="DG131" a="1"/>
  <c r="DG131" s="1"/>
  <c r="DG133" a="1"/>
  <c r="DG133" s="1"/>
  <c r="DG134" a="1"/>
  <c r="DG134" s="1"/>
  <c r="DG135" a="1"/>
  <c r="DG135" s="1"/>
  <c r="DG145" a="1"/>
  <c r="DG145" s="1"/>
  <c r="DG146" a="1"/>
  <c r="DG146" s="1"/>
  <c r="DG148" a="1"/>
  <c r="DG148" s="1"/>
  <c r="DG150" a="1"/>
  <c r="DG150" s="1"/>
  <c r="DG156" a="1"/>
  <c r="DG156" s="1"/>
  <c r="DG161" a="1"/>
  <c r="DG161" s="1"/>
  <c r="DG163" a="1"/>
  <c r="DG163" s="1"/>
  <c r="DG165" a="1"/>
  <c r="DG165" s="1"/>
  <c r="DG167" a="1"/>
  <c r="DG167" s="1"/>
  <c r="DG169" a="1"/>
  <c r="DG169" s="1"/>
  <c r="DG171" a="1"/>
  <c r="DG171" s="1"/>
  <c r="DG172" a="1"/>
  <c r="DG172" s="1"/>
  <c r="DG173" a="1"/>
  <c r="DG173" s="1"/>
  <c r="DG175" a="1"/>
  <c r="DG175" s="1"/>
  <c r="DG176" a="1"/>
  <c r="DG176" s="1"/>
  <c r="DG177" a="1"/>
  <c r="DG177" s="1"/>
  <c r="DG179" a="1"/>
  <c r="DG179" s="1"/>
  <c r="DG180" a="1"/>
  <c r="DG180" s="1"/>
  <c r="DG181" a="1"/>
  <c r="DG181" s="1"/>
  <c r="DG188" a="1"/>
  <c r="DG188" s="1"/>
  <c r="DG190" a="1"/>
  <c r="DG190" s="1"/>
  <c r="DG193" a="1"/>
  <c r="DG193" s="1"/>
  <c r="DG194" a="1"/>
  <c r="DG194" s="1"/>
  <c r="DG196" a="1"/>
  <c r="DG196" s="1"/>
  <c r="DG197" a="1"/>
  <c r="DG197" s="1"/>
  <c r="DG198" a="1"/>
  <c r="DG198" s="1"/>
  <c r="DG200" a="1"/>
  <c r="DG200" s="1"/>
  <c r="DG201" a="1"/>
  <c r="DG201" s="1"/>
  <c r="DG202" a="1"/>
  <c r="DG202" s="1"/>
  <c r="DG204" a="1"/>
  <c r="DG204" s="1"/>
  <c r="DG205" a="1"/>
  <c r="DG205" s="1"/>
  <c r="DG206" a="1"/>
  <c r="DG206" s="1"/>
  <c r="DG210" a="1"/>
  <c r="DG210" s="1"/>
  <c r="DG211" a="1"/>
  <c r="DG211" s="1"/>
  <c r="DG212" a="1"/>
  <c r="DG212" s="1"/>
  <c r="DG214" a="1"/>
  <c r="DG214" s="1"/>
  <c r="DG215" a="1"/>
  <c r="DG215" s="1"/>
  <c r="DG216" a="1"/>
  <c r="DG216" s="1"/>
  <c r="DG218" a="1"/>
  <c r="DG218" s="1"/>
  <c r="DG219" a="1"/>
  <c r="DG219" s="1"/>
  <c r="DG220" a="1"/>
  <c r="DG220" s="1"/>
  <c r="DG222" a="1"/>
  <c r="DG222" s="1"/>
  <c r="DG223" a="1"/>
  <c r="DG223" s="1"/>
  <c r="DG224" a="1"/>
  <c r="DG224" s="1"/>
  <c r="DG227" a="1"/>
  <c r="DG227" s="1"/>
  <c r="DG229" a="1"/>
  <c r="DG229" s="1"/>
  <c r="DG234" a="1"/>
  <c r="DG234" s="1"/>
  <c r="DG235" a="1"/>
  <c r="DG235" s="1"/>
  <c r="DG236" a="1"/>
  <c r="DG236" s="1"/>
  <c r="DG238" a="1"/>
  <c r="DG238" s="1"/>
  <c r="DG239" a="1"/>
  <c r="DG239" s="1"/>
  <c r="DG240" a="1"/>
  <c r="DG240" s="1"/>
  <c r="DG242" a="1"/>
  <c r="DG242" s="1"/>
  <c r="DG244" a="1"/>
  <c r="DG244" s="1"/>
  <c r="DG246" a="1"/>
  <c r="DG246" s="1"/>
  <c r="DG247" a="1"/>
  <c r="DG247" s="1"/>
  <c r="DG248" a="1"/>
  <c r="DG248" s="1"/>
  <c r="DG251" a="1"/>
  <c r="DG251" s="1"/>
  <c r="DG252" a="1"/>
  <c r="DG252" s="1"/>
  <c r="DG254" a="1"/>
  <c r="DG254" s="1"/>
  <c r="DG255" a="1"/>
  <c r="DG255" s="1"/>
  <c r="DG256" a="1"/>
  <c r="DG256" s="1"/>
  <c r="DG258" a="1"/>
  <c r="DG258" s="1"/>
  <c r="DG259" a="1"/>
  <c r="DG259" s="1"/>
  <c r="DG260" a="1"/>
  <c r="DG260" s="1"/>
  <c r="DG262" a="1"/>
  <c r="DG262" s="1"/>
  <c r="DG263" a="1"/>
  <c r="DG263" s="1"/>
  <c r="DG272" a="1"/>
  <c r="DG272" s="1"/>
  <c r="DG276" a="1"/>
  <c r="DG276" s="1"/>
  <c r="DG277" a="1"/>
  <c r="DG277" s="1"/>
  <c r="DG313" a="1"/>
  <c r="DG313" s="1"/>
  <c r="DG325" a="1"/>
  <c r="DG325" s="1"/>
  <c r="DG326" a="1"/>
  <c r="DG326" s="1"/>
  <c r="DG332" a="1"/>
  <c r="DG332" s="1"/>
  <c r="DG335" a="1"/>
  <c r="DG335" s="1"/>
  <c r="DG339" a="1"/>
  <c r="DG339" s="1"/>
  <c r="DG345" a="1"/>
  <c r="DG345" s="1"/>
  <c r="DG382" a="1"/>
  <c r="DG382" s="1"/>
  <c r="DG384" a="1"/>
  <c r="DG384" s="1"/>
  <c r="DG390" a="1"/>
  <c r="DG390" s="1"/>
  <c r="DG391" a="1"/>
  <c r="DG391" s="1"/>
  <c r="DG392" a="1"/>
  <c r="DG392" s="1"/>
  <c r="DG14" a="1"/>
  <c r="DG14" s="1"/>
  <c r="DG15" a="1"/>
  <c r="DG15" s="1"/>
  <c r="DG56" a="1"/>
  <c r="DG56" s="1"/>
  <c r="DG59" a="1"/>
  <c r="DG59" s="1"/>
  <c r="DG60" a="1"/>
  <c r="DG60" s="1"/>
  <c r="DG68" a="1"/>
  <c r="DG68" s="1"/>
  <c r="DG98" a="1"/>
  <c r="DG98" s="1"/>
  <c r="DG99" a="1"/>
  <c r="DG99" s="1"/>
  <c r="DG100" a="1"/>
  <c r="DG100" s="1"/>
  <c r="DG103" a="1"/>
  <c r="DG103" s="1"/>
  <c r="DG106" a="1"/>
  <c r="DG106" s="1"/>
  <c r="DG107" a="1"/>
  <c r="DG107" s="1"/>
  <c r="DG121" a="1"/>
  <c r="DG121" s="1"/>
  <c r="DG123" a="1"/>
  <c r="DG123" s="1"/>
  <c r="DG138" a="1"/>
  <c r="DG138" s="1"/>
  <c r="DG139" a="1"/>
  <c r="DG139" s="1"/>
  <c r="DG141" a="1"/>
  <c r="DG141" s="1"/>
  <c r="DG152" a="1"/>
  <c r="DG152" s="1"/>
  <c r="DG153" a="1"/>
  <c r="DG153" s="1"/>
  <c r="DG155" a="1"/>
  <c r="DG155" s="1"/>
  <c r="DG267" a="1"/>
  <c r="DG267" s="1"/>
  <c r="DG268" a="1"/>
  <c r="DG268" s="1"/>
  <c r="DG283" a="1"/>
  <c r="DG283" s="1"/>
  <c r="DG284" a="1"/>
  <c r="DG284" s="1"/>
  <c r="DG285" a="1"/>
  <c r="DG285" s="1"/>
  <c r="DG296" a="1"/>
  <c r="DG296" s="1"/>
  <c r="DG305" a="1"/>
  <c r="DG305" s="1"/>
  <c r="DG312" a="1"/>
  <c r="DG312" s="1"/>
  <c r="DG319" a="1"/>
  <c r="DG319" s="1"/>
  <c r="DG19" a="1"/>
  <c r="DG19" s="1"/>
  <c r="DG21" a="1"/>
  <c r="DG21" s="1"/>
  <c r="DG22" a="1"/>
  <c r="DG22" s="1"/>
  <c r="DG23" a="1"/>
  <c r="DG23" s="1"/>
  <c r="DG25" a="1"/>
  <c r="DG25" s="1"/>
  <c r="DG26" a="1"/>
  <c r="DG26" s="1"/>
  <c r="DG27" a="1"/>
  <c r="DG27" s="1"/>
  <c r="DG30" a="1"/>
  <c r="DG30" s="1"/>
  <c r="DG31" a="1"/>
  <c r="DG31" s="1"/>
  <c r="DG34" a="1"/>
  <c r="DG34" s="1"/>
  <c r="DG35" a="1"/>
  <c r="DG35" s="1"/>
  <c r="DG36" a="1"/>
  <c r="DG36" s="1"/>
  <c r="DG38" a="1"/>
  <c r="DG38" s="1"/>
  <c r="DG39" a="1"/>
  <c r="DG39" s="1"/>
  <c r="DG40" a="1"/>
  <c r="DG40" s="1"/>
  <c r="DG42" a="1"/>
  <c r="DG42" s="1"/>
  <c r="DG43" a="1"/>
  <c r="DG43" s="1"/>
  <c r="DG44" a="1"/>
  <c r="DG44" s="1"/>
  <c r="DG46" a="1"/>
  <c r="DG46" s="1"/>
  <c r="DG48" a="1"/>
  <c r="DG48" s="1"/>
  <c r="DG49" a="1"/>
  <c r="DG49" s="1"/>
  <c r="DG51" a="1"/>
  <c r="DG51" s="1"/>
  <c r="DG52" a="1"/>
  <c r="DG52" s="1"/>
  <c r="DG53" a="1"/>
  <c r="DG53" s="1"/>
  <c r="DG58" a="1"/>
  <c r="DG58" s="1"/>
  <c r="DG61" a="1"/>
  <c r="DG61" s="1"/>
  <c r="DG64" a="1"/>
  <c r="DG64" s="1"/>
  <c r="DG65" a="1"/>
  <c r="DG65" s="1"/>
  <c r="DG66" a="1"/>
  <c r="DG66" s="1"/>
  <c r="DG76" a="1"/>
  <c r="DG76" s="1"/>
  <c r="DG77" a="1"/>
  <c r="DG77" s="1"/>
  <c r="DG78" a="1"/>
  <c r="DG78" s="1"/>
  <c r="DG105" a="1"/>
  <c r="DG105" s="1"/>
  <c r="DG109" a="1"/>
  <c r="DG109" s="1"/>
  <c r="DG110" a="1"/>
  <c r="DG110" s="1"/>
  <c r="DG113" a="1"/>
  <c r="DG113" s="1"/>
  <c r="DG115" a="1"/>
  <c r="DG115" s="1"/>
  <c r="DG117" a="1"/>
  <c r="DG117" s="1"/>
  <c r="DG119" a="1"/>
  <c r="DG119" s="1"/>
  <c r="DG120" a="1"/>
  <c r="DG120" s="1"/>
  <c r="DG125" a="1"/>
  <c r="DG125" s="1"/>
  <c r="DG157" a="1"/>
  <c r="DG157" s="1"/>
  <c r="DG264" a="1"/>
  <c r="DG264" s="1"/>
  <c r="DG265" a="1"/>
  <c r="DG265" s="1"/>
  <c r="DG270" a="1"/>
  <c r="DG270" s="1"/>
  <c r="DG271" a="1"/>
  <c r="DG271" s="1"/>
  <c r="DG278" a="1"/>
  <c r="DG278" s="1"/>
  <c r="DG279" a="1"/>
  <c r="DG279" s="1"/>
  <c r="DG280" a="1"/>
  <c r="DG280" s="1"/>
  <c r="DG288" a="1"/>
  <c r="DG288" s="1"/>
  <c r="DG289" a="1"/>
  <c r="DG289" s="1"/>
  <c r="DG291" a="1"/>
  <c r="DG291" s="1"/>
  <c r="DG292" a="1"/>
  <c r="DG292" s="1"/>
  <c r="DG293" a="1"/>
  <c r="DG293" s="1"/>
  <c r="DG295" a="1"/>
  <c r="DG295" s="1"/>
  <c r="DG297" a="1"/>
  <c r="DG297" s="1"/>
  <c r="DG298" a="1"/>
  <c r="DG298" s="1"/>
  <c r="DG300" a="1"/>
  <c r="DG300" s="1"/>
  <c r="DG301" a="1"/>
  <c r="DG301" s="1"/>
  <c r="DG302" a="1"/>
  <c r="DG302" s="1"/>
  <c r="DG307" a="1"/>
  <c r="DG307" s="1"/>
  <c r="DG308" a="1"/>
  <c r="DG308" s="1"/>
  <c r="DG309" a="1"/>
  <c r="DG309" s="1"/>
  <c r="DG311" a="1"/>
  <c r="DG311" s="1"/>
  <c r="DG315" a="1"/>
  <c r="DG315" s="1"/>
  <c r="DG316" a="1"/>
  <c r="DG316" s="1"/>
  <c r="DG321" a="1"/>
  <c r="DG321" s="1"/>
  <c r="DG322" a="1"/>
  <c r="DG322" s="1"/>
  <c r="DG323" a="1"/>
  <c r="DG323" s="1"/>
  <c r="DG327" a="1"/>
  <c r="DG327" s="1"/>
  <c r="DG328" a="1"/>
  <c r="DG328" s="1"/>
  <c r="DG329" a="1"/>
  <c r="DG329" s="1"/>
  <c r="DG331" a="1"/>
  <c r="DG331" s="1"/>
  <c r="DG337" a="1"/>
  <c r="DG337" s="1"/>
  <c r="DG338" a="1"/>
  <c r="DG338" s="1"/>
  <c r="DG342" a="1"/>
  <c r="DG342" s="1"/>
  <c r="DG343" a="1"/>
  <c r="DG343" s="1"/>
  <c r="DG344" a="1"/>
  <c r="DG344" s="1"/>
  <c r="DG348" a="1"/>
  <c r="DG348" s="1"/>
  <c r="DG349" a="1"/>
  <c r="DG349" s="1"/>
  <c r="DG350" a="1"/>
  <c r="DG350" s="1"/>
  <c r="DG355" a="1"/>
  <c r="DG355" s="1"/>
  <c r="DG356" a="1"/>
  <c r="DG356" s="1"/>
  <c r="DG357" a="1"/>
  <c r="DG357" s="1"/>
  <c r="DG359" a="1"/>
  <c r="DG359" s="1"/>
  <c r="DG360" a="1"/>
  <c r="DG360" s="1"/>
  <c r="DG361" a="1"/>
  <c r="DG361" s="1"/>
  <c r="DG364" a="1"/>
  <c r="DG364" s="1"/>
  <c r="DG365" a="1"/>
  <c r="DG365" s="1"/>
  <c r="DG367" a="1"/>
  <c r="DG367" s="1"/>
  <c r="DG368" a="1"/>
  <c r="DG368" s="1"/>
  <c r="DG369" a="1"/>
  <c r="DG369" s="1"/>
  <c r="DG371" a="1"/>
  <c r="DG371" s="1"/>
  <c r="DG373" a="1"/>
  <c r="DG373" s="1"/>
  <c r="DG374" a="1"/>
  <c r="DG374" s="1"/>
  <c r="DG376" a="1"/>
  <c r="DG376" s="1"/>
  <c r="DG378" a="1"/>
  <c r="DG378" s="1"/>
  <c r="DG380" a="1"/>
  <c r="DG380" s="1"/>
  <c r="DG381" a="1"/>
  <c r="DG381" s="1"/>
  <c r="DG388" a="1"/>
  <c r="DG388" s="1"/>
  <c r="DG393" a="1"/>
  <c r="DG393" s="1"/>
  <c r="DG394" a="1"/>
  <c r="DG394" s="1"/>
  <c r="DG395" a="1"/>
  <c r="DG395" s="1"/>
  <c r="DG397" a="1"/>
  <c r="DG397" s="1"/>
  <c r="DG399" a="1"/>
  <c r="DG399" s="1"/>
  <c r="CQ2" a="1"/>
  <c r="CQ2" s="1"/>
  <c r="CQ3" a="1"/>
  <c r="CQ3" s="1"/>
  <c r="CQ4" a="1"/>
  <c r="CQ4" s="1"/>
  <c r="CQ6" a="1"/>
  <c r="CQ6" s="1"/>
  <c r="CQ7" a="1"/>
  <c r="CQ7" s="1"/>
  <c r="CQ8" a="1"/>
  <c r="CQ8" s="1"/>
  <c r="CQ11" a="1"/>
  <c r="CQ11" s="1"/>
  <c r="CQ12" a="1"/>
  <c r="CQ12" s="1"/>
  <c r="CQ17" a="1"/>
  <c r="CQ17" s="1"/>
  <c r="CQ47" a="1"/>
  <c r="CQ47" s="1"/>
  <c r="CQ70" a="1"/>
  <c r="CQ70" s="1"/>
  <c r="CQ81" a="1"/>
  <c r="CQ81" s="1"/>
  <c r="CQ84" a="1"/>
  <c r="CQ84" s="1"/>
  <c r="CQ87" a="1"/>
  <c r="CQ87" s="1"/>
  <c r="CQ88" a="1"/>
  <c r="CQ88" s="1"/>
  <c r="CQ89" a="1"/>
  <c r="CQ89" s="1"/>
  <c r="CQ91" a="1"/>
  <c r="CQ91" s="1"/>
  <c r="CQ93" a="1"/>
  <c r="CQ93" s="1"/>
  <c r="CQ94" a="1"/>
  <c r="CQ94" s="1"/>
  <c r="CQ96" a="1"/>
  <c r="CQ96" s="1"/>
  <c r="CQ111" a="1"/>
  <c r="CQ111" s="1"/>
  <c r="CQ122" a="1"/>
  <c r="CQ122" s="1"/>
  <c r="CQ128" a="1"/>
  <c r="CQ128" s="1"/>
  <c r="CQ131" a="1"/>
  <c r="CQ131" s="1"/>
  <c r="CQ132" a="1"/>
  <c r="CQ132" s="1"/>
  <c r="CQ134" a="1"/>
  <c r="CQ134" s="1"/>
  <c r="CQ135" a="1"/>
  <c r="CQ135" s="1"/>
  <c r="CQ136" a="1"/>
  <c r="CQ136" s="1"/>
  <c r="CQ146" a="1"/>
  <c r="CQ146" s="1"/>
  <c r="CQ148" a="1"/>
  <c r="CQ148" s="1"/>
  <c r="CQ149" a="1"/>
  <c r="CQ149" s="1"/>
  <c r="CQ156" a="1"/>
  <c r="CQ156" s="1"/>
  <c r="CQ161" a="1"/>
  <c r="CQ161" s="1"/>
  <c r="CQ162" a="1"/>
  <c r="CQ162" s="1"/>
  <c r="CQ165" a="1"/>
  <c r="CQ165" s="1"/>
  <c r="CQ166" a="1"/>
  <c r="CQ166" s="1"/>
  <c r="CQ168" a="1"/>
  <c r="CQ168" s="1"/>
  <c r="CQ169" a="1"/>
  <c r="CQ169" s="1"/>
  <c r="CQ170" a="1"/>
  <c r="CQ170" s="1"/>
  <c r="CQ172" a="1"/>
  <c r="CQ172" s="1"/>
  <c r="CQ173" a="1"/>
  <c r="CQ173" s="1"/>
  <c r="CQ174" a="1"/>
  <c r="CQ174" s="1"/>
  <c r="CQ176" a="1"/>
  <c r="CQ176" s="1"/>
  <c r="CQ177" a="1"/>
  <c r="CQ177" s="1"/>
  <c r="CQ178" a="1"/>
  <c r="CQ178" s="1"/>
  <c r="CQ180" a="1"/>
  <c r="CQ180" s="1"/>
  <c r="CQ181" a="1"/>
  <c r="CQ181" s="1"/>
  <c r="CQ187" a="1"/>
  <c r="CQ187" s="1"/>
  <c r="CQ189" a="1"/>
  <c r="CQ189" s="1"/>
  <c r="CQ190" a="1"/>
  <c r="CQ190" s="1"/>
  <c r="CQ191" a="1"/>
  <c r="CQ191" s="1"/>
  <c r="CQ194" a="1"/>
  <c r="CQ194" s="1"/>
  <c r="CQ195" a="1"/>
  <c r="CQ195" s="1"/>
  <c r="CQ197" a="1"/>
  <c r="CQ197" s="1"/>
  <c r="CQ198" a="1"/>
  <c r="CQ198" s="1"/>
  <c r="CQ199" a="1"/>
  <c r="CQ199" s="1"/>
  <c r="CQ202" a="1"/>
  <c r="CQ202" s="1"/>
  <c r="CQ203" a="1"/>
  <c r="CQ203" s="1"/>
  <c r="CQ205" a="1"/>
  <c r="CQ205" s="1"/>
  <c r="CQ206" a="1"/>
  <c r="CQ206" s="1"/>
  <c r="CQ209" a="1"/>
  <c r="CQ209" s="1"/>
  <c r="CQ211" a="1"/>
  <c r="CQ211" s="1"/>
  <c r="CQ212" a="1"/>
  <c r="CQ212" s="1"/>
  <c r="CQ213" a="1"/>
  <c r="CQ213" s="1"/>
  <c r="CQ216" a="1"/>
  <c r="CQ216" s="1"/>
  <c r="CQ217" a="1"/>
  <c r="CQ217" s="1"/>
  <c r="CQ219" a="1"/>
  <c r="CQ219" s="1"/>
  <c r="CQ220" a="1"/>
  <c r="CQ220" s="1"/>
  <c r="CQ221" a="1"/>
  <c r="CQ221" s="1"/>
  <c r="CQ223" a="1"/>
  <c r="CQ223" s="1"/>
  <c r="CQ224" a="1"/>
  <c r="CQ224" s="1"/>
  <c r="CQ225" a="1"/>
  <c r="CQ225" s="1"/>
  <c r="CQ229" a="1"/>
  <c r="CQ229" s="1"/>
  <c r="CQ232" a="1"/>
  <c r="CQ232" s="1"/>
  <c r="CQ235" a="1"/>
  <c r="CQ235" s="1"/>
  <c r="CQ236" a="1"/>
  <c r="CQ236" s="1"/>
  <c r="CQ237" a="1"/>
  <c r="CQ237" s="1"/>
  <c r="CQ240" a="1"/>
  <c r="CQ240" s="1"/>
  <c r="CQ241" a="1"/>
  <c r="CQ241" s="1"/>
  <c r="CQ243" a="1"/>
  <c r="CQ243" s="1"/>
  <c r="CQ244" a="1"/>
  <c r="CQ244" s="1"/>
  <c r="CQ245" a="1"/>
  <c r="CQ245" s="1"/>
  <c r="CQ247" a="1"/>
  <c r="CQ247" s="1"/>
  <c r="CQ248" a="1"/>
  <c r="CQ248" s="1"/>
  <c r="CQ249" a="1"/>
  <c r="CQ249" s="1"/>
  <c r="CQ251" a="1"/>
  <c r="CQ251" s="1"/>
  <c r="CQ252" a="1"/>
  <c r="CQ252" s="1"/>
  <c r="CQ253" a="1"/>
  <c r="CQ253" s="1"/>
  <c r="CQ255" a="1"/>
  <c r="CQ255" s="1"/>
  <c r="CQ257" a="1"/>
  <c r="CQ257" s="1"/>
  <c r="CQ260" a="1"/>
  <c r="CQ260" s="1"/>
  <c r="CQ261" a="1"/>
  <c r="CQ261" s="1"/>
  <c r="CQ272" a="1"/>
  <c r="CQ272" s="1"/>
  <c r="CQ274" a="1"/>
  <c r="CQ274" s="1"/>
  <c r="CQ313" a="1"/>
  <c r="CQ313" s="1"/>
  <c r="CQ314" a="1"/>
  <c r="CQ314" s="1"/>
  <c r="CQ332" a="1"/>
  <c r="CQ332" s="1"/>
  <c r="CQ333" a="1"/>
  <c r="CQ333" s="1"/>
  <c r="CQ339" a="1"/>
  <c r="CQ339" s="1"/>
  <c r="CQ340" a="1"/>
  <c r="CQ340" s="1"/>
  <c r="CQ382" a="1"/>
  <c r="CQ382" s="1"/>
  <c r="CQ384" a="1"/>
  <c r="CQ384" s="1"/>
  <c r="CQ385" a="1"/>
  <c r="CQ385" s="1"/>
  <c r="CQ391" a="1"/>
  <c r="CQ391" s="1"/>
  <c r="CQ392" a="1"/>
  <c r="CQ392" s="1"/>
  <c r="CQ13" a="1"/>
  <c r="CQ13" s="1"/>
  <c r="CQ56" a="1"/>
  <c r="CQ56" s="1"/>
  <c r="CQ60" a="1"/>
  <c r="CQ60" s="1"/>
  <c r="CQ68" a="1"/>
  <c r="CQ68" s="1"/>
  <c r="CQ97" a="1"/>
  <c r="CQ97" s="1"/>
  <c r="CQ100" a="1"/>
  <c r="CQ100" s="1"/>
  <c r="CQ102" a="1"/>
  <c r="CQ102" s="1"/>
  <c r="CQ106" a="1"/>
  <c r="CQ106" s="1"/>
  <c r="CQ108" a="1"/>
  <c r="CQ108" s="1"/>
  <c r="CQ121" a="1"/>
  <c r="CQ121" s="1"/>
  <c r="CQ123" a="1"/>
  <c r="CQ123" s="1"/>
  <c r="CQ137" a="1"/>
  <c r="CQ137" s="1"/>
  <c r="CQ139" a="1"/>
  <c r="CQ139" s="1"/>
  <c r="CQ141" a="1"/>
  <c r="CQ141" s="1"/>
  <c r="CQ147" a="1"/>
  <c r="CQ147" s="1"/>
  <c r="CQ152" a="1"/>
  <c r="CQ152" s="1"/>
  <c r="CQ153" a="1"/>
  <c r="CQ153" s="1"/>
  <c r="CQ154" a="1"/>
  <c r="CQ154" s="1"/>
  <c r="CQ267" a="1"/>
  <c r="CQ267" s="1"/>
  <c r="CQ268" a="1"/>
  <c r="CQ268" s="1"/>
  <c r="CQ282" a="1"/>
  <c r="CQ282" s="1"/>
  <c r="CQ284" a="1"/>
  <c r="CQ284" s="1"/>
  <c r="CQ286" a="1"/>
  <c r="CQ286" s="1"/>
  <c r="CQ304" a="1"/>
  <c r="CQ304" s="1"/>
  <c r="CQ305" a="1"/>
  <c r="CQ305" s="1"/>
  <c r="CQ306" a="1"/>
  <c r="CQ306" s="1"/>
  <c r="CQ19" a="1"/>
  <c r="CQ19" s="1"/>
  <c r="CQ20" a="1"/>
  <c r="CQ20" s="1"/>
  <c r="CQ22" a="1"/>
  <c r="CQ22" s="1"/>
  <c r="CQ23" a="1"/>
  <c r="CQ23" s="1"/>
  <c r="CQ24" a="1"/>
  <c r="CQ24" s="1"/>
  <c r="CQ27" a="1"/>
  <c r="CQ27" s="1"/>
  <c r="CQ28" a="1"/>
  <c r="CQ28" s="1"/>
  <c r="CQ30" a="1"/>
  <c r="CQ30" s="1"/>
  <c r="CQ31" a="1"/>
  <c r="CQ31" s="1"/>
  <c r="CQ33" a="1"/>
  <c r="CQ33" s="1"/>
  <c r="CQ37" a="1"/>
  <c r="CQ37" s="1"/>
  <c r="CQ39" a="1"/>
  <c r="CQ39" s="1"/>
  <c r="CQ40" a="1"/>
  <c r="CQ40" s="1"/>
  <c r="CQ41" a="1"/>
  <c r="CQ41" s="1"/>
  <c r="CQ44" a="1"/>
  <c r="CQ44" s="1"/>
  <c r="CQ45" a="1"/>
  <c r="CQ45" s="1"/>
  <c r="CQ48" a="1"/>
  <c r="CQ48" s="1"/>
  <c r="CQ49" a="1"/>
  <c r="CQ49" s="1"/>
  <c r="CQ50" a="1"/>
  <c r="CQ50" s="1"/>
  <c r="CQ52" a="1"/>
  <c r="CQ52" s="1"/>
  <c r="CQ53" a="1"/>
  <c r="CQ53" s="1"/>
  <c r="CQ54" a="1"/>
  <c r="CQ54" s="1"/>
  <c r="CQ58" a="1"/>
  <c r="CQ58" s="1"/>
  <c r="CQ63" a="1"/>
  <c r="CQ63" s="1"/>
  <c r="CQ65" a="1"/>
  <c r="CQ65" s="1"/>
  <c r="CQ66" a="1"/>
  <c r="CQ66" s="1"/>
  <c r="CQ67" a="1"/>
  <c r="CQ67" s="1"/>
  <c r="CQ77" a="1"/>
  <c r="CQ77" s="1"/>
  <c r="CQ78" a="1"/>
  <c r="CQ78" s="1"/>
  <c r="CQ104" a="1"/>
  <c r="CQ104" s="1"/>
  <c r="CQ109" a="1"/>
  <c r="CQ109" s="1"/>
  <c r="CQ110" a="1"/>
  <c r="CQ110" s="1"/>
  <c r="CQ112" a="1"/>
  <c r="CQ112" s="1"/>
  <c r="CQ117" a="1"/>
  <c r="CQ117" s="1"/>
  <c r="CQ118" a="1"/>
  <c r="CQ118" s="1"/>
  <c r="CQ120" a="1"/>
  <c r="CQ120" s="1"/>
  <c r="CQ125" a="1"/>
  <c r="CQ125" s="1"/>
  <c r="CQ126" a="1"/>
  <c r="CQ126" s="1"/>
  <c r="CQ265" a="1"/>
  <c r="CQ265" s="1"/>
  <c r="CQ266" a="1"/>
  <c r="CQ266" s="1"/>
  <c r="CQ270" a="1"/>
  <c r="CQ270" s="1"/>
  <c r="CQ271" a="1"/>
  <c r="CQ271" s="1"/>
  <c r="CQ275" a="1"/>
  <c r="CQ275" s="1"/>
  <c r="CQ280" a="1"/>
  <c r="CQ280" s="1"/>
  <c r="CQ281" a="1"/>
  <c r="CQ281" s="1"/>
  <c r="CQ288" a="1"/>
  <c r="CQ288" s="1"/>
  <c r="CQ290" a="1"/>
  <c r="CQ290" s="1"/>
  <c r="CQ293" a="1"/>
  <c r="CQ293" s="1"/>
  <c r="CQ294" a="1"/>
  <c r="CQ294" s="1"/>
  <c r="CQ298" a="1"/>
  <c r="CQ298" s="1"/>
  <c r="CQ299" a="1"/>
  <c r="CQ299" s="1"/>
  <c r="CQ302" a="1"/>
  <c r="CQ302" s="1"/>
  <c r="CQ303" a="1"/>
  <c r="CQ303" s="1"/>
  <c r="CQ309" a="1"/>
  <c r="CQ309" s="1"/>
  <c r="CQ310" a="1"/>
  <c r="CQ310" s="1"/>
  <c r="CQ315" a="1"/>
  <c r="CQ315" s="1"/>
  <c r="CQ316" a="1"/>
  <c r="CQ316" s="1"/>
  <c r="CQ317" a="1"/>
  <c r="CQ317" s="1"/>
  <c r="CQ323" a="1"/>
  <c r="CQ323" s="1"/>
  <c r="CQ324" a="1"/>
  <c r="CQ324" s="1"/>
  <c r="CQ328" a="1"/>
  <c r="CQ328" s="1"/>
  <c r="CQ329" a="1"/>
  <c r="CQ329" s="1"/>
  <c r="CQ330" a="1"/>
  <c r="CQ330" s="1"/>
  <c r="CQ338" a="1"/>
  <c r="CQ338" s="1"/>
  <c r="CQ341" a="1"/>
  <c r="CQ341" s="1"/>
  <c r="CQ343" a="1"/>
  <c r="CQ343" s="1"/>
  <c r="CQ344" a="1"/>
  <c r="CQ344" s="1"/>
  <c r="CQ346" a="1"/>
  <c r="CQ346" s="1"/>
  <c r="CQ349" a="1"/>
  <c r="CQ349" s="1"/>
  <c r="CQ350" a="1"/>
  <c r="CQ350" s="1"/>
  <c r="CQ353" a="1"/>
  <c r="CQ353" s="1"/>
  <c r="CQ357" a="1"/>
  <c r="CQ357" s="1"/>
  <c r="CQ358" a="1"/>
  <c r="CQ358" s="1"/>
  <c r="CQ360" a="1"/>
  <c r="CQ360" s="1"/>
  <c r="CQ361" a="1"/>
  <c r="CQ361" s="1"/>
  <c r="CQ362" a="1"/>
  <c r="CQ362" s="1"/>
  <c r="CQ365" a="1"/>
  <c r="CQ365" s="1"/>
  <c r="CQ366" a="1"/>
  <c r="CQ366" s="1"/>
  <c r="CQ368" a="1"/>
  <c r="CQ368" s="1"/>
  <c r="CQ369" a="1"/>
  <c r="CQ369" s="1"/>
  <c r="CQ370" a="1"/>
  <c r="CQ370" s="1"/>
  <c r="CQ374" a="1"/>
  <c r="CQ374" s="1"/>
  <c r="CQ375" a="1"/>
  <c r="CQ375" s="1"/>
  <c r="CQ377" a="1"/>
  <c r="CQ377" s="1"/>
  <c r="CQ378" a="1"/>
  <c r="CQ378" s="1"/>
  <c r="CQ379" a="1"/>
  <c r="CQ379" s="1"/>
  <c r="CQ388" a="1"/>
  <c r="CQ388" s="1"/>
  <c r="CQ389" a="1"/>
  <c r="CQ389" s="1"/>
  <c r="CQ394" a="1"/>
  <c r="CQ394" s="1"/>
  <c r="CQ395" a="1"/>
  <c r="CQ395" s="1"/>
  <c r="CQ396" a="1"/>
  <c r="CQ396" s="1"/>
  <c r="CQ400" a="1"/>
  <c r="CQ400" s="1"/>
  <c r="CA5" a="1"/>
  <c r="CA5" s="1"/>
  <c r="CA7" a="1"/>
  <c r="CA7" s="1"/>
  <c r="CA8" a="1"/>
  <c r="CA8" s="1"/>
  <c r="CA9" a="1"/>
  <c r="CA9" s="1"/>
  <c r="CA16" a="1"/>
  <c r="CA16" s="1"/>
  <c r="CA47" a="1"/>
  <c r="CA47" s="1"/>
  <c r="CA79" a="1"/>
  <c r="CA79" s="1"/>
  <c r="CA81" a="1"/>
  <c r="CA81" s="1"/>
  <c r="CA84" a="1"/>
  <c r="CA84" s="1"/>
  <c r="CA86" a="1"/>
  <c r="CA86" s="1"/>
  <c r="CA88" a="1"/>
  <c r="CA88" s="1"/>
  <c r="CA89" a="1"/>
  <c r="CA89" s="1"/>
  <c r="CA90" a="1"/>
  <c r="CA90" s="1"/>
  <c r="CA93" a="1"/>
  <c r="CA93" s="1"/>
  <c r="CA94" a="1"/>
  <c r="CA94" s="1"/>
  <c r="CA95" a="1"/>
  <c r="CA95" s="1"/>
  <c r="CA122" a="1"/>
  <c r="CA122" s="1"/>
  <c r="CA129" a="1"/>
  <c r="CA129" s="1"/>
  <c r="CA131" a="1"/>
  <c r="CA131" s="1"/>
  <c r="CA132" a="1"/>
  <c r="CA132" s="1"/>
  <c r="CA133" a="1"/>
  <c r="CA133" s="1"/>
  <c r="CA136" a="1"/>
  <c r="CA136" s="1"/>
  <c r="CA145" a="1"/>
  <c r="CA145" s="1"/>
  <c r="CA148" a="1"/>
  <c r="CA148" s="1"/>
  <c r="CA149" a="1"/>
  <c r="CA149" s="1"/>
  <c r="CA150" a="1"/>
  <c r="CA150" s="1"/>
  <c r="CA162" a="1"/>
  <c r="CA162" s="1"/>
  <c r="CA163" a="1"/>
  <c r="CA163" s="1"/>
  <c r="CA165" a="1"/>
  <c r="CA165" s="1"/>
  <c r="CA167" a="1"/>
  <c r="CA167" s="1"/>
  <c r="CA170" a="1"/>
  <c r="CA170" s="1"/>
  <c r="CA171" a="1"/>
  <c r="CA171" s="1"/>
  <c r="CA174" a="1"/>
  <c r="CA174" s="1"/>
  <c r="CA175" a="1"/>
  <c r="CA175" s="1"/>
  <c r="CA178" a="1"/>
  <c r="CA178" s="1"/>
  <c r="CA179" a="1"/>
  <c r="CA179" s="1"/>
  <c r="CA187" a="1"/>
  <c r="CA187" s="1"/>
  <c r="CA188" a="1"/>
  <c r="CA188" s="1"/>
  <c r="CA191" a="1"/>
  <c r="CA191" s="1"/>
  <c r="CA192" a="1"/>
  <c r="CA192" s="1"/>
  <c r="CA195" a="1"/>
  <c r="CA195" s="1"/>
  <c r="CA196" a="1"/>
  <c r="CA196" s="1"/>
  <c r="CA198" a="1"/>
  <c r="CA198" s="1"/>
  <c r="CA199" a="1"/>
  <c r="CA199" s="1"/>
  <c r="CA200" a="1"/>
  <c r="CA200" s="1"/>
  <c r="CA203" a="1"/>
  <c r="CA203" s="1"/>
  <c r="CA204" a="1"/>
  <c r="CA204" s="1"/>
  <c r="CA206" a="1"/>
  <c r="CA206" s="1"/>
  <c r="CA209" a="1"/>
  <c r="CA209" s="1"/>
  <c r="CA210" a="1"/>
  <c r="CA210" s="1"/>
  <c r="CA213" a="1"/>
  <c r="CA213" s="1"/>
  <c r="CA214" a="1"/>
  <c r="CA214" s="1"/>
  <c r="CA216" a="1"/>
  <c r="CA216" s="1"/>
  <c r="CA217" a="1"/>
  <c r="CA217" s="1"/>
  <c r="CA218" a="1"/>
  <c r="CA218" s="1"/>
  <c r="CA221" a="1"/>
  <c r="CA221" s="1"/>
  <c r="CA222" a="1"/>
  <c r="CA222" s="1"/>
  <c r="CA224" a="1"/>
  <c r="CA224" s="1"/>
  <c r="CA225" a="1"/>
  <c r="CA225" s="1"/>
  <c r="CA226" a="1"/>
  <c r="CA226" s="1"/>
  <c r="CA229" a="1"/>
  <c r="CA229" s="1"/>
  <c r="CA234" a="1"/>
  <c r="CA234" s="1"/>
  <c r="CA236" a="1"/>
  <c r="CA236" s="1"/>
  <c r="CA237" a="1"/>
  <c r="CA237" s="1"/>
  <c r="CA238" a="1"/>
  <c r="CA238" s="1"/>
  <c r="CA242" a="1"/>
  <c r="CA242" s="1"/>
  <c r="CA245" a="1"/>
  <c r="CA245" s="1"/>
  <c r="CA246" a="1"/>
  <c r="CA246" s="1"/>
  <c r="CA249" a="1"/>
  <c r="CA249" s="1"/>
  <c r="CA250" a="1"/>
  <c r="CA250" s="1"/>
  <c r="CA254" a="1"/>
  <c r="CA254" s="1"/>
  <c r="CA256" a="1"/>
  <c r="CA256" s="1"/>
  <c r="CA257" a="1"/>
  <c r="CA257" s="1"/>
  <c r="CA258" a="1"/>
  <c r="CA258" s="1"/>
  <c r="CA261" a="1"/>
  <c r="CA261" s="1"/>
  <c r="CA262" a="1"/>
  <c r="CA262" s="1"/>
  <c r="CA272" a="1"/>
  <c r="CA272" s="1"/>
  <c r="CA276" a="1"/>
  <c r="CA276" s="1"/>
  <c r="CA314" a="1"/>
  <c r="CA314" s="1"/>
  <c r="CA325" a="1"/>
  <c r="CA325" s="1"/>
  <c r="CA333" a="1"/>
  <c r="CA333" s="1"/>
  <c r="CA334" a="1"/>
  <c r="CA334" s="1"/>
  <c r="CA340" a="1"/>
  <c r="CA340" s="1"/>
  <c r="CA345" a="1"/>
  <c r="CA345" s="1"/>
  <c r="CA384" a="1"/>
  <c r="CA384" s="1"/>
  <c r="CA385" a="1"/>
  <c r="CA385" s="1"/>
  <c r="CA390" a="1"/>
  <c r="CA390" s="1"/>
  <c r="CA13" a="1"/>
  <c r="CA13" s="1"/>
  <c r="CA14" a="1"/>
  <c r="CA14" s="1"/>
  <c r="CA59" a="1"/>
  <c r="CA59" s="1"/>
  <c r="CA68" a="1"/>
  <c r="CA68" s="1"/>
  <c r="CA97" a="1"/>
  <c r="CA97" s="1"/>
  <c r="CA98" a="1"/>
  <c r="CA98" s="1"/>
  <c r="CA103" a="1"/>
  <c r="CA103" s="1"/>
  <c r="CA114" a="1"/>
  <c r="CA114" s="1"/>
  <c r="CA123" a="1"/>
  <c r="CA123" s="1"/>
  <c r="CA137" a="1"/>
  <c r="CA137" s="1"/>
  <c r="CA138" a="1"/>
  <c r="CA138" s="1"/>
  <c r="CA151" a="1"/>
  <c r="CA151" s="1"/>
  <c r="CA155" a="1"/>
  <c r="CA155" s="1"/>
  <c r="CA268" a="1"/>
  <c r="CA268" s="1"/>
  <c r="CA282" a="1"/>
  <c r="CA282" s="1"/>
  <c r="CA283" a="1"/>
  <c r="CA283" s="1"/>
  <c r="CA286" a="1"/>
  <c r="CA286" s="1"/>
  <c r="CA296" a="1"/>
  <c r="CA296" s="1"/>
  <c r="CA305" a="1"/>
  <c r="CA305" s="1"/>
  <c r="CA312" a="1"/>
  <c r="CA312" s="1"/>
  <c r="CA20" a="1"/>
  <c r="CA20" s="1"/>
  <c r="CA21" a="1"/>
  <c r="CA21" s="1"/>
  <c r="CA24" a="1"/>
  <c r="CA24" s="1"/>
  <c r="CA25" a="1"/>
  <c r="CA25" s="1"/>
  <c r="CA28" a="1"/>
  <c r="CA28" s="1"/>
  <c r="CA29" a="1"/>
  <c r="CA29" s="1"/>
  <c r="CA34" a="1"/>
  <c r="CA34" s="1"/>
  <c r="CA36" a="1"/>
  <c r="CA36" s="1"/>
  <c r="CA37" a="1"/>
  <c r="CA37" s="1"/>
  <c r="CA38" a="1"/>
  <c r="CA38" s="1"/>
  <c r="CA41" a="1"/>
  <c r="CA41" s="1"/>
  <c r="CA42" a="1"/>
  <c r="CA42" s="1"/>
  <c r="CA44" a="1"/>
  <c r="CA44" s="1"/>
  <c r="CA46" a="1"/>
  <c r="CA46" s="1"/>
  <c r="CA50" a="1"/>
  <c r="CA50" s="1"/>
  <c r="CA51" a="1"/>
  <c r="CA51" s="1"/>
  <c r="CA54" a="1"/>
  <c r="CA54" s="1"/>
  <c r="CA55" a="1"/>
  <c r="CA55" s="1"/>
  <c r="CA61" a="1"/>
  <c r="CA61" s="1"/>
  <c r="CA64" a="1"/>
  <c r="CA64" s="1"/>
  <c r="CA67" a="1"/>
  <c r="CA67" s="1"/>
  <c r="CA76" a="1"/>
  <c r="CA76" s="1"/>
  <c r="CA105" a="1"/>
  <c r="CA105" s="1"/>
  <c r="CA112" a="1"/>
  <c r="CA112" s="1"/>
  <c r="CA113" a="1"/>
  <c r="CA113" s="1"/>
  <c r="CA118" a="1"/>
  <c r="CA118" s="1"/>
  <c r="CA119" a="1"/>
  <c r="CA119" s="1"/>
  <c r="CA157" a="1"/>
  <c r="CA157" s="1"/>
  <c r="CA266" a="1"/>
  <c r="CA266" s="1"/>
  <c r="CA269" a="1"/>
  <c r="CA269" s="1"/>
  <c r="CA275" a="1"/>
  <c r="CA275" s="1"/>
  <c r="CA278" a="1"/>
  <c r="CA278" s="1"/>
  <c r="CA287" a="1"/>
  <c r="CA287" s="1"/>
  <c r="CA289" a="1"/>
  <c r="CA289" s="1"/>
  <c r="CA290" a="1"/>
  <c r="CA290" s="1"/>
  <c r="CA291" a="1"/>
  <c r="CA291" s="1"/>
  <c r="CA295" a="1"/>
  <c r="CA295" s="1"/>
  <c r="CA299" a="1"/>
  <c r="CA299" s="1"/>
  <c r="CA300" a="1"/>
  <c r="CA300" s="1"/>
  <c r="CA303" a="1"/>
  <c r="CA303" s="1"/>
  <c r="CA307" a="1"/>
  <c r="CA307" s="1"/>
  <c r="CA311" a="1"/>
  <c r="CA311" s="1"/>
  <c r="CA316" a="1"/>
  <c r="CA316" s="1"/>
  <c r="CA321" a="1"/>
  <c r="CA321" s="1"/>
  <c r="CA324" a="1"/>
  <c r="CA324" s="1"/>
  <c r="CA327" a="1"/>
  <c r="CA327" s="1"/>
  <c r="CA331" a="1"/>
  <c r="CA331" s="1"/>
  <c r="CA338" a="1"/>
  <c r="CA338" s="1"/>
  <c r="CA342" a="1"/>
  <c r="CA342" s="1"/>
  <c r="CA346" a="1"/>
  <c r="CA346" s="1"/>
  <c r="CA348" a="1"/>
  <c r="CA348" s="1"/>
  <c r="CA353" a="1"/>
  <c r="CA353" s="1"/>
  <c r="CA355" a="1"/>
  <c r="CA355" s="1"/>
  <c r="CA357" a="1"/>
  <c r="CA357" s="1"/>
  <c r="CA359" a="1"/>
  <c r="CA359" s="1"/>
  <c r="CA362" a="1"/>
  <c r="CA362" s="1"/>
  <c r="CA363" a="1"/>
  <c r="CA363" s="1"/>
  <c r="CA366" a="1"/>
  <c r="CA366" s="1"/>
  <c r="CA367" a="1"/>
  <c r="CA367" s="1"/>
  <c r="CA369" a="1"/>
  <c r="CA369" s="1"/>
  <c r="CA370" a="1"/>
  <c r="CA370" s="1"/>
  <c r="CA371" a="1"/>
  <c r="CA371" s="1"/>
  <c r="CA376" a="1"/>
  <c r="CA376" s="1"/>
  <c r="CA379" a="1"/>
  <c r="CA379" s="1"/>
  <c r="CA380" a="1"/>
  <c r="CA380" s="1"/>
  <c r="CA389" a="1"/>
  <c r="CA389" s="1"/>
  <c r="CA393" a="1"/>
  <c r="CA393" s="1"/>
  <c r="CA396" a="1"/>
  <c r="CA396" s="1"/>
  <c r="CA397" a="1"/>
  <c r="CA397" s="1"/>
  <c r="CA399" a="1"/>
  <c r="CA399" s="1"/>
  <c r="CA400" a="1"/>
  <c r="CA400" s="1"/>
  <c r="BK2" a="1"/>
  <c r="BK2" s="1"/>
  <c r="AE3" a="1"/>
  <c r="AE3" s="1"/>
  <c r="AE7" a="1"/>
  <c r="AE7" s="1"/>
  <c r="AE11" a="1"/>
  <c r="AE11" s="1"/>
  <c r="AE47" a="1"/>
  <c r="AE47" s="1"/>
  <c r="AE81" a="1"/>
  <c r="AE81" s="1"/>
  <c r="AE88" a="1"/>
  <c r="AE88" s="1"/>
  <c r="AE93" a="1"/>
  <c r="AE93" s="1"/>
  <c r="AE111" a="1"/>
  <c r="AE111" s="1"/>
  <c r="AE131" a="1"/>
  <c r="AE131" s="1"/>
  <c r="AE135" a="1"/>
  <c r="AE135" s="1"/>
  <c r="AE148" a="1"/>
  <c r="AE148" s="1"/>
  <c r="AE161" a="1"/>
  <c r="AE161" s="1"/>
  <c r="AE165" a="1"/>
  <c r="AE165" s="1"/>
  <c r="AE169" a="1"/>
  <c r="AE169" s="1"/>
  <c r="AE173" a="1"/>
  <c r="AE173" s="1"/>
  <c r="AE177" a="1"/>
  <c r="AE177" s="1"/>
  <c r="AE181" a="1"/>
  <c r="AE181" s="1"/>
  <c r="AE190" a="1"/>
  <c r="AE190" s="1"/>
  <c r="AE194" a="1"/>
  <c r="AE194" s="1"/>
  <c r="AE198" a="1"/>
  <c r="AE198" s="1"/>
  <c r="AE202" a="1"/>
  <c r="AE202" s="1"/>
  <c r="AE206" a="1"/>
  <c r="AE206" s="1"/>
  <c r="AE212" a="1"/>
  <c r="AE212" s="1"/>
  <c r="AE216" a="1"/>
  <c r="AE216" s="1"/>
  <c r="AE220" a="1"/>
  <c r="AE220" s="1"/>
  <c r="AE224" a="1"/>
  <c r="AE224" s="1"/>
  <c r="AE229" a="1"/>
  <c r="AE229" s="1"/>
  <c r="AE236" a="1"/>
  <c r="AE236" s="1"/>
  <c r="AE240" a="1"/>
  <c r="AE240" s="1"/>
  <c r="AE244" a="1"/>
  <c r="AE244" s="1"/>
  <c r="AE248" a="1"/>
  <c r="AE248" s="1"/>
  <c r="AE252" a="1"/>
  <c r="AE252" s="1"/>
  <c r="AE256" a="1"/>
  <c r="AE256" s="1"/>
  <c r="AE260" a="1"/>
  <c r="AE260" s="1"/>
  <c r="AE272" a="1"/>
  <c r="AE272" s="1"/>
  <c r="AE313" a="1"/>
  <c r="AE313" s="1"/>
  <c r="AE332" a="1"/>
  <c r="AE332" s="1"/>
  <c r="AE339" a="1"/>
  <c r="AE339" s="1"/>
  <c r="AE384" a="1"/>
  <c r="AE384" s="1"/>
  <c r="AE392" a="1"/>
  <c r="AE392" s="1"/>
  <c r="AE56" a="1"/>
  <c r="AE56" s="1"/>
  <c r="AE68" a="1"/>
  <c r="AE68" s="1"/>
  <c r="AE100" a="1"/>
  <c r="AE100" s="1"/>
  <c r="AE107" a="1"/>
  <c r="AE107" s="1"/>
  <c r="AE123" a="1"/>
  <c r="AE123" s="1"/>
  <c r="AE141" a="1"/>
  <c r="AE141" s="1"/>
  <c r="AE153" a="1"/>
  <c r="AE153" s="1"/>
  <c r="AE268" a="1"/>
  <c r="AE268" s="1"/>
  <c r="AE285" a="1"/>
  <c r="AE285" s="1"/>
  <c r="AE305" a="1"/>
  <c r="AE305" s="1"/>
  <c r="AE19" a="1"/>
  <c r="AE19" s="1"/>
  <c r="AE23" a="1"/>
  <c r="AE23" s="1"/>
  <c r="AE27" a="1"/>
  <c r="AE27" s="1"/>
  <c r="AE31" a="1"/>
  <c r="AE31" s="1"/>
  <c r="AE36" a="1"/>
  <c r="AE36" s="1"/>
  <c r="AE40" a="1"/>
  <c r="AE40" s="1"/>
  <c r="AE44" a="1"/>
  <c r="AE44" s="1"/>
  <c r="AE49" a="1"/>
  <c r="AE49" s="1"/>
  <c r="AE53" a="1"/>
  <c r="AE53" s="1"/>
  <c r="AE61" a="1"/>
  <c r="AE61" s="1"/>
  <c r="AE66" a="1"/>
  <c r="AE66" s="1"/>
  <c r="AE78" a="1"/>
  <c r="AE78" s="1"/>
  <c r="AE110" a="1"/>
  <c r="AE110" s="1"/>
  <c r="AE117" a="1"/>
  <c r="AE117" s="1"/>
  <c r="AE125" a="1"/>
  <c r="AE125" s="1"/>
  <c r="AE265" a="1"/>
  <c r="AE265" s="1"/>
  <c r="AE271" a="1"/>
  <c r="AE271" s="1"/>
  <c r="AE280" a="1"/>
  <c r="AE280" s="1"/>
  <c r="AE289" a="1"/>
  <c r="AE289" s="1"/>
  <c r="AE293" a="1"/>
  <c r="AE293" s="1"/>
  <c r="AE298" a="1"/>
  <c r="AE298" s="1"/>
  <c r="AE302" a="1"/>
  <c r="AE302" s="1"/>
  <c r="AE309" a="1"/>
  <c r="AE309" s="1"/>
  <c r="AE316" a="1"/>
  <c r="AE316" s="1"/>
  <c r="AE323" a="1"/>
  <c r="AE323" s="1"/>
  <c r="AE329" a="1"/>
  <c r="AE329" s="1"/>
  <c r="AE338" a="1"/>
  <c r="AE338" s="1"/>
  <c r="AE344" a="1"/>
  <c r="AE344" s="1"/>
  <c r="AE350" a="1"/>
  <c r="AE350" s="1"/>
  <c r="AE357" a="1"/>
  <c r="AE357" s="1"/>
  <c r="AE361" a="1"/>
  <c r="AE361" s="1"/>
  <c r="AE365" a="1"/>
  <c r="AE365" s="1"/>
  <c r="AE369" a="1"/>
  <c r="AE369" s="1"/>
  <c r="AE374" a="1"/>
  <c r="AE374" s="1"/>
  <c r="AE378" a="1"/>
  <c r="AE378" s="1"/>
  <c r="AE388" a="1"/>
  <c r="AE388" s="1"/>
  <c r="AE395" a="1"/>
  <c r="AE395" s="1"/>
  <c r="AE399" a="1"/>
  <c r="AE399" s="1"/>
  <c r="EM255" a="1"/>
  <c r="EM255" s="1"/>
  <c r="EM259" a="1"/>
  <c r="EM259" s="1"/>
  <c r="EM263" a="1"/>
  <c r="EM263" s="1"/>
  <c r="EM277" a="1"/>
  <c r="EM277" s="1"/>
  <c r="EM326" a="1"/>
  <c r="EM326" s="1"/>
  <c r="EM335" a="1"/>
  <c r="EM335" s="1"/>
  <c r="EM382" a="1"/>
  <c r="EM382" s="1"/>
  <c r="EM385" a="1"/>
  <c r="EM385" s="1"/>
  <c r="EM391" a="1"/>
  <c r="EM391" s="1"/>
  <c r="EM13" a="1"/>
  <c r="EM13" s="1"/>
  <c r="EM15" a="1"/>
  <c r="EM15" s="1"/>
  <c r="EM60" a="1"/>
  <c r="EM60" s="1"/>
  <c r="EM97" a="1"/>
  <c r="EM97" s="1"/>
  <c r="EM99" a="1"/>
  <c r="EM99" s="1"/>
  <c r="EM102" a="1"/>
  <c r="EM102" s="1"/>
  <c r="EM106" a="1"/>
  <c r="EM106" s="1"/>
  <c r="EM108" a="1"/>
  <c r="EM108" s="1"/>
  <c r="EM121" a="1"/>
  <c r="EM121" s="1"/>
  <c r="EM137" a="1"/>
  <c r="EM137" s="1"/>
  <c r="EM139" a="1"/>
  <c r="EM139" s="1"/>
  <c r="EM147" a="1"/>
  <c r="EM147" s="1"/>
  <c r="EM152" a="1"/>
  <c r="EM152" s="1"/>
  <c r="EM154" a="1"/>
  <c r="EM154" s="1"/>
  <c r="EM267" a="1"/>
  <c r="EM267" s="1"/>
  <c r="EM282" a="1"/>
  <c r="EM282" s="1"/>
  <c r="EM284" a="1"/>
  <c r="EM284" s="1"/>
  <c r="EM286" a="1"/>
  <c r="EM286" s="1"/>
  <c r="EM304" a="1"/>
  <c r="EM304" s="1"/>
  <c r="EM306" a="1"/>
  <c r="EM306" s="1"/>
  <c r="EM319" a="1"/>
  <c r="EM319" s="1"/>
  <c r="EM20" a="1"/>
  <c r="EM20" s="1"/>
  <c r="EM22" a="1"/>
  <c r="EM22" s="1"/>
  <c r="EM24" a="1"/>
  <c r="EM24" s="1"/>
  <c r="EM26" a="1"/>
  <c r="EM26" s="1"/>
  <c r="EM28" a="1"/>
  <c r="EM28" s="1"/>
  <c r="EM30" a="1"/>
  <c r="EM30" s="1"/>
  <c r="EM33" a="1"/>
  <c r="EM33" s="1"/>
  <c r="EM35" a="1"/>
  <c r="EM35" s="1"/>
  <c r="EM37" a="1"/>
  <c r="EM37" s="1"/>
  <c r="EM39" a="1"/>
  <c r="EM39" s="1"/>
  <c r="EM41" a="1"/>
  <c r="EM41" s="1"/>
  <c r="EM43" a="1"/>
  <c r="EM43" s="1"/>
  <c r="EM45" a="1"/>
  <c r="EM45" s="1"/>
  <c r="EM48" a="1"/>
  <c r="EM48" s="1"/>
  <c r="EM49" a="1"/>
  <c r="EM49" s="1"/>
  <c r="EM50" a="1"/>
  <c r="EM50" s="1"/>
  <c r="EM52" a="1"/>
  <c r="EM52" s="1"/>
  <c r="EM54" a="1"/>
  <c r="EM54" s="1"/>
  <c r="EM58" a="1"/>
  <c r="EM58" s="1"/>
  <c r="EM63" a="1"/>
  <c r="EM63" s="1"/>
  <c r="EM67" a="1"/>
  <c r="EM67" s="1"/>
  <c r="EM77" a="1"/>
  <c r="EM77" s="1"/>
  <c r="EM104" a="1"/>
  <c r="EM104" s="1"/>
  <c r="EM109" a="1"/>
  <c r="EM109" s="1"/>
  <c r="EM112" a="1"/>
  <c r="EM112" s="1"/>
  <c r="EM117" a="1"/>
  <c r="EM117" s="1"/>
  <c r="EM118" a="1"/>
  <c r="EM118" s="1"/>
  <c r="EM120" a="1"/>
  <c r="EM120" s="1"/>
  <c r="EM126" a="1"/>
  <c r="EM126" s="1"/>
  <c r="EM264" a="1"/>
  <c r="EM264" s="1"/>
  <c r="EM266" a="1"/>
  <c r="EM266" s="1"/>
  <c r="EM275" a="1"/>
  <c r="EM275" s="1"/>
  <c r="EM279" a="1"/>
  <c r="EM279" s="1"/>
  <c r="EM281" a="1"/>
  <c r="EM281" s="1"/>
  <c r="EM290" a="1"/>
  <c r="EM290" s="1"/>
  <c r="EM292" a="1"/>
  <c r="EM292" s="1"/>
  <c r="EM294" a="1"/>
  <c r="EM294" s="1"/>
  <c r="EM297" a="1"/>
  <c r="EM297" s="1"/>
  <c r="EM299" a="1"/>
  <c r="EM299" s="1"/>
  <c r="EM303" a="1"/>
  <c r="EM303" s="1"/>
  <c r="EM308" a="1"/>
  <c r="EM308" s="1"/>
  <c r="EM310" a="1"/>
  <c r="EM310" s="1"/>
  <c r="EM315" a="1"/>
  <c r="EM315" s="1"/>
  <c r="EM317" a="1"/>
  <c r="EM317" s="1"/>
  <c r="EM324" a="1"/>
  <c r="EM324" s="1"/>
  <c r="EM328" a="1"/>
  <c r="EM328" s="1"/>
  <c r="EM330" a="1"/>
  <c r="EM330" s="1"/>
  <c r="EM344" a="1"/>
  <c r="EM344" s="1"/>
  <c r="EM357" a="1"/>
  <c r="EM357" s="1"/>
  <c r="EM361" a="1"/>
  <c r="EM361" s="1"/>
  <c r="EM374" a="1"/>
  <c r="EM374" s="1"/>
  <c r="EM378" a="1"/>
  <c r="EM378" s="1"/>
  <c r="EM388" a="1"/>
  <c r="EM388" s="1"/>
  <c r="DW8" a="1"/>
  <c r="DW8" s="1"/>
  <c r="DW12" a="1"/>
  <c r="DW12" s="1"/>
  <c r="DW149" a="1"/>
  <c r="DW149" s="1"/>
  <c r="DW162" a="1"/>
  <c r="DW162" s="1"/>
  <c r="DW213" a="1"/>
  <c r="DW213" s="1"/>
  <c r="DW232" a="1"/>
  <c r="DW232" s="1"/>
  <c r="EM2" a="1"/>
  <c r="EM2" s="1"/>
  <c r="EM79" a="1"/>
  <c r="EM79" s="1"/>
  <c r="EM169" a="1"/>
  <c r="EM169" s="1"/>
  <c r="EM206" a="1"/>
  <c r="EM206" s="1"/>
  <c r="EM236" a="1"/>
  <c r="EM236" s="1"/>
  <c r="EM339" a="1"/>
  <c r="EM339" s="1"/>
  <c r="EM392" a="1"/>
  <c r="EM392" s="1"/>
  <c r="EM123" a="1"/>
  <c r="EM123" s="1"/>
  <c r="EM27" a="1"/>
  <c r="EM27" s="1"/>
  <c r="EM36" a="1"/>
  <c r="EM36" s="1"/>
  <c r="EM61" a="1"/>
  <c r="EM61" s="1"/>
  <c r="EM65" a="1"/>
  <c r="EM65" s="1"/>
  <c r="EM78" a="1"/>
  <c r="EM78" s="1"/>
  <c r="EM115" a="1"/>
  <c r="EM115" s="1"/>
  <c r="EM265" a="1"/>
  <c r="EM265" s="1"/>
  <c r="EM270" a="1"/>
  <c r="EM270" s="1"/>
  <c r="EM288" a="1"/>
  <c r="EM288" s="1"/>
  <c r="EM298" a="1"/>
  <c r="EM298" s="1"/>
  <c r="EM301" a="1"/>
  <c r="EM301" s="1"/>
  <c r="EM322" a="1"/>
  <c r="EM322" s="1"/>
  <c r="EM337" a="1"/>
  <c r="EM337" s="1"/>
  <c r="EM343" a="1"/>
  <c r="EM343" s="1"/>
  <c r="EM349" a="1"/>
  <c r="EM349" s="1"/>
  <c r="EM356" a="1"/>
  <c r="EM356" s="1"/>
  <c r="EM360" a="1"/>
  <c r="EM360" s="1"/>
  <c r="EM364" a="1"/>
  <c r="EM364" s="1"/>
  <c r="EM368" a="1"/>
  <c r="EM368" s="1"/>
  <c r="EM373" a="1"/>
  <c r="EM373" s="1"/>
  <c r="EM377" a="1"/>
  <c r="EM377" s="1"/>
  <c r="EM379" a="1"/>
  <c r="EM379" s="1"/>
  <c r="EM381" a="1"/>
  <c r="EM381" s="1"/>
  <c r="EM394" a="1"/>
  <c r="EM394" s="1"/>
  <c r="EM396" a="1"/>
  <c r="EM396" s="1"/>
  <c r="EM398" a="1"/>
  <c r="EM398" s="1"/>
  <c r="DW3" a="1"/>
  <c r="DW3" s="1"/>
  <c r="DW7" a="1"/>
  <c r="DW7" s="1"/>
  <c r="DW11" a="1"/>
  <c r="DW11" s="1"/>
  <c r="DW16" a="1"/>
  <c r="DW16" s="1"/>
  <c r="DW47" a="1"/>
  <c r="DW47" s="1"/>
  <c r="DW81" a="1"/>
  <c r="DW81" s="1"/>
  <c r="DW86" a="1"/>
  <c r="DW86" s="1"/>
  <c r="DW88" a="1"/>
  <c r="DW88" s="1"/>
  <c r="DW93" a="1"/>
  <c r="DW93" s="1"/>
  <c r="DW95" a="1"/>
  <c r="DW95" s="1"/>
  <c r="DW111" a="1"/>
  <c r="DW111" s="1"/>
  <c r="DW131" a="1"/>
  <c r="DW131" s="1"/>
  <c r="DW135" a="1"/>
  <c r="DW135" s="1"/>
  <c r="DW148" a="1"/>
  <c r="DW148" s="1"/>
  <c r="DW150" a="1"/>
  <c r="DW150" s="1"/>
  <c r="DW161" a="1"/>
  <c r="DW161" s="1"/>
  <c r="DW165" a="1"/>
  <c r="DW165" s="1"/>
  <c r="DW167" a="1"/>
  <c r="DW167" s="1"/>
  <c r="DW169" a="1"/>
  <c r="DW169" s="1"/>
  <c r="DW173" a="1"/>
  <c r="DW173" s="1"/>
  <c r="DW177" a="1"/>
  <c r="DW177" s="1"/>
  <c r="DW181" a="1"/>
  <c r="DW181" s="1"/>
  <c r="DW190" a="1"/>
  <c r="DW190" s="1"/>
  <c r="DW194" a="1"/>
  <c r="DW194" s="1"/>
  <c r="DW198" a="1"/>
  <c r="DW198" s="1"/>
  <c r="DW202" a="1"/>
  <c r="DW202" s="1"/>
  <c r="DW206" a="1"/>
  <c r="DW206" s="1"/>
  <c r="DW212" a="1"/>
  <c r="DW212" s="1"/>
  <c r="DW216" a="1"/>
  <c r="DW216" s="1"/>
  <c r="DW220" a="1"/>
  <c r="DW220" s="1"/>
  <c r="DW224" a="1"/>
  <c r="DW224" s="1"/>
  <c r="DW229" a="1"/>
  <c r="DW229" s="1"/>
  <c r="DW236" a="1"/>
  <c r="DW236" s="1"/>
  <c r="DW240" a="1"/>
  <c r="DW240" s="1"/>
  <c r="DW244" a="1"/>
  <c r="DW244" s="1"/>
  <c r="DW246" a="1"/>
  <c r="DW246" s="1"/>
  <c r="DW248" a="1"/>
  <c r="DW248" s="1"/>
  <c r="DW252" a="1"/>
  <c r="DW252" s="1"/>
  <c r="DW256" a="1"/>
  <c r="DW256" s="1"/>
  <c r="DW260" a="1"/>
  <c r="DW260" s="1"/>
  <c r="DW272" a="1"/>
  <c r="DW272" s="1"/>
  <c r="DW313" a="1"/>
  <c r="DW313" s="1"/>
  <c r="DW314" a="1"/>
  <c r="DW314" s="1"/>
  <c r="DW332" a="1"/>
  <c r="DW332" s="1"/>
  <c r="DW339" a="1"/>
  <c r="DW339" s="1"/>
  <c r="DW345" a="1"/>
  <c r="DW345" s="1"/>
  <c r="DW384" a="1"/>
  <c r="DW384" s="1"/>
  <c r="DW390" a="1"/>
  <c r="DW390" s="1"/>
  <c r="DW392" a="1"/>
  <c r="DW392" s="1"/>
  <c r="DW13" a="1"/>
  <c r="DW13" s="1"/>
  <c r="DW56" a="1"/>
  <c r="DW56" s="1"/>
  <c r="DW68" a="1"/>
  <c r="DW68" s="1"/>
  <c r="DW100" a="1"/>
  <c r="DW100" s="1"/>
  <c r="DW102" a="1"/>
  <c r="DW102" s="1"/>
  <c r="DW107" a="1"/>
  <c r="DW107" s="1"/>
  <c r="DW123" a="1"/>
  <c r="DW123" s="1"/>
  <c r="DW137" a="1"/>
  <c r="DW137" s="1"/>
  <c r="DW141" a="1"/>
  <c r="DW141" s="1"/>
  <c r="DW153" a="1"/>
  <c r="DW153" s="1"/>
  <c r="DW268" a="1"/>
  <c r="DW268" s="1"/>
  <c r="DW282" a="1"/>
  <c r="DW282" s="1"/>
  <c r="DW285" a="1"/>
  <c r="DW285" s="1"/>
  <c r="DW305" a="1"/>
  <c r="DW305" s="1"/>
  <c r="DW19" a="1"/>
  <c r="DW19" s="1"/>
  <c r="DW23" a="1"/>
  <c r="DW23" s="1"/>
  <c r="DW24" a="1"/>
  <c r="DW24" s="1"/>
  <c r="DW27" a="1"/>
  <c r="DW27" s="1"/>
  <c r="DW29" a="1"/>
  <c r="DW29" s="1"/>
  <c r="DW31" a="1"/>
  <c r="DW31" s="1"/>
  <c r="DW36" a="1"/>
  <c r="DW36" s="1"/>
  <c r="DW40" a="1"/>
  <c r="DW40" s="1"/>
  <c r="DW42" a="1"/>
  <c r="DW42" s="1"/>
  <c r="DW44" a="1"/>
  <c r="DW44" s="1"/>
  <c r="DW49" a="1"/>
  <c r="DW49" s="1"/>
  <c r="DW53" a="1"/>
  <c r="DW53" s="1"/>
  <c r="DW61" a="1"/>
  <c r="DW61" s="1"/>
  <c r="DW63" a="1"/>
  <c r="DW63" s="1"/>
  <c r="DW64" a="1"/>
  <c r="DW64" s="1"/>
  <c r="DW66" a="1"/>
  <c r="DW66" s="1"/>
  <c r="DW78" a="1"/>
  <c r="DW78" s="1"/>
  <c r="DW104" a="1"/>
  <c r="DW104" s="1"/>
  <c r="DW110" a="1"/>
  <c r="DW110" s="1"/>
  <c r="DW117" a="1"/>
  <c r="DW117" s="1"/>
  <c r="DW125" a="1"/>
  <c r="DW125" s="1"/>
  <c r="DW157" a="1"/>
  <c r="DW157" s="1"/>
  <c r="DW265" a="1"/>
  <c r="DW265" s="1"/>
  <c r="DW271" a="1"/>
  <c r="DW271" s="1"/>
  <c r="DW280" a="1"/>
  <c r="DW280" s="1"/>
  <c r="DW287" a="1"/>
  <c r="DW287" s="1"/>
  <c r="DW289" a="1"/>
  <c r="DW289" s="1"/>
  <c r="DW293" a="1"/>
  <c r="DW293" s="1"/>
  <c r="DW298" a="1"/>
  <c r="DW298" s="1"/>
  <c r="DW302" a="1"/>
  <c r="DW302" s="1"/>
  <c r="DW309" a="1"/>
  <c r="DW309" s="1"/>
  <c r="DW311" a="1"/>
  <c r="DW311" s="1"/>
  <c r="DW316" a="1"/>
  <c r="DW316" s="1"/>
  <c r="DW323" a="1"/>
  <c r="DW323" s="1"/>
  <c r="DW329" a="1"/>
  <c r="DW329" s="1"/>
  <c r="DW338" a="1"/>
  <c r="DW338" s="1"/>
  <c r="DW344" a="1"/>
  <c r="DW344" s="1"/>
  <c r="DW350" a="1"/>
  <c r="DW350" s="1"/>
  <c r="DW355" a="1"/>
  <c r="DW355" s="1"/>
  <c r="DW357" a="1"/>
  <c r="DW357" s="1"/>
  <c r="DW361" a="1"/>
  <c r="DW361" s="1"/>
  <c r="DW363" a="1"/>
  <c r="DW363" s="1"/>
  <c r="DW365" a="1"/>
  <c r="DW365" s="1"/>
  <c r="DW369" a="1"/>
  <c r="DW369" s="1"/>
  <c r="DW374" a="1"/>
  <c r="DW374" s="1"/>
  <c r="DW376" a="1"/>
  <c r="DW376" s="1"/>
  <c r="DW378" a="1"/>
  <c r="DW378" s="1"/>
  <c r="DW388" a="1"/>
  <c r="DW388" s="1"/>
  <c r="DW395" a="1"/>
  <c r="DW395" s="1"/>
  <c r="DW397" a="1"/>
  <c r="DW397" s="1"/>
  <c r="DW399" a="1"/>
  <c r="DW399" s="1"/>
  <c r="DG4" a="1"/>
  <c r="DG4" s="1"/>
  <c r="DG5" a="1"/>
  <c r="DG5" s="1"/>
  <c r="DG8" a="1"/>
  <c r="DG8" s="1"/>
  <c r="DG12" a="1"/>
  <c r="DG12" s="1"/>
  <c r="DG17" a="1"/>
  <c r="DG17" s="1"/>
  <c r="DG70" a="1"/>
  <c r="DG70" s="1"/>
  <c r="DG84" a="1"/>
  <c r="DG84" s="1"/>
  <c r="DG86" a="1"/>
  <c r="DG86" s="1"/>
  <c r="DG89" a="1"/>
  <c r="DG89" s="1"/>
  <c r="DG94" a="1"/>
  <c r="DG94" s="1"/>
  <c r="DG96" a="1"/>
  <c r="DG96" s="1"/>
  <c r="DG122" a="1"/>
  <c r="DG122" s="1"/>
  <c r="DG132" a="1"/>
  <c r="DG132" s="1"/>
  <c r="DG136" a="1"/>
  <c r="DG136" s="1"/>
  <c r="DG149" a="1"/>
  <c r="DG149" s="1"/>
  <c r="DG162" a="1"/>
  <c r="DG162" s="1"/>
  <c r="DG164" a="1"/>
  <c r="DG164" s="1"/>
  <c r="DG166" a="1"/>
  <c r="DG166" s="1"/>
  <c r="DG168" a="1"/>
  <c r="DG168" s="1"/>
  <c r="DG170" a="1"/>
  <c r="DG170" s="1"/>
  <c r="DG174" a="1"/>
  <c r="DG174" s="1"/>
  <c r="DG178" a="1"/>
  <c r="DG178" s="1"/>
  <c r="DG187" a="1"/>
  <c r="DG187" s="1"/>
  <c r="DG189" a="1"/>
  <c r="DG189" s="1"/>
  <c r="DG191" a="1"/>
  <c r="DG191" s="1"/>
  <c r="DG192" a="1"/>
  <c r="DG192" s="1"/>
  <c r="DG195" a="1"/>
  <c r="DG195" s="1"/>
  <c r="DG199" a="1"/>
  <c r="DG199" s="1"/>
  <c r="DG203" a="1"/>
  <c r="DG203" s="1"/>
  <c r="DG209" a="1"/>
  <c r="DG209" s="1"/>
  <c r="DG213" a="1"/>
  <c r="DG213" s="1"/>
  <c r="DG217" a="1"/>
  <c r="DG217" s="1"/>
  <c r="DG221" a="1"/>
  <c r="DG221" s="1"/>
  <c r="DG225" a="1"/>
  <c r="DG225" s="1"/>
  <c r="DG226" a="1"/>
  <c r="DG226" s="1"/>
  <c r="DG232" a="1"/>
  <c r="DG232" s="1"/>
  <c r="DG237" a="1"/>
  <c r="DG237" s="1"/>
  <c r="DG241" a="1"/>
  <c r="DG241" s="1"/>
  <c r="DG243" a="1"/>
  <c r="DG243" s="1"/>
  <c r="DG245" a="1"/>
  <c r="DG245" s="1"/>
  <c r="DG249" a="1"/>
  <c r="DG249" s="1"/>
  <c r="DG250" a="1"/>
  <c r="DG250" s="1"/>
  <c r="DG253" a="1"/>
  <c r="DG253" s="1"/>
  <c r="DG257" a="1"/>
  <c r="DG257" s="1"/>
  <c r="DG261" a="1"/>
  <c r="DG261" s="1"/>
  <c r="DG274" a="1"/>
  <c r="DG274" s="1"/>
  <c r="DG314" a="1"/>
  <c r="DG314" s="1"/>
  <c r="DG333" a="1"/>
  <c r="DG333" s="1"/>
  <c r="DG334" a="1"/>
  <c r="DG334" s="1"/>
  <c r="DG340" a="1"/>
  <c r="DG340" s="1"/>
  <c r="DG385" a="1"/>
  <c r="DG385" s="1"/>
  <c r="DG13" a="1"/>
  <c r="DG13" s="1"/>
  <c r="DG97" a="1"/>
  <c r="DG97" s="1"/>
  <c r="DG102" a="1"/>
  <c r="DG102" s="1"/>
  <c r="DG108" a="1"/>
  <c r="DG108" s="1"/>
  <c r="DG114" a="1"/>
  <c r="DG114" s="1"/>
  <c r="DG137" a="1"/>
  <c r="DG137" s="1"/>
  <c r="DG147" a="1"/>
  <c r="DG147" s="1"/>
  <c r="DG151" a="1"/>
  <c r="DG151" s="1"/>
  <c r="DG154" a="1"/>
  <c r="DG154" s="1"/>
  <c r="DG282" a="1"/>
  <c r="DG282" s="1"/>
  <c r="DG286" a="1"/>
  <c r="DG286" s="1"/>
  <c r="DG304" a="1"/>
  <c r="DG304" s="1"/>
  <c r="DG306" a="1"/>
  <c r="DG306" s="1"/>
  <c r="DG20" a="1"/>
  <c r="DG20" s="1"/>
  <c r="DG24" a="1"/>
  <c r="DG24" s="1"/>
  <c r="DG28" a="1"/>
  <c r="DG28" s="1"/>
  <c r="DG29" a="1"/>
  <c r="DG29" s="1"/>
  <c r="DG33" a="1"/>
  <c r="DG33" s="1"/>
  <c r="DG37" a="1"/>
  <c r="DG37" s="1"/>
  <c r="DG41" a="1"/>
  <c r="DG41" s="1"/>
  <c r="DG45" a="1"/>
  <c r="DG45" s="1"/>
  <c r="DG50" a="1"/>
  <c r="DG50" s="1"/>
  <c r="DG54" a="1"/>
  <c r="DG54" s="1"/>
  <c r="DG55" a="1"/>
  <c r="DG55" s="1"/>
  <c r="DG63" a="1"/>
  <c r="DG63" s="1"/>
  <c r="DG67" a="1"/>
  <c r="DG67" s="1"/>
  <c r="DG104" a="1"/>
  <c r="DG104" s="1"/>
  <c r="DG112" a="1"/>
  <c r="DG112" s="1"/>
  <c r="DG118" a="1"/>
  <c r="DG118" s="1"/>
  <c r="DG126" a="1"/>
  <c r="DG126" s="1"/>
  <c r="DG266" a="1"/>
  <c r="DG266" s="1"/>
  <c r="DG269" a="1"/>
  <c r="DG269" s="1"/>
  <c r="DG275" a="1"/>
  <c r="DG275" s="1"/>
  <c r="DG281" a="1"/>
  <c r="DG281" s="1"/>
  <c r="DG287" a="1"/>
  <c r="DG287" s="1"/>
  <c r="DG290" a="1"/>
  <c r="DG290" s="1"/>
  <c r="DG294" a="1"/>
  <c r="DG294" s="1"/>
  <c r="DG299" a="1"/>
  <c r="DG299" s="1"/>
  <c r="DG303" a="1"/>
  <c r="DG303" s="1"/>
  <c r="DG310" a="1"/>
  <c r="DG310" s="1"/>
  <c r="DG317" a="1"/>
  <c r="DG317" s="1"/>
  <c r="DG324" a="1"/>
  <c r="DG324" s="1"/>
  <c r="DG330" a="1"/>
  <c r="DG330" s="1"/>
  <c r="DG341" a="1"/>
  <c r="DG341" s="1"/>
  <c r="DG346" a="1"/>
  <c r="DG346" s="1"/>
  <c r="DG353" a="1"/>
  <c r="DG353" s="1"/>
  <c r="DG358" a="1"/>
  <c r="DG358" s="1"/>
  <c r="DG362" a="1"/>
  <c r="DG362" s="1"/>
  <c r="DG363" a="1"/>
  <c r="DG363" s="1"/>
  <c r="DG366" a="1"/>
  <c r="DG366" s="1"/>
  <c r="DG370" a="1"/>
  <c r="DG370" s="1"/>
  <c r="DG375" a="1"/>
  <c r="DG375" s="1"/>
  <c r="DG377" a="1"/>
  <c r="DG377" s="1"/>
  <c r="DG379" a="1"/>
  <c r="DG379" s="1"/>
  <c r="DG389" a="1"/>
  <c r="DG389" s="1"/>
  <c r="DG396" a="1"/>
  <c r="DG396" s="1"/>
  <c r="DG398" a="1"/>
  <c r="DG398" s="1"/>
  <c r="DG400" a="1"/>
  <c r="DG400" s="1"/>
  <c r="CQ5" a="1"/>
  <c r="CQ5" s="1"/>
  <c r="CQ9" a="1"/>
  <c r="CQ9" s="1"/>
  <c r="CQ10" a="1"/>
  <c r="CQ10" s="1"/>
  <c r="CQ16" a="1"/>
  <c r="CQ16" s="1"/>
  <c r="CQ79" a="1"/>
  <c r="CQ79" s="1"/>
  <c r="CQ80" a="1"/>
  <c r="CQ80" s="1"/>
  <c r="CQ86" a="1"/>
  <c r="CQ86" s="1"/>
  <c r="CQ90" a="1"/>
  <c r="CQ90" s="1"/>
  <c r="CQ95" a="1"/>
  <c r="CQ95" s="1"/>
  <c r="CQ129" a="1"/>
  <c r="CQ129" s="1"/>
  <c r="CQ133" a="1"/>
  <c r="CQ133" s="1"/>
  <c r="CQ145" a="1"/>
  <c r="CQ145" s="1"/>
  <c r="CQ150" a="1"/>
  <c r="CQ150" s="1"/>
  <c r="CQ163" a="1"/>
  <c r="CQ163" s="1"/>
  <c r="CQ164" a="1"/>
  <c r="CQ164" s="1"/>
  <c r="CQ167" a="1"/>
  <c r="CQ167" s="1"/>
  <c r="CQ171" a="1"/>
  <c r="CQ171" s="1"/>
  <c r="CQ175" a="1"/>
  <c r="CQ175" s="1"/>
  <c r="CQ179" a="1"/>
  <c r="CQ179" s="1"/>
  <c r="CQ188" a="1"/>
  <c r="CQ188" s="1"/>
  <c r="CQ192" a="1"/>
  <c r="CQ192" s="1"/>
  <c r="CQ193" a="1"/>
  <c r="CQ193" s="1"/>
  <c r="CQ196" a="1"/>
  <c r="CQ196" s="1"/>
  <c r="CQ200" a="1"/>
  <c r="CQ200" s="1"/>
  <c r="CQ201" a="1"/>
  <c r="CQ201" s="1"/>
  <c r="CQ204" a="1"/>
  <c r="CQ204" s="1"/>
  <c r="CQ210" a="1"/>
  <c r="CQ210" s="1"/>
  <c r="CQ214" a="1"/>
  <c r="CQ214" s="1"/>
  <c r="CQ215" a="1"/>
  <c r="CQ215" s="1"/>
  <c r="CQ218" a="1"/>
  <c r="CQ218" s="1"/>
  <c r="CQ222" a="1"/>
  <c r="CQ222" s="1"/>
  <c r="CQ226" a="1"/>
  <c r="CQ226" s="1"/>
  <c r="CQ227" a="1"/>
  <c r="CQ227" s="1"/>
  <c r="CQ234" a="1"/>
  <c r="CQ234" s="1"/>
  <c r="CQ238" a="1"/>
  <c r="CQ238" s="1"/>
  <c r="CQ239" a="1"/>
  <c r="CQ239" s="1"/>
  <c r="CQ242" a="1"/>
  <c r="CQ242" s="1"/>
  <c r="CQ246" a="1"/>
  <c r="CQ246" s="1"/>
  <c r="CQ250" a="1"/>
  <c r="CQ250" s="1"/>
  <c r="CQ254" a="1"/>
  <c r="CQ254" s="1"/>
  <c r="CQ256" a="1"/>
  <c r="CQ256" s="1"/>
  <c r="CQ258" a="1"/>
  <c r="CQ258" s="1"/>
  <c r="CQ259" a="1"/>
  <c r="CQ259" s="1"/>
  <c r="CQ262" a="1"/>
  <c r="CQ262" s="1"/>
  <c r="CQ263" a="1"/>
  <c r="CQ263" s="1"/>
  <c r="CQ276" a="1"/>
  <c r="CQ276" s="1"/>
  <c r="CQ277" a="1"/>
  <c r="CQ277" s="1"/>
  <c r="CQ325" a="1"/>
  <c r="CQ325" s="1"/>
  <c r="CQ326" a="1"/>
  <c r="CQ326" s="1"/>
  <c r="CQ334" a="1"/>
  <c r="CQ334" s="1"/>
  <c r="CQ335" a="1"/>
  <c r="CQ335" s="1"/>
  <c r="CQ345" a="1"/>
  <c r="CQ345" s="1"/>
  <c r="CQ390" a="1"/>
  <c r="CQ390" s="1"/>
  <c r="CQ14" a="1"/>
  <c r="CQ14" s="1"/>
  <c r="CQ15" a="1"/>
  <c r="CQ15" s="1"/>
  <c r="CQ59" a="1"/>
  <c r="CQ59" s="1"/>
  <c r="CQ98" a="1"/>
  <c r="CQ98" s="1"/>
  <c r="CQ99" a="1"/>
  <c r="CQ99" s="1"/>
  <c r="CQ103" a="1"/>
  <c r="CQ103" s="1"/>
  <c r="CQ107" a="1"/>
  <c r="CQ107" s="1"/>
  <c r="CQ114" a="1"/>
  <c r="CQ114" s="1"/>
  <c r="CQ138" a="1"/>
  <c r="CQ138" s="1"/>
  <c r="CQ151" a="1"/>
  <c r="CQ151" s="1"/>
  <c r="CQ155" a="1"/>
  <c r="CQ155" s="1"/>
  <c r="CQ283" a="1"/>
  <c r="CQ283" s="1"/>
  <c r="CQ285" a="1"/>
  <c r="CQ285" s="1"/>
  <c r="CQ296" a="1"/>
  <c r="CQ296" s="1"/>
  <c r="CQ312" a="1"/>
  <c r="CQ312" s="1"/>
  <c r="CQ319" a="1"/>
  <c r="CQ319" s="1"/>
  <c r="CQ21" a="1"/>
  <c r="CQ21" s="1"/>
  <c r="CQ25" a="1"/>
  <c r="CQ25" s="1"/>
  <c r="CQ26" a="1"/>
  <c r="CQ26" s="1"/>
  <c r="CQ29" a="1"/>
  <c r="CQ29" s="1"/>
  <c r="CQ34" a="1"/>
  <c r="CQ34" s="1"/>
  <c r="CQ35" a="1"/>
  <c r="CQ35" s="1"/>
  <c r="CQ36" a="1"/>
  <c r="CQ36" s="1"/>
  <c r="CQ38" a="1"/>
  <c r="CQ38" s="1"/>
  <c r="CQ42" a="1"/>
  <c r="CQ42" s="1"/>
  <c r="CQ43" a="1"/>
  <c r="CQ43" s="1"/>
  <c r="CQ46" a="1"/>
  <c r="CQ46" s="1"/>
  <c r="CQ51" a="1"/>
  <c r="CQ51" s="1"/>
  <c r="CQ55" a="1"/>
  <c r="CQ55" s="1"/>
  <c r="CQ61" a="1"/>
  <c r="CQ61" s="1"/>
  <c r="CQ64" a="1"/>
  <c r="CQ64" s="1"/>
  <c r="CQ76" a="1"/>
  <c r="CQ76" s="1"/>
  <c r="CQ105" a="1"/>
  <c r="CQ105" s="1"/>
  <c r="CQ113" a="1"/>
  <c r="CQ113" s="1"/>
  <c r="CQ115" a="1"/>
  <c r="CQ115" s="1"/>
  <c r="CQ119" a="1"/>
  <c r="CQ119" s="1"/>
  <c r="CQ157" a="1"/>
  <c r="CQ157" s="1"/>
  <c r="CQ264" a="1"/>
  <c r="CQ264" s="1"/>
  <c r="CQ269" a="1"/>
  <c r="CQ269" s="1"/>
  <c r="CQ278" a="1"/>
  <c r="CQ278" s="1"/>
  <c r="CQ279" a="1"/>
  <c r="CQ279" s="1"/>
  <c r="CQ287" a="1"/>
  <c r="CQ287" s="1"/>
  <c r="CQ289" a="1"/>
  <c r="CQ289" s="1"/>
  <c r="CQ291" a="1"/>
  <c r="CQ291" s="1"/>
  <c r="CQ292" a="1"/>
  <c r="CQ292" s="1"/>
  <c r="CQ295" a="1"/>
  <c r="CQ295" s="1"/>
  <c r="CQ297" a="1"/>
  <c r="CQ297" s="1"/>
  <c r="CQ300" a="1"/>
  <c r="CQ300" s="1"/>
  <c r="CQ301" a="1"/>
  <c r="CQ301" s="1"/>
  <c r="CQ307" a="1"/>
  <c r="CQ307" s="1"/>
  <c r="CQ308" a="1"/>
  <c r="CQ308" s="1"/>
  <c r="CQ311" a="1"/>
  <c r="CQ311" s="1"/>
  <c r="CQ321" a="1"/>
  <c r="CQ321" s="1"/>
  <c r="CQ322" a="1"/>
  <c r="CQ322" s="1"/>
  <c r="CQ327" a="1"/>
  <c r="CQ327" s="1"/>
  <c r="CQ331" a="1"/>
  <c r="CQ331" s="1"/>
  <c r="CQ337" a="1"/>
  <c r="CQ337" s="1"/>
  <c r="CQ342" a="1"/>
  <c r="CQ342" s="1"/>
  <c r="CQ348" a="1"/>
  <c r="CQ348" s="1"/>
  <c r="CQ355" a="1"/>
  <c r="CQ355" s="1"/>
  <c r="CQ356" a="1"/>
  <c r="CQ356" s="1"/>
  <c r="CQ359" a="1"/>
  <c r="CQ359" s="1"/>
  <c r="CQ363" a="1"/>
  <c r="CQ363" s="1"/>
  <c r="CQ364" a="1"/>
  <c r="CQ364" s="1"/>
  <c r="CQ367" a="1"/>
  <c r="CQ367" s="1"/>
  <c r="CQ371" a="1"/>
  <c r="CQ371" s="1"/>
  <c r="CQ373" a="1"/>
  <c r="CQ373" s="1"/>
  <c r="CQ376" a="1"/>
  <c r="CQ376" s="1"/>
  <c r="CQ380" a="1"/>
  <c r="CQ380" s="1"/>
  <c r="CQ381" a="1"/>
  <c r="CQ381" s="1"/>
  <c r="CQ393" a="1"/>
  <c r="CQ393" s="1"/>
  <c r="CQ397" a="1"/>
  <c r="CQ397" s="1"/>
  <c r="CQ398" a="1"/>
  <c r="CQ398" s="1"/>
  <c r="CQ399" a="1"/>
  <c r="CQ399" s="1"/>
  <c r="CA2" a="1"/>
  <c r="CA2" s="1"/>
  <c r="CA3" a="1"/>
  <c r="CA3" s="1"/>
  <c r="CA4" a="1"/>
  <c r="CA4" s="1"/>
  <c r="CA6" a="1"/>
  <c r="CA6" s="1"/>
  <c r="CA10" a="1"/>
  <c r="CA10" s="1"/>
  <c r="CA11" a="1"/>
  <c r="CA11" s="1"/>
  <c r="CA12" a="1"/>
  <c r="CA12" s="1"/>
  <c r="CA17" a="1"/>
  <c r="CA17" s="1"/>
  <c r="CA70" a="1"/>
  <c r="CA70" s="1"/>
  <c r="CA80" a="1"/>
  <c r="CA80" s="1"/>
  <c r="CA87" a="1"/>
  <c r="CA87" s="1"/>
  <c r="CA91" a="1"/>
  <c r="CA91" s="1"/>
  <c r="CA96" a="1"/>
  <c r="CA96" s="1"/>
  <c r="CA111" a="1"/>
  <c r="CA111" s="1"/>
  <c r="CA128" a="1"/>
  <c r="CA128" s="1"/>
  <c r="CA134" a="1"/>
  <c r="CA134" s="1"/>
  <c r="CA135" a="1"/>
  <c r="CA135" s="1"/>
  <c r="CA146" a="1"/>
  <c r="CA146" s="1"/>
  <c r="CA156" a="1"/>
  <c r="CA156" s="1"/>
  <c r="CA161" a="1"/>
  <c r="CA161" s="1"/>
  <c r="CA164" a="1"/>
  <c r="CA164" s="1"/>
  <c r="CA166" a="1"/>
  <c r="CA166" s="1"/>
  <c r="CA168" a="1"/>
  <c r="CA168" s="1"/>
  <c r="CA169" a="1"/>
  <c r="CA169" s="1"/>
  <c r="CA172" a="1"/>
  <c r="CA172" s="1"/>
  <c r="CA173" a="1"/>
  <c r="CA173" s="1"/>
  <c r="CA176" a="1"/>
  <c r="CA176" s="1"/>
  <c r="CA177" a="1"/>
  <c r="CA177" s="1"/>
  <c r="CA180" a="1"/>
  <c r="CA180" s="1"/>
  <c r="CA181" a="1"/>
  <c r="CA181" s="1"/>
  <c r="CA189" a="1"/>
  <c r="CA189" s="1"/>
  <c r="CA190" a="1"/>
  <c r="CA190" s="1"/>
  <c r="CA193" a="1"/>
  <c r="CA193" s="1"/>
  <c r="CA194" a="1"/>
  <c r="CA194" s="1"/>
  <c r="CA197" a="1"/>
  <c r="CA197" s="1"/>
  <c r="CA201" a="1"/>
  <c r="CA201" s="1"/>
  <c r="CA202" a="1"/>
  <c r="CA202" s="1"/>
  <c r="CA205" a="1"/>
  <c r="CA205" s="1"/>
  <c r="CA211" a="1"/>
  <c r="CA211" s="1"/>
  <c r="CA212" a="1"/>
  <c r="CA212" s="1"/>
  <c r="CA215" a="1"/>
  <c r="CA215" s="1"/>
  <c r="CA219" a="1"/>
  <c r="CA219" s="1"/>
  <c r="CA220" a="1"/>
  <c r="CA220" s="1"/>
  <c r="CA223" a="1"/>
  <c r="CA223" s="1"/>
  <c r="CA227" a="1"/>
  <c r="CA227" s="1"/>
  <c r="CA232" a="1"/>
  <c r="CA232" s="1"/>
  <c r="CA235" a="1"/>
  <c r="CA235" s="1"/>
  <c r="CA239" a="1"/>
  <c r="CA239" s="1"/>
  <c r="CA240" a="1"/>
  <c r="CA240" s="1"/>
  <c r="CA241" a="1"/>
  <c r="CA241" s="1"/>
  <c r="CA243" a="1"/>
  <c r="CA243" s="1"/>
  <c r="CA244" a="1"/>
  <c r="CA244" s="1"/>
  <c r="CA247" a="1"/>
  <c r="CA247" s="1"/>
  <c r="CA248" a="1"/>
  <c r="CA248" s="1"/>
  <c r="CA251" a="1"/>
  <c r="CA251" s="1"/>
  <c r="CA252" a="1"/>
  <c r="CA252" s="1"/>
  <c r="CA253" a="1"/>
  <c r="CA253" s="1"/>
  <c r="CA255" a="1"/>
  <c r="CA255" s="1"/>
  <c r="CA259" a="1"/>
  <c r="CA259" s="1"/>
  <c r="CA260" a="1"/>
  <c r="CA260" s="1"/>
  <c r="CA263" a="1"/>
  <c r="CA263" s="1"/>
  <c r="CA274" a="1"/>
  <c r="CA274" s="1"/>
  <c r="CA277" a="1"/>
  <c r="CA277" s="1"/>
  <c r="CA313" a="1"/>
  <c r="CA313" s="1"/>
  <c r="CA326" a="1"/>
  <c r="CA326" s="1"/>
  <c r="CA332" a="1"/>
  <c r="CA332" s="1"/>
  <c r="CA335" a="1"/>
  <c r="CA335" s="1"/>
  <c r="CA339" a="1"/>
  <c r="CA339" s="1"/>
  <c r="CA382" a="1"/>
  <c r="CA382" s="1"/>
  <c r="CA391" a="1"/>
  <c r="CA391" s="1"/>
  <c r="CA392" a="1"/>
  <c r="CA392" s="1"/>
  <c r="CA15" a="1"/>
  <c r="CA15" s="1"/>
  <c r="CA56" a="1"/>
  <c r="CA56" s="1"/>
  <c r="CA60" a="1"/>
  <c r="CA60" s="1"/>
  <c r="CA99" a="1"/>
  <c r="CA99" s="1"/>
  <c r="CA100" a="1"/>
  <c r="CA100" s="1"/>
  <c r="CA102" a="1"/>
  <c r="CA102" s="1"/>
  <c r="CA106" a="1"/>
  <c r="CA106" s="1"/>
  <c r="CA107" a="1"/>
  <c r="CA107" s="1"/>
  <c r="CA108" a="1"/>
  <c r="CA108" s="1"/>
  <c r="CA121" a="1"/>
  <c r="CA121" s="1"/>
  <c r="CA139" a="1"/>
  <c r="CA139" s="1"/>
  <c r="CA141" a="1"/>
  <c r="CA141" s="1"/>
  <c r="CA147" a="1"/>
  <c r="CA147" s="1"/>
  <c r="CA152" a="1"/>
  <c r="CA152" s="1"/>
  <c r="CA153" a="1"/>
  <c r="CA153" s="1"/>
  <c r="CA154" a="1"/>
  <c r="CA154" s="1"/>
  <c r="CA267" a="1"/>
  <c r="CA267" s="1"/>
  <c r="CA284" a="1"/>
  <c r="CA284" s="1"/>
  <c r="CA285" a="1"/>
  <c r="CA285" s="1"/>
  <c r="CA304" a="1"/>
  <c r="CA304" s="1"/>
  <c r="CA306" a="1"/>
  <c r="CA306" s="1"/>
  <c r="CA319" a="1"/>
  <c r="CA319" s="1"/>
  <c r="CA19" a="1"/>
  <c r="CA19" s="1"/>
  <c r="CA22" a="1"/>
  <c r="CA22" s="1"/>
  <c r="CA23" a="1"/>
  <c r="CA23" s="1"/>
  <c r="CA26" a="1"/>
  <c r="CA26" s="1"/>
  <c r="CA27" a="1"/>
  <c r="CA27" s="1"/>
  <c r="CA30" a="1"/>
  <c r="CA30" s="1"/>
  <c r="CA31" a="1"/>
  <c r="CA31" s="1"/>
  <c r="CA33" a="1"/>
  <c r="CA33" s="1"/>
  <c r="CA35" a="1"/>
  <c r="CA35" s="1"/>
  <c r="CA39" a="1"/>
  <c r="CA39" s="1"/>
  <c r="CA40" a="1"/>
  <c r="CA40" s="1"/>
  <c r="CA43" a="1"/>
  <c r="CA43" s="1"/>
  <c r="CA45" a="1"/>
  <c r="CA45" s="1"/>
  <c r="CA48" a="1"/>
  <c r="CA48" s="1"/>
  <c r="CA49" a="1"/>
  <c r="CA49" s="1"/>
  <c r="CA52" a="1"/>
  <c r="CA52" s="1"/>
  <c r="CA53" a="1"/>
  <c r="CA53" s="1"/>
  <c r="CA58" a="1"/>
  <c r="CA58" s="1"/>
  <c r="CA63" a="1"/>
  <c r="CA63" s="1"/>
  <c r="CA65" a="1"/>
  <c r="CA65" s="1"/>
  <c r="CA66" a="1"/>
  <c r="CA66" s="1"/>
  <c r="CA77" a="1"/>
  <c r="CA77" s="1"/>
  <c r="CA78" a="1"/>
  <c r="CA78" s="1"/>
  <c r="CA104" a="1"/>
  <c r="CA104" s="1"/>
  <c r="CA109" a="1"/>
  <c r="CA109" s="1"/>
  <c r="CA110" a="1"/>
  <c r="CA110" s="1"/>
  <c r="CA115" a="1"/>
  <c r="CA115" s="1"/>
  <c r="CA117" a="1"/>
  <c r="CA117" s="1"/>
  <c r="CA120" a="1"/>
  <c r="CA120" s="1"/>
  <c r="CA125" a="1"/>
  <c r="CA125" s="1"/>
  <c r="CA126" a="1"/>
  <c r="CA126" s="1"/>
  <c r="CA264" a="1"/>
  <c r="CA264" s="1"/>
  <c r="CA265" a="1"/>
  <c r="CA265" s="1"/>
  <c r="CA270" a="1"/>
  <c r="CA270" s="1"/>
  <c r="CA271" a="1"/>
  <c r="CA271" s="1"/>
  <c r="CA279" a="1"/>
  <c r="CA279" s="1"/>
  <c r="CA280" a="1"/>
  <c r="CA280" s="1"/>
  <c r="CA281" a="1"/>
  <c r="CA281" s="1"/>
  <c r="CA288" a="1"/>
  <c r="CA288" s="1"/>
  <c r="CA292" a="1"/>
  <c r="CA292" s="1"/>
  <c r="CA293" a="1"/>
  <c r="CA293" s="1"/>
  <c r="CA294" a="1"/>
  <c r="CA294" s="1"/>
  <c r="CA297" a="1"/>
  <c r="CA297" s="1"/>
  <c r="CA298" a="1"/>
  <c r="CA298" s="1"/>
  <c r="CA301" a="1"/>
  <c r="CA301" s="1"/>
  <c r="CA302" a="1"/>
  <c r="CA302" s="1"/>
  <c r="CA308" a="1"/>
  <c r="CA308" s="1"/>
  <c r="CA309" a="1"/>
  <c r="CA309" s="1"/>
  <c r="CA310" a="1"/>
  <c r="CA310" s="1"/>
  <c r="CA315" a="1"/>
  <c r="CA315" s="1"/>
  <c r="CA317" a="1"/>
  <c r="CA317" s="1"/>
  <c r="CA322" a="1"/>
  <c r="CA322" s="1"/>
  <c r="CA323" a="1"/>
  <c r="CA323" s="1"/>
  <c r="CA328" a="1"/>
  <c r="CA328" s="1"/>
  <c r="CA329" a="1"/>
  <c r="CA329" s="1"/>
  <c r="CA330" a="1"/>
  <c r="CA330" s="1"/>
  <c r="CA337" a="1"/>
  <c r="CA337" s="1"/>
  <c r="CA341" a="1"/>
  <c r="CA341" s="1"/>
  <c r="CA343" a="1"/>
  <c r="CA343" s="1"/>
  <c r="CA344" a="1"/>
  <c r="CA344" s="1"/>
  <c r="CA349" a="1"/>
  <c r="CA349" s="1"/>
  <c r="CA350" a="1"/>
  <c r="CA350" s="1"/>
  <c r="CA356" a="1"/>
  <c r="CA356" s="1"/>
  <c r="CA358" a="1"/>
  <c r="CA358" s="1"/>
  <c r="CA360" a="1"/>
  <c r="CA360" s="1"/>
  <c r="CA361" a="1"/>
  <c r="CA361" s="1"/>
  <c r="CA364" a="1"/>
  <c r="CA364" s="1"/>
  <c r="CA365" a="1"/>
  <c r="CA365" s="1"/>
  <c r="CA368" a="1"/>
  <c r="CA368" s="1"/>
  <c r="CA373" a="1"/>
  <c r="CA373" s="1"/>
  <c r="CA374" a="1"/>
  <c r="CA374" s="1"/>
  <c r="CA375" a="1"/>
  <c r="CA375" s="1"/>
  <c r="CA377" a="1"/>
  <c r="CA377" s="1"/>
  <c r="CA378" a="1"/>
  <c r="CA378" s="1"/>
  <c r="CA381" a="1"/>
  <c r="CA381" s="1"/>
  <c r="CA388" a="1"/>
  <c r="CA388" s="1"/>
  <c r="CA394" a="1"/>
  <c r="CA394" s="1"/>
  <c r="CA395" a="1"/>
  <c r="CA395" s="1"/>
  <c r="CA398" a="1"/>
  <c r="CA398" s="1"/>
  <c r="EL2" a="1"/>
  <c r="EL2" s="1"/>
  <c r="EL3" a="1"/>
  <c r="EL3" s="1"/>
  <c r="EL4" a="1"/>
  <c r="EL4" s="1"/>
  <c r="EL5" a="1"/>
  <c r="EL5" s="1"/>
  <c r="EL6" a="1"/>
  <c r="EL6" s="1"/>
  <c r="EL7" a="1"/>
  <c r="EL7" s="1"/>
  <c r="EL8" a="1"/>
  <c r="EL8" s="1"/>
  <c r="EL9" a="1"/>
  <c r="EL9" s="1"/>
  <c r="EL10" a="1"/>
  <c r="EL10" s="1"/>
  <c r="EL11" a="1"/>
  <c r="EL11" s="1"/>
  <c r="EL12" a="1"/>
  <c r="EL12" s="1"/>
  <c r="EL16" a="1"/>
  <c r="EL16" s="1"/>
  <c r="EL17" a="1"/>
  <c r="EL17" s="1"/>
  <c r="EL47" a="1"/>
  <c r="EL47" s="1"/>
  <c r="EL70" a="1"/>
  <c r="EL70" s="1"/>
  <c r="EL79" a="1"/>
  <c r="EL79" s="1"/>
  <c r="EL80" a="1"/>
  <c r="EL80" s="1"/>
  <c r="EL81" a="1"/>
  <c r="EL81" s="1"/>
  <c r="EL84" a="1"/>
  <c r="EL84" s="1"/>
  <c r="EL86" a="1"/>
  <c r="EL86" s="1"/>
  <c r="EL87" a="1"/>
  <c r="EL87" s="1"/>
  <c r="EL88" a="1"/>
  <c r="EL88" s="1"/>
  <c r="EL89" a="1"/>
  <c r="EL89" s="1"/>
  <c r="EL90" a="1"/>
  <c r="EL90" s="1"/>
  <c r="EL91" a="1"/>
  <c r="EL91" s="1"/>
  <c r="EL93" a="1"/>
  <c r="EL93" s="1"/>
  <c r="EL94" a="1"/>
  <c r="EL94" s="1"/>
  <c r="EL95" a="1"/>
  <c r="EL95" s="1"/>
  <c r="EL96" a="1"/>
  <c r="EL96" s="1"/>
  <c r="EL111" a="1"/>
  <c r="EL111" s="1"/>
  <c r="EL122" a="1"/>
  <c r="EL122" s="1"/>
  <c r="EL129" a="1"/>
  <c r="EL129" s="1"/>
  <c r="EL128" a="1"/>
  <c r="EL128" s="1"/>
  <c r="EL131" a="1"/>
  <c r="EL131" s="1"/>
  <c r="EL132" a="1"/>
  <c r="EL132" s="1"/>
  <c r="EL133" a="1"/>
  <c r="EL133" s="1"/>
  <c r="EL134" a="1"/>
  <c r="EL134" s="1"/>
  <c r="EL135" a="1"/>
  <c r="EL135" s="1"/>
  <c r="EL136" a="1"/>
  <c r="EL136" s="1"/>
  <c r="EL145" a="1"/>
  <c r="EL145" s="1"/>
  <c r="EL146" a="1"/>
  <c r="EL146" s="1"/>
  <c r="EL148" a="1"/>
  <c r="EL148" s="1"/>
  <c r="EL149" a="1"/>
  <c r="EL149" s="1"/>
  <c r="EL150" a="1"/>
  <c r="EL150" s="1"/>
  <c r="EL156" a="1"/>
  <c r="EL156" s="1"/>
  <c r="EL161" a="1"/>
  <c r="EL161" s="1"/>
  <c r="EL162" a="1"/>
  <c r="EL162" s="1"/>
  <c r="EL163" a="1"/>
  <c r="EL163" s="1"/>
  <c r="EL164" a="1"/>
  <c r="EL164" s="1"/>
  <c r="EL165" a="1"/>
  <c r="EL165" s="1"/>
  <c r="EL166" a="1"/>
  <c r="EL166" s="1"/>
  <c r="EL167" a="1"/>
  <c r="EL167" s="1"/>
  <c r="EL168" a="1"/>
  <c r="EL168" s="1"/>
  <c r="EL169" a="1"/>
  <c r="EL169" s="1"/>
  <c r="EL170" a="1"/>
  <c r="EL170" s="1"/>
  <c r="EL171" a="1"/>
  <c r="EL171" s="1"/>
  <c r="EL172" a="1"/>
  <c r="EL172" s="1"/>
  <c r="EL173" a="1"/>
  <c r="EL173" s="1"/>
  <c r="EL174" a="1"/>
  <c r="EL174" s="1"/>
  <c r="EL175" a="1"/>
  <c r="EL175" s="1"/>
  <c r="EL176" a="1"/>
  <c r="EL176" s="1"/>
  <c r="EL177" a="1"/>
  <c r="EL177" s="1"/>
  <c r="EL178" a="1"/>
  <c r="EL178" s="1"/>
  <c r="EL179" a="1"/>
  <c r="EL179" s="1"/>
  <c r="EL180" a="1"/>
  <c r="EL180" s="1"/>
  <c r="EL181" a="1"/>
  <c r="EL181" s="1"/>
  <c r="EL187" a="1"/>
  <c r="EL187" s="1"/>
  <c r="EL188" a="1"/>
  <c r="EL188" s="1"/>
  <c r="EL189" a="1"/>
  <c r="EL189" s="1"/>
  <c r="EL190" a="1"/>
  <c r="EL190" s="1"/>
  <c r="EL191" a="1"/>
  <c r="EL191" s="1"/>
  <c r="EL192" a="1"/>
  <c r="EL192" s="1"/>
  <c r="EL193" a="1"/>
  <c r="EL193" s="1"/>
  <c r="EL194" a="1"/>
  <c r="EL194" s="1"/>
  <c r="EL195" a="1"/>
  <c r="EL195" s="1"/>
  <c r="EL196" a="1"/>
  <c r="EL196" s="1"/>
  <c r="EL197" a="1"/>
  <c r="EL197" s="1"/>
  <c r="EL198" a="1"/>
  <c r="EL198" s="1"/>
  <c r="EL199" a="1"/>
  <c r="EL199" s="1"/>
  <c r="EL200" a="1"/>
  <c r="EL200" s="1"/>
  <c r="EL201" a="1"/>
  <c r="EL201" s="1"/>
  <c r="EL202" a="1"/>
  <c r="EL202" s="1"/>
  <c r="EL203" a="1"/>
  <c r="EL203" s="1"/>
  <c r="EL204" a="1"/>
  <c r="EL204" s="1"/>
  <c r="EL205" a="1"/>
  <c r="EL205" s="1"/>
  <c r="EL206" a="1"/>
  <c r="EL206" s="1"/>
  <c r="EL209" a="1"/>
  <c r="EL209" s="1"/>
  <c r="EL210" a="1"/>
  <c r="EL210" s="1"/>
  <c r="EL211" a="1"/>
  <c r="EL211" s="1"/>
  <c r="EL212" a="1"/>
  <c r="EL212" s="1"/>
  <c r="EL213" a="1"/>
  <c r="EL213" s="1"/>
  <c r="EL214" a="1"/>
  <c r="EL214" s="1"/>
  <c r="EL215" a="1"/>
  <c r="EL215" s="1"/>
  <c r="EL216" a="1"/>
  <c r="EL216" s="1"/>
  <c r="EL217" a="1"/>
  <c r="EL217" s="1"/>
  <c r="EL218" a="1"/>
  <c r="EL218" s="1"/>
  <c r="EL219" a="1"/>
  <c r="EL219" s="1"/>
  <c r="EL220" a="1"/>
  <c r="EL220" s="1"/>
  <c r="EL221" a="1"/>
  <c r="EL221" s="1"/>
  <c r="EL222" a="1"/>
  <c r="EL222" s="1"/>
  <c r="EL223" a="1"/>
  <c r="EL223" s="1"/>
  <c r="EL224" a="1"/>
  <c r="EL224" s="1"/>
  <c r="EL225" a="1"/>
  <c r="EL225" s="1"/>
  <c r="EL226" a="1"/>
  <c r="EL226" s="1"/>
  <c r="EL227" a="1"/>
  <c r="EL227" s="1"/>
  <c r="EL229" a="1"/>
  <c r="EL229" s="1"/>
  <c r="EL232" a="1"/>
  <c r="EL232" s="1"/>
  <c r="EL234" a="1"/>
  <c r="EL234" s="1"/>
  <c r="EL235" a="1"/>
  <c r="EL235" s="1"/>
  <c r="EL236" a="1"/>
  <c r="EL236" s="1"/>
  <c r="EL237" a="1"/>
  <c r="EL237" s="1"/>
  <c r="EL238" a="1"/>
  <c r="EL238" s="1"/>
  <c r="EL239" a="1"/>
  <c r="EL239" s="1"/>
  <c r="EL240" a="1"/>
  <c r="EL240" s="1"/>
  <c r="EL241" a="1"/>
  <c r="EL241" s="1"/>
  <c r="EL242" a="1"/>
  <c r="EL242" s="1"/>
  <c r="EL243" a="1"/>
  <c r="EL243" s="1"/>
  <c r="EL244" a="1"/>
  <c r="EL244" s="1"/>
  <c r="EL245" a="1"/>
  <c r="EL245" s="1"/>
  <c r="EL246" a="1"/>
  <c r="EL246" s="1"/>
  <c r="EL247" a="1"/>
  <c r="EL247" s="1"/>
  <c r="EL248" a="1"/>
  <c r="EL248" s="1"/>
  <c r="EL249" a="1"/>
  <c r="EL249" s="1"/>
  <c r="EL250" a="1"/>
  <c r="EL250" s="1"/>
  <c r="EL251" a="1"/>
  <c r="EL251" s="1"/>
  <c r="EL252" a="1"/>
  <c r="EL252" s="1"/>
  <c r="EL253" a="1"/>
  <c r="EL253" s="1"/>
  <c r="EL254" a="1"/>
  <c r="EL254" s="1"/>
  <c r="EL255" a="1"/>
  <c r="EL255" s="1"/>
  <c r="EL256" a="1"/>
  <c r="EL256" s="1"/>
  <c r="EL257" a="1"/>
  <c r="EL257" s="1"/>
  <c r="EL258" a="1"/>
  <c r="EL258" s="1"/>
  <c r="EL259" a="1"/>
  <c r="EL259" s="1"/>
  <c r="EL260" a="1"/>
  <c r="EL260" s="1"/>
  <c r="EL261" a="1"/>
  <c r="EL261" s="1"/>
  <c r="EL262" a="1"/>
  <c r="EL262" s="1"/>
  <c r="EL263" a="1"/>
  <c r="EL263" s="1"/>
  <c r="EL272" a="1"/>
  <c r="EL272" s="1"/>
  <c r="EL274" a="1"/>
  <c r="EL274" s="1"/>
  <c r="EL276" a="1"/>
  <c r="EL276" s="1"/>
  <c r="EL277" a="1"/>
  <c r="EL277" s="1"/>
  <c r="EL313" a="1"/>
  <c r="EL313" s="1"/>
  <c r="EL314" a="1"/>
  <c r="EL314" s="1"/>
  <c r="EL325" a="1"/>
  <c r="EL325" s="1"/>
  <c r="EL326" a="1"/>
  <c r="EL326" s="1"/>
  <c r="EL332" a="1"/>
  <c r="EL332" s="1"/>
  <c r="EL333" a="1"/>
  <c r="EL333" s="1"/>
  <c r="EL334" a="1"/>
  <c r="EL334" s="1"/>
  <c r="EL335" a="1"/>
  <c r="EL335" s="1"/>
  <c r="EL339" a="1"/>
  <c r="EL339" s="1"/>
  <c r="EL340" a="1"/>
  <c r="EL340" s="1"/>
  <c r="EL345" a="1"/>
  <c r="EL345" s="1"/>
  <c r="EL382" a="1"/>
  <c r="EL382" s="1"/>
  <c r="EL384" a="1"/>
  <c r="EL384" s="1"/>
  <c r="EL385" a="1"/>
  <c r="EL385" s="1"/>
  <c r="EL390" a="1"/>
  <c r="EL390" s="1"/>
  <c r="EL391" a="1"/>
  <c r="EL391" s="1"/>
  <c r="EL392" a="1"/>
  <c r="EL392" s="1"/>
  <c r="EL13" a="1"/>
  <c r="EL13" s="1"/>
  <c r="EL14" a="1"/>
  <c r="EL14" s="1"/>
  <c r="EL15" a="1"/>
  <c r="EL15" s="1"/>
  <c r="EL56" a="1"/>
  <c r="EL56" s="1"/>
  <c r="EL59" a="1"/>
  <c r="EL59" s="1"/>
  <c r="EL60" a="1"/>
  <c r="EL60" s="1"/>
  <c r="EL68" a="1"/>
  <c r="EL68" s="1"/>
  <c r="EL97" a="1"/>
  <c r="EL97" s="1"/>
  <c r="EL98" a="1"/>
  <c r="EL98" s="1"/>
  <c r="EL99" a="1"/>
  <c r="EL99" s="1"/>
  <c r="EL100" a="1"/>
  <c r="EL100" s="1"/>
  <c r="EL102" a="1"/>
  <c r="EL102" s="1"/>
  <c r="EL103" a="1"/>
  <c r="EL103" s="1"/>
  <c r="EL106" a="1"/>
  <c r="EL106" s="1"/>
  <c r="EL107" a="1"/>
  <c r="EL107" s="1"/>
  <c r="EL108" a="1"/>
  <c r="EL108" s="1"/>
  <c r="EL114" a="1"/>
  <c r="EL114" s="1"/>
  <c r="EL121" a="1"/>
  <c r="EL121" s="1"/>
  <c r="EL123" a="1"/>
  <c r="EL123" s="1"/>
  <c r="EL137" a="1"/>
  <c r="EL137" s="1"/>
  <c r="EL138" a="1"/>
  <c r="EL138" s="1"/>
  <c r="EL139" a="1"/>
  <c r="EL139" s="1"/>
  <c r="EL141" a="1"/>
  <c r="EL141" s="1"/>
  <c r="EL147" a="1"/>
  <c r="EL147" s="1"/>
  <c r="EL151" a="1"/>
  <c r="EL151" s="1"/>
  <c r="EL152" a="1"/>
  <c r="EL152" s="1"/>
  <c r="EL153" a="1"/>
  <c r="EL153" s="1"/>
  <c r="EL154" a="1"/>
  <c r="EL154" s="1"/>
  <c r="EL155" a="1"/>
  <c r="EL155" s="1"/>
  <c r="EL267" a="1"/>
  <c r="EL267" s="1"/>
  <c r="EL268" a="1"/>
  <c r="EL268" s="1"/>
  <c r="EL282" a="1"/>
  <c r="EL282" s="1"/>
  <c r="EL283" a="1"/>
  <c r="EL283" s="1"/>
  <c r="EL284" a="1"/>
  <c r="EL284" s="1"/>
  <c r="EL285" a="1"/>
  <c r="EL285" s="1"/>
  <c r="EL286" a="1"/>
  <c r="EL286" s="1"/>
  <c r="EL296" a="1"/>
  <c r="EL296" s="1"/>
  <c r="EL304" a="1"/>
  <c r="EL304" s="1"/>
  <c r="EL305" a="1"/>
  <c r="EL305" s="1"/>
  <c r="EL306" a="1"/>
  <c r="EL306" s="1"/>
  <c r="EL312" a="1"/>
  <c r="EL312" s="1"/>
  <c r="EL319" a="1"/>
  <c r="EL319" s="1"/>
  <c r="EL19" a="1"/>
  <c r="EL19" s="1"/>
  <c r="EL20" a="1"/>
  <c r="EL20" s="1"/>
  <c r="EL21" a="1"/>
  <c r="EL21" s="1"/>
  <c r="EL22" a="1"/>
  <c r="EL22" s="1"/>
  <c r="EL23" a="1"/>
  <c r="EL23" s="1"/>
  <c r="EL24" a="1"/>
  <c r="EL24" s="1"/>
  <c r="EL25" a="1"/>
  <c r="EL25" s="1"/>
  <c r="EL26" a="1"/>
  <c r="EL26" s="1"/>
  <c r="EL27" a="1"/>
  <c r="EL27" s="1"/>
  <c r="EL28" a="1"/>
  <c r="EL28" s="1"/>
  <c r="EL29" a="1"/>
  <c r="EL29" s="1"/>
  <c r="EL30" a="1"/>
  <c r="EL30" s="1"/>
  <c r="EL31" a="1"/>
  <c r="EL31" s="1"/>
  <c r="EL33" a="1"/>
  <c r="EL33" s="1"/>
  <c r="EL34" a="1"/>
  <c r="EL34" s="1"/>
  <c r="EL35" a="1"/>
  <c r="EL35" s="1"/>
  <c r="EL36" a="1"/>
  <c r="EL36" s="1"/>
  <c r="EL37" a="1"/>
  <c r="EL37" s="1"/>
  <c r="EL38" a="1"/>
  <c r="EL38" s="1"/>
  <c r="EL39" a="1"/>
  <c r="EL39" s="1"/>
  <c r="EL40" a="1"/>
  <c r="EL40" s="1"/>
  <c r="EL41" a="1"/>
  <c r="EL41" s="1"/>
  <c r="EL42" a="1"/>
  <c r="EL42" s="1"/>
  <c r="EL43" a="1"/>
  <c r="EL43" s="1"/>
  <c r="EL44" a="1"/>
  <c r="EL44" s="1"/>
  <c r="EL45" a="1"/>
  <c r="EL45" s="1"/>
  <c r="EL46" a="1"/>
  <c r="EL46" s="1"/>
  <c r="EL48" a="1"/>
  <c r="EL48" s="1"/>
  <c r="EL49" a="1"/>
  <c r="EL49" s="1"/>
  <c r="EL50" a="1"/>
  <c r="EL50" s="1"/>
  <c r="EL51" a="1"/>
  <c r="EL51" s="1"/>
  <c r="EL52" a="1"/>
  <c r="EL52" s="1"/>
  <c r="EL53" a="1"/>
  <c r="EL53" s="1"/>
  <c r="EL54" a="1"/>
  <c r="EL54" s="1"/>
  <c r="EL55" a="1"/>
  <c r="EL55" s="1"/>
  <c r="EL58" a="1"/>
  <c r="EL58" s="1"/>
  <c r="EL61" a="1"/>
  <c r="EL61" s="1"/>
  <c r="EL63" a="1"/>
  <c r="EL63" s="1"/>
  <c r="EL64" a="1"/>
  <c r="EL64" s="1"/>
  <c r="EL65" a="1"/>
  <c r="EL65" s="1"/>
  <c r="EL66" a="1"/>
  <c r="EL66" s="1"/>
  <c r="EL67" a="1"/>
  <c r="EL67" s="1"/>
  <c r="EL76" a="1"/>
  <c r="EL76" s="1"/>
  <c r="EL77" a="1"/>
  <c r="EL77" s="1"/>
  <c r="EL78" a="1"/>
  <c r="EL78" s="1"/>
  <c r="EL104" a="1"/>
  <c r="EL104" s="1"/>
  <c r="EL105" a="1"/>
  <c r="EL105" s="1"/>
  <c r="EL109" a="1"/>
  <c r="EL109" s="1"/>
  <c r="EL110" a="1"/>
  <c r="EL110" s="1"/>
  <c r="EL112" a="1"/>
  <c r="EL112" s="1"/>
  <c r="EL113" a="1"/>
  <c r="EL113" s="1"/>
  <c r="EL115" a="1"/>
  <c r="EL115" s="1"/>
  <c r="EL117" a="1"/>
  <c r="EL117" s="1"/>
  <c r="EL118" a="1"/>
  <c r="EL118" s="1"/>
  <c r="EL119" a="1"/>
  <c r="EL119" s="1"/>
  <c r="EL120" a="1"/>
  <c r="EL120" s="1"/>
  <c r="EL125" a="1"/>
  <c r="EL125" s="1"/>
  <c r="EL126" a="1"/>
  <c r="EL126" s="1"/>
  <c r="EL157" a="1"/>
  <c r="EL157" s="1"/>
  <c r="EL264" a="1"/>
  <c r="EL264" s="1"/>
  <c r="EL265" a="1"/>
  <c r="EL265" s="1"/>
  <c r="EL266" a="1"/>
  <c r="EL266" s="1"/>
  <c r="EL269" a="1"/>
  <c r="EL269" s="1"/>
  <c r="EL270" a="1"/>
  <c r="EL270" s="1"/>
  <c r="EL271" a="1"/>
  <c r="EL271" s="1"/>
  <c r="EL275" a="1"/>
  <c r="EL275" s="1"/>
  <c r="EL278" a="1"/>
  <c r="EL278" s="1"/>
  <c r="EL279" a="1"/>
  <c r="EL279" s="1"/>
  <c r="EL280" a="1"/>
  <c r="EL280" s="1"/>
  <c r="EL281" a="1"/>
  <c r="EL281" s="1"/>
  <c r="EL287" a="1"/>
  <c r="EL287" s="1"/>
  <c r="EL288" a="1"/>
  <c r="EL288" s="1"/>
  <c r="EL289" a="1"/>
  <c r="EL289" s="1"/>
  <c r="EL290" a="1"/>
  <c r="EL290" s="1"/>
  <c r="EL291" a="1"/>
  <c r="EL291" s="1"/>
  <c r="EL292" a="1"/>
  <c r="EL292" s="1"/>
  <c r="EL293" a="1"/>
  <c r="EL293" s="1"/>
  <c r="EL294" a="1"/>
  <c r="EL294" s="1"/>
  <c r="EL295" a="1"/>
  <c r="EL295" s="1"/>
  <c r="EL297" a="1"/>
  <c r="EL297" s="1"/>
  <c r="EL298" a="1"/>
  <c r="EL298" s="1"/>
  <c r="EL299" a="1"/>
  <c r="EL299" s="1"/>
  <c r="EL300" a="1"/>
  <c r="EL300" s="1"/>
  <c r="EL301" a="1"/>
  <c r="EL301" s="1"/>
  <c r="EL302" a="1"/>
  <c r="EL302" s="1"/>
  <c r="EL303" a="1"/>
  <c r="EL303" s="1"/>
  <c r="EL307" a="1"/>
  <c r="EL307" s="1"/>
  <c r="EL308" a="1"/>
  <c r="EL308" s="1"/>
  <c r="EL309" a="1"/>
  <c r="EL309" s="1"/>
  <c r="EL310" a="1"/>
  <c r="EL310" s="1"/>
  <c r="EL311" a="1"/>
  <c r="EL311" s="1"/>
  <c r="EL315" a="1"/>
  <c r="EL315" s="1"/>
  <c r="EL316" a="1"/>
  <c r="EL316" s="1"/>
  <c r="EL317" a="1"/>
  <c r="EL317" s="1"/>
  <c r="EL321" a="1"/>
  <c r="EL321" s="1"/>
  <c r="EL322" a="1"/>
  <c r="EL322" s="1"/>
  <c r="EL323" a="1"/>
  <c r="EL323" s="1"/>
  <c r="EL324" a="1"/>
  <c r="EL324" s="1"/>
  <c r="EL327" a="1"/>
  <c r="EL327" s="1"/>
  <c r="EL328" a="1"/>
  <c r="EL328" s="1"/>
  <c r="EL329" a="1"/>
  <c r="EL329" s="1"/>
  <c r="EL330" a="1"/>
  <c r="EL330" s="1"/>
  <c r="EL331" a="1"/>
  <c r="EL331" s="1"/>
  <c r="EL337" a="1"/>
  <c r="EL337" s="1"/>
  <c r="EL338" a="1"/>
  <c r="EL338" s="1"/>
  <c r="EL341" a="1"/>
  <c r="EL341" s="1"/>
  <c r="EL342" a="1"/>
  <c r="EL342" s="1"/>
  <c r="EL343" a="1"/>
  <c r="EL343" s="1"/>
  <c r="EL344" a="1"/>
  <c r="EL344" s="1"/>
  <c r="EL346" a="1"/>
  <c r="EL346" s="1"/>
  <c r="EL348" a="1"/>
  <c r="EL348" s="1"/>
  <c r="EL349" a="1"/>
  <c r="EL349" s="1"/>
  <c r="EL350" a="1"/>
  <c r="EL350" s="1"/>
  <c r="EL353" a="1"/>
  <c r="EL353" s="1"/>
  <c r="EL355" a="1"/>
  <c r="EL355" s="1"/>
  <c r="EL356" a="1"/>
  <c r="EL356" s="1"/>
  <c r="EL357" a="1"/>
  <c r="EL357" s="1"/>
  <c r="EL358" a="1"/>
  <c r="EL358" s="1"/>
  <c r="EL359" a="1"/>
  <c r="EL359" s="1"/>
  <c r="EL360" a="1"/>
  <c r="EL360" s="1"/>
  <c r="EL361" a="1"/>
  <c r="EL361" s="1"/>
  <c r="EL362" a="1"/>
  <c r="EL362" s="1"/>
  <c r="EL363" a="1"/>
  <c r="EL363" s="1"/>
  <c r="EL364" a="1"/>
  <c r="EL364" s="1"/>
  <c r="EL365" a="1"/>
  <c r="EL365" s="1"/>
  <c r="EL366" a="1"/>
  <c r="EL366" s="1"/>
  <c r="EL367" a="1"/>
  <c r="EL367" s="1"/>
  <c r="EL368" a="1"/>
  <c r="EL368" s="1"/>
  <c r="EL369" a="1"/>
  <c r="EL369" s="1"/>
  <c r="EL370" a="1"/>
  <c r="EL370" s="1"/>
  <c r="EL371" a="1"/>
  <c r="EL371" s="1"/>
  <c r="EL373" a="1"/>
  <c r="EL373" s="1"/>
  <c r="EL374" a="1"/>
  <c r="EL374" s="1"/>
  <c r="EL375" a="1"/>
  <c r="EL375" s="1"/>
  <c r="EL376" a="1"/>
  <c r="EL376" s="1"/>
  <c r="EL377" a="1"/>
  <c r="EL377" s="1"/>
  <c r="EL378" a="1"/>
  <c r="EL378" s="1"/>
  <c r="EL379" a="1"/>
  <c r="EL379" s="1"/>
  <c r="EL380" a="1"/>
  <c r="EL380" s="1"/>
  <c r="EL381" a="1"/>
  <c r="EL381" s="1"/>
  <c r="EL388" a="1"/>
  <c r="EL388" s="1"/>
  <c r="EL389" a="1"/>
  <c r="EL389" s="1"/>
  <c r="EL393" a="1"/>
  <c r="EL393" s="1"/>
  <c r="EL394" a="1"/>
  <c r="EL394" s="1"/>
  <c r="EL395" a="1"/>
  <c r="EL395" s="1"/>
  <c r="EL396" a="1"/>
  <c r="EL396" s="1"/>
  <c r="EL397" a="1"/>
  <c r="EL397" s="1"/>
  <c r="EL398" a="1"/>
  <c r="EL398" s="1"/>
  <c r="EL399" a="1"/>
  <c r="EL399" s="1"/>
  <c r="EL400" a="1"/>
  <c r="EL400" s="1"/>
  <c r="DV2" a="1"/>
  <c r="DV2" s="1"/>
  <c r="DV3" a="1"/>
  <c r="DV3" s="1"/>
  <c r="DV4" a="1"/>
  <c r="DV4" s="1"/>
  <c r="DV5" a="1"/>
  <c r="DV5" s="1"/>
  <c r="DV6" a="1"/>
  <c r="DV6" s="1"/>
  <c r="DV7" a="1"/>
  <c r="DV7" s="1"/>
  <c r="DV8" a="1"/>
  <c r="DV8" s="1"/>
  <c r="DV9" a="1"/>
  <c r="DV9" s="1"/>
  <c r="DV10" a="1"/>
  <c r="DV10" s="1"/>
  <c r="DV11" a="1"/>
  <c r="DV11" s="1"/>
  <c r="DV12" a="1"/>
  <c r="DV12" s="1"/>
  <c r="DV16" a="1"/>
  <c r="DV16" s="1"/>
  <c r="DV17" a="1"/>
  <c r="DV17" s="1"/>
  <c r="DV47" a="1"/>
  <c r="DV47" s="1"/>
  <c r="DV70" a="1"/>
  <c r="DV70" s="1"/>
  <c r="DV79" a="1"/>
  <c r="DV79" s="1"/>
  <c r="DV80" a="1"/>
  <c r="DV80" s="1"/>
  <c r="DV81" a="1"/>
  <c r="DV81" s="1"/>
  <c r="DV84" a="1"/>
  <c r="DV84" s="1"/>
  <c r="DV86" a="1"/>
  <c r="DV86" s="1"/>
  <c r="DV87" a="1"/>
  <c r="DV87" s="1"/>
  <c r="DV88" a="1"/>
  <c r="DV88" s="1"/>
  <c r="DV89" a="1"/>
  <c r="DV89" s="1"/>
  <c r="DV90" a="1"/>
  <c r="DV90" s="1"/>
  <c r="DV91" a="1"/>
  <c r="DV91" s="1"/>
  <c r="DV93" a="1"/>
  <c r="DV93" s="1"/>
  <c r="DV94" a="1"/>
  <c r="DV94" s="1"/>
  <c r="DV95" a="1"/>
  <c r="DV95" s="1"/>
  <c r="DV96" a="1"/>
  <c r="DV96" s="1"/>
  <c r="DV111" a="1"/>
  <c r="DV111" s="1"/>
  <c r="DV122" a="1"/>
  <c r="DV122" s="1"/>
  <c r="DV129" a="1"/>
  <c r="DV129" s="1"/>
  <c r="DV128" a="1"/>
  <c r="DV128" s="1"/>
  <c r="DV131" a="1"/>
  <c r="DV131" s="1"/>
  <c r="DV132" a="1"/>
  <c r="DV132" s="1"/>
  <c r="DV133" a="1"/>
  <c r="DV133" s="1"/>
  <c r="DV134" a="1"/>
  <c r="DV134" s="1"/>
  <c r="DV135" a="1"/>
  <c r="DV135" s="1"/>
  <c r="DV136" a="1"/>
  <c r="DV136" s="1"/>
  <c r="DV145" a="1"/>
  <c r="DV145" s="1"/>
  <c r="DV146" a="1"/>
  <c r="DV146" s="1"/>
  <c r="DV148" a="1"/>
  <c r="DV148" s="1"/>
  <c r="DV149" a="1"/>
  <c r="DV149" s="1"/>
  <c r="DV150" a="1"/>
  <c r="DV150" s="1"/>
  <c r="DV156" a="1"/>
  <c r="DV156" s="1"/>
  <c r="DV161" a="1"/>
  <c r="DV161" s="1"/>
  <c r="DV162" a="1"/>
  <c r="DV162" s="1"/>
  <c r="DV163" a="1"/>
  <c r="DV163" s="1"/>
  <c r="DV164" a="1"/>
  <c r="DV164" s="1"/>
  <c r="DV165" a="1"/>
  <c r="DV165" s="1"/>
  <c r="DV166" a="1"/>
  <c r="DV166" s="1"/>
  <c r="DV167" a="1"/>
  <c r="DV167" s="1"/>
  <c r="DV168" a="1"/>
  <c r="DV168" s="1"/>
  <c r="DV169" a="1"/>
  <c r="DV169" s="1"/>
  <c r="DV170" a="1"/>
  <c r="DV170" s="1"/>
  <c r="DV171" a="1"/>
  <c r="DV171" s="1"/>
  <c r="DV172" a="1"/>
  <c r="DV172" s="1"/>
  <c r="DV173" a="1"/>
  <c r="DV173" s="1"/>
  <c r="DV174" a="1"/>
  <c r="DV174" s="1"/>
  <c r="DV175" a="1"/>
  <c r="DV175" s="1"/>
  <c r="DV176" a="1"/>
  <c r="DV176" s="1"/>
  <c r="DV177" a="1"/>
  <c r="DV177" s="1"/>
  <c r="DV178" a="1"/>
  <c r="DV178" s="1"/>
  <c r="DV179" a="1"/>
  <c r="DV179" s="1"/>
  <c r="DV180" a="1"/>
  <c r="DV180" s="1"/>
  <c r="DV181" a="1"/>
  <c r="DV181" s="1"/>
  <c r="DV187" a="1"/>
  <c r="DV187" s="1"/>
  <c r="DV188" a="1"/>
  <c r="DV188" s="1"/>
  <c r="DV189" a="1"/>
  <c r="DV189" s="1"/>
  <c r="DV190" a="1"/>
  <c r="DV190" s="1"/>
  <c r="DV191" a="1"/>
  <c r="DV191" s="1"/>
  <c r="DV192" a="1"/>
  <c r="DV192" s="1"/>
  <c r="DV193" a="1"/>
  <c r="DV193" s="1"/>
  <c r="DV194" a="1"/>
  <c r="DV194" s="1"/>
  <c r="DV195" a="1"/>
  <c r="DV195" s="1"/>
  <c r="DV196" a="1"/>
  <c r="DV196" s="1"/>
  <c r="DV197" a="1"/>
  <c r="DV197" s="1"/>
  <c r="DV198" a="1"/>
  <c r="DV198" s="1"/>
  <c r="DV199" a="1"/>
  <c r="DV199" s="1"/>
  <c r="DV200" a="1"/>
  <c r="DV200" s="1"/>
  <c r="DV201" a="1"/>
  <c r="DV201" s="1"/>
  <c r="DV202" a="1"/>
  <c r="DV202" s="1"/>
  <c r="DV203" a="1"/>
  <c r="DV203" s="1"/>
  <c r="DV204" a="1"/>
  <c r="DV204" s="1"/>
  <c r="DV205" a="1"/>
  <c r="DV205" s="1"/>
  <c r="DV206" a="1"/>
  <c r="DV206" s="1"/>
  <c r="DV209" a="1"/>
  <c r="DV209" s="1"/>
  <c r="DV210" a="1"/>
  <c r="DV210" s="1"/>
  <c r="DV211" a="1"/>
  <c r="DV211" s="1"/>
  <c r="DV212" a="1"/>
  <c r="DV212" s="1"/>
  <c r="DV213" a="1"/>
  <c r="DV213" s="1"/>
  <c r="DV214" a="1"/>
  <c r="DV214" s="1"/>
  <c r="DV215" a="1"/>
  <c r="DV215" s="1"/>
  <c r="DV216" a="1"/>
  <c r="DV216" s="1"/>
  <c r="DV217" a="1"/>
  <c r="DV217" s="1"/>
  <c r="DV218" a="1"/>
  <c r="DV218" s="1"/>
  <c r="DV219" a="1"/>
  <c r="DV219" s="1"/>
  <c r="DV220" a="1"/>
  <c r="DV220" s="1"/>
  <c r="DV221" a="1"/>
  <c r="DV221" s="1"/>
  <c r="DV222" a="1"/>
  <c r="DV222" s="1"/>
  <c r="DV223" a="1"/>
  <c r="DV223" s="1"/>
  <c r="DV224" a="1"/>
  <c r="DV224" s="1"/>
  <c r="DV225" a="1"/>
  <c r="DV225" s="1"/>
  <c r="DV226" a="1"/>
  <c r="DV226" s="1"/>
  <c r="DV227" a="1"/>
  <c r="DV227" s="1"/>
  <c r="DV229" a="1"/>
  <c r="DV229" s="1"/>
  <c r="DV232" a="1"/>
  <c r="DV232" s="1"/>
  <c r="DV234" a="1"/>
  <c r="DV234" s="1"/>
  <c r="DV235" a="1"/>
  <c r="DV235" s="1"/>
  <c r="DV236" a="1"/>
  <c r="DV236" s="1"/>
  <c r="DV237" a="1"/>
  <c r="DV237" s="1"/>
  <c r="DV238" a="1"/>
  <c r="DV238" s="1"/>
  <c r="DV239" a="1"/>
  <c r="DV239" s="1"/>
  <c r="DV240" a="1"/>
  <c r="DV240" s="1"/>
  <c r="DV241" a="1"/>
  <c r="DV241" s="1"/>
  <c r="DV242" a="1"/>
  <c r="DV242" s="1"/>
  <c r="DV243" a="1"/>
  <c r="DV243" s="1"/>
  <c r="DV244" a="1"/>
  <c r="DV244" s="1"/>
  <c r="DV245" a="1"/>
  <c r="DV245" s="1"/>
  <c r="DV246" a="1"/>
  <c r="DV246" s="1"/>
  <c r="DV247" a="1"/>
  <c r="DV247" s="1"/>
  <c r="DV248" a="1"/>
  <c r="DV248" s="1"/>
  <c r="DV249" a="1"/>
  <c r="DV249" s="1"/>
  <c r="DV250" a="1"/>
  <c r="DV250" s="1"/>
  <c r="DV251" a="1"/>
  <c r="DV251" s="1"/>
  <c r="DV252" a="1"/>
  <c r="DV252" s="1"/>
  <c r="DV253" a="1"/>
  <c r="DV253" s="1"/>
  <c r="DV254" a="1"/>
  <c r="DV254" s="1"/>
  <c r="DV255" a="1"/>
  <c r="DV255" s="1"/>
  <c r="DV256" a="1"/>
  <c r="DV256" s="1"/>
  <c r="DV257" a="1"/>
  <c r="DV257" s="1"/>
  <c r="DV258" a="1"/>
  <c r="DV258" s="1"/>
  <c r="DV259" a="1"/>
  <c r="DV259" s="1"/>
  <c r="DV260" a="1"/>
  <c r="DV260" s="1"/>
  <c r="DV261" a="1"/>
  <c r="DV261" s="1"/>
  <c r="DV262" a="1"/>
  <c r="DV262" s="1"/>
  <c r="DV263" a="1"/>
  <c r="DV263" s="1"/>
  <c r="DV272" a="1"/>
  <c r="DV272" s="1"/>
  <c r="DV274" a="1"/>
  <c r="DV274" s="1"/>
  <c r="DV276" a="1"/>
  <c r="DV276" s="1"/>
  <c r="DV277" a="1"/>
  <c r="DV277" s="1"/>
  <c r="DV313" a="1"/>
  <c r="DV313" s="1"/>
  <c r="DV314" a="1"/>
  <c r="DV314" s="1"/>
  <c r="DV325" a="1"/>
  <c r="DV325" s="1"/>
  <c r="DV326" a="1"/>
  <c r="DV326" s="1"/>
  <c r="DV332" a="1"/>
  <c r="DV332" s="1"/>
  <c r="DV333" a="1"/>
  <c r="DV333" s="1"/>
  <c r="DV334" a="1"/>
  <c r="DV334" s="1"/>
  <c r="DV335" a="1"/>
  <c r="DV335" s="1"/>
  <c r="DV339" a="1"/>
  <c r="DV339" s="1"/>
  <c r="DV340" a="1"/>
  <c r="DV340" s="1"/>
  <c r="DV345" a="1"/>
  <c r="DV345" s="1"/>
  <c r="DV382" a="1"/>
  <c r="DV382" s="1"/>
  <c r="DV384" a="1"/>
  <c r="DV384" s="1"/>
  <c r="DV385" a="1"/>
  <c r="DV385" s="1"/>
  <c r="DV390" a="1"/>
  <c r="DV390" s="1"/>
  <c r="DV391" a="1"/>
  <c r="DV391" s="1"/>
  <c r="DV392" a="1"/>
  <c r="DV392" s="1"/>
  <c r="DV13" a="1"/>
  <c r="DV13" s="1"/>
  <c r="DV14" a="1"/>
  <c r="DV14" s="1"/>
  <c r="DV15" a="1"/>
  <c r="DV15" s="1"/>
  <c r="DV56" a="1"/>
  <c r="DV56" s="1"/>
  <c r="DV59" a="1"/>
  <c r="DV59" s="1"/>
  <c r="DV60" a="1"/>
  <c r="DV60" s="1"/>
  <c r="DV68" a="1"/>
  <c r="DV68" s="1"/>
  <c r="DV97" a="1"/>
  <c r="DV97" s="1"/>
  <c r="DV98" a="1"/>
  <c r="DV98" s="1"/>
  <c r="DV99" a="1"/>
  <c r="DV99" s="1"/>
  <c r="DV100" a="1"/>
  <c r="DV100" s="1"/>
  <c r="DV102" a="1"/>
  <c r="DV102" s="1"/>
  <c r="DV103" a="1"/>
  <c r="DV103" s="1"/>
  <c r="DV106" a="1"/>
  <c r="DV106" s="1"/>
  <c r="DV107" a="1"/>
  <c r="DV107" s="1"/>
  <c r="DV108" a="1"/>
  <c r="DV108" s="1"/>
  <c r="DV114" a="1"/>
  <c r="DV114" s="1"/>
  <c r="DV121" a="1"/>
  <c r="DV121" s="1"/>
  <c r="DV123" a="1"/>
  <c r="DV123" s="1"/>
  <c r="DV137" a="1"/>
  <c r="DV137" s="1"/>
  <c r="DV138" a="1"/>
  <c r="DV138" s="1"/>
  <c r="DV139" a="1"/>
  <c r="DV139" s="1"/>
  <c r="DV141" a="1"/>
  <c r="DV141" s="1"/>
  <c r="DV147" a="1"/>
  <c r="DV147" s="1"/>
  <c r="DV151" a="1"/>
  <c r="DV151" s="1"/>
  <c r="DV152" a="1"/>
  <c r="DV152" s="1"/>
  <c r="DV153" a="1"/>
  <c r="DV153" s="1"/>
  <c r="DV154" a="1"/>
  <c r="DV154" s="1"/>
  <c r="DV155" a="1"/>
  <c r="DV155" s="1"/>
  <c r="DV267" a="1"/>
  <c r="DV267" s="1"/>
  <c r="DV268" a="1"/>
  <c r="DV268" s="1"/>
  <c r="DV282" a="1"/>
  <c r="DV282" s="1"/>
  <c r="DV283" a="1"/>
  <c r="DV283" s="1"/>
  <c r="DV284" a="1"/>
  <c r="DV284" s="1"/>
  <c r="DV285" a="1"/>
  <c r="DV285" s="1"/>
  <c r="DV286" a="1"/>
  <c r="DV286" s="1"/>
  <c r="DV296" a="1"/>
  <c r="DV296" s="1"/>
  <c r="DV304" a="1"/>
  <c r="DV304" s="1"/>
  <c r="DV305" a="1"/>
  <c r="DV305" s="1"/>
  <c r="DV306" a="1"/>
  <c r="DV306" s="1"/>
  <c r="DV312" a="1"/>
  <c r="DV312" s="1"/>
  <c r="DV319" a="1"/>
  <c r="DV319" s="1"/>
  <c r="DV19" a="1"/>
  <c r="DV19" s="1"/>
  <c r="DV20" a="1"/>
  <c r="DV20" s="1"/>
  <c r="DV21" a="1"/>
  <c r="DV21" s="1"/>
  <c r="DV22" a="1"/>
  <c r="DV22" s="1"/>
  <c r="DV23" a="1"/>
  <c r="DV23" s="1"/>
  <c r="DV24" a="1"/>
  <c r="DV24" s="1"/>
  <c r="DV25" a="1"/>
  <c r="DV25" s="1"/>
  <c r="DV26" a="1"/>
  <c r="DV26" s="1"/>
  <c r="DV27" a="1"/>
  <c r="DV27" s="1"/>
  <c r="DV28" a="1"/>
  <c r="DV28" s="1"/>
  <c r="DV29" a="1"/>
  <c r="DV29" s="1"/>
  <c r="DV30" a="1"/>
  <c r="DV30" s="1"/>
  <c r="DV31" a="1"/>
  <c r="DV31" s="1"/>
  <c r="DV33" a="1"/>
  <c r="DV33" s="1"/>
  <c r="DV34" a="1"/>
  <c r="DV34" s="1"/>
  <c r="DV35" a="1"/>
  <c r="DV35" s="1"/>
  <c r="DV36" a="1"/>
  <c r="DV36" s="1"/>
  <c r="DV37" a="1"/>
  <c r="DV37" s="1"/>
  <c r="DV38" a="1"/>
  <c r="DV38" s="1"/>
  <c r="DV39" a="1"/>
  <c r="DV39" s="1"/>
  <c r="DV40" a="1"/>
  <c r="DV40" s="1"/>
  <c r="DV41" a="1"/>
  <c r="DV41" s="1"/>
  <c r="DV42" a="1"/>
  <c r="DV42" s="1"/>
  <c r="DV43" a="1"/>
  <c r="DV43" s="1"/>
  <c r="DV44" a="1"/>
  <c r="DV44" s="1"/>
  <c r="DV45" a="1"/>
  <c r="DV45" s="1"/>
  <c r="DV46" a="1"/>
  <c r="DV46" s="1"/>
  <c r="DV48" a="1"/>
  <c r="DV48" s="1"/>
  <c r="DV49" a="1"/>
  <c r="DV49" s="1"/>
  <c r="DV50" a="1"/>
  <c r="DV50" s="1"/>
  <c r="DV51" a="1"/>
  <c r="DV51" s="1"/>
  <c r="DV52" a="1"/>
  <c r="DV52" s="1"/>
  <c r="DV53" a="1"/>
  <c r="DV53" s="1"/>
  <c r="DV54" a="1"/>
  <c r="DV54" s="1"/>
  <c r="DV55" a="1"/>
  <c r="DV55" s="1"/>
  <c r="DV58" a="1"/>
  <c r="DV58" s="1"/>
  <c r="DV61" a="1"/>
  <c r="DV61" s="1"/>
  <c r="DV63" a="1"/>
  <c r="DV63" s="1"/>
  <c r="DV64" a="1"/>
  <c r="DV64" s="1"/>
  <c r="DV65" a="1"/>
  <c r="DV65" s="1"/>
  <c r="DV66" a="1"/>
  <c r="DV66" s="1"/>
  <c r="DV67" a="1"/>
  <c r="DV67" s="1"/>
  <c r="DV76" a="1"/>
  <c r="DV76" s="1"/>
  <c r="DV77" a="1"/>
  <c r="DV77" s="1"/>
  <c r="DV78" a="1"/>
  <c r="DV78" s="1"/>
  <c r="DV104" a="1"/>
  <c r="DV104" s="1"/>
  <c r="DV105" a="1"/>
  <c r="DV105" s="1"/>
  <c r="DV109" a="1"/>
  <c r="DV109" s="1"/>
  <c r="DV110" a="1"/>
  <c r="DV110" s="1"/>
  <c r="DV112" a="1"/>
  <c r="DV112" s="1"/>
  <c r="DV113" a="1"/>
  <c r="DV113" s="1"/>
  <c r="DV115" a="1"/>
  <c r="DV115" s="1"/>
  <c r="DV117" a="1"/>
  <c r="DV117" s="1"/>
  <c r="DV118" a="1"/>
  <c r="DV118" s="1"/>
  <c r="DV119" a="1"/>
  <c r="DV119" s="1"/>
  <c r="DV120" a="1"/>
  <c r="DV120" s="1"/>
  <c r="DV125" a="1"/>
  <c r="DV125" s="1"/>
  <c r="DV126" a="1"/>
  <c r="DV126" s="1"/>
  <c r="DV157" a="1"/>
  <c r="DV157" s="1"/>
  <c r="DV264" a="1"/>
  <c r="DV264" s="1"/>
  <c r="DV265" a="1"/>
  <c r="DV265" s="1"/>
  <c r="DV266" a="1"/>
  <c r="DV266" s="1"/>
  <c r="DV269" a="1"/>
  <c r="DV269" s="1"/>
  <c r="DV270" a="1"/>
  <c r="DV270" s="1"/>
  <c r="DV271" a="1"/>
  <c r="DV271" s="1"/>
  <c r="DV275" a="1"/>
  <c r="DV275" s="1"/>
  <c r="DV278" a="1"/>
  <c r="DV278" s="1"/>
  <c r="DV279" a="1"/>
  <c r="DV279" s="1"/>
  <c r="DV280" a="1"/>
  <c r="DV280" s="1"/>
  <c r="DV281" a="1"/>
  <c r="DV281" s="1"/>
  <c r="DV287" a="1"/>
  <c r="DV287" s="1"/>
  <c r="DV288" a="1"/>
  <c r="DV288" s="1"/>
  <c r="DV289" a="1"/>
  <c r="DV289" s="1"/>
  <c r="DV290" a="1"/>
  <c r="DV290" s="1"/>
  <c r="DV291" a="1"/>
  <c r="DV291" s="1"/>
  <c r="DV292" a="1"/>
  <c r="DV292" s="1"/>
  <c r="DV293" a="1"/>
  <c r="DV293" s="1"/>
  <c r="DV294" a="1"/>
  <c r="DV294" s="1"/>
  <c r="DV295" a="1"/>
  <c r="DV295" s="1"/>
  <c r="DV297" a="1"/>
  <c r="DV297" s="1"/>
  <c r="DV298" a="1"/>
  <c r="DV298" s="1"/>
  <c r="DV299" a="1"/>
  <c r="DV299" s="1"/>
  <c r="DV300" a="1"/>
  <c r="DV300" s="1"/>
  <c r="DV301" a="1"/>
  <c r="DV301" s="1"/>
  <c r="DV302" a="1"/>
  <c r="DV302" s="1"/>
  <c r="DV303" a="1"/>
  <c r="DV303" s="1"/>
  <c r="DV307" a="1"/>
  <c r="DV307" s="1"/>
  <c r="DV308" a="1"/>
  <c r="DV308" s="1"/>
  <c r="DV309" a="1"/>
  <c r="DV309" s="1"/>
  <c r="DV310" a="1"/>
  <c r="DV310" s="1"/>
  <c r="DV311" a="1"/>
  <c r="DV311" s="1"/>
  <c r="DV315" a="1"/>
  <c r="DV315" s="1"/>
  <c r="DV316" a="1"/>
  <c r="DV316" s="1"/>
  <c r="DV317" a="1"/>
  <c r="DV317" s="1"/>
  <c r="DV321" a="1"/>
  <c r="DV321" s="1"/>
  <c r="DV322" a="1"/>
  <c r="DV322" s="1"/>
  <c r="DV323" a="1"/>
  <c r="DV323" s="1"/>
  <c r="DV324" a="1"/>
  <c r="DV324" s="1"/>
  <c r="DV327" a="1"/>
  <c r="DV327" s="1"/>
  <c r="DV328" a="1"/>
  <c r="DV328" s="1"/>
  <c r="DV329" a="1"/>
  <c r="DV329" s="1"/>
  <c r="DV330" a="1"/>
  <c r="DV330" s="1"/>
  <c r="DV331" a="1"/>
  <c r="DV331" s="1"/>
  <c r="DV337" a="1"/>
  <c r="DV337" s="1"/>
  <c r="DV338" a="1"/>
  <c r="DV338" s="1"/>
  <c r="DV341" a="1"/>
  <c r="DV341" s="1"/>
  <c r="DV342" a="1"/>
  <c r="DV342" s="1"/>
  <c r="DV343" a="1"/>
  <c r="DV343" s="1"/>
  <c r="DV344" a="1"/>
  <c r="DV344" s="1"/>
  <c r="DV346" a="1"/>
  <c r="DV346" s="1"/>
  <c r="DV348" a="1"/>
  <c r="DV348" s="1"/>
  <c r="DV349" a="1"/>
  <c r="DV349" s="1"/>
  <c r="DV350" a="1"/>
  <c r="DV350" s="1"/>
  <c r="DV353" a="1"/>
  <c r="DV353" s="1"/>
  <c r="DV355" a="1"/>
  <c r="DV355" s="1"/>
  <c r="DV356" a="1"/>
  <c r="DV356" s="1"/>
  <c r="DV357" a="1"/>
  <c r="DV357" s="1"/>
  <c r="DV358" a="1"/>
  <c r="DV358" s="1"/>
  <c r="DV359" a="1"/>
  <c r="DV359" s="1"/>
  <c r="DV360" a="1"/>
  <c r="DV360" s="1"/>
  <c r="DV361" a="1"/>
  <c r="DV361" s="1"/>
  <c r="DV362" a="1"/>
  <c r="DV362" s="1"/>
  <c r="DV363" a="1"/>
  <c r="DV363" s="1"/>
  <c r="DV364" a="1"/>
  <c r="DV364" s="1"/>
  <c r="DV365" a="1"/>
  <c r="DV365" s="1"/>
  <c r="DV366" a="1"/>
  <c r="DV366" s="1"/>
  <c r="DV367" a="1"/>
  <c r="DV367" s="1"/>
  <c r="DV368" a="1"/>
  <c r="DV368" s="1"/>
  <c r="DV369" a="1"/>
  <c r="DV369" s="1"/>
  <c r="DV370" a="1"/>
  <c r="DV370" s="1"/>
  <c r="DV371" a="1"/>
  <c r="DV371" s="1"/>
  <c r="DV373" a="1"/>
  <c r="DV373" s="1"/>
  <c r="DV374" a="1"/>
  <c r="DV374" s="1"/>
  <c r="DV375" a="1"/>
  <c r="DV375" s="1"/>
  <c r="DV376" a="1"/>
  <c r="DV376" s="1"/>
  <c r="DV377" a="1"/>
  <c r="DV377" s="1"/>
  <c r="DV378" a="1"/>
  <c r="DV378" s="1"/>
  <c r="DV379" a="1"/>
  <c r="DV379" s="1"/>
  <c r="DV380" a="1"/>
  <c r="DV380" s="1"/>
  <c r="DV381" a="1"/>
  <c r="DV381" s="1"/>
  <c r="DV388" a="1"/>
  <c r="DV388" s="1"/>
  <c r="DV389" a="1"/>
  <c r="DV389" s="1"/>
  <c r="DV393" a="1"/>
  <c r="DV393" s="1"/>
  <c r="DV394" a="1"/>
  <c r="DV394" s="1"/>
  <c r="DV395" a="1"/>
  <c r="DV395" s="1"/>
  <c r="DV396" a="1"/>
  <c r="DV396" s="1"/>
  <c r="DV397" a="1"/>
  <c r="DV397" s="1"/>
  <c r="DV398" a="1"/>
  <c r="DV398" s="1"/>
  <c r="DV399" a="1"/>
  <c r="DV399" s="1"/>
  <c r="DV400" a="1"/>
  <c r="DV400" s="1"/>
  <c r="DF2" a="1"/>
  <c r="DF2" s="1"/>
  <c r="DF3" a="1"/>
  <c r="DF3" s="1"/>
  <c r="DF4" a="1"/>
  <c r="DF4" s="1"/>
  <c r="DF5" a="1"/>
  <c r="DF5" s="1"/>
  <c r="DF6" a="1"/>
  <c r="DF6" s="1"/>
  <c r="DF7" a="1"/>
  <c r="DF7" s="1"/>
  <c r="DF8" a="1"/>
  <c r="DF8" s="1"/>
  <c r="DF9" a="1"/>
  <c r="DF9" s="1"/>
  <c r="DF10" a="1"/>
  <c r="DF10" s="1"/>
  <c r="DF11" a="1"/>
  <c r="DF11" s="1"/>
  <c r="DF12" a="1"/>
  <c r="DF12" s="1"/>
  <c r="DF16" a="1"/>
  <c r="DF16" s="1"/>
  <c r="DF17" a="1"/>
  <c r="DF17" s="1"/>
  <c r="DF47" a="1"/>
  <c r="DF47" s="1"/>
  <c r="DF70" a="1"/>
  <c r="DF70" s="1"/>
  <c r="DF79" a="1"/>
  <c r="DF79" s="1"/>
  <c r="DF80" a="1"/>
  <c r="DF80" s="1"/>
  <c r="DF81" a="1"/>
  <c r="DF81" s="1"/>
  <c r="DF84" a="1"/>
  <c r="DF84" s="1"/>
  <c r="DF86" a="1"/>
  <c r="DF86" s="1"/>
  <c r="DF87" a="1"/>
  <c r="DF87" s="1"/>
  <c r="DF88" a="1"/>
  <c r="DF88" s="1"/>
  <c r="DF89" a="1"/>
  <c r="DF89" s="1"/>
  <c r="DF90" a="1"/>
  <c r="DF90" s="1"/>
  <c r="DF91" a="1"/>
  <c r="DF91" s="1"/>
  <c r="DF93" a="1"/>
  <c r="DF93" s="1"/>
  <c r="DF94" a="1"/>
  <c r="DF94" s="1"/>
  <c r="DF95" a="1"/>
  <c r="DF95" s="1"/>
  <c r="DF96" a="1"/>
  <c r="DF96" s="1"/>
  <c r="DF111" a="1"/>
  <c r="DF111" s="1"/>
  <c r="DF122" a="1"/>
  <c r="DF122" s="1"/>
  <c r="DF129" a="1"/>
  <c r="DF129" s="1"/>
  <c r="DF128" a="1"/>
  <c r="DF128" s="1"/>
  <c r="DF131" a="1"/>
  <c r="DF131" s="1"/>
  <c r="DF132" a="1"/>
  <c r="DF132" s="1"/>
  <c r="DF133" a="1"/>
  <c r="DF133" s="1"/>
  <c r="DF134" a="1"/>
  <c r="DF134" s="1"/>
  <c r="DF135" a="1"/>
  <c r="DF135" s="1"/>
  <c r="DF136" a="1"/>
  <c r="DF136" s="1"/>
  <c r="DF145" a="1"/>
  <c r="DF145" s="1"/>
  <c r="DF146" a="1"/>
  <c r="DF146" s="1"/>
  <c r="DF148" a="1"/>
  <c r="DF148" s="1"/>
  <c r="DF149" a="1"/>
  <c r="DF149" s="1"/>
  <c r="DF150" a="1"/>
  <c r="DF150" s="1"/>
  <c r="DF156" a="1"/>
  <c r="DF156" s="1"/>
  <c r="DF161" a="1"/>
  <c r="DF161" s="1"/>
  <c r="DF162" a="1"/>
  <c r="DF162" s="1"/>
  <c r="DF163" a="1"/>
  <c r="DF163" s="1"/>
  <c r="DF164" a="1"/>
  <c r="DF164" s="1"/>
  <c r="DF165" a="1"/>
  <c r="DF165" s="1"/>
  <c r="DF166" a="1"/>
  <c r="DF166" s="1"/>
  <c r="DF167" a="1"/>
  <c r="DF167" s="1"/>
  <c r="DF168" a="1"/>
  <c r="DF168" s="1"/>
  <c r="DF169" a="1"/>
  <c r="DF169" s="1"/>
  <c r="DF170" a="1"/>
  <c r="DF170" s="1"/>
  <c r="DF171" a="1"/>
  <c r="DF171" s="1"/>
  <c r="DF172" a="1"/>
  <c r="DF172" s="1"/>
  <c r="DF173" a="1"/>
  <c r="DF173" s="1"/>
  <c r="DF174" a="1"/>
  <c r="DF174" s="1"/>
  <c r="DF175" a="1"/>
  <c r="DF175" s="1"/>
  <c r="DF176" a="1"/>
  <c r="DF176" s="1"/>
  <c r="DF177" a="1"/>
  <c r="DF177" s="1"/>
  <c r="DF178" a="1"/>
  <c r="DF178" s="1"/>
  <c r="DF179" a="1"/>
  <c r="DF179" s="1"/>
  <c r="DF180" a="1"/>
  <c r="DF180" s="1"/>
  <c r="DF181" a="1"/>
  <c r="DF181" s="1"/>
  <c r="DF187" a="1"/>
  <c r="DF187" s="1"/>
  <c r="DF188" a="1"/>
  <c r="DF188" s="1"/>
  <c r="DF189" a="1"/>
  <c r="DF189" s="1"/>
  <c r="DF190" a="1"/>
  <c r="DF190" s="1"/>
  <c r="DF191" a="1"/>
  <c r="DF191" s="1"/>
  <c r="DF192" a="1"/>
  <c r="DF192" s="1"/>
  <c r="DF193" a="1"/>
  <c r="DF193" s="1"/>
  <c r="DF194" a="1"/>
  <c r="DF194" s="1"/>
  <c r="DF195" a="1"/>
  <c r="DF195" s="1"/>
  <c r="DF196" a="1"/>
  <c r="DF196" s="1"/>
  <c r="DF197" a="1"/>
  <c r="DF197" s="1"/>
  <c r="DF198" a="1"/>
  <c r="DF198" s="1"/>
  <c r="DF199" a="1"/>
  <c r="DF199" s="1"/>
  <c r="DF200" a="1"/>
  <c r="DF200" s="1"/>
  <c r="DF201" a="1"/>
  <c r="DF201" s="1"/>
  <c r="DF202" a="1"/>
  <c r="DF202" s="1"/>
  <c r="DF203" a="1"/>
  <c r="DF203" s="1"/>
  <c r="DF204" a="1"/>
  <c r="DF204" s="1"/>
  <c r="DF205" a="1"/>
  <c r="DF205" s="1"/>
  <c r="DF206" a="1"/>
  <c r="DF206" s="1"/>
  <c r="DF209" a="1"/>
  <c r="DF209" s="1"/>
  <c r="DF210" a="1"/>
  <c r="DF210" s="1"/>
  <c r="DF211" a="1"/>
  <c r="DF211" s="1"/>
  <c r="DF212" a="1"/>
  <c r="DF212" s="1"/>
  <c r="DF213" a="1"/>
  <c r="DF213" s="1"/>
  <c r="DF214" a="1"/>
  <c r="DF214" s="1"/>
  <c r="DF215" a="1"/>
  <c r="DF215" s="1"/>
  <c r="DF216" a="1"/>
  <c r="DF216" s="1"/>
  <c r="DF217" a="1"/>
  <c r="DF217" s="1"/>
  <c r="DF218" a="1"/>
  <c r="DF218" s="1"/>
  <c r="DF219" a="1"/>
  <c r="DF219" s="1"/>
  <c r="DF220" a="1"/>
  <c r="DF220" s="1"/>
  <c r="DF221" a="1"/>
  <c r="DF221" s="1"/>
  <c r="DF222" a="1"/>
  <c r="DF222" s="1"/>
  <c r="DF223" a="1"/>
  <c r="DF223" s="1"/>
  <c r="DF224" a="1"/>
  <c r="DF224" s="1"/>
  <c r="DF225" a="1"/>
  <c r="DF225" s="1"/>
  <c r="DF226" a="1"/>
  <c r="DF226" s="1"/>
  <c r="DF227" a="1"/>
  <c r="DF227" s="1"/>
  <c r="DF229" a="1"/>
  <c r="DF229" s="1"/>
  <c r="DF232" a="1"/>
  <c r="DF232" s="1"/>
  <c r="DF234" a="1"/>
  <c r="DF234" s="1"/>
  <c r="DF235" a="1"/>
  <c r="DF235" s="1"/>
  <c r="DF236" a="1"/>
  <c r="DF236" s="1"/>
  <c r="DF237" a="1"/>
  <c r="DF237" s="1"/>
  <c r="DF238" a="1"/>
  <c r="DF238" s="1"/>
  <c r="DF239" a="1"/>
  <c r="DF239" s="1"/>
  <c r="DF240" a="1"/>
  <c r="DF240" s="1"/>
  <c r="DF241" a="1"/>
  <c r="DF241" s="1"/>
  <c r="DF242" a="1"/>
  <c r="DF242" s="1"/>
  <c r="DF243" a="1"/>
  <c r="DF243" s="1"/>
  <c r="DF244" a="1"/>
  <c r="DF244" s="1"/>
  <c r="DF245" a="1"/>
  <c r="DF245" s="1"/>
  <c r="DF246" a="1"/>
  <c r="DF246" s="1"/>
  <c r="DF247" a="1"/>
  <c r="DF247" s="1"/>
  <c r="DF248" a="1"/>
  <c r="DF248" s="1"/>
  <c r="DF249" a="1"/>
  <c r="DF249" s="1"/>
  <c r="DF250" a="1"/>
  <c r="DF250" s="1"/>
  <c r="DF251" a="1"/>
  <c r="DF251" s="1"/>
  <c r="DF252" a="1"/>
  <c r="DF252" s="1"/>
  <c r="DF253" a="1"/>
  <c r="DF253" s="1"/>
  <c r="DF254" a="1"/>
  <c r="DF254" s="1"/>
  <c r="DF255" a="1"/>
  <c r="DF255" s="1"/>
  <c r="DF256" a="1"/>
  <c r="DF256" s="1"/>
  <c r="DF257" a="1"/>
  <c r="DF257" s="1"/>
  <c r="DF258" a="1"/>
  <c r="DF258" s="1"/>
  <c r="DF259" a="1"/>
  <c r="DF259" s="1"/>
  <c r="DF260" a="1"/>
  <c r="DF260" s="1"/>
  <c r="DF261" a="1"/>
  <c r="DF261" s="1"/>
  <c r="DF262" a="1"/>
  <c r="DF262" s="1"/>
  <c r="DF263" a="1"/>
  <c r="DF263" s="1"/>
  <c r="DF272" a="1"/>
  <c r="DF272" s="1"/>
  <c r="DF274" a="1"/>
  <c r="DF274" s="1"/>
  <c r="DF276" a="1"/>
  <c r="DF276" s="1"/>
  <c r="DF277" a="1"/>
  <c r="DF277" s="1"/>
  <c r="DF313" a="1"/>
  <c r="DF313" s="1"/>
  <c r="DF314" a="1"/>
  <c r="DF314" s="1"/>
  <c r="DF325" a="1"/>
  <c r="DF325" s="1"/>
  <c r="DF326" a="1"/>
  <c r="DF326" s="1"/>
  <c r="DF332" a="1"/>
  <c r="DF332" s="1"/>
  <c r="DF333" a="1"/>
  <c r="DF333" s="1"/>
  <c r="DF334" a="1"/>
  <c r="DF334" s="1"/>
  <c r="DF335" a="1"/>
  <c r="DF335" s="1"/>
  <c r="DF339" a="1"/>
  <c r="DF339" s="1"/>
  <c r="DF340" a="1"/>
  <c r="DF340" s="1"/>
  <c r="DF345" a="1"/>
  <c r="DF345" s="1"/>
  <c r="DF382" a="1"/>
  <c r="DF382" s="1"/>
  <c r="DF384" a="1"/>
  <c r="DF384" s="1"/>
  <c r="DF385" a="1"/>
  <c r="DF385" s="1"/>
  <c r="DF390" a="1"/>
  <c r="DF390" s="1"/>
  <c r="DF391" a="1"/>
  <c r="DF391" s="1"/>
  <c r="DF392" a="1"/>
  <c r="DF392" s="1"/>
  <c r="DF13" a="1"/>
  <c r="DF13" s="1"/>
  <c r="DF14" a="1"/>
  <c r="DF14" s="1"/>
  <c r="DF15" a="1"/>
  <c r="DF15" s="1"/>
  <c r="DF56" a="1"/>
  <c r="DF56" s="1"/>
  <c r="DF59" a="1"/>
  <c r="DF59" s="1"/>
  <c r="DF60" a="1"/>
  <c r="DF60" s="1"/>
  <c r="DF68" a="1"/>
  <c r="DF68" s="1"/>
  <c r="DF97" a="1"/>
  <c r="DF97" s="1"/>
  <c r="DF98" a="1"/>
  <c r="DF98" s="1"/>
  <c r="DF99" a="1"/>
  <c r="DF99" s="1"/>
  <c r="DF100" a="1"/>
  <c r="DF100" s="1"/>
  <c r="DF102" a="1"/>
  <c r="DF102" s="1"/>
  <c r="DF103" a="1"/>
  <c r="DF103" s="1"/>
  <c r="DF106" a="1"/>
  <c r="DF106" s="1"/>
  <c r="DF107" a="1"/>
  <c r="DF107" s="1"/>
  <c r="DF108" a="1"/>
  <c r="DF108" s="1"/>
  <c r="DF114" a="1"/>
  <c r="DF114" s="1"/>
  <c r="DF121" a="1"/>
  <c r="DF121" s="1"/>
  <c r="DF123" a="1"/>
  <c r="DF123" s="1"/>
  <c r="DF137" a="1"/>
  <c r="DF137" s="1"/>
  <c r="DF138" a="1"/>
  <c r="DF138" s="1"/>
  <c r="DF139" a="1"/>
  <c r="DF139" s="1"/>
  <c r="DF141" a="1"/>
  <c r="DF141" s="1"/>
  <c r="DF147" a="1"/>
  <c r="DF147" s="1"/>
  <c r="DF151" a="1"/>
  <c r="DF151" s="1"/>
  <c r="DF152" a="1"/>
  <c r="DF152" s="1"/>
  <c r="DF153" a="1"/>
  <c r="DF153" s="1"/>
  <c r="DF154" a="1"/>
  <c r="DF154" s="1"/>
  <c r="DF155" a="1"/>
  <c r="DF155" s="1"/>
  <c r="DF267" a="1"/>
  <c r="DF267" s="1"/>
  <c r="DF268" a="1"/>
  <c r="DF268" s="1"/>
  <c r="DF282" a="1"/>
  <c r="DF282" s="1"/>
  <c r="DF283" a="1"/>
  <c r="DF283" s="1"/>
  <c r="DF284" a="1"/>
  <c r="DF284" s="1"/>
  <c r="DF285" a="1"/>
  <c r="DF285" s="1"/>
  <c r="DF286" a="1"/>
  <c r="DF286" s="1"/>
  <c r="DF296" a="1"/>
  <c r="DF296" s="1"/>
  <c r="DF304" a="1"/>
  <c r="DF304" s="1"/>
  <c r="DF305" a="1"/>
  <c r="DF305" s="1"/>
  <c r="DF306" a="1"/>
  <c r="DF306" s="1"/>
  <c r="DF312" a="1"/>
  <c r="DF312" s="1"/>
  <c r="DF319" a="1"/>
  <c r="DF319" s="1"/>
  <c r="DF19" a="1"/>
  <c r="DF19" s="1"/>
  <c r="DF20" a="1"/>
  <c r="DF20" s="1"/>
  <c r="DF21" a="1"/>
  <c r="DF21" s="1"/>
  <c r="DF22" a="1"/>
  <c r="DF22" s="1"/>
  <c r="DF23" a="1"/>
  <c r="DF23" s="1"/>
  <c r="DF24" a="1"/>
  <c r="DF24" s="1"/>
  <c r="DF25" a="1"/>
  <c r="DF25" s="1"/>
  <c r="DF26" a="1"/>
  <c r="DF26" s="1"/>
  <c r="DF27" a="1"/>
  <c r="DF27" s="1"/>
  <c r="DF28" a="1"/>
  <c r="DF28" s="1"/>
  <c r="DF29" a="1"/>
  <c r="DF29" s="1"/>
  <c r="DF30" a="1"/>
  <c r="DF30" s="1"/>
  <c r="DF31" a="1"/>
  <c r="DF31" s="1"/>
  <c r="DF33" a="1"/>
  <c r="DF33" s="1"/>
  <c r="DF34" a="1"/>
  <c r="DF34" s="1"/>
  <c r="DF35" a="1"/>
  <c r="DF35" s="1"/>
  <c r="DF36" a="1"/>
  <c r="DF36" s="1"/>
  <c r="DF37" a="1"/>
  <c r="DF37" s="1"/>
  <c r="DF38" a="1"/>
  <c r="DF38" s="1"/>
  <c r="DF39" a="1"/>
  <c r="DF39" s="1"/>
  <c r="DF40" a="1"/>
  <c r="DF40" s="1"/>
  <c r="DF41" a="1"/>
  <c r="DF41" s="1"/>
  <c r="DF42" a="1"/>
  <c r="DF42" s="1"/>
  <c r="DF43" a="1"/>
  <c r="DF43" s="1"/>
  <c r="DF44" a="1"/>
  <c r="DF44" s="1"/>
  <c r="DF45" a="1"/>
  <c r="DF45" s="1"/>
  <c r="DF46" a="1"/>
  <c r="DF46" s="1"/>
  <c r="DF48" a="1"/>
  <c r="DF48" s="1"/>
  <c r="DF49" a="1"/>
  <c r="DF49" s="1"/>
  <c r="DF50" a="1"/>
  <c r="DF50" s="1"/>
  <c r="DF51" a="1"/>
  <c r="DF51" s="1"/>
  <c r="DF52" a="1"/>
  <c r="DF52" s="1"/>
  <c r="DF53" a="1"/>
  <c r="DF53" s="1"/>
  <c r="DF54" a="1"/>
  <c r="DF54" s="1"/>
  <c r="DF55" a="1"/>
  <c r="DF55" s="1"/>
  <c r="DF58" a="1"/>
  <c r="DF58" s="1"/>
  <c r="DF61" a="1"/>
  <c r="DF61" s="1"/>
  <c r="DF63" a="1"/>
  <c r="DF63" s="1"/>
  <c r="DF64" a="1"/>
  <c r="DF64" s="1"/>
  <c r="DF65" a="1"/>
  <c r="DF65" s="1"/>
  <c r="DF66" a="1"/>
  <c r="DF66" s="1"/>
  <c r="DF67" a="1"/>
  <c r="DF67" s="1"/>
  <c r="DF76" a="1"/>
  <c r="DF76" s="1"/>
  <c r="DF77" a="1"/>
  <c r="DF77" s="1"/>
  <c r="DF78" a="1"/>
  <c r="DF78" s="1"/>
  <c r="DF104" a="1"/>
  <c r="DF104" s="1"/>
  <c r="DF105" a="1"/>
  <c r="DF105" s="1"/>
  <c r="DF109" a="1"/>
  <c r="DF109" s="1"/>
  <c r="DF110" a="1"/>
  <c r="DF110" s="1"/>
  <c r="DF112" a="1"/>
  <c r="DF112" s="1"/>
  <c r="DF113" a="1"/>
  <c r="DF113" s="1"/>
  <c r="DF115" a="1"/>
  <c r="DF115" s="1"/>
  <c r="DF117" a="1"/>
  <c r="DF117" s="1"/>
  <c r="DF118" a="1"/>
  <c r="DF118" s="1"/>
  <c r="DF119" a="1"/>
  <c r="DF119" s="1"/>
  <c r="DF120" a="1"/>
  <c r="DF120" s="1"/>
  <c r="DF125" a="1"/>
  <c r="DF125" s="1"/>
  <c r="DF126" a="1"/>
  <c r="DF126" s="1"/>
  <c r="DF157" a="1"/>
  <c r="DF157" s="1"/>
  <c r="DF264" a="1"/>
  <c r="DF264" s="1"/>
  <c r="DF265" a="1"/>
  <c r="DF265" s="1"/>
  <c r="DF266" a="1"/>
  <c r="DF266" s="1"/>
  <c r="DF269" a="1"/>
  <c r="DF269" s="1"/>
  <c r="DF270" a="1"/>
  <c r="DF270" s="1"/>
  <c r="DF271" a="1"/>
  <c r="DF271" s="1"/>
  <c r="DF275" a="1"/>
  <c r="DF275" s="1"/>
  <c r="DF278" a="1"/>
  <c r="DF278" s="1"/>
  <c r="DF279" a="1"/>
  <c r="DF279" s="1"/>
  <c r="DF280" a="1"/>
  <c r="DF280" s="1"/>
  <c r="DF281" a="1"/>
  <c r="DF281" s="1"/>
  <c r="DF287" a="1"/>
  <c r="DF287" s="1"/>
  <c r="DF288" a="1"/>
  <c r="DF288" s="1"/>
  <c r="DF289" a="1"/>
  <c r="DF289" s="1"/>
  <c r="DF290" a="1"/>
  <c r="DF290" s="1"/>
  <c r="DF291" a="1"/>
  <c r="DF291" s="1"/>
  <c r="DF292" a="1"/>
  <c r="DF292" s="1"/>
  <c r="DF293" a="1"/>
  <c r="DF293" s="1"/>
  <c r="DF294" a="1"/>
  <c r="DF294" s="1"/>
  <c r="DF295" a="1"/>
  <c r="DF295" s="1"/>
  <c r="DF297" a="1"/>
  <c r="DF297" s="1"/>
  <c r="DF298" a="1"/>
  <c r="DF298" s="1"/>
  <c r="DF299" a="1"/>
  <c r="DF299" s="1"/>
  <c r="DF300" a="1"/>
  <c r="DF300" s="1"/>
  <c r="DF301" a="1"/>
  <c r="DF301" s="1"/>
  <c r="DF302" a="1"/>
  <c r="DF302" s="1"/>
  <c r="DF303" a="1"/>
  <c r="DF303" s="1"/>
  <c r="DF307" a="1"/>
  <c r="DF307" s="1"/>
  <c r="DF308" a="1"/>
  <c r="DF308" s="1"/>
  <c r="DF309" a="1"/>
  <c r="DF309" s="1"/>
  <c r="DF310" a="1"/>
  <c r="DF310" s="1"/>
  <c r="DF311" a="1"/>
  <c r="DF311" s="1"/>
  <c r="DF315" a="1"/>
  <c r="DF315" s="1"/>
  <c r="DF316" a="1"/>
  <c r="DF316" s="1"/>
  <c r="DF317" a="1"/>
  <c r="DF317" s="1"/>
  <c r="DF321" a="1"/>
  <c r="DF321" s="1"/>
  <c r="DF322" a="1"/>
  <c r="DF322" s="1"/>
  <c r="DF323" a="1"/>
  <c r="DF323" s="1"/>
  <c r="DF324" a="1"/>
  <c r="DF324" s="1"/>
  <c r="DF327" a="1"/>
  <c r="DF327" s="1"/>
  <c r="DF328" a="1"/>
  <c r="DF328" s="1"/>
  <c r="DF329" a="1"/>
  <c r="DF329" s="1"/>
  <c r="DF330" a="1"/>
  <c r="DF330" s="1"/>
  <c r="DF331" a="1"/>
  <c r="DF331" s="1"/>
  <c r="DF337" a="1"/>
  <c r="DF337" s="1"/>
  <c r="DF338" a="1"/>
  <c r="DF338" s="1"/>
  <c r="DF341" a="1"/>
  <c r="DF341" s="1"/>
  <c r="DF342" a="1"/>
  <c r="DF342" s="1"/>
  <c r="DF343" a="1"/>
  <c r="DF343" s="1"/>
  <c r="DF344" a="1"/>
  <c r="DF344" s="1"/>
  <c r="DF346" a="1"/>
  <c r="DF346" s="1"/>
  <c r="DF348" a="1"/>
  <c r="DF348" s="1"/>
  <c r="DF349" a="1"/>
  <c r="DF349" s="1"/>
  <c r="DF350" a="1"/>
  <c r="DF350" s="1"/>
  <c r="DF353" a="1"/>
  <c r="DF353" s="1"/>
  <c r="DF355" a="1"/>
  <c r="DF355" s="1"/>
  <c r="DF356" a="1"/>
  <c r="DF356" s="1"/>
  <c r="DF357" a="1"/>
  <c r="DF357" s="1"/>
  <c r="DF358" a="1"/>
  <c r="DF358" s="1"/>
  <c r="DF359" a="1"/>
  <c r="DF359" s="1"/>
  <c r="DF360" a="1"/>
  <c r="DF360" s="1"/>
  <c r="DF361" a="1"/>
  <c r="DF361" s="1"/>
  <c r="DF362" a="1"/>
  <c r="DF362" s="1"/>
  <c r="DF363" a="1"/>
  <c r="DF363" s="1"/>
  <c r="DF364" a="1"/>
  <c r="DF364" s="1"/>
  <c r="DF365" a="1"/>
  <c r="DF365" s="1"/>
  <c r="DF366" a="1"/>
  <c r="DF366" s="1"/>
  <c r="DF367" a="1"/>
  <c r="DF367" s="1"/>
  <c r="DF368" a="1"/>
  <c r="DF368" s="1"/>
  <c r="DF369" a="1"/>
  <c r="DF369" s="1"/>
  <c r="DF370" a="1"/>
  <c r="DF370" s="1"/>
  <c r="DF371" a="1"/>
  <c r="DF371" s="1"/>
  <c r="DF373" a="1"/>
  <c r="DF373" s="1"/>
  <c r="DF374" a="1"/>
  <c r="DF374" s="1"/>
  <c r="DF375" a="1"/>
  <c r="DF375" s="1"/>
  <c r="DF376" a="1"/>
  <c r="DF376" s="1"/>
  <c r="DF377" a="1"/>
  <c r="DF377" s="1"/>
  <c r="DF378" a="1"/>
  <c r="DF378" s="1"/>
  <c r="DF379" a="1"/>
  <c r="DF379" s="1"/>
  <c r="DF380" a="1"/>
  <c r="DF380" s="1"/>
  <c r="DF381" a="1"/>
  <c r="DF381" s="1"/>
  <c r="DF388" a="1"/>
  <c r="DF388" s="1"/>
  <c r="DF389" a="1"/>
  <c r="DF389" s="1"/>
  <c r="DF393" a="1"/>
  <c r="DF393" s="1"/>
  <c r="DF394" a="1"/>
  <c r="DF394" s="1"/>
  <c r="DF395" a="1"/>
  <c r="DF395" s="1"/>
  <c r="DF396" a="1"/>
  <c r="DF396" s="1"/>
  <c r="DF397" a="1"/>
  <c r="DF397" s="1"/>
  <c r="DF398" a="1"/>
  <c r="DF398" s="1"/>
  <c r="DF399" a="1"/>
  <c r="DF399" s="1"/>
  <c r="DF400" a="1"/>
  <c r="DF400" s="1"/>
  <c r="CP2" a="1"/>
  <c r="CP2" s="1"/>
  <c r="CP3" a="1"/>
  <c r="CP3" s="1"/>
  <c r="CP4" a="1"/>
  <c r="CP4" s="1"/>
  <c r="CP5" a="1"/>
  <c r="CP5" s="1"/>
  <c r="CP6" a="1"/>
  <c r="CP6" s="1"/>
  <c r="CP7" a="1"/>
  <c r="CP7" s="1"/>
  <c r="CP8" a="1"/>
  <c r="CP8" s="1"/>
  <c r="CP9" a="1"/>
  <c r="CP9" s="1"/>
  <c r="CP10" a="1"/>
  <c r="CP10" s="1"/>
  <c r="CP11" a="1"/>
  <c r="CP11" s="1"/>
  <c r="CP12" a="1"/>
  <c r="CP12" s="1"/>
  <c r="CP16" a="1"/>
  <c r="CP16" s="1"/>
  <c r="CP17" a="1"/>
  <c r="CP17" s="1"/>
  <c r="CP47" a="1"/>
  <c r="CP47" s="1"/>
  <c r="CP70" a="1"/>
  <c r="CP70" s="1"/>
  <c r="CP79" a="1"/>
  <c r="CP79" s="1"/>
  <c r="CP80" a="1"/>
  <c r="CP80" s="1"/>
  <c r="CP81" a="1"/>
  <c r="CP81" s="1"/>
  <c r="CP84" a="1"/>
  <c r="CP84" s="1"/>
  <c r="CP86" a="1"/>
  <c r="CP86" s="1"/>
  <c r="CP87" a="1"/>
  <c r="CP87" s="1"/>
  <c r="CP88" a="1"/>
  <c r="CP88" s="1"/>
  <c r="CP89" a="1"/>
  <c r="CP89" s="1"/>
  <c r="CP90" a="1"/>
  <c r="CP90" s="1"/>
  <c r="CP91" a="1"/>
  <c r="CP91" s="1"/>
  <c r="CP93" a="1"/>
  <c r="CP93" s="1"/>
  <c r="CP94" a="1"/>
  <c r="CP94" s="1"/>
  <c r="CP95" a="1"/>
  <c r="CP95" s="1"/>
  <c r="CP96" a="1"/>
  <c r="CP96" s="1"/>
  <c r="CP111" a="1"/>
  <c r="CP111" s="1"/>
  <c r="CP122" a="1"/>
  <c r="CP122" s="1"/>
  <c r="CP129" a="1"/>
  <c r="CP129" s="1"/>
  <c r="CP128" a="1"/>
  <c r="CP128" s="1"/>
  <c r="CP131" a="1"/>
  <c r="CP131" s="1"/>
  <c r="CP132" a="1"/>
  <c r="CP132" s="1"/>
  <c r="CP133" a="1"/>
  <c r="CP133" s="1"/>
  <c r="CP134" a="1"/>
  <c r="CP134" s="1"/>
  <c r="CP135" a="1"/>
  <c r="CP135" s="1"/>
  <c r="CP136" a="1"/>
  <c r="CP136" s="1"/>
  <c r="CP145" a="1"/>
  <c r="CP145" s="1"/>
  <c r="CP146" a="1"/>
  <c r="CP146" s="1"/>
  <c r="CP148" a="1"/>
  <c r="CP148" s="1"/>
  <c r="CP149" a="1"/>
  <c r="CP149" s="1"/>
  <c r="CP150" a="1"/>
  <c r="CP150" s="1"/>
  <c r="CP156" a="1"/>
  <c r="CP156" s="1"/>
  <c r="CP161" a="1"/>
  <c r="CP161" s="1"/>
  <c r="CP162" a="1"/>
  <c r="CP162" s="1"/>
  <c r="CP163" a="1"/>
  <c r="CP163" s="1"/>
  <c r="CP164" a="1"/>
  <c r="CP164" s="1"/>
  <c r="CP165" a="1"/>
  <c r="CP165" s="1"/>
  <c r="CP166" a="1"/>
  <c r="CP166" s="1"/>
  <c r="CP167" a="1"/>
  <c r="CP167" s="1"/>
  <c r="CP168" a="1"/>
  <c r="CP168" s="1"/>
  <c r="CP169" a="1"/>
  <c r="CP169" s="1"/>
  <c r="CP170" a="1"/>
  <c r="CP170" s="1"/>
  <c r="CP171" a="1"/>
  <c r="CP171" s="1"/>
  <c r="CP172" a="1"/>
  <c r="CP172" s="1"/>
  <c r="CP173" a="1"/>
  <c r="CP173" s="1"/>
  <c r="CP174" a="1"/>
  <c r="CP174" s="1"/>
  <c r="CP175" a="1"/>
  <c r="CP175" s="1"/>
  <c r="CP176" a="1"/>
  <c r="CP176" s="1"/>
  <c r="CP177" a="1"/>
  <c r="CP177" s="1"/>
  <c r="CP178" a="1"/>
  <c r="CP178" s="1"/>
  <c r="CP179" a="1"/>
  <c r="CP179" s="1"/>
  <c r="CP180" a="1"/>
  <c r="CP180" s="1"/>
  <c r="CP181" a="1"/>
  <c r="CP181" s="1"/>
  <c r="CP187" a="1"/>
  <c r="CP187" s="1"/>
  <c r="CP188" a="1"/>
  <c r="CP188" s="1"/>
  <c r="CP189" a="1"/>
  <c r="CP189" s="1"/>
  <c r="CP190" a="1"/>
  <c r="CP190" s="1"/>
  <c r="CP191" a="1"/>
  <c r="CP191" s="1"/>
  <c r="CP192" a="1"/>
  <c r="CP192" s="1"/>
  <c r="CP193" a="1"/>
  <c r="CP193" s="1"/>
  <c r="CP194" a="1"/>
  <c r="CP194" s="1"/>
  <c r="CP195" a="1"/>
  <c r="CP195" s="1"/>
  <c r="CP196" a="1"/>
  <c r="CP196" s="1"/>
  <c r="CP197" a="1"/>
  <c r="CP197" s="1"/>
  <c r="CP198" a="1"/>
  <c r="CP198" s="1"/>
  <c r="CP199" a="1"/>
  <c r="CP199" s="1"/>
  <c r="CP200" a="1"/>
  <c r="CP200" s="1"/>
  <c r="CP201" a="1"/>
  <c r="CP201" s="1"/>
  <c r="CP202" a="1"/>
  <c r="CP202" s="1"/>
  <c r="CP203" a="1"/>
  <c r="CP203" s="1"/>
  <c r="CP204" a="1"/>
  <c r="CP204" s="1"/>
  <c r="CP205" a="1"/>
  <c r="CP205" s="1"/>
  <c r="CP206" a="1"/>
  <c r="CP206" s="1"/>
  <c r="CP209" a="1"/>
  <c r="CP209" s="1"/>
  <c r="CP210" a="1"/>
  <c r="CP210" s="1"/>
  <c r="CP211" a="1"/>
  <c r="CP211" s="1"/>
  <c r="CP212" a="1"/>
  <c r="CP212" s="1"/>
  <c r="CP213" a="1"/>
  <c r="CP213" s="1"/>
  <c r="CP214" a="1"/>
  <c r="CP214" s="1"/>
  <c r="CP215" a="1"/>
  <c r="CP215" s="1"/>
  <c r="CP216" a="1"/>
  <c r="CP216" s="1"/>
  <c r="CP217" a="1"/>
  <c r="CP217" s="1"/>
  <c r="CP218" a="1"/>
  <c r="CP218" s="1"/>
  <c r="CP219" a="1"/>
  <c r="CP219" s="1"/>
  <c r="CP220" a="1"/>
  <c r="CP220" s="1"/>
  <c r="CP221" a="1"/>
  <c r="CP221" s="1"/>
  <c r="CP222" a="1"/>
  <c r="CP222" s="1"/>
  <c r="CP223" a="1"/>
  <c r="CP223" s="1"/>
  <c r="CP224" a="1"/>
  <c r="CP224" s="1"/>
  <c r="CP225" a="1"/>
  <c r="CP225" s="1"/>
  <c r="CP226" a="1"/>
  <c r="CP226" s="1"/>
  <c r="CP227" a="1"/>
  <c r="CP227" s="1"/>
  <c r="CP229" a="1"/>
  <c r="CP229" s="1"/>
  <c r="CP232" a="1"/>
  <c r="CP232" s="1"/>
  <c r="CP234" a="1"/>
  <c r="CP234" s="1"/>
  <c r="CP235" a="1"/>
  <c r="CP235" s="1"/>
  <c r="CP236" a="1"/>
  <c r="CP236" s="1"/>
  <c r="CP237" a="1"/>
  <c r="CP237" s="1"/>
  <c r="CP238" a="1"/>
  <c r="CP238" s="1"/>
  <c r="CP239" a="1"/>
  <c r="CP239" s="1"/>
  <c r="CP240" a="1"/>
  <c r="CP240" s="1"/>
  <c r="CP241" a="1"/>
  <c r="CP241" s="1"/>
  <c r="CP242" a="1"/>
  <c r="CP242" s="1"/>
  <c r="CP243" a="1"/>
  <c r="CP243" s="1"/>
  <c r="CP244" a="1"/>
  <c r="CP244" s="1"/>
  <c r="CP245" a="1"/>
  <c r="CP245" s="1"/>
  <c r="CP246" a="1"/>
  <c r="CP246" s="1"/>
  <c r="CP247" a="1"/>
  <c r="CP247" s="1"/>
  <c r="CP248" a="1"/>
  <c r="CP248" s="1"/>
  <c r="CP249" a="1"/>
  <c r="CP249" s="1"/>
  <c r="CP250" a="1"/>
  <c r="CP250" s="1"/>
  <c r="CP251" a="1"/>
  <c r="CP251" s="1"/>
  <c r="CP252" a="1"/>
  <c r="CP252" s="1"/>
  <c r="CP253" a="1"/>
  <c r="CP253" s="1"/>
  <c r="CP254" a="1"/>
  <c r="CP254" s="1"/>
  <c r="CP255" a="1"/>
  <c r="CP255" s="1"/>
  <c r="CP256" a="1"/>
  <c r="CP256" s="1"/>
  <c r="CP257" a="1"/>
  <c r="CP257" s="1"/>
  <c r="CP258" a="1"/>
  <c r="CP258" s="1"/>
  <c r="CP259" a="1"/>
  <c r="CP259" s="1"/>
  <c r="CP260" a="1"/>
  <c r="CP260" s="1"/>
  <c r="CP261" a="1"/>
  <c r="CP261" s="1"/>
  <c r="CP262" a="1"/>
  <c r="CP262" s="1"/>
  <c r="CP263" a="1"/>
  <c r="CP263" s="1"/>
  <c r="CP272" a="1"/>
  <c r="CP272" s="1"/>
  <c r="CP274" a="1"/>
  <c r="CP274" s="1"/>
  <c r="CP276" a="1"/>
  <c r="CP276" s="1"/>
  <c r="CP277" a="1"/>
  <c r="CP277" s="1"/>
  <c r="CP313" a="1"/>
  <c r="CP313" s="1"/>
  <c r="CP314" a="1"/>
  <c r="CP314" s="1"/>
  <c r="CP325" a="1"/>
  <c r="CP325" s="1"/>
  <c r="CP326" a="1"/>
  <c r="CP326" s="1"/>
  <c r="CP332" a="1"/>
  <c r="CP332" s="1"/>
  <c r="CP333" a="1"/>
  <c r="CP333" s="1"/>
  <c r="CP334" a="1"/>
  <c r="CP334" s="1"/>
  <c r="CP335" a="1"/>
  <c r="CP335" s="1"/>
  <c r="CP339" a="1"/>
  <c r="CP339" s="1"/>
  <c r="CP340" a="1"/>
  <c r="CP340" s="1"/>
  <c r="CP345" a="1"/>
  <c r="CP345" s="1"/>
  <c r="CP382" a="1"/>
  <c r="CP382" s="1"/>
  <c r="CP384" a="1"/>
  <c r="CP384" s="1"/>
  <c r="CP385" a="1"/>
  <c r="CP385" s="1"/>
  <c r="CP390" a="1"/>
  <c r="CP390" s="1"/>
  <c r="CP391" a="1"/>
  <c r="CP391" s="1"/>
  <c r="CP392" a="1"/>
  <c r="CP392" s="1"/>
  <c r="CP13" a="1"/>
  <c r="CP13" s="1"/>
  <c r="CP14" a="1"/>
  <c r="CP14" s="1"/>
  <c r="CP15" a="1"/>
  <c r="CP15" s="1"/>
  <c r="CP56" a="1"/>
  <c r="CP56" s="1"/>
  <c r="CP59" a="1"/>
  <c r="CP59" s="1"/>
  <c r="CP60" a="1"/>
  <c r="CP60" s="1"/>
  <c r="CP68" a="1"/>
  <c r="CP68" s="1"/>
  <c r="CP97" a="1"/>
  <c r="CP97" s="1"/>
  <c r="CP98" a="1"/>
  <c r="CP98" s="1"/>
  <c r="CP99" a="1"/>
  <c r="CP99" s="1"/>
  <c r="CP100" a="1"/>
  <c r="CP100" s="1"/>
  <c r="CP102" a="1"/>
  <c r="CP102" s="1"/>
  <c r="CP103" a="1"/>
  <c r="CP103" s="1"/>
  <c r="CP106" a="1"/>
  <c r="CP106" s="1"/>
  <c r="CP107" a="1"/>
  <c r="CP107" s="1"/>
  <c r="CP108" a="1"/>
  <c r="CP108" s="1"/>
  <c r="CP114" a="1"/>
  <c r="CP114" s="1"/>
  <c r="CP121" a="1"/>
  <c r="CP121" s="1"/>
  <c r="CP123" a="1"/>
  <c r="CP123" s="1"/>
  <c r="CP137" a="1"/>
  <c r="CP137" s="1"/>
  <c r="CP138" a="1"/>
  <c r="CP138" s="1"/>
  <c r="CP139" a="1"/>
  <c r="CP139" s="1"/>
  <c r="CP141" a="1"/>
  <c r="CP141" s="1"/>
  <c r="CP147" a="1"/>
  <c r="CP147" s="1"/>
  <c r="CP151" a="1"/>
  <c r="CP151" s="1"/>
  <c r="CP152" a="1"/>
  <c r="CP152" s="1"/>
  <c r="CP153" a="1"/>
  <c r="CP153" s="1"/>
  <c r="CP154" a="1"/>
  <c r="CP154" s="1"/>
  <c r="CP155" a="1"/>
  <c r="CP155" s="1"/>
  <c r="CP267" a="1"/>
  <c r="CP267" s="1"/>
  <c r="CP268" a="1"/>
  <c r="CP268" s="1"/>
  <c r="CP282" a="1"/>
  <c r="CP282" s="1"/>
  <c r="CP283" a="1"/>
  <c r="CP283" s="1"/>
  <c r="CP284" a="1"/>
  <c r="CP284" s="1"/>
  <c r="CP285" a="1"/>
  <c r="CP285" s="1"/>
  <c r="CP286" a="1"/>
  <c r="CP286" s="1"/>
  <c r="CP296" a="1"/>
  <c r="CP296" s="1"/>
  <c r="CP304" a="1"/>
  <c r="CP304" s="1"/>
  <c r="CP305" a="1"/>
  <c r="CP305" s="1"/>
  <c r="CP306" a="1"/>
  <c r="CP306" s="1"/>
  <c r="CP312" a="1"/>
  <c r="CP312" s="1"/>
  <c r="CP319" a="1"/>
  <c r="CP319" s="1"/>
  <c r="CP19" a="1"/>
  <c r="CP19" s="1"/>
  <c r="CP20" a="1"/>
  <c r="CP20" s="1"/>
  <c r="CP21" a="1"/>
  <c r="CP21" s="1"/>
  <c r="CP22" a="1"/>
  <c r="CP22" s="1"/>
  <c r="CP23" a="1"/>
  <c r="CP23" s="1"/>
  <c r="CP24" a="1"/>
  <c r="CP24" s="1"/>
  <c r="CP25" a="1"/>
  <c r="CP25" s="1"/>
  <c r="CP26" a="1"/>
  <c r="CP26" s="1"/>
  <c r="CP27" a="1"/>
  <c r="CP27" s="1"/>
  <c r="CP28" a="1"/>
  <c r="CP28" s="1"/>
  <c r="CP29" a="1"/>
  <c r="CP29" s="1"/>
  <c r="CP30" a="1"/>
  <c r="CP30" s="1"/>
  <c r="CP31" a="1"/>
  <c r="CP31" s="1"/>
  <c r="CP33" a="1"/>
  <c r="CP33" s="1"/>
  <c r="CP34" a="1"/>
  <c r="CP34" s="1"/>
  <c r="CP35" a="1"/>
  <c r="CP35" s="1"/>
  <c r="CP36" a="1"/>
  <c r="CP36" s="1"/>
  <c r="CP37" a="1"/>
  <c r="CP37" s="1"/>
  <c r="CP38" a="1"/>
  <c r="CP38" s="1"/>
  <c r="CP39" a="1"/>
  <c r="CP39" s="1"/>
  <c r="CP40" a="1"/>
  <c r="CP40" s="1"/>
  <c r="CP41" a="1"/>
  <c r="CP41" s="1"/>
  <c r="CP42" a="1"/>
  <c r="CP42" s="1"/>
  <c r="CP43" a="1"/>
  <c r="CP43" s="1"/>
  <c r="CP44" a="1"/>
  <c r="CP44" s="1"/>
  <c r="CP45" a="1"/>
  <c r="CP45" s="1"/>
  <c r="CP46" a="1"/>
  <c r="CP46" s="1"/>
  <c r="CP48" a="1"/>
  <c r="CP48" s="1"/>
  <c r="CP49" a="1"/>
  <c r="CP49" s="1"/>
  <c r="CP50" a="1"/>
  <c r="CP50" s="1"/>
  <c r="CP51" a="1"/>
  <c r="CP51" s="1"/>
  <c r="CP52" a="1"/>
  <c r="CP52" s="1"/>
  <c r="CP53" a="1"/>
  <c r="CP53" s="1"/>
  <c r="CP54" a="1"/>
  <c r="CP54" s="1"/>
  <c r="CP55" a="1"/>
  <c r="CP55" s="1"/>
  <c r="CP58" a="1"/>
  <c r="CP58" s="1"/>
  <c r="CP61" a="1"/>
  <c r="CP61" s="1"/>
  <c r="CP63" a="1"/>
  <c r="CP63" s="1"/>
  <c r="CP64" a="1"/>
  <c r="CP64" s="1"/>
  <c r="CP65" a="1"/>
  <c r="CP65" s="1"/>
  <c r="CP66" a="1"/>
  <c r="CP66" s="1"/>
  <c r="CP67" a="1"/>
  <c r="CP67" s="1"/>
  <c r="CP76" a="1"/>
  <c r="CP76" s="1"/>
  <c r="CP77" a="1"/>
  <c r="CP77" s="1"/>
  <c r="CP78" a="1"/>
  <c r="CP78" s="1"/>
  <c r="CP104" a="1"/>
  <c r="CP104" s="1"/>
  <c r="CP105" a="1"/>
  <c r="CP105" s="1"/>
  <c r="CP109" a="1"/>
  <c r="CP109" s="1"/>
  <c r="CP110" a="1"/>
  <c r="CP110" s="1"/>
  <c r="CP112" a="1"/>
  <c r="CP112" s="1"/>
  <c r="CP113" a="1"/>
  <c r="CP113" s="1"/>
  <c r="CP115" a="1"/>
  <c r="CP115" s="1"/>
  <c r="CP117" a="1"/>
  <c r="CP117" s="1"/>
  <c r="CP118" a="1"/>
  <c r="CP118" s="1"/>
  <c r="CP119" a="1"/>
  <c r="CP119" s="1"/>
  <c r="CP120" a="1"/>
  <c r="CP120" s="1"/>
  <c r="CP125" a="1"/>
  <c r="CP125" s="1"/>
  <c r="CP126" a="1"/>
  <c r="CP126" s="1"/>
  <c r="CP157" a="1"/>
  <c r="CP157" s="1"/>
  <c r="CP264" a="1"/>
  <c r="CP264" s="1"/>
  <c r="CP265" a="1"/>
  <c r="CP265" s="1"/>
  <c r="CP266" a="1"/>
  <c r="CP266" s="1"/>
  <c r="CP269" a="1"/>
  <c r="CP269" s="1"/>
  <c r="CP270" a="1"/>
  <c r="CP270" s="1"/>
  <c r="CP271" a="1"/>
  <c r="CP271" s="1"/>
  <c r="CP275" a="1"/>
  <c r="CP275" s="1"/>
  <c r="CP278" a="1"/>
  <c r="CP278" s="1"/>
  <c r="CP279" a="1"/>
  <c r="CP279" s="1"/>
  <c r="CP280" a="1"/>
  <c r="CP280" s="1"/>
  <c r="CP281" a="1"/>
  <c r="CP281" s="1"/>
  <c r="CP287" a="1"/>
  <c r="CP287" s="1"/>
  <c r="CP288" a="1"/>
  <c r="CP288" s="1"/>
  <c r="CP289" a="1"/>
  <c r="CP289" s="1"/>
  <c r="CP290" a="1"/>
  <c r="CP290" s="1"/>
  <c r="CP291" a="1"/>
  <c r="CP291" s="1"/>
  <c r="CP292" a="1"/>
  <c r="CP292" s="1"/>
  <c r="CP293" a="1"/>
  <c r="CP293" s="1"/>
  <c r="CP294" a="1"/>
  <c r="CP294" s="1"/>
  <c r="CP295" a="1"/>
  <c r="CP295" s="1"/>
  <c r="CP297" a="1"/>
  <c r="CP297" s="1"/>
  <c r="CP298" a="1"/>
  <c r="CP298" s="1"/>
  <c r="CP299" a="1"/>
  <c r="CP299" s="1"/>
  <c r="CP300" a="1"/>
  <c r="CP300" s="1"/>
  <c r="CP301" a="1"/>
  <c r="CP301" s="1"/>
  <c r="CP302" a="1"/>
  <c r="CP302" s="1"/>
  <c r="CP303" a="1"/>
  <c r="CP303" s="1"/>
  <c r="CP307" a="1"/>
  <c r="CP307" s="1"/>
  <c r="CP308" a="1"/>
  <c r="CP308" s="1"/>
  <c r="CP309" a="1"/>
  <c r="CP309" s="1"/>
  <c r="CP310" a="1"/>
  <c r="CP310" s="1"/>
  <c r="CP311" a="1"/>
  <c r="CP311" s="1"/>
  <c r="CP315" a="1"/>
  <c r="CP315" s="1"/>
  <c r="CP316" a="1"/>
  <c r="CP316" s="1"/>
  <c r="CP317" a="1"/>
  <c r="CP317" s="1"/>
  <c r="CP321" a="1"/>
  <c r="CP321" s="1"/>
  <c r="CP322" a="1"/>
  <c r="CP322" s="1"/>
  <c r="CP323" a="1"/>
  <c r="CP323" s="1"/>
  <c r="CP324" a="1"/>
  <c r="CP324" s="1"/>
  <c r="CP327" a="1"/>
  <c r="CP327" s="1"/>
  <c r="CP328" a="1"/>
  <c r="CP328" s="1"/>
  <c r="CP329" a="1"/>
  <c r="CP329" s="1"/>
  <c r="CP330" a="1"/>
  <c r="CP330" s="1"/>
  <c r="CP331" a="1"/>
  <c r="CP331" s="1"/>
  <c r="CP337" a="1"/>
  <c r="CP337" s="1"/>
  <c r="CP338" a="1"/>
  <c r="CP338" s="1"/>
  <c r="CP341" a="1"/>
  <c r="CP341" s="1"/>
  <c r="CP342" a="1"/>
  <c r="CP342" s="1"/>
  <c r="CP343" a="1"/>
  <c r="CP343" s="1"/>
  <c r="CP344" a="1"/>
  <c r="CP344" s="1"/>
  <c r="CP346" a="1"/>
  <c r="CP346" s="1"/>
  <c r="CP348" a="1"/>
  <c r="CP348" s="1"/>
  <c r="CP349" a="1"/>
  <c r="CP349" s="1"/>
  <c r="CP350" a="1"/>
  <c r="CP350" s="1"/>
  <c r="CP353" a="1"/>
  <c r="CP353" s="1"/>
  <c r="CP355" a="1"/>
  <c r="CP355" s="1"/>
  <c r="CP356" a="1"/>
  <c r="CP356" s="1"/>
  <c r="CP357" a="1"/>
  <c r="CP357" s="1"/>
  <c r="CP358" a="1"/>
  <c r="CP358" s="1"/>
  <c r="CP359" a="1"/>
  <c r="CP359" s="1"/>
  <c r="CP360" a="1"/>
  <c r="CP360" s="1"/>
  <c r="CP361" a="1"/>
  <c r="CP361" s="1"/>
  <c r="CP362" a="1"/>
  <c r="CP362" s="1"/>
  <c r="CP363" a="1"/>
  <c r="CP363" s="1"/>
  <c r="CP364" a="1"/>
  <c r="CP364" s="1"/>
  <c r="CP365" a="1"/>
  <c r="CP365" s="1"/>
  <c r="CP366" a="1"/>
  <c r="CP366" s="1"/>
  <c r="CP367" a="1"/>
  <c r="CP367" s="1"/>
  <c r="CP368" a="1"/>
  <c r="CP368" s="1"/>
  <c r="CP369" a="1"/>
  <c r="CP369" s="1"/>
  <c r="CP370" a="1"/>
  <c r="CP370" s="1"/>
  <c r="CP371" a="1"/>
  <c r="CP371" s="1"/>
  <c r="CP373" a="1"/>
  <c r="CP373" s="1"/>
  <c r="CP374" a="1"/>
  <c r="CP374" s="1"/>
  <c r="CP375" a="1"/>
  <c r="CP375" s="1"/>
  <c r="CP376" a="1"/>
  <c r="CP376" s="1"/>
  <c r="CP377" a="1"/>
  <c r="CP377" s="1"/>
  <c r="CP378" a="1"/>
  <c r="CP378" s="1"/>
  <c r="CP379" a="1"/>
  <c r="CP379" s="1"/>
  <c r="CP380" a="1"/>
  <c r="CP380" s="1"/>
  <c r="CP381" a="1"/>
  <c r="CP381" s="1"/>
  <c r="CP388" a="1"/>
  <c r="CP388" s="1"/>
  <c r="CP389" a="1"/>
  <c r="CP389" s="1"/>
  <c r="CP393" a="1"/>
  <c r="CP393" s="1"/>
  <c r="CP394" a="1"/>
  <c r="CP394" s="1"/>
  <c r="CP395" a="1"/>
  <c r="CP395" s="1"/>
  <c r="CP396" a="1"/>
  <c r="CP396" s="1"/>
  <c r="CP397" a="1"/>
  <c r="CP397" s="1"/>
  <c r="CP398" a="1"/>
  <c r="CP398" s="1"/>
  <c r="CP399" a="1"/>
  <c r="CP399" s="1"/>
  <c r="CP400" a="1"/>
  <c r="CP400" s="1"/>
  <c r="BZ3" a="1"/>
  <c r="BZ3" s="1"/>
  <c r="BZ4" a="1"/>
  <c r="BZ4" s="1"/>
  <c r="BZ5" a="1"/>
  <c r="BZ5" s="1"/>
  <c r="BZ6" a="1"/>
  <c r="BZ6" s="1"/>
  <c r="BZ7" a="1"/>
  <c r="BZ7" s="1"/>
  <c r="BZ8" a="1"/>
  <c r="BZ8" s="1"/>
  <c r="BZ9" a="1"/>
  <c r="BZ9" s="1"/>
  <c r="BZ10" a="1"/>
  <c r="BZ10" s="1"/>
  <c r="BZ11" a="1"/>
  <c r="BZ11" s="1"/>
  <c r="BZ12" a="1"/>
  <c r="BZ12" s="1"/>
  <c r="BZ16" a="1"/>
  <c r="BZ16" s="1"/>
  <c r="BZ17" a="1"/>
  <c r="BZ17" s="1"/>
  <c r="BZ47" a="1"/>
  <c r="BZ47" s="1"/>
  <c r="BZ70" a="1"/>
  <c r="BZ70" s="1"/>
  <c r="BZ79" a="1"/>
  <c r="BZ79" s="1"/>
  <c r="BZ80" a="1"/>
  <c r="BZ80" s="1"/>
  <c r="BZ81" a="1"/>
  <c r="BZ81" s="1"/>
  <c r="BZ84" a="1"/>
  <c r="BZ84" s="1"/>
  <c r="BZ86" a="1"/>
  <c r="BZ86" s="1"/>
  <c r="BZ87" a="1"/>
  <c r="BZ87" s="1"/>
  <c r="BZ88" a="1"/>
  <c r="BZ88" s="1"/>
  <c r="BZ89" a="1"/>
  <c r="BZ89" s="1"/>
  <c r="BZ90" a="1"/>
  <c r="BZ90" s="1"/>
  <c r="BZ91" a="1"/>
  <c r="BZ91" s="1"/>
  <c r="BZ93" a="1"/>
  <c r="BZ93" s="1"/>
  <c r="BZ94" a="1"/>
  <c r="BZ94" s="1"/>
  <c r="BZ95" a="1"/>
  <c r="BZ95" s="1"/>
  <c r="BZ96" a="1"/>
  <c r="BZ96" s="1"/>
  <c r="BZ111" a="1"/>
  <c r="BZ111" s="1"/>
  <c r="BZ122" a="1"/>
  <c r="BZ122" s="1"/>
  <c r="BZ129" a="1"/>
  <c r="BZ129" s="1"/>
  <c r="BZ128" a="1"/>
  <c r="BZ128" s="1"/>
  <c r="BZ131" a="1"/>
  <c r="BZ131" s="1"/>
  <c r="BZ132" a="1"/>
  <c r="BZ132" s="1"/>
  <c r="BZ133" a="1"/>
  <c r="BZ133" s="1"/>
  <c r="BZ134" a="1"/>
  <c r="BZ134" s="1"/>
  <c r="BZ135" a="1"/>
  <c r="BZ135" s="1"/>
  <c r="BZ136" a="1"/>
  <c r="BZ136" s="1"/>
  <c r="BZ145" a="1"/>
  <c r="BZ145" s="1"/>
  <c r="BZ146" a="1"/>
  <c r="BZ146" s="1"/>
  <c r="BZ148" a="1"/>
  <c r="BZ148" s="1"/>
  <c r="BZ149" a="1"/>
  <c r="BZ149" s="1"/>
  <c r="BZ150" a="1"/>
  <c r="BZ150" s="1"/>
  <c r="BZ156" a="1"/>
  <c r="BZ156" s="1"/>
  <c r="BZ161" a="1"/>
  <c r="BZ161" s="1"/>
  <c r="BZ162" a="1"/>
  <c r="BZ162" s="1"/>
  <c r="BZ163" a="1"/>
  <c r="BZ163" s="1"/>
  <c r="BZ164" a="1"/>
  <c r="BZ164" s="1"/>
  <c r="BZ165" a="1"/>
  <c r="BZ165" s="1"/>
  <c r="BZ166" a="1"/>
  <c r="BZ166" s="1"/>
  <c r="BZ167" a="1"/>
  <c r="BZ167" s="1"/>
  <c r="BZ168" a="1"/>
  <c r="BZ168" s="1"/>
  <c r="BZ169" a="1"/>
  <c r="BZ169" s="1"/>
  <c r="BZ170" a="1"/>
  <c r="BZ170" s="1"/>
  <c r="BZ171" a="1"/>
  <c r="BZ171" s="1"/>
  <c r="BZ172" a="1"/>
  <c r="BZ172" s="1"/>
  <c r="BZ173" a="1"/>
  <c r="BZ173" s="1"/>
  <c r="BZ174" a="1"/>
  <c r="BZ174" s="1"/>
  <c r="BZ175" a="1"/>
  <c r="BZ175" s="1"/>
  <c r="BZ176" a="1"/>
  <c r="BZ176" s="1"/>
  <c r="BZ177" a="1"/>
  <c r="BZ177" s="1"/>
  <c r="BZ178" a="1"/>
  <c r="BZ178" s="1"/>
  <c r="BZ179" a="1"/>
  <c r="BZ179" s="1"/>
  <c r="BZ180" a="1"/>
  <c r="BZ180" s="1"/>
  <c r="BZ181" a="1"/>
  <c r="BZ181" s="1"/>
  <c r="BZ187" a="1"/>
  <c r="BZ187" s="1"/>
  <c r="BZ188" a="1"/>
  <c r="BZ188" s="1"/>
  <c r="BZ189" a="1"/>
  <c r="BZ189" s="1"/>
  <c r="BZ190" a="1"/>
  <c r="BZ190" s="1"/>
  <c r="BZ191" a="1"/>
  <c r="BZ191" s="1"/>
  <c r="BZ192" a="1"/>
  <c r="BZ192" s="1"/>
  <c r="BZ193" a="1"/>
  <c r="BZ193" s="1"/>
  <c r="BZ194" a="1"/>
  <c r="BZ194" s="1"/>
  <c r="BZ195" a="1"/>
  <c r="BZ195" s="1"/>
  <c r="BZ196" a="1"/>
  <c r="BZ196" s="1"/>
  <c r="BZ197" a="1"/>
  <c r="BZ197" s="1"/>
  <c r="BZ198" a="1"/>
  <c r="BZ198" s="1"/>
  <c r="BZ199" a="1"/>
  <c r="BZ199" s="1"/>
  <c r="BZ200" a="1"/>
  <c r="BZ200" s="1"/>
  <c r="BZ201" a="1"/>
  <c r="BZ201" s="1"/>
  <c r="BZ202" a="1"/>
  <c r="BZ202" s="1"/>
  <c r="BZ203" a="1"/>
  <c r="BZ203" s="1"/>
  <c r="BZ204" a="1"/>
  <c r="BZ204" s="1"/>
  <c r="BZ205" a="1"/>
  <c r="BZ205" s="1"/>
  <c r="BZ206" a="1"/>
  <c r="BZ206" s="1"/>
  <c r="BZ209" a="1"/>
  <c r="BZ209" s="1"/>
  <c r="BZ210" a="1"/>
  <c r="BZ210" s="1"/>
  <c r="BZ211" a="1"/>
  <c r="BZ211" s="1"/>
  <c r="BZ212" a="1"/>
  <c r="BZ212" s="1"/>
  <c r="BZ213" a="1"/>
  <c r="BZ213" s="1"/>
  <c r="BZ214" a="1"/>
  <c r="BZ214" s="1"/>
  <c r="BZ215" a="1"/>
  <c r="BZ215" s="1"/>
  <c r="BZ216" a="1"/>
  <c r="BZ216" s="1"/>
  <c r="BZ217" a="1"/>
  <c r="BZ217" s="1"/>
  <c r="BZ218" a="1"/>
  <c r="BZ218" s="1"/>
  <c r="BZ219" a="1"/>
  <c r="BZ219" s="1"/>
  <c r="BZ220" a="1"/>
  <c r="BZ220" s="1"/>
  <c r="BZ221" a="1"/>
  <c r="BZ221" s="1"/>
  <c r="BZ222" a="1"/>
  <c r="BZ222" s="1"/>
  <c r="BZ223" a="1"/>
  <c r="BZ223" s="1"/>
  <c r="BZ224" a="1"/>
  <c r="BZ224" s="1"/>
  <c r="BZ225" a="1"/>
  <c r="BZ225" s="1"/>
  <c r="BZ226" a="1"/>
  <c r="BZ226" s="1"/>
  <c r="BZ227" a="1"/>
  <c r="BZ227" s="1"/>
  <c r="BZ229" a="1"/>
  <c r="BZ229" s="1"/>
  <c r="BZ232" a="1"/>
  <c r="BZ232" s="1"/>
  <c r="BZ234" a="1"/>
  <c r="BZ234" s="1"/>
  <c r="BZ235" a="1"/>
  <c r="BZ235" s="1"/>
  <c r="BZ236" a="1"/>
  <c r="BZ236" s="1"/>
  <c r="BZ237" a="1"/>
  <c r="BZ237" s="1"/>
  <c r="BZ238" a="1"/>
  <c r="BZ238" s="1"/>
  <c r="BZ239" a="1"/>
  <c r="BZ239" s="1"/>
  <c r="BZ240" a="1"/>
  <c r="BZ240" s="1"/>
  <c r="BZ241" a="1"/>
  <c r="BZ241" s="1"/>
  <c r="BZ242" a="1"/>
  <c r="BZ242" s="1"/>
  <c r="BZ243" a="1"/>
  <c r="BZ243" s="1"/>
  <c r="BZ244" a="1"/>
  <c r="BZ244" s="1"/>
  <c r="BZ245" a="1"/>
  <c r="BZ245" s="1"/>
  <c r="BZ246" a="1"/>
  <c r="BZ246" s="1"/>
  <c r="BZ247" a="1"/>
  <c r="BZ247" s="1"/>
  <c r="BZ248" a="1"/>
  <c r="BZ248" s="1"/>
  <c r="BZ249" a="1"/>
  <c r="BZ249" s="1"/>
  <c r="BZ250" a="1"/>
  <c r="BZ250" s="1"/>
  <c r="BZ251" a="1"/>
  <c r="BZ251" s="1"/>
  <c r="BZ252" a="1"/>
  <c r="BZ252" s="1"/>
  <c r="BZ253" a="1"/>
  <c r="BZ253" s="1"/>
  <c r="BZ254" a="1"/>
  <c r="BZ254" s="1"/>
  <c r="BZ255" a="1"/>
  <c r="BZ255" s="1"/>
  <c r="BZ256" a="1"/>
  <c r="BZ256" s="1"/>
  <c r="BZ257" a="1"/>
  <c r="BZ257" s="1"/>
  <c r="BZ258" a="1"/>
  <c r="BZ258" s="1"/>
  <c r="BZ259" a="1"/>
  <c r="BZ259" s="1"/>
  <c r="BZ260" a="1"/>
  <c r="BZ260" s="1"/>
  <c r="BZ261" a="1"/>
  <c r="BZ261" s="1"/>
  <c r="BZ262" a="1"/>
  <c r="BZ262" s="1"/>
  <c r="BZ263" a="1"/>
  <c r="BZ263" s="1"/>
  <c r="BZ272" a="1"/>
  <c r="BZ272" s="1"/>
  <c r="BZ274" a="1"/>
  <c r="BZ274" s="1"/>
  <c r="BZ276" a="1"/>
  <c r="BZ276" s="1"/>
  <c r="BZ277" a="1"/>
  <c r="BZ277" s="1"/>
  <c r="BZ313" a="1"/>
  <c r="BZ313" s="1"/>
  <c r="BZ314" a="1"/>
  <c r="BZ314" s="1"/>
  <c r="BZ325" a="1"/>
  <c r="BZ325" s="1"/>
  <c r="BZ326" a="1"/>
  <c r="BZ326" s="1"/>
  <c r="BZ332" a="1"/>
  <c r="BZ332" s="1"/>
  <c r="BZ333" a="1"/>
  <c r="BZ333" s="1"/>
  <c r="BZ334" a="1"/>
  <c r="BZ334" s="1"/>
  <c r="BZ335" a="1"/>
  <c r="BZ335" s="1"/>
  <c r="BZ339" a="1"/>
  <c r="BZ339" s="1"/>
  <c r="BZ340" a="1"/>
  <c r="BZ340" s="1"/>
  <c r="BZ345" a="1"/>
  <c r="BZ345" s="1"/>
  <c r="BZ382" a="1"/>
  <c r="BZ382" s="1"/>
  <c r="BZ384" a="1"/>
  <c r="BZ384" s="1"/>
  <c r="BZ385" a="1"/>
  <c r="BZ385" s="1"/>
  <c r="BZ390" a="1"/>
  <c r="BZ390" s="1"/>
  <c r="BZ391" a="1"/>
  <c r="BZ391" s="1"/>
  <c r="BZ392" a="1"/>
  <c r="BZ392" s="1"/>
  <c r="BZ13" a="1"/>
  <c r="BZ13" s="1"/>
  <c r="BZ14" a="1"/>
  <c r="BZ14" s="1"/>
  <c r="BZ15" a="1"/>
  <c r="BZ15" s="1"/>
  <c r="BZ56" a="1"/>
  <c r="BZ56" s="1"/>
  <c r="BZ59" a="1"/>
  <c r="BZ59" s="1"/>
  <c r="BZ60" a="1"/>
  <c r="BZ60" s="1"/>
  <c r="BZ68" a="1"/>
  <c r="BZ68" s="1"/>
  <c r="BZ97" a="1"/>
  <c r="BZ97" s="1"/>
  <c r="BZ98" a="1"/>
  <c r="BZ98" s="1"/>
  <c r="BZ99" a="1"/>
  <c r="BZ99" s="1"/>
  <c r="BZ100" a="1"/>
  <c r="BZ100" s="1"/>
  <c r="BZ102" a="1"/>
  <c r="BZ102" s="1"/>
  <c r="BZ103" a="1"/>
  <c r="BZ103" s="1"/>
  <c r="BZ106" a="1"/>
  <c r="BZ106" s="1"/>
  <c r="BZ107" a="1"/>
  <c r="BZ107" s="1"/>
  <c r="BZ108" a="1"/>
  <c r="BZ108" s="1"/>
  <c r="BZ114" a="1"/>
  <c r="BZ114" s="1"/>
  <c r="BZ121" a="1"/>
  <c r="BZ121" s="1"/>
  <c r="BZ123" a="1"/>
  <c r="BZ123" s="1"/>
  <c r="BZ137" a="1"/>
  <c r="BZ137" s="1"/>
  <c r="BZ138" a="1"/>
  <c r="BZ138" s="1"/>
  <c r="BZ139" a="1"/>
  <c r="BZ139" s="1"/>
  <c r="BZ141" a="1"/>
  <c r="BZ141" s="1"/>
  <c r="BZ147" a="1"/>
  <c r="BZ147" s="1"/>
  <c r="BZ151" a="1"/>
  <c r="BZ151" s="1"/>
  <c r="BZ152" a="1"/>
  <c r="BZ152" s="1"/>
  <c r="BZ153" a="1"/>
  <c r="BZ153" s="1"/>
  <c r="BZ154" a="1"/>
  <c r="BZ154" s="1"/>
  <c r="BZ155" a="1"/>
  <c r="BZ155" s="1"/>
  <c r="BZ267" a="1"/>
  <c r="BZ267" s="1"/>
  <c r="BZ268" a="1"/>
  <c r="BZ268" s="1"/>
  <c r="BZ282" a="1"/>
  <c r="BZ282" s="1"/>
  <c r="BZ283" a="1"/>
  <c r="BZ283" s="1"/>
  <c r="BZ284" a="1"/>
  <c r="BZ284" s="1"/>
  <c r="BZ285" a="1"/>
  <c r="BZ285" s="1"/>
  <c r="BZ286" a="1"/>
  <c r="BZ286" s="1"/>
  <c r="BZ296" a="1"/>
  <c r="BZ296" s="1"/>
  <c r="BZ304" a="1"/>
  <c r="BZ304" s="1"/>
  <c r="BZ305" a="1"/>
  <c r="BZ305" s="1"/>
  <c r="BZ306" a="1"/>
  <c r="BZ306" s="1"/>
  <c r="BZ312" a="1"/>
  <c r="BZ312" s="1"/>
  <c r="BZ319" a="1"/>
  <c r="BZ319" s="1"/>
  <c r="BZ19" a="1"/>
  <c r="BZ19" s="1"/>
  <c r="BZ20" a="1"/>
  <c r="BZ20" s="1"/>
  <c r="BZ21" a="1"/>
  <c r="BZ21" s="1"/>
  <c r="BZ22" a="1"/>
  <c r="BZ22" s="1"/>
  <c r="BZ23" a="1"/>
  <c r="BZ23" s="1"/>
  <c r="BZ24" a="1"/>
  <c r="BZ24" s="1"/>
  <c r="BZ25" a="1"/>
  <c r="BZ25" s="1"/>
  <c r="BZ26" a="1"/>
  <c r="BZ26" s="1"/>
  <c r="BZ27" a="1"/>
  <c r="BZ27" s="1"/>
  <c r="BZ28" a="1"/>
  <c r="BZ28" s="1"/>
  <c r="BZ29" a="1"/>
  <c r="BZ29" s="1"/>
  <c r="BZ30" a="1"/>
  <c r="BZ30" s="1"/>
  <c r="BZ31" a="1"/>
  <c r="BZ31" s="1"/>
  <c r="BZ33" a="1"/>
  <c r="BZ33" s="1"/>
  <c r="BZ34" a="1"/>
  <c r="BZ34" s="1"/>
  <c r="BZ35" a="1"/>
  <c r="BZ35" s="1"/>
  <c r="BZ36" a="1"/>
  <c r="BZ36" s="1"/>
  <c r="BZ37" a="1"/>
  <c r="BZ37" s="1"/>
  <c r="BZ38" a="1"/>
  <c r="BZ38" s="1"/>
  <c r="BZ39" a="1"/>
  <c r="BZ39" s="1"/>
  <c r="BZ40" a="1"/>
  <c r="BZ40" s="1"/>
  <c r="BZ41" a="1"/>
  <c r="BZ41" s="1"/>
  <c r="BZ42" a="1"/>
  <c r="BZ42" s="1"/>
  <c r="BZ43" a="1"/>
  <c r="BZ43" s="1"/>
  <c r="BZ44" a="1"/>
  <c r="BZ44" s="1"/>
  <c r="BZ45" a="1"/>
  <c r="BZ45" s="1"/>
  <c r="BZ46" a="1"/>
  <c r="BZ46" s="1"/>
  <c r="BZ48" a="1"/>
  <c r="BZ48" s="1"/>
  <c r="BZ49" a="1"/>
  <c r="BZ49" s="1"/>
  <c r="BZ50" a="1"/>
  <c r="BZ50" s="1"/>
  <c r="BZ51" a="1"/>
  <c r="BZ51" s="1"/>
  <c r="BZ52" a="1"/>
  <c r="BZ52" s="1"/>
  <c r="BZ53" a="1"/>
  <c r="BZ53" s="1"/>
  <c r="BZ54" a="1"/>
  <c r="BZ54" s="1"/>
  <c r="BZ55" a="1"/>
  <c r="BZ55" s="1"/>
  <c r="BZ58" a="1"/>
  <c r="BZ58" s="1"/>
  <c r="BZ61" a="1"/>
  <c r="BZ61" s="1"/>
  <c r="BZ63" a="1"/>
  <c r="BZ63" s="1"/>
  <c r="BZ64" a="1"/>
  <c r="BZ64" s="1"/>
  <c r="BZ65" a="1"/>
  <c r="BZ65" s="1"/>
  <c r="BZ66" a="1"/>
  <c r="BZ66" s="1"/>
  <c r="BZ67" a="1"/>
  <c r="BZ67" s="1"/>
  <c r="BZ76" a="1"/>
  <c r="BZ76" s="1"/>
  <c r="BZ77" a="1"/>
  <c r="BZ77" s="1"/>
  <c r="BZ78" a="1"/>
  <c r="BZ78" s="1"/>
  <c r="BZ104" a="1"/>
  <c r="BZ104" s="1"/>
  <c r="BZ105" a="1"/>
  <c r="BZ105" s="1"/>
  <c r="BZ109" a="1"/>
  <c r="BZ109" s="1"/>
  <c r="BZ110" a="1"/>
  <c r="BZ110" s="1"/>
  <c r="BZ112" a="1"/>
  <c r="BZ112" s="1"/>
  <c r="BZ113" a="1"/>
  <c r="BZ113" s="1"/>
  <c r="BZ115" a="1"/>
  <c r="BZ115" s="1"/>
  <c r="BZ117" a="1"/>
  <c r="BZ117" s="1"/>
  <c r="BZ118" a="1"/>
  <c r="BZ118" s="1"/>
  <c r="BZ119" a="1"/>
  <c r="BZ119" s="1"/>
  <c r="BZ120" a="1"/>
  <c r="BZ120" s="1"/>
  <c r="BZ125" a="1"/>
  <c r="BZ125" s="1"/>
  <c r="BZ126" a="1"/>
  <c r="BZ126" s="1"/>
  <c r="BZ157" a="1"/>
  <c r="BZ157" s="1"/>
  <c r="BZ264" a="1"/>
  <c r="BZ264" s="1"/>
  <c r="BZ265" a="1"/>
  <c r="BZ265" s="1"/>
  <c r="BZ266" a="1"/>
  <c r="BZ266" s="1"/>
  <c r="BZ269" a="1"/>
  <c r="BZ269" s="1"/>
  <c r="BZ270" a="1"/>
  <c r="BZ270" s="1"/>
  <c r="BZ271" a="1"/>
  <c r="BZ271" s="1"/>
  <c r="BZ275" a="1"/>
  <c r="BZ275" s="1"/>
  <c r="BZ278" a="1"/>
  <c r="BZ278" s="1"/>
  <c r="BZ279" a="1"/>
  <c r="BZ279" s="1"/>
  <c r="BZ280" a="1"/>
  <c r="BZ280" s="1"/>
  <c r="BZ281" a="1"/>
  <c r="BZ281" s="1"/>
  <c r="BZ287" a="1"/>
  <c r="BZ287" s="1"/>
  <c r="BZ288" a="1"/>
  <c r="BZ288" s="1"/>
  <c r="BZ289" a="1"/>
  <c r="BZ289" s="1"/>
  <c r="BZ290" a="1"/>
  <c r="BZ290" s="1"/>
  <c r="BZ291" a="1"/>
  <c r="BZ291" s="1"/>
  <c r="BZ292" a="1"/>
  <c r="BZ292" s="1"/>
  <c r="BZ293" a="1"/>
  <c r="BZ293" s="1"/>
  <c r="BZ294" a="1"/>
  <c r="BZ294" s="1"/>
  <c r="BZ295" a="1"/>
  <c r="BZ295" s="1"/>
  <c r="BZ297" a="1"/>
  <c r="BZ297" s="1"/>
  <c r="BZ298" a="1"/>
  <c r="BZ298" s="1"/>
  <c r="BZ299" a="1"/>
  <c r="BZ299" s="1"/>
  <c r="BZ300" a="1"/>
  <c r="BZ300" s="1"/>
  <c r="BZ301" a="1"/>
  <c r="BZ301" s="1"/>
  <c r="BZ302" a="1"/>
  <c r="BZ302" s="1"/>
  <c r="BZ303" a="1"/>
  <c r="BZ303" s="1"/>
  <c r="BZ307" a="1"/>
  <c r="BZ307" s="1"/>
  <c r="BZ308" a="1"/>
  <c r="BZ308" s="1"/>
  <c r="BZ309" a="1"/>
  <c r="BZ309" s="1"/>
  <c r="BZ310" a="1"/>
  <c r="BZ310" s="1"/>
  <c r="BZ311" a="1"/>
  <c r="BZ311" s="1"/>
  <c r="BZ315" a="1"/>
  <c r="BZ315" s="1"/>
  <c r="BZ316" a="1"/>
  <c r="BZ316" s="1"/>
  <c r="BZ317" a="1"/>
  <c r="BZ317" s="1"/>
  <c r="BZ321" a="1"/>
  <c r="BZ321" s="1"/>
  <c r="BZ322" a="1"/>
  <c r="BZ322" s="1"/>
  <c r="BZ323" a="1"/>
  <c r="BZ323" s="1"/>
  <c r="BZ324" a="1"/>
  <c r="BZ324" s="1"/>
  <c r="BZ327" a="1"/>
  <c r="BZ327" s="1"/>
  <c r="BZ328" a="1"/>
  <c r="BZ328" s="1"/>
  <c r="BZ329" a="1"/>
  <c r="BZ329" s="1"/>
  <c r="BZ330" a="1"/>
  <c r="BZ330" s="1"/>
  <c r="BZ331" a="1"/>
  <c r="BZ331" s="1"/>
  <c r="BZ337" a="1"/>
  <c r="BZ337" s="1"/>
  <c r="BZ338" a="1"/>
  <c r="BZ338" s="1"/>
  <c r="BZ341" a="1"/>
  <c r="BZ341" s="1"/>
  <c r="BZ342" a="1"/>
  <c r="BZ342" s="1"/>
  <c r="BZ343" a="1"/>
  <c r="BZ343" s="1"/>
  <c r="BZ344" a="1"/>
  <c r="BZ344" s="1"/>
  <c r="BZ346" a="1"/>
  <c r="BZ346" s="1"/>
  <c r="BZ348" a="1"/>
  <c r="BZ348" s="1"/>
  <c r="BZ349" a="1"/>
  <c r="BZ349" s="1"/>
  <c r="BZ350" a="1"/>
  <c r="BZ350" s="1"/>
  <c r="BZ353" a="1"/>
  <c r="BZ353" s="1"/>
  <c r="BZ355" a="1"/>
  <c r="BZ355" s="1"/>
  <c r="BZ356" a="1"/>
  <c r="BZ356" s="1"/>
  <c r="BZ357" a="1"/>
  <c r="BZ357" s="1"/>
  <c r="BZ358" a="1"/>
  <c r="BZ358" s="1"/>
  <c r="BZ359" a="1"/>
  <c r="BZ359" s="1"/>
  <c r="BZ360" a="1"/>
  <c r="BZ360" s="1"/>
  <c r="BZ361" a="1"/>
  <c r="BZ361" s="1"/>
  <c r="BZ362" a="1"/>
  <c r="BZ362" s="1"/>
  <c r="BZ363" a="1"/>
  <c r="BZ363" s="1"/>
  <c r="BZ364" a="1"/>
  <c r="BZ364" s="1"/>
  <c r="BZ365" a="1"/>
  <c r="BZ365" s="1"/>
  <c r="BZ366" a="1"/>
  <c r="BZ366" s="1"/>
  <c r="BZ367" a="1"/>
  <c r="BZ367" s="1"/>
  <c r="BZ368" a="1"/>
  <c r="BZ368" s="1"/>
  <c r="BZ369" a="1"/>
  <c r="BZ369" s="1"/>
  <c r="BZ370" a="1"/>
  <c r="BZ370" s="1"/>
  <c r="BZ371" a="1"/>
  <c r="BZ371" s="1"/>
  <c r="BZ373" a="1"/>
  <c r="BZ373" s="1"/>
  <c r="BZ374" a="1"/>
  <c r="BZ374" s="1"/>
  <c r="BZ375" a="1"/>
  <c r="BZ375" s="1"/>
  <c r="BZ376" a="1"/>
  <c r="BZ376" s="1"/>
  <c r="BZ377" a="1"/>
  <c r="BZ377" s="1"/>
  <c r="BZ378" a="1"/>
  <c r="BZ378" s="1"/>
  <c r="BZ379" a="1"/>
  <c r="BZ379" s="1"/>
  <c r="BZ380" a="1"/>
  <c r="BZ380" s="1"/>
  <c r="BZ381" a="1"/>
  <c r="BZ381" s="1"/>
  <c r="BZ388" a="1"/>
  <c r="BZ388" s="1"/>
  <c r="BZ389" a="1"/>
  <c r="BZ389" s="1"/>
  <c r="BZ393" a="1"/>
  <c r="BZ393" s="1"/>
  <c r="BZ394" a="1"/>
  <c r="BZ394" s="1"/>
  <c r="BZ395" a="1"/>
  <c r="BZ395" s="1"/>
  <c r="BZ396" a="1"/>
  <c r="BZ396" s="1"/>
  <c r="BZ397" a="1"/>
  <c r="BZ397" s="1"/>
  <c r="BZ398" a="1"/>
  <c r="BZ398" s="1"/>
  <c r="BZ399" a="1"/>
  <c r="BZ399" s="1"/>
  <c r="BZ400" a="1"/>
  <c r="BZ400" s="1"/>
  <c r="EK2" a="1"/>
  <c r="EK2" s="1"/>
  <c r="EK3" a="1"/>
  <c r="EK3" s="1"/>
  <c r="EK4" a="1"/>
  <c r="EK4" s="1"/>
  <c r="EK5" a="1"/>
  <c r="EK5" s="1"/>
  <c r="EK6" a="1"/>
  <c r="EK6" s="1"/>
  <c r="EK7" a="1"/>
  <c r="EK7" s="1"/>
  <c r="EK8" a="1"/>
  <c r="EK8" s="1"/>
  <c r="EK9" a="1"/>
  <c r="EK9" s="1"/>
  <c r="EK10" a="1"/>
  <c r="EK10" s="1"/>
  <c r="EK11" a="1"/>
  <c r="EK11" s="1"/>
  <c r="EK12" a="1"/>
  <c r="EK12" s="1"/>
  <c r="EK16" a="1"/>
  <c r="EK16" s="1"/>
  <c r="EK17" a="1"/>
  <c r="EK17" s="1"/>
  <c r="EK47" a="1"/>
  <c r="EK47" s="1"/>
  <c r="EK70" a="1"/>
  <c r="EK70" s="1"/>
  <c r="EK79" a="1"/>
  <c r="EK79" s="1"/>
  <c r="EK80" a="1"/>
  <c r="EK80" s="1"/>
  <c r="EK81" a="1"/>
  <c r="EK81" s="1"/>
  <c r="EK84" a="1"/>
  <c r="EK84" s="1"/>
  <c r="EK86" a="1"/>
  <c r="EK86" s="1"/>
  <c r="EK87" a="1"/>
  <c r="EK87" s="1"/>
  <c r="EK88" a="1"/>
  <c r="EK88" s="1"/>
  <c r="EK89" a="1"/>
  <c r="EK89" s="1"/>
  <c r="EK90" a="1"/>
  <c r="EK90" s="1"/>
  <c r="EK91" a="1"/>
  <c r="EK91" s="1"/>
  <c r="EK93" a="1"/>
  <c r="EK93" s="1"/>
  <c r="EK94" a="1"/>
  <c r="EK94" s="1"/>
  <c r="EK95" a="1"/>
  <c r="EK95" s="1"/>
  <c r="EK96" a="1"/>
  <c r="EK96" s="1"/>
  <c r="EK111" a="1"/>
  <c r="EK111" s="1"/>
  <c r="EK122" a="1"/>
  <c r="EK122" s="1"/>
  <c r="EK129" a="1"/>
  <c r="EK129" s="1"/>
  <c r="EK128" a="1"/>
  <c r="EK128" s="1"/>
  <c r="EK131" a="1"/>
  <c r="EK131" s="1"/>
  <c r="EK132" a="1"/>
  <c r="EK132" s="1"/>
  <c r="EK133" a="1"/>
  <c r="EK133" s="1"/>
  <c r="EK134" a="1"/>
  <c r="EK134" s="1"/>
  <c r="EK135" a="1"/>
  <c r="EK135" s="1"/>
  <c r="EK136" a="1"/>
  <c r="EK136" s="1"/>
  <c r="EK145" a="1"/>
  <c r="EK145" s="1"/>
  <c r="EK146" a="1"/>
  <c r="EK146" s="1"/>
  <c r="EK148" a="1"/>
  <c r="EK148" s="1"/>
  <c r="EK149" a="1"/>
  <c r="EK149" s="1"/>
  <c r="EK150" a="1"/>
  <c r="EK150" s="1"/>
  <c r="EK156" a="1"/>
  <c r="EK156" s="1"/>
  <c r="EK161" a="1"/>
  <c r="EK161" s="1"/>
  <c r="EK162" a="1"/>
  <c r="EK162" s="1"/>
  <c r="EK163" a="1"/>
  <c r="EK163" s="1"/>
  <c r="EK164" a="1"/>
  <c r="EK164" s="1"/>
  <c r="EK165" a="1"/>
  <c r="EK165" s="1"/>
  <c r="EK166" a="1"/>
  <c r="EK166" s="1"/>
  <c r="EK167" a="1"/>
  <c r="EK167" s="1"/>
  <c r="EK168" a="1"/>
  <c r="EK168" s="1"/>
  <c r="EK169" a="1"/>
  <c r="EK169" s="1"/>
  <c r="EK170" a="1"/>
  <c r="EK170" s="1"/>
  <c r="EK171" a="1"/>
  <c r="EK171" s="1"/>
  <c r="EK172" a="1"/>
  <c r="EK172" s="1"/>
  <c r="EK173" a="1"/>
  <c r="EK173" s="1"/>
  <c r="EK174" a="1"/>
  <c r="EK174" s="1"/>
  <c r="EK175" a="1"/>
  <c r="EK175" s="1"/>
  <c r="EK176" a="1"/>
  <c r="EK176" s="1"/>
  <c r="EK177" a="1"/>
  <c r="EK177" s="1"/>
  <c r="EK178" a="1"/>
  <c r="EK178" s="1"/>
  <c r="EK179" a="1"/>
  <c r="EK179" s="1"/>
  <c r="EK180" a="1"/>
  <c r="EK180" s="1"/>
  <c r="EK181" a="1"/>
  <c r="EK181" s="1"/>
  <c r="EK187" a="1"/>
  <c r="EK187" s="1"/>
  <c r="EK188" a="1"/>
  <c r="EK188" s="1"/>
  <c r="EK189" a="1"/>
  <c r="EK189" s="1"/>
  <c r="EK190" a="1"/>
  <c r="EK190" s="1"/>
  <c r="EK191" a="1"/>
  <c r="EK191" s="1"/>
  <c r="EK192" a="1"/>
  <c r="EK192" s="1"/>
  <c r="EK193" a="1"/>
  <c r="EK193" s="1"/>
  <c r="EK194" a="1"/>
  <c r="EK194" s="1"/>
  <c r="EK195" a="1"/>
  <c r="EK195" s="1"/>
  <c r="EK196" a="1"/>
  <c r="EK196" s="1"/>
  <c r="EK197" a="1"/>
  <c r="EK197" s="1"/>
  <c r="EK198" a="1"/>
  <c r="EK198" s="1"/>
  <c r="EK199" a="1"/>
  <c r="EK199" s="1"/>
  <c r="EK200" a="1"/>
  <c r="EK200" s="1"/>
  <c r="EK201" a="1"/>
  <c r="EK201" s="1"/>
  <c r="EK202" a="1"/>
  <c r="EK202" s="1"/>
  <c r="EK203" a="1"/>
  <c r="EK203" s="1"/>
  <c r="EK204" a="1"/>
  <c r="EK204" s="1"/>
  <c r="EK205" a="1"/>
  <c r="EK205" s="1"/>
  <c r="EK206" a="1"/>
  <c r="EK206" s="1"/>
  <c r="EK209" a="1"/>
  <c r="EK209" s="1"/>
  <c r="EK210" a="1"/>
  <c r="EK210" s="1"/>
  <c r="EK211" a="1"/>
  <c r="EK211" s="1"/>
  <c r="EK212" a="1"/>
  <c r="EK212" s="1"/>
  <c r="EK213" a="1"/>
  <c r="EK213" s="1"/>
  <c r="EK214" a="1"/>
  <c r="EK214" s="1"/>
  <c r="EK215" a="1"/>
  <c r="EK215" s="1"/>
  <c r="EK216" a="1"/>
  <c r="EK216" s="1"/>
  <c r="EK217" a="1"/>
  <c r="EK217" s="1"/>
  <c r="EK218" a="1"/>
  <c r="EK218" s="1"/>
  <c r="EK219" a="1"/>
  <c r="EK219" s="1"/>
  <c r="EK220" a="1"/>
  <c r="EK220" s="1"/>
  <c r="EK221" a="1"/>
  <c r="EK221" s="1"/>
  <c r="EK222" a="1"/>
  <c r="EK222" s="1"/>
  <c r="EK223" a="1"/>
  <c r="EK223" s="1"/>
  <c r="EK224" a="1"/>
  <c r="EK224" s="1"/>
  <c r="EK225" a="1"/>
  <c r="EK225" s="1"/>
  <c r="EK226" a="1"/>
  <c r="EK226" s="1"/>
  <c r="EK227" a="1"/>
  <c r="EK227" s="1"/>
  <c r="EK229" a="1"/>
  <c r="EK229" s="1"/>
  <c r="EK232" a="1"/>
  <c r="EK232" s="1"/>
  <c r="EK234" a="1"/>
  <c r="EK234" s="1"/>
  <c r="EK235" a="1"/>
  <c r="EK235" s="1"/>
  <c r="EK236" a="1"/>
  <c r="EK236" s="1"/>
  <c r="EK237" a="1"/>
  <c r="EK237" s="1"/>
  <c r="EK238" a="1"/>
  <c r="EK238" s="1"/>
  <c r="EK239" a="1"/>
  <c r="EK239" s="1"/>
  <c r="EK240" a="1"/>
  <c r="EK240" s="1"/>
  <c r="EK241" a="1"/>
  <c r="EK241" s="1"/>
  <c r="EK242" a="1"/>
  <c r="EK242" s="1"/>
  <c r="EK243" a="1"/>
  <c r="EK243" s="1"/>
  <c r="EK244" a="1"/>
  <c r="EK244" s="1"/>
  <c r="EK245" a="1"/>
  <c r="EK245" s="1"/>
  <c r="EK246" a="1"/>
  <c r="EK246" s="1"/>
  <c r="EK247" a="1"/>
  <c r="EK247" s="1"/>
  <c r="EK248" a="1"/>
  <c r="EK248" s="1"/>
  <c r="EK249" a="1"/>
  <c r="EK249" s="1"/>
  <c r="EK250" a="1"/>
  <c r="EK250" s="1"/>
  <c r="EK251" a="1"/>
  <c r="EK251" s="1"/>
  <c r="EK252" a="1"/>
  <c r="EK252" s="1"/>
  <c r="EK253" a="1"/>
  <c r="EK253" s="1"/>
  <c r="EK254" a="1"/>
  <c r="EK254" s="1"/>
  <c r="EK255" a="1"/>
  <c r="EK255" s="1"/>
  <c r="EK256" a="1"/>
  <c r="EK256" s="1"/>
  <c r="EK257" a="1"/>
  <c r="EK257" s="1"/>
  <c r="EK258" a="1"/>
  <c r="EK258" s="1"/>
  <c r="EK259" a="1"/>
  <c r="EK259" s="1"/>
  <c r="EK260" a="1"/>
  <c r="EK260" s="1"/>
  <c r="EK261" a="1"/>
  <c r="EK261" s="1"/>
  <c r="EK262" a="1"/>
  <c r="EK262" s="1"/>
  <c r="EK263" a="1"/>
  <c r="EK263" s="1"/>
  <c r="EK272" a="1"/>
  <c r="EK272" s="1"/>
  <c r="EK274" a="1"/>
  <c r="EK274" s="1"/>
  <c r="EK276" a="1"/>
  <c r="EK276" s="1"/>
  <c r="EK277" a="1"/>
  <c r="EK277" s="1"/>
  <c r="EK313" a="1"/>
  <c r="EK313" s="1"/>
  <c r="EK314" a="1"/>
  <c r="EK314" s="1"/>
  <c r="EK325" a="1"/>
  <c r="EK325" s="1"/>
  <c r="EK326" a="1"/>
  <c r="EK326" s="1"/>
  <c r="EK332" a="1"/>
  <c r="EK332" s="1"/>
  <c r="EK333" a="1"/>
  <c r="EK333" s="1"/>
  <c r="EK334" a="1"/>
  <c r="EK334" s="1"/>
  <c r="EK335" a="1"/>
  <c r="EK335" s="1"/>
  <c r="EK339" a="1"/>
  <c r="EK339" s="1"/>
  <c r="EK340" a="1"/>
  <c r="EK340" s="1"/>
  <c r="EK345" a="1"/>
  <c r="EK345" s="1"/>
  <c r="EK382" a="1"/>
  <c r="EK382" s="1"/>
  <c r="EK384" a="1"/>
  <c r="EK384" s="1"/>
  <c r="EK385" a="1"/>
  <c r="EK385" s="1"/>
  <c r="EK390" a="1"/>
  <c r="EK390" s="1"/>
  <c r="EK391" a="1"/>
  <c r="EK391" s="1"/>
  <c r="EK392" a="1"/>
  <c r="EK392" s="1"/>
  <c r="EK13" a="1"/>
  <c r="EK13" s="1"/>
  <c r="EK14" a="1"/>
  <c r="EK14" s="1"/>
  <c r="EK15" a="1"/>
  <c r="EK15" s="1"/>
  <c r="EK56" a="1"/>
  <c r="EK56" s="1"/>
  <c r="EK59" a="1"/>
  <c r="EK59" s="1"/>
  <c r="EK60" a="1"/>
  <c r="EK60" s="1"/>
  <c r="EK68" a="1"/>
  <c r="EK68" s="1"/>
  <c r="EK97" a="1"/>
  <c r="EK97" s="1"/>
  <c r="EK98" a="1"/>
  <c r="EK98" s="1"/>
  <c r="EK99" a="1"/>
  <c r="EK99" s="1"/>
  <c r="EK100" a="1"/>
  <c r="EK100" s="1"/>
  <c r="EK102" a="1"/>
  <c r="EK102" s="1"/>
  <c r="EK103" a="1"/>
  <c r="EK103" s="1"/>
  <c r="EK106" a="1"/>
  <c r="EK106" s="1"/>
  <c r="EK107" a="1"/>
  <c r="EK107" s="1"/>
  <c r="EK108" a="1"/>
  <c r="EK108" s="1"/>
  <c r="EK114" a="1"/>
  <c r="EK114" s="1"/>
  <c r="EK121" a="1"/>
  <c r="EK121" s="1"/>
  <c r="EK123" a="1"/>
  <c r="EK123" s="1"/>
  <c r="EK137" a="1"/>
  <c r="EK137" s="1"/>
  <c r="EK138" a="1"/>
  <c r="EK138" s="1"/>
  <c r="EK139" a="1"/>
  <c r="EK139" s="1"/>
  <c r="EK141" a="1"/>
  <c r="EK141" s="1"/>
  <c r="EK147" a="1"/>
  <c r="EK147" s="1"/>
  <c r="EK151" a="1"/>
  <c r="EK151" s="1"/>
  <c r="EK152" a="1"/>
  <c r="EK152" s="1"/>
  <c r="EK153" a="1"/>
  <c r="EK153" s="1"/>
  <c r="EK154" a="1"/>
  <c r="EK154" s="1"/>
  <c r="EK155" a="1"/>
  <c r="EK155" s="1"/>
  <c r="EK267" a="1"/>
  <c r="EK267" s="1"/>
  <c r="EK268" a="1"/>
  <c r="EK268" s="1"/>
  <c r="EK282" a="1"/>
  <c r="EK282" s="1"/>
  <c r="EK283" a="1"/>
  <c r="EK283" s="1"/>
  <c r="EK284" a="1"/>
  <c r="EK284" s="1"/>
  <c r="EK285" a="1"/>
  <c r="EK285" s="1"/>
  <c r="EK286" a="1"/>
  <c r="EK286" s="1"/>
  <c r="EK296" a="1"/>
  <c r="EK296" s="1"/>
  <c r="EK304" a="1"/>
  <c r="EK304" s="1"/>
  <c r="EK305" a="1"/>
  <c r="EK305" s="1"/>
  <c r="EK306" a="1"/>
  <c r="EK306" s="1"/>
  <c r="EK312" a="1"/>
  <c r="EK312" s="1"/>
  <c r="EK319" a="1"/>
  <c r="EK319" s="1"/>
  <c r="EK19" a="1"/>
  <c r="EK19" s="1"/>
  <c r="EK20" a="1"/>
  <c r="EK20" s="1"/>
  <c r="EK21" a="1"/>
  <c r="EK21" s="1"/>
  <c r="EK22" a="1"/>
  <c r="EK22" s="1"/>
  <c r="EK23" a="1"/>
  <c r="EK23" s="1"/>
  <c r="EK24" a="1"/>
  <c r="EK24" s="1"/>
  <c r="EK25" a="1"/>
  <c r="EK25" s="1"/>
  <c r="EK26" a="1"/>
  <c r="EK26" s="1"/>
  <c r="EK27" a="1"/>
  <c r="EK27" s="1"/>
  <c r="EK28" a="1"/>
  <c r="EK28" s="1"/>
  <c r="EK29" a="1"/>
  <c r="EK29" s="1"/>
  <c r="EK30" a="1"/>
  <c r="EK30" s="1"/>
  <c r="EK31" a="1"/>
  <c r="EK31" s="1"/>
  <c r="EK33" a="1"/>
  <c r="EK33" s="1"/>
  <c r="EK34" a="1"/>
  <c r="EK34" s="1"/>
  <c r="EK35" a="1"/>
  <c r="EK35" s="1"/>
  <c r="EK36" a="1"/>
  <c r="EK36" s="1"/>
  <c r="EK37" a="1"/>
  <c r="EK37" s="1"/>
  <c r="EK38" a="1"/>
  <c r="EK38" s="1"/>
  <c r="EK39" a="1"/>
  <c r="EK39" s="1"/>
  <c r="EK40" a="1"/>
  <c r="EK40" s="1"/>
  <c r="EK41" a="1"/>
  <c r="EK41" s="1"/>
  <c r="EK42" a="1"/>
  <c r="EK42" s="1"/>
  <c r="EK43" a="1"/>
  <c r="EK43" s="1"/>
  <c r="EK44" a="1"/>
  <c r="EK44" s="1"/>
  <c r="EK45" a="1"/>
  <c r="EK45" s="1"/>
  <c r="EK46" a="1"/>
  <c r="EK46" s="1"/>
  <c r="EK48" a="1"/>
  <c r="EK48" s="1"/>
  <c r="EK49" a="1"/>
  <c r="EK49" s="1"/>
  <c r="EK50" a="1"/>
  <c r="EK50" s="1"/>
  <c r="EK51" a="1"/>
  <c r="EK51" s="1"/>
  <c r="EK52" a="1"/>
  <c r="EK52" s="1"/>
  <c r="EK53" a="1"/>
  <c r="EK53" s="1"/>
  <c r="EK54" a="1"/>
  <c r="EK54" s="1"/>
  <c r="EK55" a="1"/>
  <c r="EK55" s="1"/>
  <c r="EK58" a="1"/>
  <c r="EK58" s="1"/>
  <c r="EK61" a="1"/>
  <c r="EK61" s="1"/>
  <c r="EK63" a="1"/>
  <c r="EK63" s="1"/>
  <c r="EK64" a="1"/>
  <c r="EK64" s="1"/>
  <c r="EK65" a="1"/>
  <c r="EK65" s="1"/>
  <c r="EK66" a="1"/>
  <c r="EK66" s="1"/>
  <c r="EK67" a="1"/>
  <c r="EK67" s="1"/>
  <c r="EK76" a="1"/>
  <c r="EK76" s="1"/>
  <c r="EK77" a="1"/>
  <c r="EK77" s="1"/>
  <c r="EK78" a="1"/>
  <c r="EK78" s="1"/>
  <c r="EK104" a="1"/>
  <c r="EK104" s="1"/>
  <c r="EK105" a="1"/>
  <c r="EK105" s="1"/>
  <c r="EK109" a="1"/>
  <c r="EK109" s="1"/>
  <c r="EK110" a="1"/>
  <c r="EK110" s="1"/>
  <c r="EK112" a="1"/>
  <c r="EK112" s="1"/>
  <c r="EK113" a="1"/>
  <c r="EK113" s="1"/>
  <c r="EK115" a="1"/>
  <c r="EK115" s="1"/>
  <c r="EK117" a="1"/>
  <c r="EK117" s="1"/>
  <c r="EK118" a="1"/>
  <c r="EK118" s="1"/>
  <c r="EK119" a="1"/>
  <c r="EK119" s="1"/>
  <c r="EK120" a="1"/>
  <c r="EK120" s="1"/>
  <c r="EK125" a="1"/>
  <c r="EK125" s="1"/>
  <c r="EK126" a="1"/>
  <c r="EK126" s="1"/>
  <c r="EK157" a="1"/>
  <c r="EK157" s="1"/>
  <c r="EK264" a="1"/>
  <c r="EK264" s="1"/>
  <c r="EK265" a="1"/>
  <c r="EK265" s="1"/>
  <c r="EK266" a="1"/>
  <c r="EK266" s="1"/>
  <c r="EK269" a="1"/>
  <c r="EK269" s="1"/>
  <c r="EK270" a="1"/>
  <c r="EK270" s="1"/>
  <c r="EK271" a="1"/>
  <c r="EK271" s="1"/>
  <c r="EK275" a="1"/>
  <c r="EK275" s="1"/>
  <c r="EK278" a="1"/>
  <c r="EK278" s="1"/>
  <c r="EK279" a="1"/>
  <c r="EK279" s="1"/>
  <c r="EK280" a="1"/>
  <c r="EK280" s="1"/>
  <c r="EK281" a="1"/>
  <c r="EK281" s="1"/>
  <c r="EK287" a="1"/>
  <c r="EK287" s="1"/>
  <c r="EK288" a="1"/>
  <c r="EK288" s="1"/>
  <c r="EK289" a="1"/>
  <c r="EK289" s="1"/>
  <c r="EK290" a="1"/>
  <c r="EK290" s="1"/>
  <c r="EK291" a="1"/>
  <c r="EK291" s="1"/>
  <c r="EK292" a="1"/>
  <c r="EK292" s="1"/>
  <c r="EK293" a="1"/>
  <c r="EK293" s="1"/>
  <c r="EK294" a="1"/>
  <c r="EK294" s="1"/>
  <c r="EK295" a="1"/>
  <c r="EK295" s="1"/>
  <c r="EK297" a="1"/>
  <c r="EK297" s="1"/>
  <c r="EK298" a="1"/>
  <c r="EK298" s="1"/>
  <c r="EK299" a="1"/>
  <c r="EK299" s="1"/>
  <c r="EK300" a="1"/>
  <c r="EK300" s="1"/>
  <c r="EK301" a="1"/>
  <c r="EK301" s="1"/>
  <c r="EK302" a="1"/>
  <c r="EK302" s="1"/>
  <c r="EK303" a="1"/>
  <c r="EK303" s="1"/>
  <c r="EK307" a="1"/>
  <c r="EK307" s="1"/>
  <c r="EK308" a="1"/>
  <c r="EK308" s="1"/>
  <c r="EK309" a="1"/>
  <c r="EK309" s="1"/>
  <c r="EK310" a="1"/>
  <c r="EK310" s="1"/>
  <c r="EK311" a="1"/>
  <c r="EK311" s="1"/>
  <c r="EK315" a="1"/>
  <c r="EK315" s="1"/>
  <c r="EK316" a="1"/>
  <c r="EK316" s="1"/>
  <c r="EK317" a="1"/>
  <c r="EK317" s="1"/>
  <c r="EK321" a="1"/>
  <c r="EK321" s="1"/>
  <c r="EK322" a="1"/>
  <c r="EK322" s="1"/>
  <c r="EK323" a="1"/>
  <c r="EK323" s="1"/>
  <c r="EK324" a="1"/>
  <c r="EK324" s="1"/>
  <c r="EK327" a="1"/>
  <c r="EK327" s="1"/>
  <c r="EK328" a="1"/>
  <c r="EK328" s="1"/>
  <c r="EK329" a="1"/>
  <c r="EK329" s="1"/>
  <c r="EK330" a="1"/>
  <c r="EK330" s="1"/>
  <c r="EK331" a="1"/>
  <c r="EK331" s="1"/>
  <c r="EK337" a="1"/>
  <c r="EK337" s="1"/>
  <c r="EK338" a="1"/>
  <c r="EK338" s="1"/>
  <c r="EK341" a="1"/>
  <c r="EK341" s="1"/>
  <c r="EK342" a="1"/>
  <c r="EK342" s="1"/>
  <c r="EK343" a="1"/>
  <c r="EK343" s="1"/>
  <c r="EK344" a="1"/>
  <c r="EK344" s="1"/>
  <c r="EK346" a="1"/>
  <c r="EK346" s="1"/>
  <c r="EK348" a="1"/>
  <c r="EK348" s="1"/>
  <c r="EK349" a="1"/>
  <c r="EK349" s="1"/>
  <c r="EK350" a="1"/>
  <c r="EK350" s="1"/>
  <c r="EK353" a="1"/>
  <c r="EK353" s="1"/>
  <c r="EK355" a="1"/>
  <c r="EK355" s="1"/>
  <c r="EK356" a="1"/>
  <c r="EK356" s="1"/>
  <c r="EK357" a="1"/>
  <c r="EK357" s="1"/>
  <c r="EK358" a="1"/>
  <c r="EK358" s="1"/>
  <c r="EK359" a="1"/>
  <c r="EK359" s="1"/>
  <c r="EK360" a="1"/>
  <c r="EK360" s="1"/>
  <c r="EK361" a="1"/>
  <c r="EK361" s="1"/>
  <c r="EK362" a="1"/>
  <c r="EK362" s="1"/>
  <c r="EK363" a="1"/>
  <c r="EK363" s="1"/>
  <c r="EK364" a="1"/>
  <c r="EK364" s="1"/>
  <c r="EK365" a="1"/>
  <c r="EK365" s="1"/>
  <c r="EK366" a="1"/>
  <c r="EK366" s="1"/>
  <c r="EK367" a="1"/>
  <c r="EK367" s="1"/>
  <c r="EK368" a="1"/>
  <c r="EK368" s="1"/>
  <c r="EK369" a="1"/>
  <c r="EK369" s="1"/>
  <c r="EK370" a="1"/>
  <c r="EK370" s="1"/>
  <c r="EK371" a="1"/>
  <c r="EK371" s="1"/>
  <c r="EK373" a="1"/>
  <c r="EK373" s="1"/>
  <c r="EK374" a="1"/>
  <c r="EK374" s="1"/>
  <c r="EK375" a="1"/>
  <c r="EK375" s="1"/>
  <c r="EK376" a="1"/>
  <c r="EK376" s="1"/>
  <c r="EK377" a="1"/>
  <c r="EK377" s="1"/>
  <c r="EK378" a="1"/>
  <c r="EK378" s="1"/>
  <c r="EK379" a="1"/>
  <c r="EK379" s="1"/>
  <c r="EK380" a="1"/>
  <c r="EK380" s="1"/>
  <c r="EK381" a="1"/>
  <c r="EK381" s="1"/>
  <c r="EK388" a="1"/>
  <c r="EK388" s="1"/>
  <c r="EK389" a="1"/>
  <c r="EK389" s="1"/>
  <c r="EK393" a="1"/>
  <c r="EK393" s="1"/>
  <c r="EK394" a="1"/>
  <c r="EK394" s="1"/>
  <c r="EK395" a="1"/>
  <c r="EK395" s="1"/>
  <c r="EK396" a="1"/>
  <c r="EK396" s="1"/>
  <c r="EK397" a="1"/>
  <c r="EK397" s="1"/>
  <c r="EK398" a="1"/>
  <c r="EK398" s="1"/>
  <c r="EK399" a="1"/>
  <c r="EK399" s="1"/>
  <c r="EK400" a="1"/>
  <c r="EK400" s="1"/>
  <c r="DU2" a="1"/>
  <c r="DU2" s="1"/>
  <c r="DU3" a="1"/>
  <c r="DU3" s="1"/>
  <c r="DU4" a="1"/>
  <c r="DU4" s="1"/>
  <c r="DU5" a="1"/>
  <c r="DU5" s="1"/>
  <c r="DU6" a="1"/>
  <c r="DU6" s="1"/>
  <c r="DU7" a="1"/>
  <c r="DU7" s="1"/>
  <c r="DU8" a="1"/>
  <c r="DU8" s="1"/>
  <c r="DU9" a="1"/>
  <c r="DU9" s="1"/>
  <c r="DU10" a="1"/>
  <c r="DU10" s="1"/>
  <c r="DU11" a="1"/>
  <c r="DU11" s="1"/>
  <c r="DU12" a="1"/>
  <c r="DU12" s="1"/>
  <c r="DU16" a="1"/>
  <c r="DU16" s="1"/>
  <c r="DU17" a="1"/>
  <c r="DU17" s="1"/>
  <c r="DU47" a="1"/>
  <c r="DU47" s="1"/>
  <c r="DU70" a="1"/>
  <c r="DU70" s="1"/>
  <c r="DU79" a="1"/>
  <c r="DU79" s="1"/>
  <c r="DU80" a="1"/>
  <c r="DU80" s="1"/>
  <c r="DU81" a="1"/>
  <c r="DU81" s="1"/>
  <c r="DU84" a="1"/>
  <c r="DU84" s="1"/>
  <c r="DU86" a="1"/>
  <c r="DU86" s="1"/>
  <c r="DU87" a="1"/>
  <c r="DU87" s="1"/>
  <c r="DU88" a="1"/>
  <c r="DU88" s="1"/>
  <c r="DU89" a="1"/>
  <c r="DU89" s="1"/>
  <c r="DU90" a="1"/>
  <c r="DU90" s="1"/>
  <c r="DU91" a="1"/>
  <c r="DU91" s="1"/>
  <c r="DU93" a="1"/>
  <c r="DU93" s="1"/>
  <c r="DU94" a="1"/>
  <c r="DU94" s="1"/>
  <c r="DU95" a="1"/>
  <c r="DU95" s="1"/>
  <c r="DU96" a="1"/>
  <c r="DU96" s="1"/>
  <c r="DU111" a="1"/>
  <c r="DU111" s="1"/>
  <c r="DU122" a="1"/>
  <c r="DU122" s="1"/>
  <c r="DU129" a="1"/>
  <c r="DU129" s="1"/>
  <c r="DU128" a="1"/>
  <c r="DU128" s="1"/>
  <c r="DU131" a="1"/>
  <c r="DU131" s="1"/>
  <c r="DU132" a="1"/>
  <c r="DU132" s="1"/>
  <c r="DU133" a="1"/>
  <c r="DU133" s="1"/>
  <c r="DU134" a="1"/>
  <c r="DU134" s="1"/>
  <c r="DU135" a="1"/>
  <c r="DU135" s="1"/>
  <c r="DU136" a="1"/>
  <c r="DU136" s="1"/>
  <c r="DU145" a="1"/>
  <c r="DU145" s="1"/>
  <c r="DU146" a="1"/>
  <c r="DU146" s="1"/>
  <c r="DU148" a="1"/>
  <c r="DU148" s="1"/>
  <c r="DU149" a="1"/>
  <c r="DU149" s="1"/>
  <c r="DU150" a="1"/>
  <c r="DU150" s="1"/>
  <c r="DU156" a="1"/>
  <c r="DU156" s="1"/>
  <c r="DU161" a="1"/>
  <c r="DU161" s="1"/>
  <c r="DU162" a="1"/>
  <c r="DU162" s="1"/>
  <c r="DU163" a="1"/>
  <c r="DU163" s="1"/>
  <c r="DU164" a="1"/>
  <c r="DU164" s="1"/>
  <c r="DU165" a="1"/>
  <c r="DU165" s="1"/>
  <c r="DU166" a="1"/>
  <c r="DU166" s="1"/>
  <c r="DU167" a="1"/>
  <c r="DU167" s="1"/>
  <c r="DU168" a="1"/>
  <c r="DU168" s="1"/>
  <c r="DU169" a="1"/>
  <c r="DU169" s="1"/>
  <c r="DU170" a="1"/>
  <c r="DU170" s="1"/>
  <c r="DU171" a="1"/>
  <c r="DU171" s="1"/>
  <c r="DU172" a="1"/>
  <c r="DU172" s="1"/>
  <c r="DU173" a="1"/>
  <c r="DU173" s="1"/>
  <c r="DU174" a="1"/>
  <c r="DU174" s="1"/>
  <c r="DU175" a="1"/>
  <c r="DU175" s="1"/>
  <c r="DU176" a="1"/>
  <c r="DU176" s="1"/>
  <c r="DU177" a="1"/>
  <c r="DU177" s="1"/>
  <c r="DU178" a="1"/>
  <c r="DU178" s="1"/>
  <c r="DU179" a="1"/>
  <c r="DU179" s="1"/>
  <c r="DU180" a="1"/>
  <c r="DU180" s="1"/>
  <c r="DU181" a="1"/>
  <c r="DU181" s="1"/>
  <c r="DU187" a="1"/>
  <c r="DU187" s="1"/>
  <c r="DU188" a="1"/>
  <c r="DU188" s="1"/>
  <c r="DU189" a="1"/>
  <c r="DU189" s="1"/>
  <c r="DU190" a="1"/>
  <c r="DU190" s="1"/>
  <c r="DU191" a="1"/>
  <c r="DU191" s="1"/>
  <c r="DU192" a="1"/>
  <c r="DU192" s="1"/>
  <c r="DU193" a="1"/>
  <c r="DU193" s="1"/>
  <c r="DU194" a="1"/>
  <c r="DU194" s="1"/>
  <c r="DU195" a="1"/>
  <c r="DU195" s="1"/>
  <c r="DU196" a="1"/>
  <c r="DU196" s="1"/>
  <c r="DU197" a="1"/>
  <c r="DU197" s="1"/>
  <c r="DU198" a="1"/>
  <c r="DU198" s="1"/>
  <c r="DU199" a="1"/>
  <c r="DU199" s="1"/>
  <c r="DU200" a="1"/>
  <c r="DU200" s="1"/>
  <c r="DU201" a="1"/>
  <c r="DU201" s="1"/>
  <c r="DU202" a="1"/>
  <c r="DU202" s="1"/>
  <c r="DU203" a="1"/>
  <c r="DU203" s="1"/>
  <c r="DU204" a="1"/>
  <c r="DU204" s="1"/>
  <c r="DU205" a="1"/>
  <c r="DU205" s="1"/>
  <c r="DU206" a="1"/>
  <c r="DU206" s="1"/>
  <c r="DU209" a="1"/>
  <c r="DU209" s="1"/>
  <c r="DU210" a="1"/>
  <c r="DU210" s="1"/>
  <c r="DU211" a="1"/>
  <c r="DU211" s="1"/>
  <c r="DU212" a="1"/>
  <c r="DU212" s="1"/>
  <c r="DU213" a="1"/>
  <c r="DU213" s="1"/>
  <c r="DU214" a="1"/>
  <c r="DU214" s="1"/>
  <c r="DU215" a="1"/>
  <c r="DU215" s="1"/>
  <c r="DU216" a="1"/>
  <c r="DU216" s="1"/>
  <c r="DU217" a="1"/>
  <c r="DU217" s="1"/>
  <c r="DU218" a="1"/>
  <c r="DU218" s="1"/>
  <c r="DU219" a="1"/>
  <c r="DU219" s="1"/>
  <c r="DU220" a="1"/>
  <c r="DU220" s="1"/>
  <c r="DU221" a="1"/>
  <c r="DU221" s="1"/>
  <c r="DU222" a="1"/>
  <c r="DU222" s="1"/>
  <c r="DU223" a="1"/>
  <c r="DU223" s="1"/>
  <c r="DU224" a="1"/>
  <c r="DU224" s="1"/>
  <c r="DU225" a="1"/>
  <c r="DU225" s="1"/>
  <c r="DU226" a="1"/>
  <c r="DU226" s="1"/>
  <c r="DU227" a="1"/>
  <c r="DU227" s="1"/>
  <c r="DU229" a="1"/>
  <c r="DU229" s="1"/>
  <c r="DU232" a="1"/>
  <c r="DU232" s="1"/>
  <c r="DU234" a="1"/>
  <c r="DU234" s="1"/>
  <c r="DU235" a="1"/>
  <c r="DU235" s="1"/>
  <c r="DU236" a="1"/>
  <c r="DU236" s="1"/>
  <c r="DU237" a="1"/>
  <c r="DU237" s="1"/>
  <c r="DU238" a="1"/>
  <c r="DU238" s="1"/>
  <c r="DU239" a="1"/>
  <c r="DU239" s="1"/>
  <c r="DU240" a="1"/>
  <c r="DU240" s="1"/>
  <c r="DU241" a="1"/>
  <c r="DU241" s="1"/>
  <c r="DU242" a="1"/>
  <c r="DU242" s="1"/>
  <c r="DU243" a="1"/>
  <c r="DU243" s="1"/>
  <c r="DU244" a="1"/>
  <c r="DU244" s="1"/>
  <c r="DU245" a="1"/>
  <c r="DU245" s="1"/>
  <c r="DU246" a="1"/>
  <c r="DU246" s="1"/>
  <c r="DU247" a="1"/>
  <c r="DU247" s="1"/>
  <c r="DU248" a="1"/>
  <c r="DU248" s="1"/>
  <c r="DU249" a="1"/>
  <c r="DU249" s="1"/>
  <c r="DU250" a="1"/>
  <c r="DU250" s="1"/>
  <c r="DU251" a="1"/>
  <c r="DU251" s="1"/>
  <c r="DU252" a="1"/>
  <c r="DU252" s="1"/>
  <c r="DU253" a="1"/>
  <c r="DU253" s="1"/>
  <c r="DU254" a="1"/>
  <c r="DU254" s="1"/>
  <c r="DU255" a="1"/>
  <c r="DU255" s="1"/>
  <c r="DU256" a="1"/>
  <c r="DU256" s="1"/>
  <c r="DU257" a="1"/>
  <c r="DU257" s="1"/>
  <c r="DU258" a="1"/>
  <c r="DU258" s="1"/>
  <c r="DU259" a="1"/>
  <c r="DU259" s="1"/>
  <c r="DU260" a="1"/>
  <c r="DU260" s="1"/>
  <c r="DU261" a="1"/>
  <c r="DU261" s="1"/>
  <c r="DU262" a="1"/>
  <c r="DU262" s="1"/>
  <c r="DU263" a="1"/>
  <c r="DU263" s="1"/>
  <c r="DU272" a="1"/>
  <c r="DU272" s="1"/>
  <c r="DU274" a="1"/>
  <c r="DU274" s="1"/>
  <c r="DU276" a="1"/>
  <c r="DU276" s="1"/>
  <c r="DU277" a="1"/>
  <c r="DU277" s="1"/>
  <c r="DU313" a="1"/>
  <c r="DU313" s="1"/>
  <c r="DU314" a="1"/>
  <c r="DU314" s="1"/>
  <c r="DU325" a="1"/>
  <c r="DU325" s="1"/>
  <c r="DU326" a="1"/>
  <c r="DU326" s="1"/>
  <c r="DU332" a="1"/>
  <c r="DU332" s="1"/>
  <c r="DU333" a="1"/>
  <c r="DU333" s="1"/>
  <c r="DU334" a="1"/>
  <c r="DU334" s="1"/>
  <c r="DU335" a="1"/>
  <c r="DU335" s="1"/>
  <c r="DU339" a="1"/>
  <c r="DU339" s="1"/>
  <c r="DU340" a="1"/>
  <c r="DU340" s="1"/>
  <c r="DU345" a="1"/>
  <c r="DU345" s="1"/>
  <c r="DU382" a="1"/>
  <c r="DU382" s="1"/>
  <c r="DU384" a="1"/>
  <c r="DU384" s="1"/>
  <c r="DU385" a="1"/>
  <c r="DU385" s="1"/>
  <c r="DU390" a="1"/>
  <c r="DU390" s="1"/>
  <c r="DU391" a="1"/>
  <c r="DU391" s="1"/>
  <c r="DU392" a="1"/>
  <c r="DU392" s="1"/>
  <c r="DU13" a="1"/>
  <c r="DU13" s="1"/>
  <c r="DU14" a="1"/>
  <c r="DU14" s="1"/>
  <c r="DU15" a="1"/>
  <c r="DU15" s="1"/>
  <c r="DU56" a="1"/>
  <c r="DU56" s="1"/>
  <c r="DU59" a="1"/>
  <c r="DU59" s="1"/>
  <c r="DU60" a="1"/>
  <c r="DU60" s="1"/>
  <c r="DU68" a="1"/>
  <c r="DU68" s="1"/>
  <c r="DU97" a="1"/>
  <c r="DU97" s="1"/>
  <c r="DU98" a="1"/>
  <c r="DU98" s="1"/>
  <c r="DU99" a="1"/>
  <c r="DU99" s="1"/>
  <c r="DU100" a="1"/>
  <c r="DU100" s="1"/>
  <c r="DU102" a="1"/>
  <c r="DU102" s="1"/>
  <c r="DU103" a="1"/>
  <c r="DU103" s="1"/>
  <c r="DU106" a="1"/>
  <c r="DU106" s="1"/>
  <c r="DU107" a="1"/>
  <c r="DU107" s="1"/>
  <c r="DU108" a="1"/>
  <c r="DU108" s="1"/>
  <c r="DU114" a="1"/>
  <c r="DU114" s="1"/>
  <c r="DU121" a="1"/>
  <c r="DU121" s="1"/>
  <c r="DU123" a="1"/>
  <c r="DU123" s="1"/>
  <c r="DU137" a="1"/>
  <c r="DU137" s="1"/>
  <c r="DU138" a="1"/>
  <c r="DU138" s="1"/>
  <c r="DU139" a="1"/>
  <c r="DU139" s="1"/>
  <c r="DU141" a="1"/>
  <c r="DU141" s="1"/>
  <c r="DU147" a="1"/>
  <c r="DU147" s="1"/>
  <c r="DU151" a="1"/>
  <c r="DU151" s="1"/>
  <c r="DU152" a="1"/>
  <c r="DU152" s="1"/>
  <c r="DU153" a="1"/>
  <c r="DU153" s="1"/>
  <c r="DU154" a="1"/>
  <c r="DU154" s="1"/>
  <c r="DU155" a="1"/>
  <c r="DU155" s="1"/>
  <c r="DU267" a="1"/>
  <c r="DU267" s="1"/>
  <c r="DU268" a="1"/>
  <c r="DU268" s="1"/>
  <c r="DU282" a="1"/>
  <c r="DU282" s="1"/>
  <c r="DU283" a="1"/>
  <c r="DU283" s="1"/>
  <c r="DU284" a="1"/>
  <c r="DU284" s="1"/>
  <c r="DU285" a="1"/>
  <c r="DU285" s="1"/>
  <c r="DU286" a="1"/>
  <c r="DU286" s="1"/>
  <c r="DU296" a="1"/>
  <c r="DU296" s="1"/>
  <c r="DU304" a="1"/>
  <c r="DU304" s="1"/>
  <c r="DU305" a="1"/>
  <c r="DU305" s="1"/>
  <c r="DU306" a="1"/>
  <c r="DU306" s="1"/>
  <c r="DU312" a="1"/>
  <c r="DU312" s="1"/>
  <c r="DU319" a="1"/>
  <c r="DU319" s="1"/>
  <c r="DU19" a="1"/>
  <c r="DU19" s="1"/>
  <c r="DU20" a="1"/>
  <c r="DU20" s="1"/>
  <c r="DU21" a="1"/>
  <c r="DU21" s="1"/>
  <c r="DU22" a="1"/>
  <c r="DU22" s="1"/>
  <c r="DU23" a="1"/>
  <c r="DU23" s="1"/>
  <c r="DU24" a="1"/>
  <c r="DU24" s="1"/>
  <c r="DU25" a="1"/>
  <c r="DU25" s="1"/>
  <c r="DU26" a="1"/>
  <c r="DU26" s="1"/>
  <c r="DU27" a="1"/>
  <c r="DU27" s="1"/>
  <c r="DU28" a="1"/>
  <c r="DU28" s="1"/>
  <c r="DU29" a="1"/>
  <c r="DU29" s="1"/>
  <c r="DU30" a="1"/>
  <c r="DU30" s="1"/>
  <c r="DU31" a="1"/>
  <c r="DU31" s="1"/>
  <c r="DU33" a="1"/>
  <c r="DU33" s="1"/>
  <c r="DU34" a="1"/>
  <c r="DU34" s="1"/>
  <c r="DU35" a="1"/>
  <c r="DU35" s="1"/>
  <c r="DU36" a="1"/>
  <c r="DU36" s="1"/>
  <c r="DU37" a="1"/>
  <c r="DU37" s="1"/>
  <c r="DU38" a="1"/>
  <c r="DU38" s="1"/>
  <c r="DU39" a="1"/>
  <c r="DU39" s="1"/>
  <c r="DU40" a="1"/>
  <c r="DU40" s="1"/>
  <c r="DU41" a="1"/>
  <c r="DU41" s="1"/>
  <c r="DU42" a="1"/>
  <c r="DU42" s="1"/>
  <c r="DU43" a="1"/>
  <c r="DU43" s="1"/>
  <c r="DU44" a="1"/>
  <c r="DU44" s="1"/>
  <c r="DU45" a="1"/>
  <c r="DU45" s="1"/>
  <c r="DU46" a="1"/>
  <c r="DU46" s="1"/>
  <c r="DU48" a="1"/>
  <c r="DU48" s="1"/>
  <c r="DU49" a="1"/>
  <c r="DU49" s="1"/>
  <c r="DU50" a="1"/>
  <c r="DU50" s="1"/>
  <c r="DU51" a="1"/>
  <c r="DU51" s="1"/>
  <c r="DU52" a="1"/>
  <c r="DU52" s="1"/>
  <c r="DU53" a="1"/>
  <c r="DU53" s="1"/>
  <c r="DU54" a="1"/>
  <c r="DU54" s="1"/>
  <c r="DU55" a="1"/>
  <c r="DU55" s="1"/>
  <c r="DU58" a="1"/>
  <c r="DU58" s="1"/>
  <c r="DU61" a="1"/>
  <c r="DU61" s="1"/>
  <c r="DU63" a="1"/>
  <c r="DU63" s="1"/>
  <c r="DU64" a="1"/>
  <c r="DU64" s="1"/>
  <c r="DU65" a="1"/>
  <c r="DU65" s="1"/>
  <c r="DU66" a="1"/>
  <c r="DU66" s="1"/>
  <c r="DU67" a="1"/>
  <c r="DU67" s="1"/>
  <c r="DU76" a="1"/>
  <c r="DU76" s="1"/>
  <c r="DU77" a="1"/>
  <c r="DU77" s="1"/>
  <c r="DU78" a="1"/>
  <c r="DU78" s="1"/>
  <c r="DU104" a="1"/>
  <c r="DU104" s="1"/>
  <c r="DU105" a="1"/>
  <c r="DU105" s="1"/>
  <c r="DU109" a="1"/>
  <c r="DU109" s="1"/>
  <c r="DU110" a="1"/>
  <c r="DU110" s="1"/>
  <c r="DU112" a="1"/>
  <c r="DU112" s="1"/>
  <c r="DU113" a="1"/>
  <c r="DU113" s="1"/>
  <c r="DU115" a="1"/>
  <c r="DU115" s="1"/>
  <c r="DU117" a="1"/>
  <c r="DU117" s="1"/>
  <c r="DU118" a="1"/>
  <c r="DU118" s="1"/>
  <c r="DU119" a="1"/>
  <c r="DU119" s="1"/>
  <c r="DU120" a="1"/>
  <c r="DU120" s="1"/>
  <c r="DU125" a="1"/>
  <c r="DU125" s="1"/>
  <c r="DU126" a="1"/>
  <c r="DU126" s="1"/>
  <c r="DU157" a="1"/>
  <c r="DU157" s="1"/>
  <c r="DU264" a="1"/>
  <c r="DU264" s="1"/>
  <c r="DU265" a="1"/>
  <c r="DU265" s="1"/>
  <c r="DU266" a="1"/>
  <c r="DU266" s="1"/>
  <c r="DU269" a="1"/>
  <c r="DU269" s="1"/>
  <c r="DU270" a="1"/>
  <c r="DU270" s="1"/>
  <c r="DU271" a="1"/>
  <c r="DU271" s="1"/>
  <c r="DU275" a="1"/>
  <c r="DU275" s="1"/>
  <c r="DU278" a="1"/>
  <c r="DU278" s="1"/>
  <c r="DU279" a="1"/>
  <c r="DU279" s="1"/>
  <c r="DU280" a="1"/>
  <c r="DU280" s="1"/>
  <c r="DU281" a="1"/>
  <c r="DU281" s="1"/>
  <c r="DU287" a="1"/>
  <c r="DU287" s="1"/>
  <c r="DU288" a="1"/>
  <c r="DU288" s="1"/>
  <c r="DU289" a="1"/>
  <c r="DU289" s="1"/>
  <c r="DU290" a="1"/>
  <c r="DU290" s="1"/>
  <c r="DU291" a="1"/>
  <c r="DU291" s="1"/>
  <c r="DU292" a="1"/>
  <c r="DU292" s="1"/>
  <c r="DU293" a="1"/>
  <c r="DU293" s="1"/>
  <c r="DU294" a="1"/>
  <c r="DU294" s="1"/>
  <c r="DU295" a="1"/>
  <c r="DU295" s="1"/>
  <c r="DU297" a="1"/>
  <c r="DU297" s="1"/>
  <c r="DU298" a="1"/>
  <c r="DU298" s="1"/>
  <c r="DU299" a="1"/>
  <c r="DU299" s="1"/>
  <c r="DU300" a="1"/>
  <c r="DU300" s="1"/>
  <c r="DU301" a="1"/>
  <c r="DU301" s="1"/>
  <c r="DU302" a="1"/>
  <c r="DU302" s="1"/>
  <c r="DU303" a="1"/>
  <c r="DU303" s="1"/>
  <c r="DU307" a="1"/>
  <c r="DU307" s="1"/>
  <c r="DU308" a="1"/>
  <c r="DU308" s="1"/>
  <c r="DU309" a="1"/>
  <c r="DU309" s="1"/>
  <c r="DU310" a="1"/>
  <c r="DU310" s="1"/>
  <c r="DU311" a="1"/>
  <c r="DU311" s="1"/>
  <c r="DU315" a="1"/>
  <c r="DU315" s="1"/>
  <c r="DU316" a="1"/>
  <c r="DU316" s="1"/>
  <c r="DU317" a="1"/>
  <c r="DU317" s="1"/>
  <c r="DU321" a="1"/>
  <c r="DU321" s="1"/>
  <c r="DU322" a="1"/>
  <c r="DU322" s="1"/>
  <c r="DU323" a="1"/>
  <c r="DU323" s="1"/>
  <c r="DU324" a="1"/>
  <c r="DU324" s="1"/>
  <c r="DU327" a="1"/>
  <c r="DU327" s="1"/>
  <c r="DU328" a="1"/>
  <c r="DU328" s="1"/>
  <c r="DU329" a="1"/>
  <c r="DU329" s="1"/>
  <c r="DU330" a="1"/>
  <c r="DU330" s="1"/>
  <c r="DU331" a="1"/>
  <c r="DU331" s="1"/>
  <c r="DU337" a="1"/>
  <c r="DU337" s="1"/>
  <c r="DU338" a="1"/>
  <c r="DU338" s="1"/>
  <c r="DU341" a="1"/>
  <c r="DU341" s="1"/>
  <c r="DU342" a="1"/>
  <c r="DU342" s="1"/>
  <c r="DU343" a="1"/>
  <c r="DU343" s="1"/>
  <c r="DU344" a="1"/>
  <c r="DU344" s="1"/>
  <c r="DU346" a="1"/>
  <c r="DU346" s="1"/>
  <c r="DU348" a="1"/>
  <c r="DU348" s="1"/>
  <c r="DU349" a="1"/>
  <c r="DU349" s="1"/>
  <c r="DU350" a="1"/>
  <c r="DU350" s="1"/>
  <c r="DU353" a="1"/>
  <c r="DU353" s="1"/>
  <c r="DU355" a="1"/>
  <c r="DU355" s="1"/>
  <c r="DU356" a="1"/>
  <c r="DU356" s="1"/>
  <c r="DU357" a="1"/>
  <c r="DU357" s="1"/>
  <c r="DU358" a="1"/>
  <c r="DU358" s="1"/>
  <c r="DU359" a="1"/>
  <c r="DU359" s="1"/>
  <c r="DU360" a="1"/>
  <c r="DU360" s="1"/>
  <c r="DU361" a="1"/>
  <c r="DU361" s="1"/>
  <c r="DU362" a="1"/>
  <c r="DU362" s="1"/>
  <c r="DU363" a="1"/>
  <c r="DU363" s="1"/>
  <c r="DU364" a="1"/>
  <c r="DU364" s="1"/>
  <c r="DU365" a="1"/>
  <c r="DU365" s="1"/>
  <c r="DU366" a="1"/>
  <c r="DU366" s="1"/>
  <c r="DU367" a="1"/>
  <c r="DU367" s="1"/>
  <c r="DU368" a="1"/>
  <c r="DU368" s="1"/>
  <c r="DU369" a="1"/>
  <c r="DU369" s="1"/>
  <c r="DU370" a="1"/>
  <c r="DU370" s="1"/>
  <c r="DU371" a="1"/>
  <c r="DU371" s="1"/>
  <c r="DU373" a="1"/>
  <c r="DU373" s="1"/>
  <c r="DU374" a="1"/>
  <c r="DU374" s="1"/>
  <c r="DU375" a="1"/>
  <c r="DU375" s="1"/>
  <c r="DU376" a="1"/>
  <c r="DU376" s="1"/>
  <c r="DU377" a="1"/>
  <c r="DU377" s="1"/>
  <c r="DU378" a="1"/>
  <c r="DU378" s="1"/>
  <c r="DU379" a="1"/>
  <c r="DU379" s="1"/>
  <c r="DU380" a="1"/>
  <c r="DU380" s="1"/>
  <c r="DU381" a="1"/>
  <c r="DU381" s="1"/>
  <c r="DU388" a="1"/>
  <c r="DU388" s="1"/>
  <c r="DU389" a="1"/>
  <c r="DU389" s="1"/>
  <c r="DU393" a="1"/>
  <c r="DU393" s="1"/>
  <c r="DU394" a="1"/>
  <c r="DU394" s="1"/>
  <c r="DU395" a="1"/>
  <c r="DU395" s="1"/>
  <c r="DU396" a="1"/>
  <c r="DU396" s="1"/>
  <c r="DU397" a="1"/>
  <c r="DU397" s="1"/>
  <c r="DU398" a="1"/>
  <c r="DU398" s="1"/>
  <c r="DU399" a="1"/>
  <c r="DU399" s="1"/>
  <c r="DU400" a="1"/>
  <c r="DU400" s="1"/>
  <c r="DE2" a="1"/>
  <c r="DE2" s="1"/>
  <c r="DE3" a="1"/>
  <c r="DE3" s="1"/>
  <c r="DE4" a="1"/>
  <c r="DE4" s="1"/>
  <c r="DE5" a="1"/>
  <c r="DE5" s="1"/>
  <c r="DE6" a="1"/>
  <c r="DE6" s="1"/>
  <c r="DE7" a="1"/>
  <c r="DE7" s="1"/>
  <c r="DE8" a="1"/>
  <c r="DE8" s="1"/>
  <c r="DE9" a="1"/>
  <c r="DE9" s="1"/>
  <c r="DE10" a="1"/>
  <c r="DE10" s="1"/>
  <c r="DE11" a="1"/>
  <c r="DE11" s="1"/>
  <c r="DE12" a="1"/>
  <c r="DE12" s="1"/>
  <c r="DE16" a="1"/>
  <c r="DE16" s="1"/>
  <c r="DE17" a="1"/>
  <c r="DE17" s="1"/>
  <c r="DE47" a="1"/>
  <c r="DE47" s="1"/>
  <c r="DE70" a="1"/>
  <c r="DE70" s="1"/>
  <c r="DE79" a="1"/>
  <c r="DE79" s="1"/>
  <c r="DE80" a="1"/>
  <c r="DE80" s="1"/>
  <c r="DE81" a="1"/>
  <c r="DE81" s="1"/>
  <c r="DE84" a="1"/>
  <c r="DE84" s="1"/>
  <c r="DE86" a="1"/>
  <c r="DE86" s="1"/>
  <c r="DE87" a="1"/>
  <c r="DE87" s="1"/>
  <c r="DE88" a="1"/>
  <c r="DE88" s="1"/>
  <c r="DE89" a="1"/>
  <c r="DE89" s="1"/>
  <c r="DE90" a="1"/>
  <c r="DE90" s="1"/>
  <c r="DE91" a="1"/>
  <c r="DE91" s="1"/>
  <c r="DE93" a="1"/>
  <c r="DE93" s="1"/>
  <c r="DE94" a="1"/>
  <c r="DE94" s="1"/>
  <c r="DE95" a="1"/>
  <c r="DE95" s="1"/>
  <c r="DE96" a="1"/>
  <c r="DE96" s="1"/>
  <c r="DE111" a="1"/>
  <c r="DE111" s="1"/>
  <c r="DE122" a="1"/>
  <c r="DE122" s="1"/>
  <c r="DE129" a="1"/>
  <c r="DE129" s="1"/>
  <c r="DE128" a="1"/>
  <c r="DE128" s="1"/>
  <c r="DE131" a="1"/>
  <c r="DE131" s="1"/>
  <c r="DE132" a="1"/>
  <c r="DE132" s="1"/>
  <c r="DE133" a="1"/>
  <c r="DE133" s="1"/>
  <c r="DE134" a="1"/>
  <c r="DE134" s="1"/>
  <c r="DE135" a="1"/>
  <c r="DE135" s="1"/>
  <c r="DE136" a="1"/>
  <c r="DE136" s="1"/>
  <c r="DE145" a="1"/>
  <c r="DE145" s="1"/>
  <c r="DE146" a="1"/>
  <c r="DE146" s="1"/>
  <c r="DE148" a="1"/>
  <c r="DE148" s="1"/>
  <c r="DE149" a="1"/>
  <c r="DE149" s="1"/>
  <c r="DE150" a="1"/>
  <c r="DE150" s="1"/>
  <c r="DE156" a="1"/>
  <c r="DE156" s="1"/>
  <c r="DE161" a="1"/>
  <c r="DE161" s="1"/>
  <c r="DE162" a="1"/>
  <c r="DE162" s="1"/>
  <c r="DE163" a="1"/>
  <c r="DE163" s="1"/>
  <c r="DE164" a="1"/>
  <c r="DE164" s="1"/>
  <c r="DE165" a="1"/>
  <c r="DE165" s="1"/>
  <c r="DE166" a="1"/>
  <c r="DE166" s="1"/>
  <c r="DE167" a="1"/>
  <c r="DE167" s="1"/>
  <c r="DE168" a="1"/>
  <c r="DE168" s="1"/>
  <c r="DE169" a="1"/>
  <c r="DE169" s="1"/>
  <c r="DE170" a="1"/>
  <c r="DE170" s="1"/>
  <c r="DE171" a="1"/>
  <c r="DE171" s="1"/>
  <c r="DE172" a="1"/>
  <c r="DE172" s="1"/>
  <c r="DE173" a="1"/>
  <c r="DE173" s="1"/>
  <c r="DE174" a="1"/>
  <c r="DE174" s="1"/>
  <c r="DE175" a="1"/>
  <c r="DE175" s="1"/>
  <c r="DE176" a="1"/>
  <c r="DE176" s="1"/>
  <c r="DE177" a="1"/>
  <c r="DE177" s="1"/>
  <c r="DE178" a="1"/>
  <c r="DE178" s="1"/>
  <c r="DE179" a="1"/>
  <c r="DE179" s="1"/>
  <c r="DE180" a="1"/>
  <c r="DE180" s="1"/>
  <c r="DE181" a="1"/>
  <c r="DE181" s="1"/>
  <c r="DE187" a="1"/>
  <c r="DE187" s="1"/>
  <c r="DE188" a="1"/>
  <c r="DE188" s="1"/>
  <c r="DE189" a="1"/>
  <c r="DE189" s="1"/>
  <c r="DE190" a="1"/>
  <c r="DE190" s="1"/>
  <c r="DE191" a="1"/>
  <c r="DE191" s="1"/>
  <c r="DE192" a="1"/>
  <c r="DE192" s="1"/>
  <c r="DE193" a="1"/>
  <c r="DE193" s="1"/>
  <c r="DE194" a="1"/>
  <c r="DE194" s="1"/>
  <c r="DE195" a="1"/>
  <c r="DE195" s="1"/>
  <c r="DE196" a="1"/>
  <c r="DE196" s="1"/>
  <c r="DE197" a="1"/>
  <c r="DE197" s="1"/>
  <c r="DE198" a="1"/>
  <c r="DE198" s="1"/>
  <c r="DE199" a="1"/>
  <c r="DE199" s="1"/>
  <c r="DE200" a="1"/>
  <c r="DE200" s="1"/>
  <c r="DE201" a="1"/>
  <c r="DE201" s="1"/>
  <c r="DE202" a="1"/>
  <c r="DE202" s="1"/>
  <c r="DE203" a="1"/>
  <c r="DE203" s="1"/>
  <c r="DE204" a="1"/>
  <c r="DE204" s="1"/>
  <c r="DE205" a="1"/>
  <c r="DE205" s="1"/>
  <c r="DE206" a="1"/>
  <c r="DE206" s="1"/>
  <c r="DE209" a="1"/>
  <c r="DE209" s="1"/>
  <c r="DE210" a="1"/>
  <c r="DE210" s="1"/>
  <c r="DE211" a="1"/>
  <c r="DE211" s="1"/>
  <c r="DE212" a="1"/>
  <c r="DE212" s="1"/>
  <c r="DE213" a="1"/>
  <c r="DE213" s="1"/>
  <c r="DE214" a="1"/>
  <c r="DE214" s="1"/>
  <c r="DE215" a="1"/>
  <c r="DE215" s="1"/>
  <c r="DE216" a="1"/>
  <c r="DE216" s="1"/>
  <c r="DE217" a="1"/>
  <c r="DE217" s="1"/>
  <c r="DE218" a="1"/>
  <c r="DE218" s="1"/>
  <c r="DE219" a="1"/>
  <c r="DE219" s="1"/>
  <c r="DE220" a="1"/>
  <c r="DE220" s="1"/>
  <c r="DE221" a="1"/>
  <c r="DE221" s="1"/>
  <c r="DE222" a="1"/>
  <c r="DE222" s="1"/>
  <c r="DE223" a="1"/>
  <c r="DE223" s="1"/>
  <c r="DE224" a="1"/>
  <c r="DE224" s="1"/>
  <c r="DE225" a="1"/>
  <c r="DE225" s="1"/>
  <c r="DE226" a="1"/>
  <c r="DE226" s="1"/>
  <c r="DE227" a="1"/>
  <c r="DE227" s="1"/>
  <c r="DE229" a="1"/>
  <c r="DE229" s="1"/>
  <c r="DE232" a="1"/>
  <c r="DE232" s="1"/>
  <c r="DE234" a="1"/>
  <c r="DE234" s="1"/>
  <c r="DE235" a="1"/>
  <c r="DE235" s="1"/>
  <c r="DE236" a="1"/>
  <c r="DE236" s="1"/>
  <c r="DE237" a="1"/>
  <c r="DE237" s="1"/>
  <c r="DE238" a="1"/>
  <c r="DE238" s="1"/>
  <c r="DE239" a="1"/>
  <c r="DE239" s="1"/>
  <c r="DE240" a="1"/>
  <c r="DE240" s="1"/>
  <c r="DE241" a="1"/>
  <c r="DE241" s="1"/>
  <c r="DE242" a="1"/>
  <c r="DE242" s="1"/>
  <c r="DE243" a="1"/>
  <c r="DE243" s="1"/>
  <c r="DE244" a="1"/>
  <c r="DE244" s="1"/>
  <c r="DE245" a="1"/>
  <c r="DE245" s="1"/>
  <c r="DE246" a="1"/>
  <c r="DE246" s="1"/>
  <c r="DE247" a="1"/>
  <c r="DE247" s="1"/>
  <c r="DE248" a="1"/>
  <c r="DE248" s="1"/>
  <c r="DE249" a="1"/>
  <c r="DE249" s="1"/>
  <c r="DE250" a="1"/>
  <c r="DE250" s="1"/>
  <c r="DE251" a="1"/>
  <c r="DE251" s="1"/>
  <c r="DE252" a="1"/>
  <c r="DE252" s="1"/>
  <c r="DE253" a="1"/>
  <c r="DE253" s="1"/>
  <c r="DE254" a="1"/>
  <c r="DE254" s="1"/>
  <c r="DE255" a="1"/>
  <c r="DE255" s="1"/>
  <c r="DE256" a="1"/>
  <c r="DE256" s="1"/>
  <c r="DE257" a="1"/>
  <c r="DE257" s="1"/>
  <c r="DE258" a="1"/>
  <c r="DE258" s="1"/>
  <c r="DE259" a="1"/>
  <c r="DE259" s="1"/>
  <c r="DE260" a="1"/>
  <c r="DE260" s="1"/>
  <c r="DE261" a="1"/>
  <c r="DE261" s="1"/>
  <c r="DE262" a="1"/>
  <c r="DE262" s="1"/>
  <c r="DE263" a="1"/>
  <c r="DE263" s="1"/>
  <c r="DE272" a="1"/>
  <c r="DE272" s="1"/>
  <c r="DE274" a="1"/>
  <c r="DE274" s="1"/>
  <c r="DE276" a="1"/>
  <c r="DE276" s="1"/>
  <c r="DE277" a="1"/>
  <c r="DE277" s="1"/>
  <c r="DE313" a="1"/>
  <c r="DE313" s="1"/>
  <c r="DE314" a="1"/>
  <c r="DE314" s="1"/>
  <c r="DE325" a="1"/>
  <c r="DE325" s="1"/>
  <c r="DE326" a="1"/>
  <c r="DE326" s="1"/>
  <c r="DE332" a="1"/>
  <c r="DE332" s="1"/>
  <c r="DE333" a="1"/>
  <c r="DE333" s="1"/>
  <c r="DE334" a="1"/>
  <c r="DE334" s="1"/>
  <c r="DE335" a="1"/>
  <c r="DE335" s="1"/>
  <c r="DE339" a="1"/>
  <c r="DE339" s="1"/>
  <c r="DE340" a="1"/>
  <c r="DE340" s="1"/>
  <c r="DE345" a="1"/>
  <c r="DE345" s="1"/>
  <c r="DE382" a="1"/>
  <c r="DE382" s="1"/>
  <c r="DE384" a="1"/>
  <c r="DE384" s="1"/>
  <c r="DE385" a="1"/>
  <c r="DE385" s="1"/>
  <c r="DE390" a="1"/>
  <c r="DE390" s="1"/>
  <c r="DE391" a="1"/>
  <c r="DE391" s="1"/>
  <c r="DE392" a="1"/>
  <c r="DE392" s="1"/>
  <c r="DE13" a="1"/>
  <c r="DE13" s="1"/>
  <c r="DE14" a="1"/>
  <c r="DE14" s="1"/>
  <c r="DE15" a="1"/>
  <c r="DE15" s="1"/>
  <c r="DE56" a="1"/>
  <c r="DE56" s="1"/>
  <c r="DE59" a="1"/>
  <c r="DE59" s="1"/>
  <c r="DE60" a="1"/>
  <c r="DE60" s="1"/>
  <c r="DE68" a="1"/>
  <c r="DE68" s="1"/>
  <c r="DE97" a="1"/>
  <c r="DE97" s="1"/>
  <c r="DE98" a="1"/>
  <c r="DE98" s="1"/>
  <c r="DE99" a="1"/>
  <c r="DE99" s="1"/>
  <c r="DE100" a="1"/>
  <c r="DE100" s="1"/>
  <c r="DE102" a="1"/>
  <c r="DE102" s="1"/>
  <c r="DE103" a="1"/>
  <c r="DE103" s="1"/>
  <c r="DE106" a="1"/>
  <c r="DE106" s="1"/>
  <c r="DE107" a="1"/>
  <c r="DE107" s="1"/>
  <c r="DE108" a="1"/>
  <c r="DE108" s="1"/>
  <c r="DE114" a="1"/>
  <c r="DE114" s="1"/>
  <c r="DE121" a="1"/>
  <c r="DE121" s="1"/>
  <c r="DE123" a="1"/>
  <c r="DE123" s="1"/>
  <c r="DE137" a="1"/>
  <c r="DE137" s="1"/>
  <c r="DE138" a="1"/>
  <c r="DE138" s="1"/>
  <c r="DE139" a="1"/>
  <c r="DE139" s="1"/>
  <c r="DE141" a="1"/>
  <c r="DE141" s="1"/>
  <c r="DE147" a="1"/>
  <c r="DE147" s="1"/>
  <c r="DE151" a="1"/>
  <c r="DE151" s="1"/>
  <c r="DE152" a="1"/>
  <c r="DE152" s="1"/>
  <c r="DE153" a="1"/>
  <c r="DE153" s="1"/>
  <c r="DE154" a="1"/>
  <c r="DE154" s="1"/>
  <c r="DE155" a="1"/>
  <c r="DE155" s="1"/>
  <c r="DE267" a="1"/>
  <c r="DE267" s="1"/>
  <c r="DE268" a="1"/>
  <c r="DE268" s="1"/>
  <c r="DE282" a="1"/>
  <c r="DE282" s="1"/>
  <c r="DE283" a="1"/>
  <c r="DE283" s="1"/>
  <c r="DE284" a="1"/>
  <c r="DE284" s="1"/>
  <c r="DE285" a="1"/>
  <c r="DE285" s="1"/>
  <c r="DE286" a="1"/>
  <c r="DE286" s="1"/>
  <c r="DE296" a="1"/>
  <c r="DE296" s="1"/>
  <c r="DE304" a="1"/>
  <c r="DE304" s="1"/>
  <c r="DE305" a="1"/>
  <c r="DE305" s="1"/>
  <c r="DE306" a="1"/>
  <c r="DE306" s="1"/>
  <c r="DE312" a="1"/>
  <c r="DE312" s="1"/>
  <c r="DE319" a="1"/>
  <c r="DE319" s="1"/>
  <c r="DE19" a="1"/>
  <c r="DE19" s="1"/>
  <c r="DE20" a="1"/>
  <c r="DE20" s="1"/>
  <c r="DE21" a="1"/>
  <c r="DE21" s="1"/>
  <c r="DE22" a="1"/>
  <c r="DE22" s="1"/>
  <c r="DE23" a="1"/>
  <c r="DE23" s="1"/>
  <c r="DE24" a="1"/>
  <c r="DE24" s="1"/>
  <c r="DE25" a="1"/>
  <c r="DE25" s="1"/>
  <c r="DE26" a="1"/>
  <c r="DE26" s="1"/>
  <c r="DE27" a="1"/>
  <c r="DE27" s="1"/>
  <c r="DE28" a="1"/>
  <c r="DE28" s="1"/>
  <c r="DE29" a="1"/>
  <c r="DE29" s="1"/>
  <c r="DE30" a="1"/>
  <c r="DE30" s="1"/>
  <c r="DE31" a="1"/>
  <c r="DE31" s="1"/>
  <c r="DE33" a="1"/>
  <c r="DE33" s="1"/>
  <c r="DE34" a="1"/>
  <c r="DE34" s="1"/>
  <c r="DE35" a="1"/>
  <c r="DE35" s="1"/>
  <c r="DE36" a="1"/>
  <c r="DE36" s="1"/>
  <c r="DE37" a="1"/>
  <c r="DE37" s="1"/>
  <c r="DE38" a="1"/>
  <c r="DE38" s="1"/>
  <c r="DE39" a="1"/>
  <c r="DE39" s="1"/>
  <c r="DE40" a="1"/>
  <c r="DE40" s="1"/>
  <c r="DE41" a="1"/>
  <c r="DE41" s="1"/>
  <c r="DE42" a="1"/>
  <c r="DE42" s="1"/>
  <c r="DE43" a="1"/>
  <c r="DE43" s="1"/>
  <c r="DE44" a="1"/>
  <c r="DE44" s="1"/>
  <c r="DE45" a="1"/>
  <c r="DE45" s="1"/>
  <c r="DE46" a="1"/>
  <c r="DE46" s="1"/>
  <c r="DE48" a="1"/>
  <c r="DE48" s="1"/>
  <c r="DE49" a="1"/>
  <c r="DE49" s="1"/>
  <c r="DE50" a="1"/>
  <c r="DE50" s="1"/>
  <c r="DE51" a="1"/>
  <c r="DE51" s="1"/>
  <c r="DE52" a="1"/>
  <c r="DE52" s="1"/>
  <c r="DE53" a="1"/>
  <c r="DE53" s="1"/>
  <c r="DE54" a="1"/>
  <c r="DE54" s="1"/>
  <c r="DE55" a="1"/>
  <c r="DE55" s="1"/>
  <c r="DE58" a="1"/>
  <c r="DE58" s="1"/>
  <c r="DE61" a="1"/>
  <c r="DE61" s="1"/>
  <c r="DE63" a="1"/>
  <c r="DE63" s="1"/>
  <c r="DE64" a="1"/>
  <c r="DE64" s="1"/>
  <c r="DE65" a="1"/>
  <c r="DE65" s="1"/>
  <c r="DE66" a="1"/>
  <c r="DE66" s="1"/>
  <c r="DE67" a="1"/>
  <c r="DE67" s="1"/>
  <c r="DE76" a="1"/>
  <c r="DE76" s="1"/>
  <c r="DE77" a="1"/>
  <c r="DE77" s="1"/>
  <c r="DE78" a="1"/>
  <c r="DE78" s="1"/>
  <c r="DE104" a="1"/>
  <c r="DE104" s="1"/>
  <c r="DE105" a="1"/>
  <c r="DE105" s="1"/>
  <c r="DE109" a="1"/>
  <c r="DE109" s="1"/>
  <c r="DE110" a="1"/>
  <c r="DE110" s="1"/>
  <c r="DE112" a="1"/>
  <c r="DE112" s="1"/>
  <c r="DE113" a="1"/>
  <c r="DE113" s="1"/>
  <c r="DE115" a="1"/>
  <c r="DE115" s="1"/>
  <c r="DE117" a="1"/>
  <c r="DE117" s="1"/>
  <c r="DE118" a="1"/>
  <c r="DE118" s="1"/>
  <c r="DE119" a="1"/>
  <c r="DE119" s="1"/>
  <c r="DE120" a="1"/>
  <c r="DE120" s="1"/>
  <c r="DE125" a="1"/>
  <c r="DE125" s="1"/>
  <c r="DE126" a="1"/>
  <c r="DE126" s="1"/>
  <c r="DE157" a="1"/>
  <c r="DE157" s="1"/>
  <c r="DE264" a="1"/>
  <c r="DE264" s="1"/>
  <c r="DE265" a="1"/>
  <c r="DE265" s="1"/>
  <c r="DE266" a="1"/>
  <c r="DE266" s="1"/>
  <c r="DE269" a="1"/>
  <c r="DE269" s="1"/>
  <c r="DE270" a="1"/>
  <c r="DE270" s="1"/>
  <c r="DE271" a="1"/>
  <c r="DE271" s="1"/>
  <c r="DE275" a="1"/>
  <c r="DE275" s="1"/>
  <c r="DE278" a="1"/>
  <c r="DE278" s="1"/>
  <c r="DE279" a="1"/>
  <c r="DE279" s="1"/>
  <c r="DE280" a="1"/>
  <c r="DE280" s="1"/>
  <c r="DE281" a="1"/>
  <c r="DE281" s="1"/>
  <c r="DE287" a="1"/>
  <c r="DE287" s="1"/>
  <c r="DE288" a="1"/>
  <c r="DE288" s="1"/>
  <c r="DE289" a="1"/>
  <c r="DE289" s="1"/>
  <c r="DE290" a="1"/>
  <c r="DE290" s="1"/>
  <c r="DE291" a="1"/>
  <c r="DE291" s="1"/>
  <c r="DE292" a="1"/>
  <c r="DE292" s="1"/>
  <c r="DE293" a="1"/>
  <c r="DE293" s="1"/>
  <c r="DE294" a="1"/>
  <c r="DE294" s="1"/>
  <c r="DE295" a="1"/>
  <c r="DE295" s="1"/>
  <c r="DE297" a="1"/>
  <c r="DE297" s="1"/>
  <c r="DE298" a="1"/>
  <c r="DE298" s="1"/>
  <c r="DE299" a="1"/>
  <c r="DE299" s="1"/>
  <c r="DE300" a="1"/>
  <c r="DE300" s="1"/>
  <c r="DE301" a="1"/>
  <c r="DE301" s="1"/>
  <c r="DE302" a="1"/>
  <c r="DE302" s="1"/>
  <c r="DE303" a="1"/>
  <c r="DE303" s="1"/>
  <c r="DE307" a="1"/>
  <c r="DE307" s="1"/>
  <c r="DE308" a="1"/>
  <c r="DE308" s="1"/>
  <c r="DE309" a="1"/>
  <c r="DE309" s="1"/>
  <c r="DE310" a="1"/>
  <c r="DE310" s="1"/>
  <c r="DE311" a="1"/>
  <c r="DE311" s="1"/>
  <c r="DE315" a="1"/>
  <c r="DE315" s="1"/>
  <c r="DE316" a="1"/>
  <c r="DE316" s="1"/>
  <c r="DE317" a="1"/>
  <c r="DE317" s="1"/>
  <c r="DE321" a="1"/>
  <c r="DE321" s="1"/>
  <c r="DE322" a="1"/>
  <c r="DE322" s="1"/>
  <c r="DE323" a="1"/>
  <c r="DE323" s="1"/>
  <c r="DE324" a="1"/>
  <c r="DE324" s="1"/>
  <c r="DE327" a="1"/>
  <c r="DE327" s="1"/>
  <c r="DE328" a="1"/>
  <c r="DE328" s="1"/>
  <c r="DE329" a="1"/>
  <c r="DE329" s="1"/>
  <c r="DE330" a="1"/>
  <c r="DE330" s="1"/>
  <c r="DE331" a="1"/>
  <c r="DE331" s="1"/>
  <c r="DE337" a="1"/>
  <c r="DE337" s="1"/>
  <c r="DE338" a="1"/>
  <c r="DE338" s="1"/>
  <c r="DE341" a="1"/>
  <c r="DE341" s="1"/>
  <c r="DE342" a="1"/>
  <c r="DE342" s="1"/>
  <c r="DE343" a="1"/>
  <c r="DE343" s="1"/>
  <c r="DE344" a="1"/>
  <c r="DE344" s="1"/>
  <c r="DE346" a="1"/>
  <c r="DE346" s="1"/>
  <c r="DE348" a="1"/>
  <c r="DE348" s="1"/>
  <c r="DE349" a="1"/>
  <c r="DE349" s="1"/>
  <c r="DE350" a="1"/>
  <c r="DE350" s="1"/>
  <c r="DE353" a="1"/>
  <c r="DE353" s="1"/>
  <c r="DE355" a="1"/>
  <c r="DE355" s="1"/>
  <c r="DE356" a="1"/>
  <c r="DE356" s="1"/>
  <c r="DE357" a="1"/>
  <c r="DE357" s="1"/>
  <c r="DE358" a="1"/>
  <c r="DE358" s="1"/>
  <c r="DE359" a="1"/>
  <c r="DE359" s="1"/>
  <c r="DE360" a="1"/>
  <c r="DE360" s="1"/>
  <c r="DE361" a="1"/>
  <c r="DE361" s="1"/>
  <c r="DE362" a="1"/>
  <c r="DE362" s="1"/>
  <c r="DE363" a="1"/>
  <c r="DE363" s="1"/>
  <c r="DE364" a="1"/>
  <c r="DE364" s="1"/>
  <c r="DE365" a="1"/>
  <c r="DE365" s="1"/>
  <c r="DE366" a="1"/>
  <c r="DE366" s="1"/>
  <c r="DE367" a="1"/>
  <c r="DE367" s="1"/>
  <c r="DE368" a="1"/>
  <c r="DE368" s="1"/>
  <c r="DE369" a="1"/>
  <c r="DE369" s="1"/>
  <c r="DE370" a="1"/>
  <c r="DE370" s="1"/>
  <c r="DE371" a="1"/>
  <c r="DE371" s="1"/>
  <c r="DE373" a="1"/>
  <c r="DE373" s="1"/>
  <c r="DE374" a="1"/>
  <c r="DE374" s="1"/>
  <c r="DE375" a="1"/>
  <c r="DE375" s="1"/>
  <c r="DE376" a="1"/>
  <c r="DE376" s="1"/>
  <c r="DE377" a="1"/>
  <c r="DE377" s="1"/>
  <c r="DE378" a="1"/>
  <c r="DE378" s="1"/>
  <c r="DE379" a="1"/>
  <c r="DE379" s="1"/>
  <c r="DE380" a="1"/>
  <c r="DE380" s="1"/>
  <c r="DE381" a="1"/>
  <c r="DE381" s="1"/>
  <c r="DE388" a="1"/>
  <c r="DE388" s="1"/>
  <c r="DE389" a="1"/>
  <c r="DE389" s="1"/>
  <c r="DE393" a="1"/>
  <c r="DE393" s="1"/>
  <c r="DE394" a="1"/>
  <c r="DE394" s="1"/>
  <c r="DE395" a="1"/>
  <c r="DE395" s="1"/>
  <c r="DE396" a="1"/>
  <c r="DE396" s="1"/>
  <c r="DE397" a="1"/>
  <c r="DE397" s="1"/>
  <c r="DE398" a="1"/>
  <c r="DE398" s="1"/>
  <c r="DE399" a="1"/>
  <c r="DE399" s="1"/>
  <c r="DE400" a="1"/>
  <c r="DE400" s="1"/>
  <c r="CO2" a="1"/>
  <c r="CO2" s="1"/>
  <c r="CO3" a="1"/>
  <c r="CO3" s="1"/>
  <c r="CO4" a="1"/>
  <c r="CO4" s="1"/>
  <c r="CO5" a="1"/>
  <c r="CO5" s="1"/>
  <c r="CO6" a="1"/>
  <c r="CO6" s="1"/>
  <c r="CO7" a="1"/>
  <c r="CO7" s="1"/>
  <c r="CO8" a="1"/>
  <c r="CO8" s="1"/>
  <c r="CO9" a="1"/>
  <c r="CO9" s="1"/>
  <c r="CO10" a="1"/>
  <c r="CO10" s="1"/>
  <c r="CO11" a="1"/>
  <c r="CO11" s="1"/>
  <c r="CO12" a="1"/>
  <c r="CO12" s="1"/>
  <c r="CO16" a="1"/>
  <c r="CO16" s="1"/>
  <c r="CO17" a="1"/>
  <c r="CO17" s="1"/>
  <c r="CO47" a="1"/>
  <c r="CO47" s="1"/>
  <c r="CO70" a="1"/>
  <c r="CO70" s="1"/>
  <c r="CO79" a="1"/>
  <c r="CO79" s="1"/>
  <c r="CO80" a="1"/>
  <c r="CO80" s="1"/>
  <c r="CO81" a="1"/>
  <c r="CO81" s="1"/>
  <c r="CO84" a="1"/>
  <c r="CO84" s="1"/>
  <c r="CO86" a="1"/>
  <c r="CO86" s="1"/>
  <c r="CO87" a="1"/>
  <c r="CO87" s="1"/>
  <c r="CO88" a="1"/>
  <c r="CO88" s="1"/>
  <c r="CO89" a="1"/>
  <c r="CO89" s="1"/>
  <c r="CO90" a="1"/>
  <c r="CO90" s="1"/>
  <c r="CO91" a="1"/>
  <c r="CO91" s="1"/>
  <c r="CO93" a="1"/>
  <c r="CO93" s="1"/>
  <c r="CO94" a="1"/>
  <c r="CO94" s="1"/>
  <c r="CO95" a="1"/>
  <c r="CO95" s="1"/>
  <c r="CO96" a="1"/>
  <c r="CO96" s="1"/>
  <c r="CO111" a="1"/>
  <c r="CO111" s="1"/>
  <c r="CO122" a="1"/>
  <c r="CO122" s="1"/>
  <c r="CO129" a="1"/>
  <c r="CO129" s="1"/>
  <c r="CO128" a="1"/>
  <c r="CO128" s="1"/>
  <c r="CO131" a="1"/>
  <c r="CO131" s="1"/>
  <c r="CO132" a="1"/>
  <c r="CO132" s="1"/>
  <c r="CO133" a="1"/>
  <c r="CO133" s="1"/>
  <c r="CO134" a="1"/>
  <c r="CO134" s="1"/>
  <c r="CO135" a="1"/>
  <c r="CO135" s="1"/>
  <c r="CO136" a="1"/>
  <c r="CO136" s="1"/>
  <c r="CO145" a="1"/>
  <c r="CO145" s="1"/>
  <c r="CO146" a="1"/>
  <c r="CO146" s="1"/>
  <c r="CO148" a="1"/>
  <c r="CO148" s="1"/>
  <c r="CO149" a="1"/>
  <c r="CO149" s="1"/>
  <c r="CO150" a="1"/>
  <c r="CO150" s="1"/>
  <c r="CO156" a="1"/>
  <c r="CO156" s="1"/>
  <c r="CO161" a="1"/>
  <c r="CO161" s="1"/>
  <c r="CO162" a="1"/>
  <c r="CO162" s="1"/>
  <c r="CO163" a="1"/>
  <c r="CO163" s="1"/>
  <c r="CO164" a="1"/>
  <c r="CO164" s="1"/>
  <c r="CO165" a="1"/>
  <c r="CO165" s="1"/>
  <c r="CO166" a="1"/>
  <c r="CO166" s="1"/>
  <c r="CO167" a="1"/>
  <c r="CO167" s="1"/>
  <c r="CO168" a="1"/>
  <c r="CO168" s="1"/>
  <c r="CO169" a="1"/>
  <c r="CO169" s="1"/>
  <c r="CO170" a="1"/>
  <c r="CO170" s="1"/>
  <c r="CO171" a="1"/>
  <c r="CO171" s="1"/>
  <c r="CO172" a="1"/>
  <c r="CO172" s="1"/>
  <c r="CO173" a="1"/>
  <c r="CO173" s="1"/>
  <c r="CO174" a="1"/>
  <c r="CO174" s="1"/>
  <c r="CO175" a="1"/>
  <c r="CO175" s="1"/>
  <c r="CO176" a="1"/>
  <c r="CO176" s="1"/>
  <c r="CO177" a="1"/>
  <c r="CO177" s="1"/>
  <c r="CO178" a="1"/>
  <c r="CO178" s="1"/>
  <c r="CO179" a="1"/>
  <c r="CO179" s="1"/>
  <c r="CO180" a="1"/>
  <c r="CO180" s="1"/>
  <c r="CO181" a="1"/>
  <c r="CO181" s="1"/>
  <c r="CO187" a="1"/>
  <c r="CO187" s="1"/>
  <c r="CO188" a="1"/>
  <c r="CO188" s="1"/>
  <c r="CO189" a="1"/>
  <c r="CO189" s="1"/>
  <c r="CO190" a="1"/>
  <c r="CO190" s="1"/>
  <c r="CO191" a="1"/>
  <c r="CO191" s="1"/>
  <c r="CO192" a="1"/>
  <c r="CO192" s="1"/>
  <c r="CO193" a="1"/>
  <c r="CO193" s="1"/>
  <c r="CO194" a="1"/>
  <c r="CO194" s="1"/>
  <c r="CO195" a="1"/>
  <c r="CO195" s="1"/>
  <c r="CO196" a="1"/>
  <c r="CO196" s="1"/>
  <c r="CO197" a="1"/>
  <c r="CO197" s="1"/>
  <c r="CO198" a="1"/>
  <c r="CO198" s="1"/>
  <c r="CO199" a="1"/>
  <c r="CO199" s="1"/>
  <c r="CO200" a="1"/>
  <c r="CO200" s="1"/>
  <c r="CO201" a="1"/>
  <c r="CO201" s="1"/>
  <c r="CO202" a="1"/>
  <c r="CO202" s="1"/>
  <c r="CO203" a="1"/>
  <c r="CO203" s="1"/>
  <c r="CO204" a="1"/>
  <c r="CO204" s="1"/>
  <c r="CO205" a="1"/>
  <c r="CO205" s="1"/>
  <c r="CO206" a="1"/>
  <c r="CO206" s="1"/>
  <c r="CO209" a="1"/>
  <c r="CO209" s="1"/>
  <c r="CO210" a="1"/>
  <c r="CO210" s="1"/>
  <c r="CO211" a="1"/>
  <c r="CO211" s="1"/>
  <c r="CO212" a="1"/>
  <c r="CO212" s="1"/>
  <c r="CO213" a="1"/>
  <c r="CO213" s="1"/>
  <c r="CO214" a="1"/>
  <c r="CO214" s="1"/>
  <c r="CO215" a="1"/>
  <c r="CO215" s="1"/>
  <c r="CO216" a="1"/>
  <c r="CO216" s="1"/>
  <c r="CO217" a="1"/>
  <c r="CO217" s="1"/>
  <c r="CO218" a="1"/>
  <c r="CO218" s="1"/>
  <c r="CO219" a="1"/>
  <c r="CO219" s="1"/>
  <c r="CO220" a="1"/>
  <c r="CO220" s="1"/>
  <c r="CO221" a="1"/>
  <c r="CO221" s="1"/>
  <c r="CO222" a="1"/>
  <c r="CO222" s="1"/>
  <c r="CO223" a="1"/>
  <c r="CO223" s="1"/>
  <c r="CO224" a="1"/>
  <c r="CO224" s="1"/>
  <c r="CO225" a="1"/>
  <c r="CO225" s="1"/>
  <c r="CO226" a="1"/>
  <c r="CO226" s="1"/>
  <c r="CO227" a="1"/>
  <c r="CO227" s="1"/>
  <c r="CO229" a="1"/>
  <c r="CO229" s="1"/>
  <c r="CO232" a="1"/>
  <c r="CO232" s="1"/>
  <c r="CO234" a="1"/>
  <c r="CO234" s="1"/>
  <c r="CO235" a="1"/>
  <c r="CO235" s="1"/>
  <c r="CO236" a="1"/>
  <c r="CO236" s="1"/>
  <c r="CO237" a="1"/>
  <c r="CO237" s="1"/>
  <c r="CO238" a="1"/>
  <c r="CO238" s="1"/>
  <c r="CO239" a="1"/>
  <c r="CO239" s="1"/>
  <c r="CO240" a="1"/>
  <c r="CO240" s="1"/>
  <c r="CO241" a="1"/>
  <c r="CO241" s="1"/>
  <c r="CO242" a="1"/>
  <c r="CO242" s="1"/>
  <c r="CO243" a="1"/>
  <c r="CO243" s="1"/>
  <c r="CO244" a="1"/>
  <c r="CO244" s="1"/>
  <c r="CO245" a="1"/>
  <c r="CO245" s="1"/>
  <c r="CO246" a="1"/>
  <c r="CO246" s="1"/>
  <c r="CO247" a="1"/>
  <c r="CO247" s="1"/>
  <c r="CO248" a="1"/>
  <c r="CO248" s="1"/>
  <c r="CO249" a="1"/>
  <c r="CO249" s="1"/>
  <c r="CO250" a="1"/>
  <c r="CO250" s="1"/>
  <c r="CO251" a="1"/>
  <c r="CO251" s="1"/>
  <c r="CO252" a="1"/>
  <c r="CO252" s="1"/>
  <c r="CO253" a="1"/>
  <c r="CO253" s="1"/>
  <c r="CO254" a="1"/>
  <c r="CO254" s="1"/>
  <c r="CO255" a="1"/>
  <c r="CO255" s="1"/>
  <c r="CO256" a="1"/>
  <c r="CO256" s="1"/>
  <c r="CO257" a="1"/>
  <c r="CO257" s="1"/>
  <c r="CO258" a="1"/>
  <c r="CO258" s="1"/>
  <c r="CO259" a="1"/>
  <c r="CO259" s="1"/>
  <c r="CO260" a="1"/>
  <c r="CO260" s="1"/>
  <c r="CO261" a="1"/>
  <c r="CO261" s="1"/>
  <c r="CO262" a="1"/>
  <c r="CO262" s="1"/>
  <c r="CO263" a="1"/>
  <c r="CO263" s="1"/>
  <c r="CO272" a="1"/>
  <c r="CO272" s="1"/>
  <c r="CO274" a="1"/>
  <c r="CO274" s="1"/>
  <c r="CO276" a="1"/>
  <c r="CO276" s="1"/>
  <c r="CO277" a="1"/>
  <c r="CO277" s="1"/>
  <c r="CO313" a="1"/>
  <c r="CO313" s="1"/>
  <c r="CO314" a="1"/>
  <c r="CO314" s="1"/>
  <c r="CO325" a="1"/>
  <c r="CO325" s="1"/>
  <c r="CO326" a="1"/>
  <c r="CO326" s="1"/>
  <c r="CO332" a="1"/>
  <c r="CO332" s="1"/>
  <c r="CO333" a="1"/>
  <c r="CO333" s="1"/>
  <c r="CO334" a="1"/>
  <c r="CO334" s="1"/>
  <c r="CO335" a="1"/>
  <c r="CO335" s="1"/>
  <c r="CO339" a="1"/>
  <c r="CO339" s="1"/>
  <c r="CO340" a="1"/>
  <c r="CO340" s="1"/>
  <c r="CO345" a="1"/>
  <c r="CO345" s="1"/>
  <c r="CO382" a="1"/>
  <c r="CO382" s="1"/>
  <c r="CO384" a="1"/>
  <c r="CO384" s="1"/>
  <c r="CO385" a="1"/>
  <c r="CO385" s="1"/>
  <c r="CO390" a="1"/>
  <c r="CO390" s="1"/>
  <c r="CO391" a="1"/>
  <c r="CO391" s="1"/>
  <c r="CO392" a="1"/>
  <c r="CO392" s="1"/>
  <c r="CO13" a="1"/>
  <c r="CO13" s="1"/>
  <c r="CO14" a="1"/>
  <c r="CO14" s="1"/>
  <c r="CO15" a="1"/>
  <c r="CO15" s="1"/>
  <c r="CO56" a="1"/>
  <c r="CO56" s="1"/>
  <c r="CO59" a="1"/>
  <c r="CO59" s="1"/>
  <c r="CO60" a="1"/>
  <c r="CO60" s="1"/>
  <c r="CO68" a="1"/>
  <c r="CO68" s="1"/>
  <c r="CO97" a="1"/>
  <c r="CO97" s="1"/>
  <c r="CO98" a="1"/>
  <c r="CO98" s="1"/>
  <c r="CO99" a="1"/>
  <c r="CO99" s="1"/>
  <c r="CO100" a="1"/>
  <c r="CO100" s="1"/>
  <c r="CO102" a="1"/>
  <c r="CO102" s="1"/>
  <c r="CO103" a="1"/>
  <c r="CO103" s="1"/>
  <c r="CO106" a="1"/>
  <c r="CO106" s="1"/>
  <c r="CO107" a="1"/>
  <c r="CO107" s="1"/>
  <c r="CO108" a="1"/>
  <c r="CO108" s="1"/>
  <c r="CO114" a="1"/>
  <c r="CO114" s="1"/>
  <c r="CO121" a="1"/>
  <c r="CO121" s="1"/>
  <c r="CO123" a="1"/>
  <c r="CO123" s="1"/>
  <c r="CO137" a="1"/>
  <c r="CO137" s="1"/>
  <c r="CO138" a="1"/>
  <c r="CO138" s="1"/>
  <c r="CO139" a="1"/>
  <c r="CO139" s="1"/>
  <c r="CO141" a="1"/>
  <c r="CO141" s="1"/>
  <c r="CO147" a="1"/>
  <c r="CO147" s="1"/>
  <c r="CO151" a="1"/>
  <c r="CO151" s="1"/>
  <c r="CO152" a="1"/>
  <c r="CO152" s="1"/>
  <c r="CO153" a="1"/>
  <c r="CO153" s="1"/>
  <c r="CO154" a="1"/>
  <c r="CO154" s="1"/>
  <c r="CO155" a="1"/>
  <c r="CO155" s="1"/>
  <c r="CO267" a="1"/>
  <c r="CO267" s="1"/>
  <c r="CO268" a="1"/>
  <c r="CO268" s="1"/>
  <c r="CO282" a="1"/>
  <c r="CO282" s="1"/>
  <c r="CO283" a="1"/>
  <c r="CO283" s="1"/>
  <c r="CO284" a="1"/>
  <c r="CO284" s="1"/>
  <c r="CO285" a="1"/>
  <c r="CO285" s="1"/>
  <c r="CO286" a="1"/>
  <c r="CO286" s="1"/>
  <c r="CO296" a="1"/>
  <c r="CO296" s="1"/>
  <c r="CO304" a="1"/>
  <c r="CO304" s="1"/>
  <c r="CO305" a="1"/>
  <c r="CO305" s="1"/>
  <c r="CO306" a="1"/>
  <c r="CO306" s="1"/>
  <c r="CO312" a="1"/>
  <c r="CO312" s="1"/>
  <c r="CO319" a="1"/>
  <c r="CO319" s="1"/>
  <c r="CO19" a="1"/>
  <c r="CO19" s="1"/>
  <c r="CO20" a="1"/>
  <c r="CO20" s="1"/>
  <c r="CO21" a="1"/>
  <c r="CO21" s="1"/>
  <c r="CO22" a="1"/>
  <c r="CO22" s="1"/>
  <c r="CO23" a="1"/>
  <c r="CO23" s="1"/>
  <c r="CO24" a="1"/>
  <c r="CO24" s="1"/>
  <c r="CO25" a="1"/>
  <c r="CO25" s="1"/>
  <c r="CO26" a="1"/>
  <c r="CO26" s="1"/>
  <c r="CO27" a="1"/>
  <c r="CO27" s="1"/>
  <c r="CO28" a="1"/>
  <c r="CO28" s="1"/>
  <c r="CO29" a="1"/>
  <c r="CO29" s="1"/>
  <c r="CO30" a="1"/>
  <c r="CO30" s="1"/>
  <c r="CO31" a="1"/>
  <c r="CO31" s="1"/>
  <c r="CO33" a="1"/>
  <c r="CO33" s="1"/>
  <c r="CO34" a="1"/>
  <c r="CO34" s="1"/>
  <c r="CO35" a="1"/>
  <c r="CO35" s="1"/>
  <c r="CO36" a="1"/>
  <c r="CO36" s="1"/>
  <c r="CO37" a="1"/>
  <c r="CO37" s="1"/>
  <c r="CO38" a="1"/>
  <c r="CO38" s="1"/>
  <c r="CO39" a="1"/>
  <c r="CO39" s="1"/>
  <c r="CO40" a="1"/>
  <c r="CO40" s="1"/>
  <c r="CO41" a="1"/>
  <c r="CO41" s="1"/>
  <c r="CO42" a="1"/>
  <c r="CO42" s="1"/>
  <c r="CO43" a="1"/>
  <c r="CO43" s="1"/>
  <c r="CO44" a="1"/>
  <c r="CO44" s="1"/>
  <c r="CO45" a="1"/>
  <c r="CO45" s="1"/>
  <c r="CO46" a="1"/>
  <c r="CO46" s="1"/>
  <c r="CO48" a="1"/>
  <c r="CO48" s="1"/>
  <c r="CO49" a="1"/>
  <c r="CO49" s="1"/>
  <c r="CO50" a="1"/>
  <c r="CO50" s="1"/>
  <c r="CO51" a="1"/>
  <c r="CO51" s="1"/>
  <c r="CO52" a="1"/>
  <c r="CO52" s="1"/>
  <c r="CO53" a="1"/>
  <c r="CO53" s="1"/>
  <c r="CO54" a="1"/>
  <c r="CO54" s="1"/>
  <c r="CO55" a="1"/>
  <c r="CO55" s="1"/>
  <c r="CO58" a="1"/>
  <c r="CO58" s="1"/>
  <c r="CO61" a="1"/>
  <c r="CO61" s="1"/>
  <c r="CO63" a="1"/>
  <c r="CO63" s="1"/>
  <c r="CO64" a="1"/>
  <c r="CO64" s="1"/>
  <c r="CO65" a="1"/>
  <c r="CO65" s="1"/>
  <c r="CO66" a="1"/>
  <c r="CO66" s="1"/>
  <c r="CO67" a="1"/>
  <c r="CO67" s="1"/>
  <c r="CO76" a="1"/>
  <c r="CO76" s="1"/>
  <c r="CO77" a="1"/>
  <c r="CO77" s="1"/>
  <c r="CO78" a="1"/>
  <c r="CO78" s="1"/>
  <c r="CO104" a="1"/>
  <c r="CO104" s="1"/>
  <c r="CO105" a="1"/>
  <c r="CO105" s="1"/>
  <c r="CO109" a="1"/>
  <c r="CO109" s="1"/>
  <c r="CO110" a="1"/>
  <c r="CO110" s="1"/>
  <c r="CO112" a="1"/>
  <c r="CO112" s="1"/>
  <c r="CO113" a="1"/>
  <c r="CO113" s="1"/>
  <c r="CO115" a="1"/>
  <c r="CO115" s="1"/>
  <c r="CO117" a="1"/>
  <c r="CO117" s="1"/>
  <c r="CO118" a="1"/>
  <c r="CO118" s="1"/>
  <c r="CO119" a="1"/>
  <c r="CO119" s="1"/>
  <c r="CO120" a="1"/>
  <c r="CO120" s="1"/>
  <c r="CO125" a="1"/>
  <c r="CO125" s="1"/>
  <c r="CO126" a="1"/>
  <c r="CO126" s="1"/>
  <c r="CO157" a="1"/>
  <c r="CO157" s="1"/>
  <c r="CO264" a="1"/>
  <c r="CO264" s="1"/>
  <c r="CO265" a="1"/>
  <c r="CO265" s="1"/>
  <c r="CO266" a="1"/>
  <c r="CO266" s="1"/>
  <c r="CO269" a="1"/>
  <c r="CO269" s="1"/>
  <c r="CO270" a="1"/>
  <c r="CO270" s="1"/>
  <c r="CO271" a="1"/>
  <c r="CO271" s="1"/>
  <c r="CO275" a="1"/>
  <c r="CO275" s="1"/>
  <c r="CO278" a="1"/>
  <c r="CO278" s="1"/>
  <c r="CO279" a="1"/>
  <c r="CO279" s="1"/>
  <c r="CO280" a="1"/>
  <c r="CO280" s="1"/>
  <c r="CO281" a="1"/>
  <c r="CO281" s="1"/>
  <c r="CO287" a="1"/>
  <c r="CO287" s="1"/>
  <c r="CO288" a="1"/>
  <c r="CO288" s="1"/>
  <c r="CO289" a="1"/>
  <c r="CO289" s="1"/>
  <c r="CO290" a="1"/>
  <c r="CO290" s="1"/>
  <c r="CO291" a="1"/>
  <c r="CO291" s="1"/>
  <c r="CO292" a="1"/>
  <c r="CO292" s="1"/>
  <c r="CO293" a="1"/>
  <c r="CO293" s="1"/>
  <c r="CO294" a="1"/>
  <c r="CO294" s="1"/>
  <c r="CO295" a="1"/>
  <c r="CO295" s="1"/>
  <c r="CO297" a="1"/>
  <c r="CO297" s="1"/>
  <c r="CO298" a="1"/>
  <c r="CO298" s="1"/>
  <c r="CO299" a="1"/>
  <c r="CO299" s="1"/>
  <c r="CO300" a="1"/>
  <c r="CO300" s="1"/>
  <c r="CO301" a="1"/>
  <c r="CO301" s="1"/>
  <c r="CO302" a="1"/>
  <c r="CO302" s="1"/>
  <c r="CO303" a="1"/>
  <c r="CO303" s="1"/>
  <c r="CO307" a="1"/>
  <c r="CO307" s="1"/>
  <c r="CO308" a="1"/>
  <c r="CO308" s="1"/>
  <c r="CO309" a="1"/>
  <c r="CO309" s="1"/>
  <c r="CO310" a="1"/>
  <c r="CO310" s="1"/>
  <c r="CO311" a="1"/>
  <c r="CO311" s="1"/>
  <c r="CO315" a="1"/>
  <c r="CO315" s="1"/>
  <c r="CO316" a="1"/>
  <c r="CO316" s="1"/>
  <c r="CO317" a="1"/>
  <c r="CO317" s="1"/>
  <c r="CO321" a="1"/>
  <c r="CO321" s="1"/>
  <c r="CO322" a="1"/>
  <c r="CO322" s="1"/>
  <c r="CO323" a="1"/>
  <c r="CO323" s="1"/>
  <c r="CO324" a="1"/>
  <c r="CO324" s="1"/>
  <c r="CO327" a="1"/>
  <c r="CO327" s="1"/>
  <c r="CO328" a="1"/>
  <c r="CO328" s="1"/>
  <c r="CO329" a="1"/>
  <c r="CO329" s="1"/>
  <c r="CO330" a="1"/>
  <c r="CO330" s="1"/>
  <c r="CO331" a="1"/>
  <c r="CO331" s="1"/>
  <c r="CO337" a="1"/>
  <c r="CO337" s="1"/>
  <c r="CO338" a="1"/>
  <c r="CO338" s="1"/>
  <c r="CO341" a="1"/>
  <c r="CO341" s="1"/>
  <c r="CO342" a="1"/>
  <c r="CO342" s="1"/>
  <c r="CO343" a="1"/>
  <c r="CO343" s="1"/>
  <c r="CO344" a="1"/>
  <c r="CO344" s="1"/>
  <c r="CO346" a="1"/>
  <c r="CO346" s="1"/>
  <c r="CO348" a="1"/>
  <c r="CO348" s="1"/>
  <c r="CO349" a="1"/>
  <c r="CO349" s="1"/>
  <c r="CO350" a="1"/>
  <c r="CO350" s="1"/>
  <c r="CO353" a="1"/>
  <c r="CO353" s="1"/>
  <c r="CO355" a="1"/>
  <c r="CO355" s="1"/>
  <c r="CO356" a="1"/>
  <c r="CO356" s="1"/>
  <c r="CO357" a="1"/>
  <c r="CO357" s="1"/>
  <c r="CO358" a="1"/>
  <c r="CO358" s="1"/>
  <c r="CO359" a="1"/>
  <c r="CO359" s="1"/>
  <c r="CO360" a="1"/>
  <c r="CO360" s="1"/>
  <c r="CO361" a="1"/>
  <c r="CO361" s="1"/>
  <c r="CO362" a="1"/>
  <c r="CO362" s="1"/>
  <c r="CO363" a="1"/>
  <c r="CO363" s="1"/>
  <c r="CO364" a="1"/>
  <c r="CO364" s="1"/>
  <c r="CO365" a="1"/>
  <c r="CO365" s="1"/>
  <c r="CO366" a="1"/>
  <c r="CO366" s="1"/>
  <c r="CO367" a="1"/>
  <c r="CO367" s="1"/>
  <c r="CO368" a="1"/>
  <c r="CO368" s="1"/>
  <c r="CO369" a="1"/>
  <c r="CO369" s="1"/>
  <c r="CO370" a="1"/>
  <c r="CO370" s="1"/>
  <c r="CO371" a="1"/>
  <c r="CO371" s="1"/>
  <c r="CO373" a="1"/>
  <c r="CO373" s="1"/>
  <c r="CO374" a="1"/>
  <c r="CO374" s="1"/>
  <c r="CO375" a="1"/>
  <c r="CO375" s="1"/>
  <c r="CO376" a="1"/>
  <c r="CO376" s="1"/>
  <c r="CO377" a="1"/>
  <c r="CO377" s="1"/>
  <c r="CO378" a="1"/>
  <c r="CO378" s="1"/>
  <c r="CO379" a="1"/>
  <c r="CO379" s="1"/>
  <c r="CO380" a="1"/>
  <c r="CO380" s="1"/>
  <c r="CO381" a="1"/>
  <c r="CO381" s="1"/>
  <c r="CO388" a="1"/>
  <c r="CO388" s="1"/>
  <c r="CO389" a="1"/>
  <c r="CO389" s="1"/>
  <c r="CO393" a="1"/>
  <c r="CO393" s="1"/>
  <c r="CO394" a="1"/>
  <c r="CO394" s="1"/>
  <c r="CO395" a="1"/>
  <c r="CO395" s="1"/>
  <c r="CO396" a="1"/>
  <c r="CO396" s="1"/>
  <c r="CO397" a="1"/>
  <c r="CO397" s="1"/>
  <c r="CO398" a="1"/>
  <c r="CO398" s="1"/>
  <c r="CO399" a="1"/>
  <c r="CO399" s="1"/>
  <c r="CO400" a="1"/>
  <c r="CO400" s="1"/>
  <c r="BY3" a="1"/>
  <c r="BY3" s="1"/>
  <c r="BY4" a="1"/>
  <c r="BY4" s="1"/>
  <c r="BY5" a="1"/>
  <c r="BY5" s="1"/>
  <c r="BY6" a="1"/>
  <c r="BY6" s="1"/>
  <c r="BY7" a="1"/>
  <c r="BY7" s="1"/>
  <c r="BY8" a="1"/>
  <c r="BY8" s="1"/>
  <c r="BY9" a="1"/>
  <c r="BY9" s="1"/>
  <c r="BY10" a="1"/>
  <c r="BY10" s="1"/>
  <c r="BY11" a="1"/>
  <c r="BY11" s="1"/>
  <c r="BY12" a="1"/>
  <c r="BY12" s="1"/>
  <c r="BY16" a="1"/>
  <c r="BY16" s="1"/>
  <c r="BY17" a="1"/>
  <c r="BY17" s="1"/>
  <c r="BY47" a="1"/>
  <c r="BY47" s="1"/>
  <c r="BY70" a="1"/>
  <c r="BY70" s="1"/>
  <c r="BY79" a="1"/>
  <c r="BY79" s="1"/>
  <c r="BY80" a="1"/>
  <c r="BY80" s="1"/>
  <c r="BY81" a="1"/>
  <c r="BY81" s="1"/>
  <c r="BY84" a="1"/>
  <c r="BY84" s="1"/>
  <c r="BY86" a="1"/>
  <c r="BY86" s="1"/>
  <c r="BY87" a="1"/>
  <c r="BY87" s="1"/>
  <c r="BY88" a="1"/>
  <c r="BY88" s="1"/>
  <c r="BY89" a="1"/>
  <c r="BY89" s="1"/>
  <c r="BY90" a="1"/>
  <c r="BY90" s="1"/>
  <c r="BY91" a="1"/>
  <c r="BY91" s="1"/>
  <c r="BY93" a="1"/>
  <c r="BY93" s="1"/>
  <c r="BY94" a="1"/>
  <c r="BY94" s="1"/>
  <c r="BY95" a="1"/>
  <c r="BY95" s="1"/>
  <c r="BY96" a="1"/>
  <c r="BY96" s="1"/>
  <c r="BY111" a="1"/>
  <c r="BY111" s="1"/>
  <c r="BY122" a="1"/>
  <c r="BY122" s="1"/>
  <c r="BY129" a="1"/>
  <c r="BY129" s="1"/>
  <c r="BY128" a="1"/>
  <c r="BY128" s="1"/>
  <c r="BY131" a="1"/>
  <c r="BY131" s="1"/>
  <c r="BY132" a="1"/>
  <c r="BY132" s="1"/>
  <c r="BY133" a="1"/>
  <c r="BY133" s="1"/>
  <c r="BY134" a="1"/>
  <c r="BY134" s="1"/>
  <c r="BY135" a="1"/>
  <c r="BY135" s="1"/>
  <c r="BY136" a="1"/>
  <c r="BY136" s="1"/>
  <c r="BY145" a="1"/>
  <c r="BY145" s="1"/>
  <c r="BY146" a="1"/>
  <c r="BY146" s="1"/>
  <c r="BY148" a="1"/>
  <c r="BY148" s="1"/>
  <c r="BY149" a="1"/>
  <c r="BY149" s="1"/>
  <c r="BY150" a="1"/>
  <c r="BY150" s="1"/>
  <c r="BY156" a="1"/>
  <c r="BY156" s="1"/>
  <c r="BY161" a="1"/>
  <c r="BY161" s="1"/>
  <c r="BY162" a="1"/>
  <c r="BY162" s="1"/>
  <c r="BY163" a="1"/>
  <c r="BY163" s="1"/>
  <c r="BY164" a="1"/>
  <c r="BY164" s="1"/>
  <c r="BY165" a="1"/>
  <c r="BY165" s="1"/>
  <c r="BY166" a="1"/>
  <c r="BY166" s="1"/>
  <c r="BY167" a="1"/>
  <c r="BY167" s="1"/>
  <c r="BY168" a="1"/>
  <c r="BY168" s="1"/>
  <c r="BY169" a="1"/>
  <c r="BY169" s="1"/>
  <c r="BY170" a="1"/>
  <c r="BY170" s="1"/>
  <c r="BY171" a="1"/>
  <c r="BY171" s="1"/>
  <c r="BY172" a="1"/>
  <c r="BY172" s="1"/>
  <c r="BY173" a="1"/>
  <c r="BY173" s="1"/>
  <c r="BY174" a="1"/>
  <c r="BY174" s="1"/>
  <c r="BY175" a="1"/>
  <c r="BY175" s="1"/>
  <c r="BY176" a="1"/>
  <c r="BY176" s="1"/>
  <c r="BY177" a="1"/>
  <c r="BY177" s="1"/>
  <c r="BY178" a="1"/>
  <c r="BY178" s="1"/>
  <c r="BY179" a="1"/>
  <c r="BY179" s="1"/>
  <c r="BY180" a="1"/>
  <c r="BY180" s="1"/>
  <c r="BY181" a="1"/>
  <c r="BY181" s="1"/>
  <c r="BY187" a="1"/>
  <c r="BY187" s="1"/>
  <c r="BY188" a="1"/>
  <c r="BY188" s="1"/>
  <c r="BY189" a="1"/>
  <c r="BY189" s="1"/>
  <c r="BY190" a="1"/>
  <c r="BY190" s="1"/>
  <c r="BY191" a="1"/>
  <c r="BY191" s="1"/>
  <c r="BY192" a="1"/>
  <c r="BY192" s="1"/>
  <c r="BY193" a="1"/>
  <c r="BY193" s="1"/>
  <c r="BY194" a="1"/>
  <c r="BY194" s="1"/>
  <c r="BY195" a="1"/>
  <c r="BY195" s="1"/>
  <c r="BY196" a="1"/>
  <c r="BY196" s="1"/>
  <c r="BY197" a="1"/>
  <c r="BY197" s="1"/>
  <c r="BY198" a="1"/>
  <c r="BY198" s="1"/>
  <c r="BY199" a="1"/>
  <c r="BY199" s="1"/>
  <c r="BY200" a="1"/>
  <c r="BY200" s="1"/>
  <c r="BY201" a="1"/>
  <c r="BY201" s="1"/>
  <c r="BY202" a="1"/>
  <c r="BY202" s="1"/>
  <c r="BY203" a="1"/>
  <c r="BY203" s="1"/>
  <c r="BY204" a="1"/>
  <c r="BY204" s="1"/>
  <c r="BY205" a="1"/>
  <c r="BY205" s="1"/>
  <c r="BY206" a="1"/>
  <c r="BY206" s="1"/>
  <c r="BY209" a="1"/>
  <c r="BY209" s="1"/>
  <c r="BY210" a="1"/>
  <c r="BY210" s="1"/>
  <c r="BY211" a="1"/>
  <c r="BY211" s="1"/>
  <c r="BY212" a="1"/>
  <c r="BY212" s="1"/>
  <c r="BY213" a="1"/>
  <c r="BY213" s="1"/>
  <c r="BY214" a="1"/>
  <c r="BY214" s="1"/>
  <c r="BY215" a="1"/>
  <c r="BY215" s="1"/>
  <c r="BY216" a="1"/>
  <c r="BY216" s="1"/>
  <c r="BY217" a="1"/>
  <c r="BY217" s="1"/>
  <c r="BY218" a="1"/>
  <c r="BY218" s="1"/>
  <c r="BY219" a="1"/>
  <c r="BY219" s="1"/>
  <c r="BY220" a="1"/>
  <c r="BY220" s="1"/>
  <c r="BY221" a="1"/>
  <c r="BY221" s="1"/>
  <c r="BY222" a="1"/>
  <c r="BY222" s="1"/>
  <c r="BY223" a="1"/>
  <c r="BY223" s="1"/>
  <c r="BY224" a="1"/>
  <c r="BY224" s="1"/>
  <c r="BY225" a="1"/>
  <c r="BY225" s="1"/>
  <c r="BY226" a="1"/>
  <c r="BY226" s="1"/>
  <c r="BY227" a="1"/>
  <c r="BY227" s="1"/>
  <c r="BY229" a="1"/>
  <c r="BY229" s="1"/>
  <c r="BY232" a="1"/>
  <c r="BY232" s="1"/>
  <c r="BY234" a="1"/>
  <c r="BY234" s="1"/>
  <c r="BY235" a="1"/>
  <c r="BY235" s="1"/>
  <c r="BY236" a="1"/>
  <c r="BY236" s="1"/>
  <c r="BY237" a="1"/>
  <c r="BY237" s="1"/>
  <c r="BY238" a="1"/>
  <c r="BY238" s="1"/>
  <c r="BY239" a="1"/>
  <c r="BY239" s="1"/>
  <c r="BY240" a="1"/>
  <c r="BY240" s="1"/>
  <c r="BY241" a="1"/>
  <c r="BY241" s="1"/>
  <c r="BY242" a="1"/>
  <c r="BY242" s="1"/>
  <c r="BY243" a="1"/>
  <c r="BY243" s="1"/>
  <c r="BY244" a="1"/>
  <c r="BY244" s="1"/>
  <c r="BY245" a="1"/>
  <c r="BY245" s="1"/>
  <c r="BY246" a="1"/>
  <c r="BY246" s="1"/>
  <c r="BY247" a="1"/>
  <c r="BY247" s="1"/>
  <c r="BY248" a="1"/>
  <c r="BY248" s="1"/>
  <c r="BY249" a="1"/>
  <c r="BY249" s="1"/>
  <c r="BY250" a="1"/>
  <c r="BY250" s="1"/>
  <c r="BY251" a="1"/>
  <c r="BY251" s="1"/>
  <c r="BY252" a="1"/>
  <c r="BY252" s="1"/>
  <c r="BY253" a="1"/>
  <c r="BY253" s="1"/>
  <c r="BY254" a="1"/>
  <c r="BY254" s="1"/>
  <c r="BY255" a="1"/>
  <c r="BY255" s="1"/>
  <c r="BY256" a="1"/>
  <c r="BY256" s="1"/>
  <c r="BY257" a="1"/>
  <c r="BY257" s="1"/>
  <c r="BY258" a="1"/>
  <c r="BY258" s="1"/>
  <c r="BY259" a="1"/>
  <c r="BY259" s="1"/>
  <c r="BY260" a="1"/>
  <c r="BY260" s="1"/>
  <c r="BY261" a="1"/>
  <c r="BY261" s="1"/>
  <c r="BY262" a="1"/>
  <c r="BY262" s="1"/>
  <c r="BY263" a="1"/>
  <c r="BY263" s="1"/>
  <c r="BY272" a="1"/>
  <c r="BY272" s="1"/>
  <c r="BY274" a="1"/>
  <c r="BY274" s="1"/>
  <c r="BY276" a="1"/>
  <c r="BY276" s="1"/>
  <c r="BY277" a="1"/>
  <c r="BY277" s="1"/>
  <c r="BY313" a="1"/>
  <c r="BY313" s="1"/>
  <c r="BY314" a="1"/>
  <c r="BY314" s="1"/>
  <c r="BY325" a="1"/>
  <c r="BY325" s="1"/>
  <c r="BY326" a="1"/>
  <c r="BY326" s="1"/>
  <c r="BY332" a="1"/>
  <c r="BY332" s="1"/>
  <c r="BY333" a="1"/>
  <c r="BY333" s="1"/>
  <c r="BY334" a="1"/>
  <c r="BY334" s="1"/>
  <c r="BY335" a="1"/>
  <c r="BY335" s="1"/>
  <c r="BY339" a="1"/>
  <c r="BY339" s="1"/>
  <c r="BY340" a="1"/>
  <c r="BY340" s="1"/>
  <c r="BY345" a="1"/>
  <c r="BY345" s="1"/>
  <c r="BY382" a="1"/>
  <c r="BY382" s="1"/>
  <c r="BY384" a="1"/>
  <c r="BY384" s="1"/>
  <c r="BY385" a="1"/>
  <c r="BY385" s="1"/>
  <c r="BY390" a="1"/>
  <c r="BY390" s="1"/>
  <c r="BY391" a="1"/>
  <c r="BY391" s="1"/>
  <c r="BY392" a="1"/>
  <c r="BY392" s="1"/>
  <c r="BY13" a="1"/>
  <c r="BY13" s="1"/>
  <c r="BY14" a="1"/>
  <c r="BY14" s="1"/>
  <c r="BY15" a="1"/>
  <c r="BY15" s="1"/>
  <c r="BY56" a="1"/>
  <c r="BY56" s="1"/>
  <c r="BY59" a="1"/>
  <c r="BY59" s="1"/>
  <c r="BY60" a="1"/>
  <c r="BY60" s="1"/>
  <c r="BY68" a="1"/>
  <c r="BY68" s="1"/>
  <c r="BY97" a="1"/>
  <c r="BY97" s="1"/>
  <c r="BY98" a="1"/>
  <c r="BY98" s="1"/>
  <c r="BY99" a="1"/>
  <c r="BY99" s="1"/>
  <c r="BY100" a="1"/>
  <c r="BY100" s="1"/>
  <c r="BY102" a="1"/>
  <c r="BY102" s="1"/>
  <c r="BY103" a="1"/>
  <c r="BY103" s="1"/>
  <c r="BY106" a="1"/>
  <c r="BY106" s="1"/>
  <c r="BY107" a="1"/>
  <c r="BY107" s="1"/>
  <c r="BY108" a="1"/>
  <c r="BY108" s="1"/>
  <c r="BY114" a="1"/>
  <c r="BY114" s="1"/>
  <c r="BY121" a="1"/>
  <c r="BY121" s="1"/>
  <c r="BY123" a="1"/>
  <c r="BY123" s="1"/>
  <c r="BY137" a="1"/>
  <c r="BY137" s="1"/>
  <c r="BY138" a="1"/>
  <c r="BY138" s="1"/>
  <c r="BY139" a="1"/>
  <c r="BY139" s="1"/>
  <c r="BY141" a="1"/>
  <c r="BY141" s="1"/>
  <c r="BY147" a="1"/>
  <c r="BY147" s="1"/>
  <c r="BY151" a="1"/>
  <c r="BY151" s="1"/>
  <c r="BY152" a="1"/>
  <c r="BY152" s="1"/>
  <c r="BY153" a="1"/>
  <c r="BY153" s="1"/>
  <c r="BY154" a="1"/>
  <c r="BY154" s="1"/>
  <c r="BY155" a="1"/>
  <c r="BY155" s="1"/>
  <c r="BY267" a="1"/>
  <c r="BY267" s="1"/>
  <c r="BY268" a="1"/>
  <c r="BY268" s="1"/>
  <c r="BY282" a="1"/>
  <c r="BY282" s="1"/>
  <c r="BY283" a="1"/>
  <c r="BY283" s="1"/>
  <c r="BY284" a="1"/>
  <c r="BY284" s="1"/>
  <c r="BY285" a="1"/>
  <c r="BY285" s="1"/>
  <c r="BY286" a="1"/>
  <c r="BY286" s="1"/>
  <c r="BY296" a="1"/>
  <c r="BY296" s="1"/>
  <c r="BY304" a="1"/>
  <c r="BY304" s="1"/>
  <c r="BY305" a="1"/>
  <c r="BY305" s="1"/>
  <c r="BY306" a="1"/>
  <c r="BY306" s="1"/>
  <c r="BY312" a="1"/>
  <c r="BY312" s="1"/>
  <c r="BY319" a="1"/>
  <c r="BY319" s="1"/>
  <c r="BY19" a="1"/>
  <c r="BY19" s="1"/>
  <c r="BY20" a="1"/>
  <c r="BY20" s="1"/>
  <c r="BY21" a="1"/>
  <c r="BY21" s="1"/>
  <c r="BY22" a="1"/>
  <c r="BY22" s="1"/>
  <c r="BY23" a="1"/>
  <c r="BY23" s="1"/>
  <c r="BY24" a="1"/>
  <c r="BY24" s="1"/>
  <c r="BY25" a="1"/>
  <c r="BY25" s="1"/>
  <c r="BY26" a="1"/>
  <c r="BY26" s="1"/>
  <c r="BY27" a="1"/>
  <c r="BY27" s="1"/>
  <c r="BY28" a="1"/>
  <c r="BY28" s="1"/>
  <c r="BY29" a="1"/>
  <c r="BY29" s="1"/>
  <c r="BY30" a="1"/>
  <c r="BY30" s="1"/>
  <c r="BY31" a="1"/>
  <c r="BY31" s="1"/>
  <c r="BY33" a="1"/>
  <c r="BY33" s="1"/>
  <c r="BY34" a="1"/>
  <c r="BY34" s="1"/>
  <c r="BY35" a="1"/>
  <c r="BY35" s="1"/>
  <c r="BY36" a="1"/>
  <c r="BY36" s="1"/>
  <c r="BY37" a="1"/>
  <c r="BY37" s="1"/>
  <c r="BY38" a="1"/>
  <c r="BY38" s="1"/>
  <c r="BY39" a="1"/>
  <c r="BY39" s="1"/>
  <c r="BY40" a="1"/>
  <c r="BY40" s="1"/>
  <c r="BY41" a="1"/>
  <c r="BY41" s="1"/>
  <c r="BY42" a="1"/>
  <c r="BY42" s="1"/>
  <c r="BY43" a="1"/>
  <c r="BY43" s="1"/>
  <c r="BY44" a="1"/>
  <c r="BY44" s="1"/>
  <c r="BY45" a="1"/>
  <c r="BY45" s="1"/>
  <c r="BY46" a="1"/>
  <c r="BY46" s="1"/>
  <c r="BY48" a="1"/>
  <c r="BY48" s="1"/>
  <c r="BY49" a="1"/>
  <c r="BY49" s="1"/>
  <c r="BY50" a="1"/>
  <c r="BY50" s="1"/>
  <c r="BY51" a="1"/>
  <c r="BY51" s="1"/>
  <c r="BY52" a="1"/>
  <c r="BY52" s="1"/>
  <c r="BY53" a="1"/>
  <c r="BY53" s="1"/>
  <c r="BY54" a="1"/>
  <c r="BY54" s="1"/>
  <c r="BY55" a="1"/>
  <c r="BY55" s="1"/>
  <c r="BY58" a="1"/>
  <c r="BY58" s="1"/>
  <c r="BY61" a="1"/>
  <c r="BY61" s="1"/>
  <c r="BY63" a="1"/>
  <c r="BY63" s="1"/>
  <c r="BY64" a="1"/>
  <c r="BY64" s="1"/>
  <c r="BY65" a="1"/>
  <c r="BY65" s="1"/>
  <c r="BY66" a="1"/>
  <c r="BY66" s="1"/>
  <c r="BY67" a="1"/>
  <c r="BY67" s="1"/>
  <c r="BY76" a="1"/>
  <c r="BY76" s="1"/>
  <c r="BY77" a="1"/>
  <c r="BY77" s="1"/>
  <c r="BY78" a="1"/>
  <c r="BY78" s="1"/>
  <c r="BY104" a="1"/>
  <c r="BY104" s="1"/>
  <c r="BY105" a="1"/>
  <c r="BY105" s="1"/>
  <c r="BY109" a="1"/>
  <c r="BY109" s="1"/>
  <c r="BY110" a="1"/>
  <c r="BY110" s="1"/>
  <c r="BY112" a="1"/>
  <c r="BY112" s="1"/>
  <c r="BY113" a="1"/>
  <c r="BY113" s="1"/>
  <c r="BY115" a="1"/>
  <c r="BY115" s="1"/>
  <c r="BY117" a="1"/>
  <c r="BY117" s="1"/>
  <c r="BY118" a="1"/>
  <c r="BY118" s="1"/>
  <c r="BY119" a="1"/>
  <c r="BY119" s="1"/>
  <c r="BY120" a="1"/>
  <c r="BY120" s="1"/>
  <c r="BY125" a="1"/>
  <c r="BY125" s="1"/>
  <c r="BY126" a="1"/>
  <c r="BY126" s="1"/>
  <c r="BY157" a="1"/>
  <c r="BY157" s="1"/>
  <c r="BY264" a="1"/>
  <c r="BY264" s="1"/>
  <c r="BY265" a="1"/>
  <c r="BY265" s="1"/>
  <c r="BY266" a="1"/>
  <c r="BY266" s="1"/>
  <c r="BY269" a="1"/>
  <c r="BY269" s="1"/>
  <c r="BY270" a="1"/>
  <c r="BY270" s="1"/>
  <c r="BY271" a="1"/>
  <c r="BY271" s="1"/>
  <c r="BY275" a="1"/>
  <c r="BY275" s="1"/>
  <c r="BY278" a="1"/>
  <c r="BY278" s="1"/>
  <c r="BY279" a="1"/>
  <c r="BY279" s="1"/>
  <c r="BY280" a="1"/>
  <c r="BY280" s="1"/>
  <c r="BY281" a="1"/>
  <c r="BY281" s="1"/>
  <c r="BY287" a="1"/>
  <c r="BY287" s="1"/>
  <c r="BY288" a="1"/>
  <c r="BY288" s="1"/>
  <c r="BY289" a="1"/>
  <c r="BY289" s="1"/>
  <c r="BY290" a="1"/>
  <c r="BY290" s="1"/>
  <c r="BY291" a="1"/>
  <c r="BY291" s="1"/>
  <c r="BY292" a="1"/>
  <c r="BY292" s="1"/>
  <c r="BY293" a="1"/>
  <c r="BY293" s="1"/>
  <c r="BY294" a="1"/>
  <c r="BY294" s="1"/>
  <c r="BY295" a="1"/>
  <c r="BY295" s="1"/>
  <c r="BY297" a="1"/>
  <c r="BY297" s="1"/>
  <c r="BY298" a="1"/>
  <c r="BY298" s="1"/>
  <c r="BY299" a="1"/>
  <c r="BY299" s="1"/>
  <c r="BY300" a="1"/>
  <c r="BY300" s="1"/>
  <c r="BY301" a="1"/>
  <c r="BY301" s="1"/>
  <c r="BY302" a="1"/>
  <c r="BY302" s="1"/>
  <c r="BY303" a="1"/>
  <c r="BY303" s="1"/>
  <c r="BY307" a="1"/>
  <c r="BY307" s="1"/>
  <c r="BY308" a="1"/>
  <c r="BY308" s="1"/>
  <c r="BY309" a="1"/>
  <c r="BY309" s="1"/>
  <c r="BY310" a="1"/>
  <c r="BY310" s="1"/>
  <c r="BY311" a="1"/>
  <c r="BY311" s="1"/>
  <c r="BY315" a="1"/>
  <c r="BY315" s="1"/>
  <c r="BY316" a="1"/>
  <c r="BY316" s="1"/>
  <c r="BY317" a="1"/>
  <c r="BY317" s="1"/>
  <c r="BY321" a="1"/>
  <c r="BY321" s="1"/>
  <c r="BY322" a="1"/>
  <c r="BY322" s="1"/>
  <c r="BY323" a="1"/>
  <c r="BY323" s="1"/>
  <c r="BY324" a="1"/>
  <c r="BY324" s="1"/>
  <c r="BY327" a="1"/>
  <c r="BY327" s="1"/>
  <c r="BY328" a="1"/>
  <c r="BY328" s="1"/>
  <c r="BY329" a="1"/>
  <c r="BY329" s="1"/>
  <c r="BY330" a="1"/>
  <c r="BY330" s="1"/>
  <c r="BY331" a="1"/>
  <c r="BY331" s="1"/>
  <c r="BY337" a="1"/>
  <c r="BY337" s="1"/>
  <c r="BY338" a="1"/>
  <c r="BY338" s="1"/>
  <c r="BY341" a="1"/>
  <c r="BY341" s="1"/>
  <c r="BY342" a="1"/>
  <c r="BY342" s="1"/>
  <c r="BY343" a="1"/>
  <c r="BY343" s="1"/>
  <c r="BY344" a="1"/>
  <c r="BY344" s="1"/>
  <c r="BY346" a="1"/>
  <c r="BY346" s="1"/>
  <c r="BY348" a="1"/>
  <c r="BY348" s="1"/>
  <c r="BY349" a="1"/>
  <c r="BY349" s="1"/>
  <c r="BY350" a="1"/>
  <c r="BY350" s="1"/>
  <c r="BY353" a="1"/>
  <c r="BY353" s="1"/>
  <c r="BY355" a="1"/>
  <c r="BY355" s="1"/>
  <c r="BY356" a="1"/>
  <c r="BY356" s="1"/>
  <c r="BY357" a="1"/>
  <c r="BY357" s="1"/>
  <c r="BY358" a="1"/>
  <c r="BY358" s="1"/>
  <c r="BY359" a="1"/>
  <c r="BY359" s="1"/>
  <c r="BY360" a="1"/>
  <c r="BY360" s="1"/>
  <c r="BY361" a="1"/>
  <c r="BY361" s="1"/>
  <c r="BY362" a="1"/>
  <c r="BY362" s="1"/>
  <c r="BY363" a="1"/>
  <c r="BY363" s="1"/>
  <c r="BY364" a="1"/>
  <c r="BY364" s="1"/>
  <c r="BY365" a="1"/>
  <c r="BY365" s="1"/>
  <c r="BY366" a="1"/>
  <c r="BY366" s="1"/>
  <c r="BY367" a="1"/>
  <c r="BY367" s="1"/>
  <c r="BY368" a="1"/>
  <c r="BY368" s="1"/>
  <c r="BY369" a="1"/>
  <c r="BY369" s="1"/>
  <c r="BY370" a="1"/>
  <c r="BY370" s="1"/>
  <c r="BY371" a="1"/>
  <c r="BY371" s="1"/>
  <c r="BY373" a="1"/>
  <c r="BY373" s="1"/>
  <c r="BY374" a="1"/>
  <c r="BY374" s="1"/>
  <c r="BY375" a="1"/>
  <c r="BY375" s="1"/>
  <c r="BY376" a="1"/>
  <c r="BY376" s="1"/>
  <c r="BY377" a="1"/>
  <c r="BY377" s="1"/>
  <c r="BY378" a="1"/>
  <c r="BY378" s="1"/>
  <c r="BY379" a="1"/>
  <c r="BY379" s="1"/>
  <c r="BY380" a="1"/>
  <c r="BY380" s="1"/>
  <c r="BY381" a="1"/>
  <c r="BY381" s="1"/>
  <c r="BY388" a="1"/>
  <c r="BY388" s="1"/>
  <c r="BY389" a="1"/>
  <c r="BY389" s="1"/>
  <c r="BY393" a="1"/>
  <c r="BY393" s="1"/>
  <c r="BY394" a="1"/>
  <c r="BY394" s="1"/>
  <c r="BY395" a="1"/>
  <c r="BY395" s="1"/>
  <c r="BY396" a="1"/>
  <c r="BY396" s="1"/>
  <c r="BY397" a="1"/>
  <c r="BY397" s="1"/>
  <c r="BY398" a="1"/>
  <c r="BY398" s="1"/>
  <c r="BY399" a="1"/>
  <c r="BY399" s="1"/>
  <c r="BY400" a="1"/>
  <c r="BY400" s="1"/>
  <c r="AC87" a="1"/>
  <c r="AC87" s="1"/>
  <c r="L87" s="1"/>
  <c r="AC84" a="1"/>
  <c r="AC84" s="1"/>
  <c r="L84" s="1"/>
  <c r="BJ3" a="1"/>
  <c r="BJ3" s="1"/>
  <c r="BJ4" a="1"/>
  <c r="BJ4" s="1"/>
  <c r="BJ5" a="1"/>
  <c r="BJ5" s="1"/>
  <c r="BJ6" a="1"/>
  <c r="BJ6" s="1"/>
  <c r="BJ7" a="1"/>
  <c r="BJ7" s="1"/>
  <c r="BJ8" a="1"/>
  <c r="BJ8" s="1"/>
  <c r="BJ9" a="1"/>
  <c r="BJ9" s="1"/>
  <c r="BJ10" a="1"/>
  <c r="BJ10" s="1"/>
  <c r="BJ11" a="1"/>
  <c r="BJ11" s="1"/>
  <c r="BJ12" a="1"/>
  <c r="BJ12" s="1"/>
  <c r="BJ16" a="1"/>
  <c r="BJ16" s="1"/>
  <c r="BJ17" a="1"/>
  <c r="BJ17" s="1"/>
  <c r="BJ47" a="1"/>
  <c r="BJ47" s="1"/>
  <c r="BJ70" a="1"/>
  <c r="BJ70" s="1"/>
  <c r="BJ79" a="1"/>
  <c r="BJ79" s="1"/>
  <c r="BJ80" a="1"/>
  <c r="BJ80" s="1"/>
  <c r="BJ81" a="1"/>
  <c r="BJ81" s="1"/>
  <c r="BJ84" a="1"/>
  <c r="BJ84" s="1"/>
  <c r="BJ86" a="1"/>
  <c r="BJ86" s="1"/>
  <c r="BJ87" a="1"/>
  <c r="BJ87" s="1"/>
  <c r="BJ88" a="1"/>
  <c r="BJ88" s="1"/>
  <c r="BJ89" a="1"/>
  <c r="BJ89" s="1"/>
  <c r="BJ90" a="1"/>
  <c r="BJ90" s="1"/>
  <c r="BJ91" a="1"/>
  <c r="BJ91" s="1"/>
  <c r="BJ93" a="1"/>
  <c r="BJ93" s="1"/>
  <c r="BJ94" a="1"/>
  <c r="BJ94" s="1"/>
  <c r="BJ95" a="1"/>
  <c r="BJ95" s="1"/>
  <c r="BJ96" a="1"/>
  <c r="BJ96" s="1"/>
  <c r="BJ111" a="1"/>
  <c r="BJ111" s="1"/>
  <c r="BJ122" a="1"/>
  <c r="BJ122" s="1"/>
  <c r="BJ129" a="1"/>
  <c r="BJ129" s="1"/>
  <c r="BJ128" a="1"/>
  <c r="BJ128" s="1"/>
  <c r="BJ131" a="1"/>
  <c r="BJ131" s="1"/>
  <c r="BJ132" a="1"/>
  <c r="BJ132" s="1"/>
  <c r="BJ133" a="1"/>
  <c r="BJ133" s="1"/>
  <c r="BJ134" a="1"/>
  <c r="BJ134" s="1"/>
  <c r="BJ135" a="1"/>
  <c r="BJ135" s="1"/>
  <c r="BJ136" a="1"/>
  <c r="BJ136" s="1"/>
  <c r="BJ145" a="1"/>
  <c r="BJ145" s="1"/>
  <c r="BJ146" a="1"/>
  <c r="BJ146" s="1"/>
  <c r="BJ148" a="1"/>
  <c r="BJ148" s="1"/>
  <c r="BJ149" a="1"/>
  <c r="BJ149" s="1"/>
  <c r="BJ150" a="1"/>
  <c r="BJ150" s="1"/>
  <c r="BJ156" a="1"/>
  <c r="BJ156" s="1"/>
  <c r="BJ161" a="1"/>
  <c r="BJ161" s="1"/>
  <c r="BJ162" a="1"/>
  <c r="BJ162" s="1"/>
  <c r="BJ163" a="1"/>
  <c r="BJ163" s="1"/>
  <c r="BJ164" a="1"/>
  <c r="BJ164" s="1"/>
  <c r="BJ165" a="1"/>
  <c r="BJ165" s="1"/>
  <c r="BJ166" a="1"/>
  <c r="BJ166" s="1"/>
  <c r="BJ167" a="1"/>
  <c r="BJ167" s="1"/>
  <c r="BJ168" a="1"/>
  <c r="BJ168" s="1"/>
  <c r="BJ169" a="1"/>
  <c r="BJ169" s="1"/>
  <c r="BJ170" a="1"/>
  <c r="BJ170" s="1"/>
  <c r="BJ171" a="1"/>
  <c r="BJ171" s="1"/>
  <c r="BJ172" a="1"/>
  <c r="BJ172" s="1"/>
  <c r="BJ173" a="1"/>
  <c r="BJ173" s="1"/>
  <c r="BJ174" a="1"/>
  <c r="BJ174" s="1"/>
  <c r="BJ175" a="1"/>
  <c r="BJ175" s="1"/>
  <c r="BJ176" a="1"/>
  <c r="BJ176" s="1"/>
  <c r="BJ177" a="1"/>
  <c r="BJ177" s="1"/>
  <c r="BJ178" a="1"/>
  <c r="BJ178" s="1"/>
  <c r="BJ179" a="1"/>
  <c r="BJ179" s="1"/>
  <c r="BJ180" a="1"/>
  <c r="BJ180" s="1"/>
  <c r="BJ181" a="1"/>
  <c r="BJ181" s="1"/>
  <c r="BJ187" a="1"/>
  <c r="BJ187" s="1"/>
  <c r="BJ188" a="1"/>
  <c r="BJ188" s="1"/>
  <c r="BJ189" a="1"/>
  <c r="BJ189" s="1"/>
  <c r="BJ190" a="1"/>
  <c r="BJ190" s="1"/>
  <c r="BJ191" a="1"/>
  <c r="BJ191" s="1"/>
  <c r="BJ192" a="1"/>
  <c r="BJ192" s="1"/>
  <c r="BJ193" a="1"/>
  <c r="BJ193" s="1"/>
  <c r="BJ194" a="1"/>
  <c r="BJ194" s="1"/>
  <c r="BJ195" a="1"/>
  <c r="BJ195" s="1"/>
  <c r="BJ196" a="1"/>
  <c r="BJ196" s="1"/>
  <c r="BJ197" a="1"/>
  <c r="BJ197" s="1"/>
  <c r="BJ198" a="1"/>
  <c r="BJ198" s="1"/>
  <c r="BJ199" a="1"/>
  <c r="BJ199" s="1"/>
  <c r="BJ200" a="1"/>
  <c r="BJ200" s="1"/>
  <c r="BJ201" a="1"/>
  <c r="BJ201" s="1"/>
  <c r="BJ202" a="1"/>
  <c r="BJ202" s="1"/>
  <c r="BJ203" a="1"/>
  <c r="BJ203" s="1"/>
  <c r="BJ204" a="1"/>
  <c r="BJ204" s="1"/>
  <c r="BJ205" a="1"/>
  <c r="BJ205" s="1"/>
  <c r="BJ206" a="1"/>
  <c r="BJ206" s="1"/>
  <c r="BJ209" a="1"/>
  <c r="BJ209" s="1"/>
  <c r="BJ210" a="1"/>
  <c r="BJ210" s="1"/>
  <c r="BJ211" a="1"/>
  <c r="BJ211" s="1"/>
  <c r="BJ212" a="1"/>
  <c r="BJ212" s="1"/>
  <c r="BJ213" a="1"/>
  <c r="BJ213" s="1"/>
  <c r="BJ214" a="1"/>
  <c r="BJ214" s="1"/>
  <c r="BJ215" a="1"/>
  <c r="BJ215" s="1"/>
  <c r="BJ216" a="1"/>
  <c r="BJ216" s="1"/>
  <c r="BJ217" a="1"/>
  <c r="BJ217" s="1"/>
  <c r="BJ218" a="1"/>
  <c r="BJ218" s="1"/>
  <c r="BJ219" a="1"/>
  <c r="BJ219" s="1"/>
  <c r="BJ220" a="1"/>
  <c r="BJ220" s="1"/>
  <c r="BJ221" a="1"/>
  <c r="BJ221" s="1"/>
  <c r="BJ222" a="1"/>
  <c r="BJ222" s="1"/>
  <c r="BJ223" a="1"/>
  <c r="BJ223" s="1"/>
  <c r="BJ224" a="1"/>
  <c r="BJ224" s="1"/>
  <c r="BJ225" a="1"/>
  <c r="BJ225" s="1"/>
  <c r="BJ226" a="1"/>
  <c r="BJ226" s="1"/>
  <c r="BJ227" a="1"/>
  <c r="BJ227" s="1"/>
  <c r="BJ229" a="1"/>
  <c r="BJ229" s="1"/>
  <c r="BJ232" a="1"/>
  <c r="BJ232" s="1"/>
  <c r="BJ234" a="1"/>
  <c r="BJ234" s="1"/>
  <c r="BJ235" a="1"/>
  <c r="BJ235" s="1"/>
  <c r="BJ236" a="1"/>
  <c r="BJ236" s="1"/>
  <c r="BJ237" a="1"/>
  <c r="BJ237" s="1"/>
  <c r="BJ238" a="1"/>
  <c r="BJ238" s="1"/>
  <c r="BJ239" a="1"/>
  <c r="BJ239" s="1"/>
  <c r="BJ240" a="1"/>
  <c r="BJ240" s="1"/>
  <c r="BJ241" a="1"/>
  <c r="BJ241" s="1"/>
  <c r="BJ242" a="1"/>
  <c r="BJ242" s="1"/>
  <c r="BJ243" a="1"/>
  <c r="BJ243" s="1"/>
  <c r="BJ244" a="1"/>
  <c r="BJ244" s="1"/>
  <c r="BJ245" a="1"/>
  <c r="BJ245" s="1"/>
  <c r="BJ246" a="1"/>
  <c r="BJ246" s="1"/>
  <c r="BJ247" a="1"/>
  <c r="BJ247" s="1"/>
  <c r="BJ248" a="1"/>
  <c r="BJ248" s="1"/>
  <c r="BJ249" a="1"/>
  <c r="BJ249" s="1"/>
  <c r="BJ250" a="1"/>
  <c r="BJ250" s="1"/>
  <c r="BJ251" a="1"/>
  <c r="BJ251" s="1"/>
  <c r="BJ252" a="1"/>
  <c r="BJ252" s="1"/>
  <c r="BJ253" a="1"/>
  <c r="BJ253" s="1"/>
  <c r="BJ254" a="1"/>
  <c r="BJ254" s="1"/>
  <c r="BJ255" a="1"/>
  <c r="BJ255" s="1"/>
  <c r="BJ256" a="1"/>
  <c r="BJ256" s="1"/>
  <c r="BJ257" a="1"/>
  <c r="BJ257" s="1"/>
  <c r="BJ258" a="1"/>
  <c r="BJ258" s="1"/>
  <c r="BJ259" a="1"/>
  <c r="BJ259" s="1"/>
  <c r="BJ260" a="1"/>
  <c r="BJ260" s="1"/>
  <c r="BJ261" a="1"/>
  <c r="BJ261" s="1"/>
  <c r="BJ262" a="1"/>
  <c r="BJ262" s="1"/>
  <c r="BJ263" a="1"/>
  <c r="BJ263" s="1"/>
  <c r="BJ272" a="1"/>
  <c r="BJ272" s="1"/>
  <c r="BJ274" a="1"/>
  <c r="BJ274" s="1"/>
  <c r="BJ276" a="1"/>
  <c r="BJ276" s="1"/>
  <c r="BJ277" a="1"/>
  <c r="BJ277" s="1"/>
  <c r="BJ313" a="1"/>
  <c r="BJ313" s="1"/>
  <c r="BJ314" a="1"/>
  <c r="BJ314" s="1"/>
  <c r="BJ325" a="1"/>
  <c r="BJ325" s="1"/>
  <c r="BJ326" a="1"/>
  <c r="BJ326" s="1"/>
  <c r="BJ332" a="1"/>
  <c r="BJ332" s="1"/>
  <c r="BJ333" a="1"/>
  <c r="BJ333" s="1"/>
  <c r="BJ334" a="1"/>
  <c r="BJ334" s="1"/>
  <c r="BJ335" a="1"/>
  <c r="BJ335" s="1"/>
  <c r="BJ339" a="1"/>
  <c r="BJ339" s="1"/>
  <c r="BJ340" a="1"/>
  <c r="BJ340" s="1"/>
  <c r="BJ345" a="1"/>
  <c r="BJ345" s="1"/>
  <c r="BJ382" a="1"/>
  <c r="BJ382" s="1"/>
  <c r="BJ384" a="1"/>
  <c r="BJ384" s="1"/>
  <c r="BJ385" a="1"/>
  <c r="BJ385" s="1"/>
  <c r="BJ390" a="1"/>
  <c r="BJ390" s="1"/>
  <c r="BJ391" a="1"/>
  <c r="BJ391" s="1"/>
  <c r="BJ392" a="1"/>
  <c r="BJ392" s="1"/>
  <c r="BJ13" a="1"/>
  <c r="BJ13" s="1"/>
  <c r="BJ14" a="1"/>
  <c r="BJ14" s="1"/>
  <c r="BJ15" a="1"/>
  <c r="BJ15" s="1"/>
  <c r="BJ56" a="1"/>
  <c r="BJ56" s="1"/>
  <c r="BJ59" a="1"/>
  <c r="BJ59" s="1"/>
  <c r="BJ60" a="1"/>
  <c r="BJ60" s="1"/>
  <c r="BJ68" a="1"/>
  <c r="BJ68" s="1"/>
  <c r="BJ97" a="1"/>
  <c r="BJ97" s="1"/>
  <c r="BJ98" a="1"/>
  <c r="BJ98" s="1"/>
  <c r="BJ99" a="1"/>
  <c r="BJ99" s="1"/>
  <c r="BJ100" a="1"/>
  <c r="BJ100" s="1"/>
  <c r="BJ102" a="1"/>
  <c r="BJ102" s="1"/>
  <c r="BJ103" a="1"/>
  <c r="BJ103" s="1"/>
  <c r="BJ106" a="1"/>
  <c r="BJ106" s="1"/>
  <c r="BJ107" a="1"/>
  <c r="BJ107" s="1"/>
  <c r="BJ108" a="1"/>
  <c r="BJ108" s="1"/>
  <c r="BJ114" a="1"/>
  <c r="BJ114" s="1"/>
  <c r="BJ121" a="1"/>
  <c r="BJ121" s="1"/>
  <c r="BJ123" a="1"/>
  <c r="BJ123" s="1"/>
  <c r="BJ137" a="1"/>
  <c r="BJ137" s="1"/>
  <c r="BJ138" a="1"/>
  <c r="BJ138" s="1"/>
  <c r="BJ139" a="1"/>
  <c r="BJ139" s="1"/>
  <c r="BJ141" a="1"/>
  <c r="BJ141" s="1"/>
  <c r="BJ147" a="1"/>
  <c r="BJ147" s="1"/>
  <c r="BJ151" a="1"/>
  <c r="BJ151" s="1"/>
  <c r="BJ152" a="1"/>
  <c r="BJ152" s="1"/>
  <c r="BJ153" a="1"/>
  <c r="BJ153" s="1"/>
  <c r="BJ154" a="1"/>
  <c r="BJ154" s="1"/>
  <c r="BJ155" a="1"/>
  <c r="BJ155" s="1"/>
  <c r="BJ267" a="1"/>
  <c r="BJ267" s="1"/>
  <c r="BJ268" a="1"/>
  <c r="BJ268" s="1"/>
  <c r="BJ282" a="1"/>
  <c r="BJ282" s="1"/>
  <c r="BJ283" a="1"/>
  <c r="BJ283" s="1"/>
  <c r="BJ284" a="1"/>
  <c r="BJ284" s="1"/>
  <c r="BJ285" a="1"/>
  <c r="BJ285" s="1"/>
  <c r="BJ286" a="1"/>
  <c r="BJ286" s="1"/>
  <c r="BJ296" a="1"/>
  <c r="BJ296" s="1"/>
  <c r="BJ304" a="1"/>
  <c r="BJ304" s="1"/>
  <c r="BJ305" a="1"/>
  <c r="BJ305" s="1"/>
  <c r="BJ306" a="1"/>
  <c r="BJ306" s="1"/>
  <c r="BJ312" a="1"/>
  <c r="BJ312" s="1"/>
  <c r="BJ319" a="1"/>
  <c r="BJ319" s="1"/>
  <c r="BJ19" a="1"/>
  <c r="BJ19" s="1"/>
  <c r="BJ20" a="1"/>
  <c r="BJ20" s="1"/>
  <c r="BJ21" a="1"/>
  <c r="BJ21" s="1"/>
  <c r="BJ22" a="1"/>
  <c r="BJ22" s="1"/>
  <c r="BJ23" a="1"/>
  <c r="BJ23" s="1"/>
  <c r="BJ24" a="1"/>
  <c r="BJ24" s="1"/>
  <c r="BJ25" a="1"/>
  <c r="BJ25" s="1"/>
  <c r="BJ26" a="1"/>
  <c r="BJ26" s="1"/>
  <c r="BJ27" a="1"/>
  <c r="BJ27" s="1"/>
  <c r="BJ28" a="1"/>
  <c r="BJ28" s="1"/>
  <c r="BJ29" a="1"/>
  <c r="BJ29" s="1"/>
  <c r="BJ30" a="1"/>
  <c r="BJ30" s="1"/>
  <c r="BJ31" a="1"/>
  <c r="BJ31" s="1"/>
  <c r="BJ33" a="1"/>
  <c r="BJ33" s="1"/>
  <c r="BJ34" a="1"/>
  <c r="BJ34" s="1"/>
  <c r="BJ35" a="1"/>
  <c r="BJ35" s="1"/>
  <c r="BJ36" a="1"/>
  <c r="BJ36" s="1"/>
  <c r="BJ37" a="1"/>
  <c r="BJ37" s="1"/>
  <c r="BJ38" a="1"/>
  <c r="BJ38" s="1"/>
  <c r="BJ39" a="1"/>
  <c r="BJ39" s="1"/>
  <c r="BJ40" a="1"/>
  <c r="BJ40" s="1"/>
  <c r="BJ41" a="1"/>
  <c r="BJ41" s="1"/>
  <c r="BJ42" a="1"/>
  <c r="BJ42" s="1"/>
  <c r="BJ43" a="1"/>
  <c r="BJ43" s="1"/>
  <c r="BJ44" a="1"/>
  <c r="BJ44" s="1"/>
  <c r="BJ45" a="1"/>
  <c r="BJ45" s="1"/>
  <c r="BJ46" a="1"/>
  <c r="BJ46" s="1"/>
  <c r="BJ48" a="1"/>
  <c r="BJ48" s="1"/>
  <c r="BJ49" a="1"/>
  <c r="BJ49" s="1"/>
  <c r="BJ50" a="1"/>
  <c r="BJ50" s="1"/>
  <c r="BJ51" a="1"/>
  <c r="BJ51" s="1"/>
  <c r="BJ52" a="1"/>
  <c r="BJ52" s="1"/>
  <c r="BJ53" a="1"/>
  <c r="BJ53" s="1"/>
  <c r="BJ54" a="1"/>
  <c r="BJ54" s="1"/>
  <c r="BJ55" a="1"/>
  <c r="BJ55" s="1"/>
  <c r="BJ58" a="1"/>
  <c r="BJ58" s="1"/>
  <c r="BJ61" a="1"/>
  <c r="BJ61" s="1"/>
  <c r="BJ63" a="1"/>
  <c r="BJ63" s="1"/>
  <c r="BJ64" a="1"/>
  <c r="BJ64" s="1"/>
  <c r="BJ65" a="1"/>
  <c r="BJ65" s="1"/>
  <c r="BJ66" a="1"/>
  <c r="BJ66" s="1"/>
  <c r="BJ67" a="1"/>
  <c r="BJ67" s="1"/>
  <c r="BJ76" a="1"/>
  <c r="BJ76" s="1"/>
  <c r="BJ77" a="1"/>
  <c r="BJ77" s="1"/>
  <c r="BJ78" a="1"/>
  <c r="BJ78" s="1"/>
  <c r="BJ104" a="1"/>
  <c r="BJ104" s="1"/>
  <c r="BJ105" a="1"/>
  <c r="BJ105" s="1"/>
  <c r="BJ109" a="1"/>
  <c r="BJ109" s="1"/>
  <c r="BJ110" a="1"/>
  <c r="BJ110" s="1"/>
  <c r="BJ112" a="1"/>
  <c r="BJ112" s="1"/>
  <c r="BJ113" a="1"/>
  <c r="BJ113" s="1"/>
  <c r="BJ115" a="1"/>
  <c r="BJ115" s="1"/>
  <c r="BJ117" a="1"/>
  <c r="BJ117" s="1"/>
  <c r="BJ118" a="1"/>
  <c r="BJ118" s="1"/>
  <c r="BJ119" a="1"/>
  <c r="BJ119" s="1"/>
  <c r="BJ120" a="1"/>
  <c r="BJ120" s="1"/>
  <c r="BJ125" a="1"/>
  <c r="BJ125" s="1"/>
  <c r="BJ126" a="1"/>
  <c r="BJ126" s="1"/>
  <c r="BJ157" a="1"/>
  <c r="BJ157" s="1"/>
  <c r="BJ264" a="1"/>
  <c r="BJ264" s="1"/>
  <c r="BJ265" a="1"/>
  <c r="BJ265" s="1"/>
  <c r="BJ266" a="1"/>
  <c r="BJ266" s="1"/>
  <c r="BJ269" a="1"/>
  <c r="BJ269" s="1"/>
  <c r="BJ270" a="1"/>
  <c r="BJ270" s="1"/>
  <c r="BJ271" a="1"/>
  <c r="BJ271" s="1"/>
  <c r="BJ275" a="1"/>
  <c r="BJ275" s="1"/>
  <c r="BJ278" a="1"/>
  <c r="BJ278" s="1"/>
  <c r="BJ279" a="1"/>
  <c r="BJ279" s="1"/>
  <c r="BJ280" a="1"/>
  <c r="BJ280" s="1"/>
  <c r="BJ281" a="1"/>
  <c r="BJ281" s="1"/>
  <c r="BJ287" a="1"/>
  <c r="BJ287" s="1"/>
  <c r="BJ288" a="1"/>
  <c r="BJ288" s="1"/>
  <c r="BJ289" a="1"/>
  <c r="BJ289" s="1"/>
  <c r="BJ290" a="1"/>
  <c r="BJ290" s="1"/>
  <c r="BJ291" a="1"/>
  <c r="BJ291" s="1"/>
  <c r="BJ292" a="1"/>
  <c r="BJ292" s="1"/>
  <c r="BJ293" a="1"/>
  <c r="BJ293" s="1"/>
  <c r="BJ294" a="1"/>
  <c r="BJ294" s="1"/>
  <c r="BJ295" a="1"/>
  <c r="BJ295" s="1"/>
  <c r="BJ297" a="1"/>
  <c r="BJ297" s="1"/>
  <c r="BJ298" a="1"/>
  <c r="BJ298" s="1"/>
  <c r="BJ299" a="1"/>
  <c r="BJ299" s="1"/>
  <c r="BJ300" a="1"/>
  <c r="BJ300" s="1"/>
  <c r="BJ301" a="1"/>
  <c r="BJ301" s="1"/>
  <c r="BJ302" a="1"/>
  <c r="BJ302" s="1"/>
  <c r="BJ303" a="1"/>
  <c r="BJ303" s="1"/>
  <c r="BJ307" a="1"/>
  <c r="BJ307" s="1"/>
  <c r="BJ308" a="1"/>
  <c r="BJ308" s="1"/>
  <c r="BJ309" a="1"/>
  <c r="BJ309" s="1"/>
  <c r="BJ310" a="1"/>
  <c r="BJ310" s="1"/>
  <c r="BJ311" a="1"/>
  <c r="BJ311" s="1"/>
  <c r="BJ315" a="1"/>
  <c r="BJ315" s="1"/>
  <c r="BJ316" a="1"/>
  <c r="BJ316" s="1"/>
  <c r="BJ317" a="1"/>
  <c r="BJ317" s="1"/>
  <c r="BJ321" a="1"/>
  <c r="BJ321" s="1"/>
  <c r="BJ322" a="1"/>
  <c r="BJ322" s="1"/>
  <c r="BJ323" a="1"/>
  <c r="BJ323" s="1"/>
  <c r="BJ324" a="1"/>
  <c r="BJ324" s="1"/>
  <c r="BJ327" a="1"/>
  <c r="BJ327" s="1"/>
  <c r="BJ328" a="1"/>
  <c r="BJ328" s="1"/>
  <c r="BJ329" a="1"/>
  <c r="BJ329" s="1"/>
  <c r="BJ330" a="1"/>
  <c r="BJ330" s="1"/>
  <c r="BJ331" a="1"/>
  <c r="BJ331" s="1"/>
  <c r="BJ337" a="1"/>
  <c r="BJ337" s="1"/>
  <c r="BJ338" a="1"/>
  <c r="BJ338" s="1"/>
  <c r="BJ341" a="1"/>
  <c r="BJ341" s="1"/>
  <c r="BJ342" a="1"/>
  <c r="BJ342" s="1"/>
  <c r="BJ343" a="1"/>
  <c r="BJ343" s="1"/>
  <c r="BJ344" a="1"/>
  <c r="BJ344" s="1"/>
  <c r="BJ346" a="1"/>
  <c r="BJ346" s="1"/>
  <c r="BJ348" a="1"/>
  <c r="BJ348" s="1"/>
  <c r="BJ349" a="1"/>
  <c r="BJ349" s="1"/>
  <c r="BJ350" a="1"/>
  <c r="BJ350" s="1"/>
  <c r="BJ353" a="1"/>
  <c r="BJ353" s="1"/>
  <c r="BJ355" a="1"/>
  <c r="BJ355" s="1"/>
  <c r="BJ356" a="1"/>
  <c r="BJ356" s="1"/>
  <c r="BJ357" a="1"/>
  <c r="BJ357" s="1"/>
  <c r="BJ358" a="1"/>
  <c r="BJ358" s="1"/>
  <c r="BJ359" a="1"/>
  <c r="BJ359" s="1"/>
  <c r="BJ360" a="1"/>
  <c r="BJ360" s="1"/>
  <c r="BJ361" a="1"/>
  <c r="BJ361" s="1"/>
  <c r="BJ362" a="1"/>
  <c r="BJ362" s="1"/>
  <c r="BJ363" a="1"/>
  <c r="BJ363" s="1"/>
  <c r="BJ364" a="1"/>
  <c r="BJ364" s="1"/>
  <c r="BJ365" a="1"/>
  <c r="BJ365" s="1"/>
  <c r="BJ366" a="1"/>
  <c r="BJ366" s="1"/>
  <c r="BJ367" a="1"/>
  <c r="BJ367" s="1"/>
  <c r="BJ368" a="1"/>
  <c r="BJ368" s="1"/>
  <c r="BJ369" a="1"/>
  <c r="BJ369" s="1"/>
  <c r="BJ370" a="1"/>
  <c r="BJ370" s="1"/>
  <c r="BJ371" a="1"/>
  <c r="BJ371" s="1"/>
  <c r="BJ373" a="1"/>
  <c r="BJ373" s="1"/>
  <c r="BJ374" a="1"/>
  <c r="BJ374" s="1"/>
  <c r="BJ375" a="1"/>
  <c r="BJ375" s="1"/>
  <c r="BJ376" a="1"/>
  <c r="BJ376" s="1"/>
  <c r="BJ377" a="1"/>
  <c r="BJ377" s="1"/>
  <c r="BJ378" a="1"/>
  <c r="BJ378" s="1"/>
  <c r="BJ379" a="1"/>
  <c r="BJ379" s="1"/>
  <c r="BJ380" a="1"/>
  <c r="BJ380" s="1"/>
  <c r="BJ381" a="1"/>
  <c r="BJ381" s="1"/>
  <c r="BJ388" a="1"/>
  <c r="BJ388" s="1"/>
  <c r="BJ389" a="1"/>
  <c r="BJ389" s="1"/>
  <c r="BJ393" a="1"/>
  <c r="BJ393" s="1"/>
  <c r="BJ394" a="1"/>
  <c r="BJ394" s="1"/>
  <c r="BJ395" a="1"/>
  <c r="BJ395" s="1"/>
  <c r="BJ396" a="1"/>
  <c r="BJ396" s="1"/>
  <c r="BJ397" a="1"/>
  <c r="BJ397" s="1"/>
  <c r="BJ398" a="1"/>
  <c r="BJ398" s="1"/>
  <c r="BJ399" a="1"/>
  <c r="BJ399" s="1"/>
  <c r="BJ400" a="1"/>
  <c r="BJ400" s="1"/>
  <c r="BJ2" a="1"/>
  <c r="BJ2" s="1"/>
  <c r="BI2" a="1"/>
  <c r="BI2" s="1"/>
  <c r="BI3" a="1"/>
  <c r="BI3" s="1"/>
  <c r="BI4" a="1"/>
  <c r="BI4" s="1"/>
  <c r="BI5" a="1"/>
  <c r="BI5" s="1"/>
  <c r="BI6" a="1"/>
  <c r="BI6" s="1"/>
  <c r="BI7" a="1"/>
  <c r="BI7" s="1"/>
  <c r="BI8" a="1"/>
  <c r="BI8" s="1"/>
  <c r="BI9" a="1"/>
  <c r="BI9" s="1"/>
  <c r="BI10" a="1"/>
  <c r="BI10" s="1"/>
  <c r="BI11" a="1"/>
  <c r="BI11" s="1"/>
  <c r="BI12" a="1"/>
  <c r="BI12" s="1"/>
  <c r="BI16" a="1"/>
  <c r="BI16" s="1"/>
  <c r="BI17" a="1"/>
  <c r="BI17" s="1"/>
  <c r="BI47" a="1"/>
  <c r="BI47" s="1"/>
  <c r="BI70" a="1"/>
  <c r="BI70" s="1"/>
  <c r="BI79" a="1"/>
  <c r="BI79" s="1"/>
  <c r="BI80" a="1"/>
  <c r="BI80" s="1"/>
  <c r="BI81" a="1"/>
  <c r="BI81" s="1"/>
  <c r="BI84" a="1"/>
  <c r="BI84" s="1"/>
  <c r="BI86" a="1"/>
  <c r="BI86" s="1"/>
  <c r="BI87" a="1"/>
  <c r="BI87" s="1"/>
  <c r="BI88" a="1"/>
  <c r="BI88" s="1"/>
  <c r="BI89" a="1"/>
  <c r="BI89" s="1"/>
  <c r="BI90" a="1"/>
  <c r="BI90" s="1"/>
  <c r="BI91" a="1"/>
  <c r="BI91" s="1"/>
  <c r="BI93" a="1"/>
  <c r="BI93" s="1"/>
  <c r="BI94" a="1"/>
  <c r="BI94" s="1"/>
  <c r="BI95" a="1"/>
  <c r="BI95" s="1"/>
  <c r="BI96" a="1"/>
  <c r="BI96" s="1"/>
  <c r="BI111" a="1"/>
  <c r="BI111" s="1"/>
  <c r="BI122" a="1"/>
  <c r="BI122" s="1"/>
  <c r="BI129" a="1"/>
  <c r="BI129" s="1"/>
  <c r="BI128" a="1"/>
  <c r="BI128" s="1"/>
  <c r="BI131" a="1"/>
  <c r="BI131" s="1"/>
  <c r="BI132" a="1"/>
  <c r="BI132" s="1"/>
  <c r="BI133" a="1"/>
  <c r="BI133" s="1"/>
  <c r="BI134" a="1"/>
  <c r="BI134" s="1"/>
  <c r="BI135" a="1"/>
  <c r="BI135" s="1"/>
  <c r="BI136" a="1"/>
  <c r="BI136" s="1"/>
  <c r="BI145" a="1"/>
  <c r="BI145" s="1"/>
  <c r="BI146" a="1"/>
  <c r="BI146" s="1"/>
  <c r="BI148" a="1"/>
  <c r="BI148" s="1"/>
  <c r="BI149" a="1"/>
  <c r="BI149" s="1"/>
  <c r="BI150" a="1"/>
  <c r="BI150" s="1"/>
  <c r="BI156" a="1"/>
  <c r="BI156" s="1"/>
  <c r="BI161" a="1"/>
  <c r="BI161" s="1"/>
  <c r="BI162" a="1"/>
  <c r="BI162" s="1"/>
  <c r="BI163" a="1"/>
  <c r="BI163" s="1"/>
  <c r="BI164" a="1"/>
  <c r="BI164" s="1"/>
  <c r="BI165" a="1"/>
  <c r="BI165" s="1"/>
  <c r="BI166" a="1"/>
  <c r="BI166" s="1"/>
  <c r="BI167" a="1"/>
  <c r="BI167" s="1"/>
  <c r="BI168" a="1"/>
  <c r="BI168" s="1"/>
  <c r="BI169" a="1"/>
  <c r="BI169" s="1"/>
  <c r="BI170" a="1"/>
  <c r="BI170" s="1"/>
  <c r="BI171" a="1"/>
  <c r="BI171" s="1"/>
  <c r="BI172" a="1"/>
  <c r="BI172" s="1"/>
  <c r="BI173" a="1"/>
  <c r="BI173" s="1"/>
  <c r="BI174" a="1"/>
  <c r="BI174" s="1"/>
  <c r="BI175" a="1"/>
  <c r="BI175" s="1"/>
  <c r="BI176" a="1"/>
  <c r="BI176" s="1"/>
  <c r="BI177" a="1"/>
  <c r="BI177" s="1"/>
  <c r="BI178" a="1"/>
  <c r="BI178" s="1"/>
  <c r="BI179" a="1"/>
  <c r="BI179" s="1"/>
  <c r="BI180" a="1"/>
  <c r="BI180" s="1"/>
  <c r="BI181" a="1"/>
  <c r="BI181" s="1"/>
  <c r="BI187" a="1"/>
  <c r="BI187" s="1"/>
  <c r="BI188" a="1"/>
  <c r="BI188" s="1"/>
  <c r="BI189" a="1"/>
  <c r="BI189" s="1"/>
  <c r="BI190" a="1"/>
  <c r="BI190" s="1"/>
  <c r="BI191" a="1"/>
  <c r="BI191" s="1"/>
  <c r="BI192" a="1"/>
  <c r="BI192" s="1"/>
  <c r="BI193" a="1"/>
  <c r="BI193" s="1"/>
  <c r="BI194" a="1"/>
  <c r="BI194" s="1"/>
  <c r="BI195" a="1"/>
  <c r="BI195" s="1"/>
  <c r="BI196" a="1"/>
  <c r="BI196" s="1"/>
  <c r="BI197" a="1"/>
  <c r="BI197" s="1"/>
  <c r="BI198" a="1"/>
  <c r="BI198" s="1"/>
  <c r="BI199" a="1"/>
  <c r="BI199" s="1"/>
  <c r="BI200" a="1"/>
  <c r="BI200" s="1"/>
  <c r="BI201" a="1"/>
  <c r="BI201" s="1"/>
  <c r="BI202" a="1"/>
  <c r="BI202" s="1"/>
  <c r="BI203" a="1"/>
  <c r="BI203" s="1"/>
  <c r="BI204" a="1"/>
  <c r="BI204" s="1"/>
  <c r="BI205" a="1"/>
  <c r="BI205" s="1"/>
  <c r="BI206" a="1"/>
  <c r="BI206" s="1"/>
  <c r="BI209" a="1"/>
  <c r="BI209" s="1"/>
  <c r="BI210" a="1"/>
  <c r="BI210" s="1"/>
  <c r="BI211" a="1"/>
  <c r="BI211" s="1"/>
  <c r="BI212" a="1"/>
  <c r="BI212" s="1"/>
  <c r="BI213" a="1"/>
  <c r="BI213" s="1"/>
  <c r="BI214" a="1"/>
  <c r="BI214" s="1"/>
  <c r="BI215" a="1"/>
  <c r="BI215" s="1"/>
  <c r="BI216" a="1"/>
  <c r="BI216" s="1"/>
  <c r="BI217" a="1"/>
  <c r="BI217" s="1"/>
  <c r="BI218" a="1"/>
  <c r="BI218" s="1"/>
  <c r="BI219" a="1"/>
  <c r="BI219" s="1"/>
  <c r="BI220" a="1"/>
  <c r="BI220" s="1"/>
  <c r="BI221" a="1"/>
  <c r="BI221" s="1"/>
  <c r="BI222" a="1"/>
  <c r="BI222" s="1"/>
  <c r="BI223" a="1"/>
  <c r="BI223" s="1"/>
  <c r="BI224" a="1"/>
  <c r="BI224" s="1"/>
  <c r="BI225" a="1"/>
  <c r="BI225" s="1"/>
  <c r="BI226" a="1"/>
  <c r="BI226" s="1"/>
  <c r="BI227" a="1"/>
  <c r="BI227" s="1"/>
  <c r="BI229" a="1"/>
  <c r="BI229" s="1"/>
  <c r="BI232" a="1"/>
  <c r="BI232" s="1"/>
  <c r="BI234" a="1"/>
  <c r="BI234" s="1"/>
  <c r="BI235" a="1"/>
  <c r="BI235" s="1"/>
  <c r="BI236" a="1"/>
  <c r="BI236" s="1"/>
  <c r="BI237" a="1"/>
  <c r="BI237" s="1"/>
  <c r="BI238" a="1"/>
  <c r="BI238" s="1"/>
  <c r="BI239" a="1"/>
  <c r="BI239" s="1"/>
  <c r="BI240" a="1"/>
  <c r="BI240" s="1"/>
  <c r="BI241" a="1"/>
  <c r="BI241" s="1"/>
  <c r="BI242" a="1"/>
  <c r="BI242" s="1"/>
  <c r="BI243" a="1"/>
  <c r="BI243" s="1"/>
  <c r="BI244" a="1"/>
  <c r="BI244" s="1"/>
  <c r="BI245" a="1"/>
  <c r="BI245" s="1"/>
  <c r="BI246" a="1"/>
  <c r="BI246" s="1"/>
  <c r="BI247" a="1"/>
  <c r="BI247" s="1"/>
  <c r="BI248" a="1"/>
  <c r="BI248" s="1"/>
  <c r="BI249" a="1"/>
  <c r="BI249" s="1"/>
  <c r="BI250" a="1"/>
  <c r="BI250" s="1"/>
  <c r="BI251" a="1"/>
  <c r="BI251" s="1"/>
  <c r="BI252" a="1"/>
  <c r="BI252" s="1"/>
  <c r="BI253" a="1"/>
  <c r="BI253" s="1"/>
  <c r="BI254" a="1"/>
  <c r="BI254" s="1"/>
  <c r="BI255" a="1"/>
  <c r="BI255" s="1"/>
  <c r="BI256" a="1"/>
  <c r="BI256" s="1"/>
  <c r="BI257" a="1"/>
  <c r="BI257" s="1"/>
  <c r="BI258" a="1"/>
  <c r="BI258" s="1"/>
  <c r="BI259" a="1"/>
  <c r="BI259" s="1"/>
  <c r="BI260" a="1"/>
  <c r="BI260" s="1"/>
  <c r="BI261" a="1"/>
  <c r="BI261" s="1"/>
  <c r="BI262" a="1"/>
  <c r="BI262" s="1"/>
  <c r="BI263" a="1"/>
  <c r="BI263" s="1"/>
  <c r="BI272" a="1"/>
  <c r="BI272" s="1"/>
  <c r="BI274" a="1"/>
  <c r="BI274" s="1"/>
  <c r="BI276" a="1"/>
  <c r="BI276" s="1"/>
  <c r="BI277" a="1"/>
  <c r="BI277" s="1"/>
  <c r="BI313" a="1"/>
  <c r="BI313" s="1"/>
  <c r="BI314" a="1"/>
  <c r="BI314" s="1"/>
  <c r="BI325" a="1"/>
  <c r="BI325" s="1"/>
  <c r="BI326" a="1"/>
  <c r="BI326" s="1"/>
  <c r="BI332" a="1"/>
  <c r="BI332" s="1"/>
  <c r="BI333" a="1"/>
  <c r="BI333" s="1"/>
  <c r="BI334" a="1"/>
  <c r="BI334" s="1"/>
  <c r="BI335" a="1"/>
  <c r="BI335" s="1"/>
  <c r="BI339" a="1"/>
  <c r="BI339" s="1"/>
  <c r="BI340" a="1"/>
  <c r="BI340" s="1"/>
  <c r="BI345" a="1"/>
  <c r="BI345" s="1"/>
  <c r="BI382" a="1"/>
  <c r="BI382" s="1"/>
  <c r="BI384" a="1"/>
  <c r="BI384" s="1"/>
  <c r="BI385" a="1"/>
  <c r="BI385" s="1"/>
  <c r="BI390" a="1"/>
  <c r="BI390" s="1"/>
  <c r="BI391" a="1"/>
  <c r="BI391" s="1"/>
  <c r="BI392" a="1"/>
  <c r="BI392" s="1"/>
  <c r="BI13" a="1"/>
  <c r="BI13" s="1"/>
  <c r="BI14" a="1"/>
  <c r="BI14" s="1"/>
  <c r="BI15" a="1"/>
  <c r="BI15" s="1"/>
  <c r="BI56" a="1"/>
  <c r="BI56" s="1"/>
  <c r="BI59" a="1"/>
  <c r="BI59" s="1"/>
  <c r="BI60" a="1"/>
  <c r="BI60" s="1"/>
  <c r="BI68" a="1"/>
  <c r="BI68" s="1"/>
  <c r="BI97" a="1"/>
  <c r="BI97" s="1"/>
  <c r="BI98" a="1"/>
  <c r="BI98" s="1"/>
  <c r="BI99" a="1"/>
  <c r="BI99" s="1"/>
  <c r="BI100" a="1"/>
  <c r="BI100" s="1"/>
  <c r="BI102" a="1"/>
  <c r="BI102" s="1"/>
  <c r="BI103" a="1"/>
  <c r="BI103" s="1"/>
  <c r="BI106" a="1"/>
  <c r="BI106" s="1"/>
  <c r="BI107" a="1"/>
  <c r="BI107" s="1"/>
  <c r="BI108" a="1"/>
  <c r="BI108" s="1"/>
  <c r="BI114" a="1"/>
  <c r="BI114" s="1"/>
  <c r="BI121" a="1"/>
  <c r="BI121" s="1"/>
  <c r="BI123" a="1"/>
  <c r="BI123" s="1"/>
  <c r="BI137" a="1"/>
  <c r="BI137" s="1"/>
  <c r="BI138" a="1"/>
  <c r="BI138" s="1"/>
  <c r="BI139" a="1"/>
  <c r="BI139" s="1"/>
  <c r="BI141" a="1"/>
  <c r="BI141" s="1"/>
  <c r="BI147" a="1"/>
  <c r="BI147" s="1"/>
  <c r="BI151" a="1"/>
  <c r="BI151" s="1"/>
  <c r="BI152" a="1"/>
  <c r="BI152" s="1"/>
  <c r="BI153" a="1"/>
  <c r="BI153" s="1"/>
  <c r="BI154" a="1"/>
  <c r="BI154" s="1"/>
  <c r="BI155" a="1"/>
  <c r="BI155" s="1"/>
  <c r="BI267" a="1"/>
  <c r="BI267" s="1"/>
  <c r="BI268" a="1"/>
  <c r="BI268" s="1"/>
  <c r="BI282" a="1"/>
  <c r="BI282" s="1"/>
  <c r="BI283" a="1"/>
  <c r="BI283" s="1"/>
  <c r="BI284" a="1"/>
  <c r="BI284" s="1"/>
  <c r="BI285" a="1"/>
  <c r="BI285" s="1"/>
  <c r="BI286" a="1"/>
  <c r="BI286" s="1"/>
  <c r="BI296" a="1"/>
  <c r="BI296" s="1"/>
  <c r="BI304" a="1"/>
  <c r="BI304" s="1"/>
  <c r="BI305" a="1"/>
  <c r="BI305" s="1"/>
  <c r="BI306" a="1"/>
  <c r="BI306" s="1"/>
  <c r="BI312" a="1"/>
  <c r="BI312" s="1"/>
  <c r="BI319" a="1"/>
  <c r="BI319" s="1"/>
  <c r="BI19" a="1"/>
  <c r="BI19" s="1"/>
  <c r="BI20" a="1"/>
  <c r="BI20" s="1"/>
  <c r="BI21" a="1"/>
  <c r="BI21" s="1"/>
  <c r="BI22" a="1"/>
  <c r="BI22" s="1"/>
  <c r="BI23" a="1"/>
  <c r="BI23" s="1"/>
  <c r="BI24" a="1"/>
  <c r="BI24" s="1"/>
  <c r="BI25" a="1"/>
  <c r="BI25" s="1"/>
  <c r="BI26" a="1"/>
  <c r="BI26" s="1"/>
  <c r="BI27" a="1"/>
  <c r="BI27" s="1"/>
  <c r="BI28" a="1"/>
  <c r="BI28" s="1"/>
  <c r="BI29" a="1"/>
  <c r="BI29" s="1"/>
  <c r="BI30" a="1"/>
  <c r="BI30" s="1"/>
  <c r="BI31" a="1"/>
  <c r="BI31" s="1"/>
  <c r="BI33" a="1"/>
  <c r="BI33" s="1"/>
  <c r="BI34" a="1"/>
  <c r="BI34" s="1"/>
  <c r="BI35" a="1"/>
  <c r="BI35" s="1"/>
  <c r="BI36" a="1"/>
  <c r="BI36" s="1"/>
  <c r="BI37" a="1"/>
  <c r="BI37" s="1"/>
  <c r="BI38" a="1"/>
  <c r="BI38" s="1"/>
  <c r="BI39" a="1"/>
  <c r="BI39" s="1"/>
  <c r="BI40" a="1"/>
  <c r="BI40" s="1"/>
  <c r="BI41" a="1"/>
  <c r="BI41" s="1"/>
  <c r="BI42" a="1"/>
  <c r="BI42" s="1"/>
  <c r="BI43" a="1"/>
  <c r="BI43" s="1"/>
  <c r="BI44" a="1"/>
  <c r="BI44" s="1"/>
  <c r="BI45" a="1"/>
  <c r="BI45" s="1"/>
  <c r="BI46" a="1"/>
  <c r="BI46" s="1"/>
  <c r="BI48" a="1"/>
  <c r="BI48" s="1"/>
  <c r="BI49" a="1"/>
  <c r="BI49" s="1"/>
  <c r="BI50" a="1"/>
  <c r="BI50" s="1"/>
  <c r="BI51" a="1"/>
  <c r="BI51" s="1"/>
  <c r="BI52" a="1"/>
  <c r="BI52" s="1"/>
  <c r="BI53" a="1"/>
  <c r="BI53" s="1"/>
  <c r="BI54" a="1"/>
  <c r="BI54" s="1"/>
  <c r="BI55" a="1"/>
  <c r="BI55" s="1"/>
  <c r="BI58" a="1"/>
  <c r="BI58" s="1"/>
  <c r="BI61" a="1"/>
  <c r="BI61" s="1"/>
  <c r="BI63" a="1"/>
  <c r="BI63" s="1"/>
  <c r="BI64" a="1"/>
  <c r="BI64" s="1"/>
  <c r="BI65" a="1"/>
  <c r="BI65" s="1"/>
  <c r="BI66" a="1"/>
  <c r="BI66" s="1"/>
  <c r="BI67" a="1"/>
  <c r="BI67" s="1"/>
  <c r="BI76" a="1"/>
  <c r="BI76" s="1"/>
  <c r="BI77" a="1"/>
  <c r="BI77" s="1"/>
  <c r="BI78" a="1"/>
  <c r="BI78" s="1"/>
  <c r="BI104" a="1"/>
  <c r="BI104" s="1"/>
  <c r="BI105" a="1"/>
  <c r="BI105" s="1"/>
  <c r="BI109" a="1"/>
  <c r="BI109" s="1"/>
  <c r="BI110" a="1"/>
  <c r="BI110" s="1"/>
  <c r="BI112" a="1"/>
  <c r="BI112" s="1"/>
  <c r="BI113" a="1"/>
  <c r="BI113" s="1"/>
  <c r="BI115" a="1"/>
  <c r="BI115" s="1"/>
  <c r="BI117" a="1"/>
  <c r="BI117" s="1"/>
  <c r="BI118" a="1"/>
  <c r="BI118" s="1"/>
  <c r="BI119" a="1"/>
  <c r="BI119" s="1"/>
  <c r="BI120" a="1"/>
  <c r="BI120" s="1"/>
  <c r="BI125" a="1"/>
  <c r="BI125" s="1"/>
  <c r="BI126" a="1"/>
  <c r="BI126" s="1"/>
  <c r="BI157" a="1"/>
  <c r="BI157" s="1"/>
  <c r="BI264" a="1"/>
  <c r="BI264" s="1"/>
  <c r="BI265" a="1"/>
  <c r="BI265" s="1"/>
  <c r="BI266" a="1"/>
  <c r="BI266" s="1"/>
  <c r="BI269" a="1"/>
  <c r="BI269" s="1"/>
  <c r="BI270" a="1"/>
  <c r="BI270" s="1"/>
  <c r="BI271" a="1"/>
  <c r="BI271" s="1"/>
  <c r="BI275" a="1"/>
  <c r="BI275" s="1"/>
  <c r="BI278" a="1"/>
  <c r="BI278" s="1"/>
  <c r="BI279" a="1"/>
  <c r="BI279" s="1"/>
  <c r="BI280" a="1"/>
  <c r="BI280" s="1"/>
  <c r="BI281" a="1"/>
  <c r="BI281" s="1"/>
  <c r="BI287" a="1"/>
  <c r="BI287" s="1"/>
  <c r="BI288" a="1"/>
  <c r="BI288" s="1"/>
  <c r="BI289" a="1"/>
  <c r="BI289" s="1"/>
  <c r="BI290" a="1"/>
  <c r="BI290" s="1"/>
  <c r="BI291" a="1"/>
  <c r="BI291" s="1"/>
  <c r="BI292" a="1"/>
  <c r="BI292" s="1"/>
  <c r="BI293" a="1"/>
  <c r="BI293" s="1"/>
  <c r="BI294" a="1"/>
  <c r="BI294" s="1"/>
  <c r="BI295" a="1"/>
  <c r="BI295" s="1"/>
  <c r="BI297" a="1"/>
  <c r="BI297" s="1"/>
  <c r="BI298" a="1"/>
  <c r="BI298" s="1"/>
  <c r="BI299" a="1"/>
  <c r="BI299" s="1"/>
  <c r="BI300" a="1"/>
  <c r="BI300" s="1"/>
  <c r="BI301" a="1"/>
  <c r="BI301" s="1"/>
  <c r="BI302" a="1"/>
  <c r="BI302" s="1"/>
  <c r="BI303" a="1"/>
  <c r="BI303" s="1"/>
  <c r="BI307" a="1"/>
  <c r="BI307" s="1"/>
  <c r="BI308" a="1"/>
  <c r="BI308" s="1"/>
  <c r="BI309" a="1"/>
  <c r="BI309" s="1"/>
  <c r="BI310" a="1"/>
  <c r="BI310" s="1"/>
  <c r="BI311" a="1"/>
  <c r="BI311" s="1"/>
  <c r="BI315" a="1"/>
  <c r="BI315" s="1"/>
  <c r="BI316" a="1"/>
  <c r="BI316" s="1"/>
  <c r="BI317" a="1"/>
  <c r="BI317" s="1"/>
  <c r="BI321" a="1"/>
  <c r="BI321" s="1"/>
  <c r="BI322" a="1"/>
  <c r="BI322" s="1"/>
  <c r="BI323" a="1"/>
  <c r="BI323" s="1"/>
  <c r="BI324" a="1"/>
  <c r="BI324" s="1"/>
  <c r="BI327" a="1"/>
  <c r="BI327" s="1"/>
  <c r="BI328" a="1"/>
  <c r="BI328" s="1"/>
  <c r="BI329" a="1"/>
  <c r="BI329" s="1"/>
  <c r="BI330" a="1"/>
  <c r="BI330" s="1"/>
  <c r="BI331" a="1"/>
  <c r="BI331" s="1"/>
  <c r="BI337" a="1"/>
  <c r="BI337" s="1"/>
  <c r="BI338" a="1"/>
  <c r="BI338" s="1"/>
  <c r="BI341" a="1"/>
  <c r="BI341" s="1"/>
  <c r="BI342" a="1"/>
  <c r="BI342" s="1"/>
  <c r="BI343" a="1"/>
  <c r="BI343" s="1"/>
  <c r="BI344" a="1"/>
  <c r="BI344" s="1"/>
  <c r="BI346" a="1"/>
  <c r="BI346" s="1"/>
  <c r="BI348" a="1"/>
  <c r="BI348" s="1"/>
  <c r="BI349" a="1"/>
  <c r="BI349" s="1"/>
  <c r="BI350" a="1"/>
  <c r="BI350" s="1"/>
  <c r="BI353" a="1"/>
  <c r="BI353" s="1"/>
  <c r="BI355" a="1"/>
  <c r="BI355" s="1"/>
  <c r="BI356" a="1"/>
  <c r="BI356" s="1"/>
  <c r="BI357" a="1"/>
  <c r="BI357" s="1"/>
  <c r="BI358" a="1"/>
  <c r="BI358" s="1"/>
  <c r="BI359" a="1"/>
  <c r="BI359" s="1"/>
  <c r="BI360" a="1"/>
  <c r="BI360" s="1"/>
  <c r="BI361" a="1"/>
  <c r="BI361" s="1"/>
  <c r="BI362" a="1"/>
  <c r="BI362" s="1"/>
  <c r="BI363" a="1"/>
  <c r="BI363" s="1"/>
  <c r="BI364" a="1"/>
  <c r="BI364" s="1"/>
  <c r="BI365" a="1"/>
  <c r="BI365" s="1"/>
  <c r="BI366" a="1"/>
  <c r="BI366" s="1"/>
  <c r="BI367" a="1"/>
  <c r="BI367" s="1"/>
  <c r="BI368" a="1"/>
  <c r="BI368" s="1"/>
  <c r="BI369" a="1"/>
  <c r="BI369" s="1"/>
  <c r="BI370" a="1"/>
  <c r="BI370" s="1"/>
  <c r="BI371" a="1"/>
  <c r="BI371" s="1"/>
  <c r="BI373" a="1"/>
  <c r="BI373" s="1"/>
  <c r="BI374" a="1"/>
  <c r="BI374" s="1"/>
  <c r="BI375" a="1"/>
  <c r="BI375" s="1"/>
  <c r="BI376" a="1"/>
  <c r="BI376" s="1"/>
  <c r="BI377" a="1"/>
  <c r="BI377" s="1"/>
  <c r="BI378" a="1"/>
  <c r="BI378" s="1"/>
  <c r="BI379" a="1"/>
  <c r="BI379" s="1"/>
  <c r="BI380" a="1"/>
  <c r="BI380" s="1"/>
  <c r="BI381" a="1"/>
  <c r="BI381" s="1"/>
  <c r="BI388" a="1"/>
  <c r="BI388" s="1"/>
  <c r="BI389" a="1"/>
  <c r="BI389" s="1"/>
  <c r="BI393" a="1"/>
  <c r="BI393" s="1"/>
  <c r="BI394" a="1"/>
  <c r="BI394" s="1"/>
  <c r="BI395" a="1"/>
  <c r="BI395" s="1"/>
  <c r="BI396" a="1"/>
  <c r="BI396" s="1"/>
  <c r="BI397" a="1"/>
  <c r="BI397" s="1"/>
  <c r="BI398" a="1"/>
  <c r="BI398" s="1"/>
  <c r="BI399" a="1"/>
  <c r="BI399" s="1"/>
  <c r="BI400" a="1"/>
  <c r="BI400" s="1"/>
  <c r="AE4" a="1"/>
  <c r="AE4" s="1"/>
  <c r="AE5" a="1"/>
  <c r="AE5" s="1"/>
  <c r="AE6" a="1"/>
  <c r="AE6" s="1"/>
  <c r="AE8" a="1"/>
  <c r="AE8" s="1"/>
  <c r="AE9" a="1"/>
  <c r="AE9" s="1"/>
  <c r="AE10" a="1"/>
  <c r="AE10" s="1"/>
  <c r="AE12" a="1"/>
  <c r="AE12" s="1"/>
  <c r="AE16" a="1"/>
  <c r="AE16" s="1"/>
  <c r="AE17" a="1"/>
  <c r="AE17" s="1"/>
  <c r="AE70" a="1"/>
  <c r="AE70" s="1"/>
  <c r="AE79" a="1"/>
  <c r="AE79" s="1"/>
  <c r="AE80" a="1"/>
  <c r="AE80" s="1"/>
  <c r="AE84" a="1"/>
  <c r="AE84" s="1"/>
  <c r="AE86" a="1"/>
  <c r="AE86" s="1"/>
  <c r="AE87" a="1"/>
  <c r="AE87" s="1"/>
  <c r="AE89" a="1"/>
  <c r="AE89" s="1"/>
  <c r="AE90" a="1"/>
  <c r="AE90" s="1"/>
  <c r="AE91" a="1"/>
  <c r="AE91" s="1"/>
  <c r="AE94" a="1"/>
  <c r="AE94" s="1"/>
  <c r="AE95" a="1"/>
  <c r="AE95" s="1"/>
  <c r="AE96" a="1"/>
  <c r="AE96" s="1"/>
  <c r="AE122" a="1"/>
  <c r="AE122" s="1"/>
  <c r="AE129" a="1"/>
  <c r="AE129" s="1"/>
  <c r="AE128" a="1"/>
  <c r="AE128" s="1"/>
  <c r="AE132" a="1"/>
  <c r="AE132" s="1"/>
  <c r="AE133" a="1"/>
  <c r="AE133" s="1"/>
  <c r="AE134" a="1"/>
  <c r="AE134" s="1"/>
  <c r="AE136" a="1"/>
  <c r="AE136" s="1"/>
  <c r="AE145" a="1"/>
  <c r="AE145" s="1"/>
  <c r="AE146" a="1"/>
  <c r="AE146" s="1"/>
  <c r="AE149" a="1"/>
  <c r="AE149" s="1"/>
  <c r="AE150" a="1"/>
  <c r="AE150" s="1"/>
  <c r="AE156" a="1"/>
  <c r="AE156" s="1"/>
  <c r="AE162" a="1"/>
  <c r="AE162" s="1"/>
  <c r="AE163" a="1"/>
  <c r="AE163" s="1"/>
  <c r="AE164" a="1"/>
  <c r="AE164" s="1"/>
  <c r="AE166" a="1"/>
  <c r="AE166" s="1"/>
  <c r="AE167" a="1"/>
  <c r="AE167" s="1"/>
  <c r="AE168" a="1"/>
  <c r="AE168" s="1"/>
  <c r="AE170" a="1"/>
  <c r="AE170" s="1"/>
  <c r="AE171" a="1"/>
  <c r="AE171" s="1"/>
  <c r="AE172" a="1"/>
  <c r="AE172" s="1"/>
  <c r="AE174" a="1"/>
  <c r="AE174" s="1"/>
  <c r="AE175" a="1"/>
  <c r="AE175" s="1"/>
  <c r="AE176" a="1"/>
  <c r="AE176" s="1"/>
  <c r="AE178" a="1"/>
  <c r="AE178" s="1"/>
  <c r="AE179" a="1"/>
  <c r="AE179" s="1"/>
  <c r="AE180" a="1"/>
  <c r="AE180" s="1"/>
  <c r="AE187" a="1"/>
  <c r="AE187" s="1"/>
  <c r="AE188" a="1"/>
  <c r="AE188" s="1"/>
  <c r="AE189" a="1"/>
  <c r="AE189" s="1"/>
  <c r="AE191" a="1"/>
  <c r="AE191" s="1"/>
  <c r="AE192" a="1"/>
  <c r="AE192" s="1"/>
  <c r="AE193" a="1"/>
  <c r="AE193" s="1"/>
  <c r="AE195" a="1"/>
  <c r="AE195" s="1"/>
  <c r="AE196" a="1"/>
  <c r="AE196" s="1"/>
  <c r="AE197" a="1"/>
  <c r="AE197" s="1"/>
  <c r="AE199" a="1"/>
  <c r="AE199" s="1"/>
  <c r="AE200" a="1"/>
  <c r="AE200" s="1"/>
  <c r="AE201" a="1"/>
  <c r="AE201" s="1"/>
  <c r="AE203" a="1"/>
  <c r="AE203" s="1"/>
  <c r="AE204" a="1"/>
  <c r="AE204" s="1"/>
  <c r="AE205" a="1"/>
  <c r="AE205" s="1"/>
  <c r="AE209" a="1"/>
  <c r="AE209" s="1"/>
  <c r="AE210" a="1"/>
  <c r="AE210" s="1"/>
  <c r="AE211" a="1"/>
  <c r="AE211" s="1"/>
  <c r="AE213" a="1"/>
  <c r="AE213" s="1"/>
  <c r="AE214" a="1"/>
  <c r="AE214" s="1"/>
  <c r="AE215" a="1"/>
  <c r="AE215" s="1"/>
  <c r="AE217" a="1"/>
  <c r="AE217" s="1"/>
  <c r="AE218" a="1"/>
  <c r="AE218" s="1"/>
  <c r="AE219" a="1"/>
  <c r="AE219" s="1"/>
  <c r="AE221" a="1"/>
  <c r="AE221" s="1"/>
  <c r="AE222" a="1"/>
  <c r="AE222" s="1"/>
  <c r="AE223" a="1"/>
  <c r="AE223" s="1"/>
  <c r="AE225" a="1"/>
  <c r="AE225" s="1"/>
  <c r="AE226" a="1"/>
  <c r="AE226" s="1"/>
  <c r="AE227" a="1"/>
  <c r="AE227" s="1"/>
  <c r="AE232" a="1"/>
  <c r="AE232" s="1"/>
  <c r="AE234" a="1"/>
  <c r="AE234" s="1"/>
  <c r="AE235" a="1"/>
  <c r="AE235" s="1"/>
  <c r="AE237" a="1"/>
  <c r="AE237" s="1"/>
  <c r="AE238" a="1"/>
  <c r="AE238" s="1"/>
  <c r="AE239" a="1"/>
  <c r="AE239" s="1"/>
  <c r="AE241" a="1"/>
  <c r="AE241" s="1"/>
  <c r="AE242" a="1"/>
  <c r="AE242" s="1"/>
  <c r="AE243" a="1"/>
  <c r="AE243" s="1"/>
  <c r="AE245" a="1"/>
  <c r="AE245" s="1"/>
  <c r="AE246" a="1"/>
  <c r="AE246" s="1"/>
  <c r="AE247" a="1"/>
  <c r="AE247" s="1"/>
  <c r="AE249" a="1"/>
  <c r="AE249" s="1"/>
  <c r="AE250" a="1"/>
  <c r="AE250" s="1"/>
  <c r="AE251" a="1"/>
  <c r="AE251" s="1"/>
  <c r="AE253" a="1"/>
  <c r="AE253" s="1"/>
  <c r="AE254" a="1"/>
  <c r="AE254" s="1"/>
  <c r="AE255" a="1"/>
  <c r="AE255" s="1"/>
  <c r="AE257" a="1"/>
  <c r="AE257" s="1"/>
  <c r="AE258" a="1"/>
  <c r="AE258" s="1"/>
  <c r="AE259" a="1"/>
  <c r="AE259" s="1"/>
  <c r="AE261" a="1"/>
  <c r="AE261" s="1"/>
  <c r="AE262" a="1"/>
  <c r="AE262" s="1"/>
  <c r="AE263" a="1"/>
  <c r="AE263" s="1"/>
  <c r="AE274" a="1"/>
  <c r="AE274" s="1"/>
  <c r="AE276" a="1"/>
  <c r="AE276" s="1"/>
  <c r="AE277" a="1"/>
  <c r="AE277" s="1"/>
  <c r="AE314" a="1"/>
  <c r="AE314" s="1"/>
  <c r="AE325" a="1"/>
  <c r="AE325" s="1"/>
  <c r="AE326" a="1"/>
  <c r="AE326" s="1"/>
  <c r="AE333" a="1"/>
  <c r="AE333" s="1"/>
  <c r="AE334" a="1"/>
  <c r="AE334" s="1"/>
  <c r="AE335" a="1"/>
  <c r="AE335" s="1"/>
  <c r="AE340" a="1"/>
  <c r="AE340" s="1"/>
  <c r="AE345" a="1"/>
  <c r="AE345" s="1"/>
  <c r="AE382" a="1"/>
  <c r="AE382" s="1"/>
  <c r="AE385" a="1"/>
  <c r="AE385" s="1"/>
  <c r="AE390" a="1"/>
  <c r="AE390" s="1"/>
  <c r="AE391" a="1"/>
  <c r="AE391" s="1"/>
  <c r="AE13" a="1"/>
  <c r="AE13" s="1"/>
  <c r="AE14" a="1"/>
  <c r="AE14" s="1"/>
  <c r="AE15" a="1"/>
  <c r="AE15" s="1"/>
  <c r="AE59" a="1"/>
  <c r="AE59" s="1"/>
  <c r="AE60" a="1"/>
  <c r="AE60" s="1"/>
  <c r="AE97" a="1"/>
  <c r="AE97" s="1"/>
  <c r="AE98" a="1"/>
  <c r="AE98" s="1"/>
  <c r="AE99" a="1"/>
  <c r="AE99" s="1"/>
  <c r="AE102" a="1"/>
  <c r="AE102" s="1"/>
  <c r="AE103" a="1"/>
  <c r="AE103" s="1"/>
  <c r="AE106" a="1"/>
  <c r="AE106" s="1"/>
  <c r="AE108" a="1"/>
  <c r="AE108" s="1"/>
  <c r="AE114" a="1"/>
  <c r="AE114" s="1"/>
  <c r="AE121" a="1"/>
  <c r="AE121" s="1"/>
  <c r="AE137" a="1"/>
  <c r="AE137" s="1"/>
  <c r="AE138" a="1"/>
  <c r="AE138" s="1"/>
  <c r="AE139" a="1"/>
  <c r="AE139" s="1"/>
  <c r="AE147" a="1"/>
  <c r="AE147" s="1"/>
  <c r="AE151" a="1"/>
  <c r="AE151" s="1"/>
  <c r="AE152" a="1"/>
  <c r="AE152" s="1"/>
  <c r="AE154" a="1"/>
  <c r="AE154" s="1"/>
  <c r="AE155" a="1"/>
  <c r="AE155" s="1"/>
  <c r="AE267" a="1"/>
  <c r="AE267" s="1"/>
  <c r="AE282" a="1"/>
  <c r="AE282" s="1"/>
  <c r="AE283" a="1"/>
  <c r="AE283" s="1"/>
  <c r="AE284" a="1"/>
  <c r="AE284" s="1"/>
  <c r="AE286" a="1"/>
  <c r="AE286" s="1"/>
  <c r="AE296" a="1"/>
  <c r="AE296" s="1"/>
  <c r="AE304" a="1"/>
  <c r="AE304" s="1"/>
  <c r="AE306" a="1"/>
  <c r="AE306" s="1"/>
  <c r="AE312" a="1"/>
  <c r="AE312" s="1"/>
  <c r="AE319" a="1"/>
  <c r="AE319" s="1"/>
  <c r="AE20" a="1"/>
  <c r="AE20" s="1"/>
  <c r="AE21" a="1"/>
  <c r="AE21" s="1"/>
  <c r="AE22" a="1"/>
  <c r="AE22" s="1"/>
  <c r="AE24" a="1"/>
  <c r="AE24" s="1"/>
  <c r="AE25" a="1"/>
  <c r="AE25" s="1"/>
  <c r="AE26" a="1"/>
  <c r="AE26" s="1"/>
  <c r="AE28" a="1"/>
  <c r="AE28" s="1"/>
  <c r="AE29" a="1"/>
  <c r="AE29" s="1"/>
  <c r="AE30" a="1"/>
  <c r="AE30" s="1"/>
  <c r="AE33" a="1"/>
  <c r="AE33" s="1"/>
  <c r="AE34" a="1"/>
  <c r="AE34" s="1"/>
  <c r="AE35" a="1"/>
  <c r="AE35" s="1"/>
  <c r="AE37" a="1"/>
  <c r="AE37" s="1"/>
  <c r="AE38" a="1"/>
  <c r="AE38" s="1"/>
  <c r="AE39" a="1"/>
  <c r="AE39" s="1"/>
  <c r="AE41" a="1"/>
  <c r="AE41" s="1"/>
  <c r="AE42" a="1"/>
  <c r="AE42" s="1"/>
  <c r="AE43" a="1"/>
  <c r="AE43" s="1"/>
  <c r="AE45" a="1"/>
  <c r="AE45" s="1"/>
  <c r="AE46" a="1"/>
  <c r="AE46" s="1"/>
  <c r="AE48" a="1"/>
  <c r="AE48" s="1"/>
  <c r="AE50" a="1"/>
  <c r="AE50" s="1"/>
  <c r="AE51" a="1"/>
  <c r="AE51" s="1"/>
  <c r="AE52" a="1"/>
  <c r="AE52" s="1"/>
  <c r="AE54" a="1"/>
  <c r="AE54" s="1"/>
  <c r="AE55" a="1"/>
  <c r="AE55" s="1"/>
  <c r="AE58" a="1"/>
  <c r="AE58" s="1"/>
  <c r="AE63" a="1"/>
  <c r="AE63" s="1"/>
  <c r="AE64" a="1"/>
  <c r="AE64" s="1"/>
  <c r="AE65" a="1"/>
  <c r="AE65" s="1"/>
  <c r="AE67" a="1"/>
  <c r="AE67" s="1"/>
  <c r="AE76" a="1"/>
  <c r="AE76" s="1"/>
  <c r="AE77" a="1"/>
  <c r="AE77" s="1"/>
  <c r="AE104" a="1"/>
  <c r="AE104" s="1"/>
  <c r="AE105" a="1"/>
  <c r="AE105" s="1"/>
  <c r="AE109" a="1"/>
  <c r="AE109" s="1"/>
  <c r="AE112" a="1"/>
  <c r="AE112" s="1"/>
  <c r="AE113" a="1"/>
  <c r="AE113" s="1"/>
  <c r="AE115" a="1"/>
  <c r="AE115" s="1"/>
  <c r="AE118" a="1"/>
  <c r="AE118" s="1"/>
  <c r="AE119" a="1"/>
  <c r="AE119" s="1"/>
  <c r="AE120" a="1"/>
  <c r="AE120" s="1"/>
  <c r="AE126" a="1"/>
  <c r="AE126" s="1"/>
  <c r="AE157" a="1"/>
  <c r="AE157" s="1"/>
  <c r="AE264" a="1"/>
  <c r="AE264" s="1"/>
  <c r="AE266" a="1"/>
  <c r="AE266" s="1"/>
  <c r="AE269" a="1"/>
  <c r="AE269" s="1"/>
  <c r="AE270" a="1"/>
  <c r="AE270" s="1"/>
  <c r="AE275" a="1"/>
  <c r="AE275" s="1"/>
  <c r="AE278" a="1"/>
  <c r="AE278" s="1"/>
  <c r="AE279" a="1"/>
  <c r="AE279" s="1"/>
  <c r="AE281" a="1"/>
  <c r="AE281" s="1"/>
  <c r="AE287" a="1"/>
  <c r="AE287" s="1"/>
  <c r="AE288" a="1"/>
  <c r="AE288" s="1"/>
  <c r="AE290" a="1"/>
  <c r="AE290" s="1"/>
  <c r="AE291" a="1"/>
  <c r="AE291" s="1"/>
  <c r="AE292" a="1"/>
  <c r="AE292" s="1"/>
  <c r="AE294" a="1"/>
  <c r="AE294" s="1"/>
  <c r="AE295" a="1"/>
  <c r="AE295" s="1"/>
  <c r="AE297" a="1"/>
  <c r="AE297" s="1"/>
  <c r="AE299" a="1"/>
  <c r="AE299" s="1"/>
  <c r="AE300" a="1"/>
  <c r="AE300" s="1"/>
  <c r="AE301" a="1"/>
  <c r="AE301" s="1"/>
  <c r="AE303" a="1"/>
  <c r="AE303" s="1"/>
  <c r="AE307" a="1"/>
  <c r="AE307" s="1"/>
  <c r="AE308" a="1"/>
  <c r="AE308" s="1"/>
  <c r="AE310" a="1"/>
  <c r="AE310" s="1"/>
  <c r="AE311" a="1"/>
  <c r="AE311" s="1"/>
  <c r="AE315" a="1"/>
  <c r="AE315" s="1"/>
  <c r="AE317" a="1"/>
  <c r="AE317" s="1"/>
  <c r="AE321" a="1"/>
  <c r="AE321" s="1"/>
  <c r="AE322" a="1"/>
  <c r="AE322" s="1"/>
  <c r="AE324" a="1"/>
  <c r="AE324" s="1"/>
  <c r="AE327" a="1"/>
  <c r="AE327" s="1"/>
  <c r="AE328" a="1"/>
  <c r="AE328" s="1"/>
  <c r="AE330" a="1"/>
  <c r="AE330" s="1"/>
  <c r="AE331" a="1"/>
  <c r="AE331" s="1"/>
  <c r="AE337" a="1"/>
  <c r="AE337" s="1"/>
  <c r="AE341" a="1"/>
  <c r="AE341" s="1"/>
  <c r="AE342" a="1"/>
  <c r="AE342" s="1"/>
  <c r="AE343" a="1"/>
  <c r="AE343" s="1"/>
  <c r="AE346" a="1"/>
  <c r="AE346" s="1"/>
  <c r="AE348" a="1"/>
  <c r="AE348" s="1"/>
  <c r="AE349" a="1"/>
  <c r="AE349" s="1"/>
  <c r="AE353" a="1"/>
  <c r="AE353" s="1"/>
  <c r="AE355" a="1"/>
  <c r="AE355" s="1"/>
  <c r="AE356" a="1"/>
  <c r="AE356" s="1"/>
  <c r="AE358" a="1"/>
  <c r="AE358" s="1"/>
  <c r="AE359" a="1"/>
  <c r="AE359" s="1"/>
  <c r="AE360" a="1"/>
  <c r="AE360" s="1"/>
  <c r="AE362" a="1"/>
  <c r="AE362" s="1"/>
  <c r="AE363" a="1"/>
  <c r="AE363" s="1"/>
  <c r="AE364" a="1"/>
  <c r="AE364" s="1"/>
  <c r="AE366" a="1"/>
  <c r="AE366" s="1"/>
  <c r="AE367" a="1"/>
  <c r="AE367" s="1"/>
  <c r="AE368" a="1"/>
  <c r="AE368" s="1"/>
  <c r="AE370" a="1"/>
  <c r="AE370" s="1"/>
  <c r="AE371" a="1"/>
  <c r="AE371" s="1"/>
  <c r="AE373" a="1"/>
  <c r="AE373" s="1"/>
  <c r="AE375" a="1"/>
  <c r="AE375" s="1"/>
  <c r="AE376" a="1"/>
  <c r="AE376" s="1"/>
  <c r="AE377" a="1"/>
  <c r="AE377" s="1"/>
  <c r="AE379" a="1"/>
  <c r="AE379" s="1"/>
  <c r="AE380" a="1"/>
  <c r="AE380" s="1"/>
  <c r="AE381" a="1"/>
  <c r="AE381" s="1"/>
  <c r="AE389" a="1"/>
  <c r="AE389" s="1"/>
  <c r="AE393" a="1"/>
  <c r="AE393" s="1"/>
  <c r="AE394" a="1"/>
  <c r="AE394" s="1"/>
  <c r="AE396" a="1"/>
  <c r="AE396" s="1"/>
  <c r="AE397" a="1"/>
  <c r="AE397" s="1"/>
  <c r="AE398" a="1"/>
  <c r="AE398" s="1"/>
  <c r="AE400" a="1"/>
  <c r="AE400" s="1"/>
  <c r="L2"/>
  <c r="AH2"/>
  <c r="AD3" a="1"/>
  <c r="AD3" s="1"/>
  <c r="AD4" a="1"/>
  <c r="AD4" s="1"/>
  <c r="AD5" a="1"/>
  <c r="AD5" s="1"/>
  <c r="AD6" a="1"/>
  <c r="AD6" s="1"/>
  <c r="AD7" a="1"/>
  <c r="AD7" s="1"/>
  <c r="AD8" a="1"/>
  <c r="AD8" s="1"/>
  <c r="AD9" a="1"/>
  <c r="AD9" s="1"/>
  <c r="AD10" a="1"/>
  <c r="AD10" s="1"/>
  <c r="AD11" a="1"/>
  <c r="AD11" s="1"/>
  <c r="AD12" a="1"/>
  <c r="AD12" s="1"/>
  <c r="AD16" a="1"/>
  <c r="AD16" s="1"/>
  <c r="AD17" a="1"/>
  <c r="AD17" s="1"/>
  <c r="AD47" a="1"/>
  <c r="AD47" s="1"/>
  <c r="AD70" a="1"/>
  <c r="AD70" s="1"/>
  <c r="AD79" a="1"/>
  <c r="AD79" s="1"/>
  <c r="AD80" a="1"/>
  <c r="AD80" s="1"/>
  <c r="AD81" a="1"/>
  <c r="AD81" s="1"/>
  <c r="AD84" a="1"/>
  <c r="AD84" s="1"/>
  <c r="AD86" a="1"/>
  <c r="AD86" s="1"/>
  <c r="AD87" a="1"/>
  <c r="AD87" s="1"/>
  <c r="AD88" a="1"/>
  <c r="AD88" s="1"/>
  <c r="AD89" a="1"/>
  <c r="AD89" s="1"/>
  <c r="AD90" a="1"/>
  <c r="AD90" s="1"/>
  <c r="AD91" a="1"/>
  <c r="AD91" s="1"/>
  <c r="AD93" a="1"/>
  <c r="AD93" s="1"/>
  <c r="AD94" a="1"/>
  <c r="AD94" s="1"/>
  <c r="AD95" a="1"/>
  <c r="AD95" s="1"/>
  <c r="AD96" a="1"/>
  <c r="AD96" s="1"/>
  <c r="AD111" a="1"/>
  <c r="AD111" s="1"/>
  <c r="AD122" a="1"/>
  <c r="AD122" s="1"/>
  <c r="AD129" a="1"/>
  <c r="AD129" s="1"/>
  <c r="AD128" a="1"/>
  <c r="AD128" s="1"/>
  <c r="AD131" a="1"/>
  <c r="AD131" s="1"/>
  <c r="AD132" a="1"/>
  <c r="AD132" s="1"/>
  <c r="AD133" a="1"/>
  <c r="AD133" s="1"/>
  <c r="AD134" a="1"/>
  <c r="AD134" s="1"/>
  <c r="AD135" a="1"/>
  <c r="AD135" s="1"/>
  <c r="AD136" a="1"/>
  <c r="AD136" s="1"/>
  <c r="AD145" a="1"/>
  <c r="AD145" s="1"/>
  <c r="AD146" a="1"/>
  <c r="AD146" s="1"/>
  <c r="AD148" a="1"/>
  <c r="AD148" s="1"/>
  <c r="AD149" a="1"/>
  <c r="AD149" s="1"/>
  <c r="AD150" a="1"/>
  <c r="AD150" s="1"/>
  <c r="AD156" a="1"/>
  <c r="AD156" s="1"/>
  <c r="AD161" a="1"/>
  <c r="AD161" s="1"/>
  <c r="AD162" a="1"/>
  <c r="AD162" s="1"/>
  <c r="AD163" a="1"/>
  <c r="AD163" s="1"/>
  <c r="AD164" a="1"/>
  <c r="AD164" s="1"/>
  <c r="AD165" a="1"/>
  <c r="AD165" s="1"/>
  <c r="AD166" a="1"/>
  <c r="AD166" s="1"/>
  <c r="AD167" a="1"/>
  <c r="AD167" s="1"/>
  <c r="AD168" a="1"/>
  <c r="AD168" s="1"/>
  <c r="AD169" a="1"/>
  <c r="AD169" s="1"/>
  <c r="AD170" a="1"/>
  <c r="AD170" s="1"/>
  <c r="AD171" a="1"/>
  <c r="AD171" s="1"/>
  <c r="AD172" a="1"/>
  <c r="AD172" s="1"/>
  <c r="AD173" a="1"/>
  <c r="AD173" s="1"/>
  <c r="AD174" a="1"/>
  <c r="AD174" s="1"/>
  <c r="AD175" a="1"/>
  <c r="AD175" s="1"/>
  <c r="AD176" a="1"/>
  <c r="AD176" s="1"/>
  <c r="AD177" a="1"/>
  <c r="AD177" s="1"/>
  <c r="AD178" a="1"/>
  <c r="AD178" s="1"/>
  <c r="AD179" a="1"/>
  <c r="AD179" s="1"/>
  <c r="AD180" a="1"/>
  <c r="AD180" s="1"/>
  <c r="AD181" a="1"/>
  <c r="AD181" s="1"/>
  <c r="AD187" a="1"/>
  <c r="AD187" s="1"/>
  <c r="AD188" a="1"/>
  <c r="AD188" s="1"/>
  <c r="AD189" a="1"/>
  <c r="AD189" s="1"/>
  <c r="AD190" a="1"/>
  <c r="AD190" s="1"/>
  <c r="AD191" a="1"/>
  <c r="AD191" s="1"/>
  <c r="AD192" a="1"/>
  <c r="AD192" s="1"/>
  <c r="AD193" a="1"/>
  <c r="AD193" s="1"/>
  <c r="AD194" a="1"/>
  <c r="AD194" s="1"/>
  <c r="AD195" a="1"/>
  <c r="AD195" s="1"/>
  <c r="AD196" a="1"/>
  <c r="AD196" s="1"/>
  <c r="AD197" a="1"/>
  <c r="AD197" s="1"/>
  <c r="AD198" a="1"/>
  <c r="AD198" s="1"/>
  <c r="AD199" a="1"/>
  <c r="AD199" s="1"/>
  <c r="AD200" a="1"/>
  <c r="AD200" s="1"/>
  <c r="AD201" a="1"/>
  <c r="AD201" s="1"/>
  <c r="AD202" a="1"/>
  <c r="AD202" s="1"/>
  <c r="AD203" a="1"/>
  <c r="AD203" s="1"/>
  <c r="AD204" a="1"/>
  <c r="AD204" s="1"/>
  <c r="AD205" a="1"/>
  <c r="AD205" s="1"/>
  <c r="AD206" a="1"/>
  <c r="AD206" s="1"/>
  <c r="AD209" a="1"/>
  <c r="AD209" s="1"/>
  <c r="AD210" a="1"/>
  <c r="AD210" s="1"/>
  <c r="AD211" a="1"/>
  <c r="AD211" s="1"/>
  <c r="AD212" a="1"/>
  <c r="AD212" s="1"/>
  <c r="AD213" a="1"/>
  <c r="AD213" s="1"/>
  <c r="AD214" a="1"/>
  <c r="AD214" s="1"/>
  <c r="AD215" a="1"/>
  <c r="AD215" s="1"/>
  <c r="AD216" a="1"/>
  <c r="AD216" s="1"/>
  <c r="AD217" a="1"/>
  <c r="AD217" s="1"/>
  <c r="AD218" a="1"/>
  <c r="AD218" s="1"/>
  <c r="AD219" a="1"/>
  <c r="AD219" s="1"/>
  <c r="AD220" a="1"/>
  <c r="AD220" s="1"/>
  <c r="AD221" a="1"/>
  <c r="AD221" s="1"/>
  <c r="AD222" a="1"/>
  <c r="AD222" s="1"/>
  <c r="AD223" a="1"/>
  <c r="AD223" s="1"/>
  <c r="AD224" a="1"/>
  <c r="AD224" s="1"/>
  <c r="AD225" a="1"/>
  <c r="AD225" s="1"/>
  <c r="AD226" a="1"/>
  <c r="AD226" s="1"/>
  <c r="AD227" a="1"/>
  <c r="AD227" s="1"/>
  <c r="AD229" a="1"/>
  <c r="AD229" s="1"/>
  <c r="AD232" a="1"/>
  <c r="AD232" s="1"/>
  <c r="AD234" a="1"/>
  <c r="AD234" s="1"/>
  <c r="AD235" a="1"/>
  <c r="AD235" s="1"/>
  <c r="AD236" a="1"/>
  <c r="AD236" s="1"/>
  <c r="AD237" a="1"/>
  <c r="AD237" s="1"/>
  <c r="AD238" a="1"/>
  <c r="AD238" s="1"/>
  <c r="AD239" a="1"/>
  <c r="AD239" s="1"/>
  <c r="AD240" a="1"/>
  <c r="AD240" s="1"/>
  <c r="AD241" a="1"/>
  <c r="AD241" s="1"/>
  <c r="AD242" a="1"/>
  <c r="AD242" s="1"/>
  <c r="AD243" a="1"/>
  <c r="AD243" s="1"/>
  <c r="AD244" a="1"/>
  <c r="AD244" s="1"/>
  <c r="AD245" a="1"/>
  <c r="AD245" s="1"/>
  <c r="AD246" a="1"/>
  <c r="AD246" s="1"/>
  <c r="AD247" a="1"/>
  <c r="AD247" s="1"/>
  <c r="AD248" a="1"/>
  <c r="AD248" s="1"/>
  <c r="AD249" a="1"/>
  <c r="AD249" s="1"/>
  <c r="AD250" a="1"/>
  <c r="AD250" s="1"/>
  <c r="AD251" a="1"/>
  <c r="AD251" s="1"/>
  <c r="AD252" a="1"/>
  <c r="AD252" s="1"/>
  <c r="AD253" a="1"/>
  <c r="AD253" s="1"/>
  <c r="AD254" a="1"/>
  <c r="AD254" s="1"/>
  <c r="AD255" a="1"/>
  <c r="AD255" s="1"/>
  <c r="AD256" a="1"/>
  <c r="AD256" s="1"/>
  <c r="AD257" a="1"/>
  <c r="AD257" s="1"/>
  <c r="AD258" a="1"/>
  <c r="AD258" s="1"/>
  <c r="AD259" a="1"/>
  <c r="AD259" s="1"/>
  <c r="AD260" a="1"/>
  <c r="AD260" s="1"/>
  <c r="AD261" a="1"/>
  <c r="AD261" s="1"/>
  <c r="AD262" a="1"/>
  <c r="AD262" s="1"/>
  <c r="AD263" a="1"/>
  <c r="AD263" s="1"/>
  <c r="AD272" a="1"/>
  <c r="AD272" s="1"/>
  <c r="AD274" a="1"/>
  <c r="AD274" s="1"/>
  <c r="AD276" a="1"/>
  <c r="AD276" s="1"/>
  <c r="AD277" a="1"/>
  <c r="AD277" s="1"/>
  <c r="AD313" a="1"/>
  <c r="AD313" s="1"/>
  <c r="AD314" a="1"/>
  <c r="AD314" s="1"/>
  <c r="AD325" a="1"/>
  <c r="AD325" s="1"/>
  <c r="AD326" a="1"/>
  <c r="AD326" s="1"/>
  <c r="AD332" a="1"/>
  <c r="AD332" s="1"/>
  <c r="AD333" a="1"/>
  <c r="AD333" s="1"/>
  <c r="AD334" a="1"/>
  <c r="AD334" s="1"/>
  <c r="AD335" a="1"/>
  <c r="AD335" s="1"/>
  <c r="AD339" a="1"/>
  <c r="AD339" s="1"/>
  <c r="AD340" a="1"/>
  <c r="AD340" s="1"/>
  <c r="AD345" a="1"/>
  <c r="AD345" s="1"/>
  <c r="AD382" a="1"/>
  <c r="AD382" s="1"/>
  <c r="AD384" a="1"/>
  <c r="AD384" s="1"/>
  <c r="AD385" a="1"/>
  <c r="AD385" s="1"/>
  <c r="AD390" a="1"/>
  <c r="AD390" s="1"/>
  <c r="AD391" a="1"/>
  <c r="AD391" s="1"/>
  <c r="AD392" a="1"/>
  <c r="AD392" s="1"/>
  <c r="AD13" a="1"/>
  <c r="AD13" s="1"/>
  <c r="AD14" a="1"/>
  <c r="AD14" s="1"/>
  <c r="AD15" a="1"/>
  <c r="AD15" s="1"/>
  <c r="AD56" a="1"/>
  <c r="AD56" s="1"/>
  <c r="AD59" a="1"/>
  <c r="AD59" s="1"/>
  <c r="AD60" a="1"/>
  <c r="AD60" s="1"/>
  <c r="AD68" a="1"/>
  <c r="AD68" s="1"/>
  <c r="AD97" a="1"/>
  <c r="AD97" s="1"/>
  <c r="AD98" a="1"/>
  <c r="AD98" s="1"/>
  <c r="AD99" a="1"/>
  <c r="AD99" s="1"/>
  <c r="AD100" a="1"/>
  <c r="AD100" s="1"/>
  <c r="AD102" a="1"/>
  <c r="AD102" s="1"/>
  <c r="AD103" a="1"/>
  <c r="AD103" s="1"/>
  <c r="AD106" a="1"/>
  <c r="AD106" s="1"/>
  <c r="AD107" a="1"/>
  <c r="AD107" s="1"/>
  <c r="AD108" a="1"/>
  <c r="AD108" s="1"/>
  <c r="AD114" a="1"/>
  <c r="AD114" s="1"/>
  <c r="AD121" a="1"/>
  <c r="AD121" s="1"/>
  <c r="AD123" a="1"/>
  <c r="AD123" s="1"/>
  <c r="AD137" a="1"/>
  <c r="AD137" s="1"/>
  <c r="AD138" a="1"/>
  <c r="AD138" s="1"/>
  <c r="AD139" a="1"/>
  <c r="AD139" s="1"/>
  <c r="AD141" a="1"/>
  <c r="AD141" s="1"/>
  <c r="AD147" a="1"/>
  <c r="AD147" s="1"/>
  <c r="AD151" a="1"/>
  <c r="AD151" s="1"/>
  <c r="AD152" a="1"/>
  <c r="AD152" s="1"/>
  <c r="AD153" a="1"/>
  <c r="AD153" s="1"/>
  <c r="AD154" a="1"/>
  <c r="AD154" s="1"/>
  <c r="AD155" a="1"/>
  <c r="AD155" s="1"/>
  <c r="AD267" a="1"/>
  <c r="AD267" s="1"/>
  <c r="AD268" a="1"/>
  <c r="AD268" s="1"/>
  <c r="AD282" a="1"/>
  <c r="AD282" s="1"/>
  <c r="AD283" a="1"/>
  <c r="AD283" s="1"/>
  <c r="AD284" a="1"/>
  <c r="AD284" s="1"/>
  <c r="AD285" a="1"/>
  <c r="AD285" s="1"/>
  <c r="AD286" a="1"/>
  <c r="AD286" s="1"/>
  <c r="AD296" a="1"/>
  <c r="AD296" s="1"/>
  <c r="AD304" a="1"/>
  <c r="AD304" s="1"/>
  <c r="AD305" a="1"/>
  <c r="AD305" s="1"/>
  <c r="AD306" a="1"/>
  <c r="AD306" s="1"/>
  <c r="AD312" a="1"/>
  <c r="AD312" s="1"/>
  <c r="AD319" a="1"/>
  <c r="AD319" s="1"/>
  <c r="AD19" a="1"/>
  <c r="AD19" s="1"/>
  <c r="AD20" a="1"/>
  <c r="AD20" s="1"/>
  <c r="AD21" a="1"/>
  <c r="AD21" s="1"/>
  <c r="AD22" a="1"/>
  <c r="AD22" s="1"/>
  <c r="AD23" a="1"/>
  <c r="AD23" s="1"/>
  <c r="AD24" a="1"/>
  <c r="AD24" s="1"/>
  <c r="AD25" a="1"/>
  <c r="AD25" s="1"/>
  <c r="AD26" a="1"/>
  <c r="AD26" s="1"/>
  <c r="AD27" a="1"/>
  <c r="AD27" s="1"/>
  <c r="AD28" a="1"/>
  <c r="AD28" s="1"/>
  <c r="AD29" a="1"/>
  <c r="AD29" s="1"/>
  <c r="AD30" a="1"/>
  <c r="AD30" s="1"/>
  <c r="AD31" a="1"/>
  <c r="AD31" s="1"/>
  <c r="AD33" a="1"/>
  <c r="AD33" s="1"/>
  <c r="AD34" a="1"/>
  <c r="AD34" s="1"/>
  <c r="AD35" a="1"/>
  <c r="AD35" s="1"/>
  <c r="AD36" a="1"/>
  <c r="AD36" s="1"/>
  <c r="AD37" a="1"/>
  <c r="AD37" s="1"/>
  <c r="AD38" a="1"/>
  <c r="AD38" s="1"/>
  <c r="AD39" a="1"/>
  <c r="AD39" s="1"/>
  <c r="AD40" a="1"/>
  <c r="AD40" s="1"/>
  <c r="AD41" a="1"/>
  <c r="AD41" s="1"/>
  <c r="AD42" a="1"/>
  <c r="AD42" s="1"/>
  <c r="AD43" a="1"/>
  <c r="AD43" s="1"/>
  <c r="AD44" a="1"/>
  <c r="AD44" s="1"/>
  <c r="AD45" a="1"/>
  <c r="AD45" s="1"/>
  <c r="AD46" a="1"/>
  <c r="AD46" s="1"/>
  <c r="AD48" a="1"/>
  <c r="AD48" s="1"/>
  <c r="AD49" a="1"/>
  <c r="AD49" s="1"/>
  <c r="AD50" a="1"/>
  <c r="AD50" s="1"/>
  <c r="AD51" a="1"/>
  <c r="AD51" s="1"/>
  <c r="AD52" a="1"/>
  <c r="AD52" s="1"/>
  <c r="AD53" a="1"/>
  <c r="AD53" s="1"/>
  <c r="AD54" a="1"/>
  <c r="AD54" s="1"/>
  <c r="AD55" a="1"/>
  <c r="AD55" s="1"/>
  <c r="AD58" a="1"/>
  <c r="AD58" s="1"/>
  <c r="AD61" a="1"/>
  <c r="AD61" s="1"/>
  <c r="AD63" a="1"/>
  <c r="AD63" s="1"/>
  <c r="AD64" a="1"/>
  <c r="AD64" s="1"/>
  <c r="AD65" a="1"/>
  <c r="AD65" s="1"/>
  <c r="AD66" a="1"/>
  <c r="AD66" s="1"/>
  <c r="AD67" a="1"/>
  <c r="AD67" s="1"/>
  <c r="AD76" a="1"/>
  <c r="AD76" s="1"/>
  <c r="AD77" a="1"/>
  <c r="AD77" s="1"/>
  <c r="AD78" a="1"/>
  <c r="AD78" s="1"/>
  <c r="AD104" a="1"/>
  <c r="AD104" s="1"/>
  <c r="AD105" a="1"/>
  <c r="AD105" s="1"/>
  <c r="AD109" a="1"/>
  <c r="AD109" s="1"/>
  <c r="AD110" a="1"/>
  <c r="AD110" s="1"/>
  <c r="AD112" a="1"/>
  <c r="AD112" s="1"/>
  <c r="AD113" a="1"/>
  <c r="AD113" s="1"/>
  <c r="AD115" a="1"/>
  <c r="AD115" s="1"/>
  <c r="AD117" a="1"/>
  <c r="AD117" s="1"/>
  <c r="AD118" a="1"/>
  <c r="AD118" s="1"/>
  <c r="AD119" a="1"/>
  <c r="AD119" s="1"/>
  <c r="AD120" a="1"/>
  <c r="AD120" s="1"/>
  <c r="AD125" a="1"/>
  <c r="AD125" s="1"/>
  <c r="AD126" a="1"/>
  <c r="AD126" s="1"/>
  <c r="AD157" a="1"/>
  <c r="AD157" s="1"/>
  <c r="AD264" a="1"/>
  <c r="AD264" s="1"/>
  <c r="AD265" a="1"/>
  <c r="AD265" s="1"/>
  <c r="AD266" a="1"/>
  <c r="AD266" s="1"/>
  <c r="AD269" a="1"/>
  <c r="AD269" s="1"/>
  <c r="AD270" a="1"/>
  <c r="AD270" s="1"/>
  <c r="AD271" a="1"/>
  <c r="AD271" s="1"/>
  <c r="AD275" a="1"/>
  <c r="AD275" s="1"/>
  <c r="AD278" a="1"/>
  <c r="AD278" s="1"/>
  <c r="AD279" a="1"/>
  <c r="AD279" s="1"/>
  <c r="AD280" a="1"/>
  <c r="AD280" s="1"/>
  <c r="AD281" a="1"/>
  <c r="AD281" s="1"/>
  <c r="AD287" a="1"/>
  <c r="AD287" s="1"/>
  <c r="AD288" a="1"/>
  <c r="AD288" s="1"/>
  <c r="AD289" a="1"/>
  <c r="AD289" s="1"/>
  <c r="AD290" a="1"/>
  <c r="AD290" s="1"/>
  <c r="AD291" a="1"/>
  <c r="AD291" s="1"/>
  <c r="AD292" a="1"/>
  <c r="AD292" s="1"/>
  <c r="AD293" a="1"/>
  <c r="AD293" s="1"/>
  <c r="AD294" a="1"/>
  <c r="AD294" s="1"/>
  <c r="AD295" a="1"/>
  <c r="AD295" s="1"/>
  <c r="AD297" a="1"/>
  <c r="AD297" s="1"/>
  <c r="AD298" a="1"/>
  <c r="AD298" s="1"/>
  <c r="AD299" a="1"/>
  <c r="AD299" s="1"/>
  <c r="AD300" a="1"/>
  <c r="AD300" s="1"/>
  <c r="AD301" a="1"/>
  <c r="AD301" s="1"/>
  <c r="AD302" a="1"/>
  <c r="AD302" s="1"/>
  <c r="AD303" a="1"/>
  <c r="AD303" s="1"/>
  <c r="AD307" a="1"/>
  <c r="AD307" s="1"/>
  <c r="AD308" a="1"/>
  <c r="AD308" s="1"/>
  <c r="AD309" a="1"/>
  <c r="AD309" s="1"/>
  <c r="AD310" a="1"/>
  <c r="AD310" s="1"/>
  <c r="AD311" a="1"/>
  <c r="AD311" s="1"/>
  <c r="AD315" a="1"/>
  <c r="AD315" s="1"/>
  <c r="AD316" a="1"/>
  <c r="AD316" s="1"/>
  <c r="AD317" a="1"/>
  <c r="AD317" s="1"/>
  <c r="AD321" a="1"/>
  <c r="AD321" s="1"/>
  <c r="AD322" a="1"/>
  <c r="AD322" s="1"/>
  <c r="AD323" a="1"/>
  <c r="AD323" s="1"/>
  <c r="AD324" a="1"/>
  <c r="AD324" s="1"/>
  <c r="AD327" a="1"/>
  <c r="AD327" s="1"/>
  <c r="AD328" a="1"/>
  <c r="AD328" s="1"/>
  <c r="AD329" a="1"/>
  <c r="AD329" s="1"/>
  <c r="AD330" a="1"/>
  <c r="AD330" s="1"/>
  <c r="AD331" a="1"/>
  <c r="AD331" s="1"/>
  <c r="AD337" a="1"/>
  <c r="AD337" s="1"/>
  <c r="AD338" a="1"/>
  <c r="AD338" s="1"/>
  <c r="AD341" a="1"/>
  <c r="AD341" s="1"/>
  <c r="AD342" a="1"/>
  <c r="AD342" s="1"/>
  <c r="AD343" a="1"/>
  <c r="AD343" s="1"/>
  <c r="AD344" a="1"/>
  <c r="AD344" s="1"/>
  <c r="AD346" a="1"/>
  <c r="AD346" s="1"/>
  <c r="AD348" a="1"/>
  <c r="AD348" s="1"/>
  <c r="AD349" a="1"/>
  <c r="AD349" s="1"/>
  <c r="AD350" a="1"/>
  <c r="AD350" s="1"/>
  <c r="AD353" a="1"/>
  <c r="AD353" s="1"/>
  <c r="AD355" a="1"/>
  <c r="AD355" s="1"/>
  <c r="AD356" a="1"/>
  <c r="AD356" s="1"/>
  <c r="AD357" a="1"/>
  <c r="AD357" s="1"/>
  <c r="AD358" a="1"/>
  <c r="AD358" s="1"/>
  <c r="AD359" a="1"/>
  <c r="AD359" s="1"/>
  <c r="AD360" a="1"/>
  <c r="AD360" s="1"/>
  <c r="AD361" a="1"/>
  <c r="AD361" s="1"/>
  <c r="AD362" a="1"/>
  <c r="AD362" s="1"/>
  <c r="AD363" a="1"/>
  <c r="AD363" s="1"/>
  <c r="AD364" a="1"/>
  <c r="AD364" s="1"/>
  <c r="AD365" a="1"/>
  <c r="AD365" s="1"/>
  <c r="AD366" a="1"/>
  <c r="AD366" s="1"/>
  <c r="AD367" a="1"/>
  <c r="AD367" s="1"/>
  <c r="AD368" a="1"/>
  <c r="AD368" s="1"/>
  <c r="AD369" a="1"/>
  <c r="AD369" s="1"/>
  <c r="AD370" a="1"/>
  <c r="AD370" s="1"/>
  <c r="AD371" a="1"/>
  <c r="AD371" s="1"/>
  <c r="AD373" a="1"/>
  <c r="AD373" s="1"/>
  <c r="AD374" a="1"/>
  <c r="AD374" s="1"/>
  <c r="AD375" a="1"/>
  <c r="AD375" s="1"/>
  <c r="AD376" a="1"/>
  <c r="AD376" s="1"/>
  <c r="AD377" a="1"/>
  <c r="AD377" s="1"/>
  <c r="AD378" a="1"/>
  <c r="AD378" s="1"/>
  <c r="AD379" a="1"/>
  <c r="AD379" s="1"/>
  <c r="AD380" a="1"/>
  <c r="AD380" s="1"/>
  <c r="AD381" a="1"/>
  <c r="AD381" s="1"/>
  <c r="AD388" a="1"/>
  <c r="AD388" s="1"/>
  <c r="AD389" a="1"/>
  <c r="AD389" s="1"/>
  <c r="AD393" a="1"/>
  <c r="AD393" s="1"/>
  <c r="AD394" a="1"/>
  <c r="AD394" s="1"/>
  <c r="AD395" a="1"/>
  <c r="AD395" s="1"/>
  <c r="AD396" a="1"/>
  <c r="AD396" s="1"/>
  <c r="AD397" a="1"/>
  <c r="AD397" s="1"/>
  <c r="AD398" a="1"/>
  <c r="AD398" s="1"/>
  <c r="AD399" a="1"/>
  <c r="AD399" s="1"/>
  <c r="AD400" a="1"/>
  <c r="AD400" s="1"/>
  <c r="AC3" a="1"/>
  <c r="AC3" s="1"/>
  <c r="L3" s="1"/>
  <c r="AC4" a="1"/>
  <c r="AC4" s="1"/>
  <c r="L4" s="1"/>
  <c r="AC5" a="1"/>
  <c r="AC5" s="1"/>
  <c r="L5" s="1"/>
  <c r="AC6" a="1"/>
  <c r="AC6" s="1"/>
  <c r="L6" s="1"/>
  <c r="AC7" a="1"/>
  <c r="AC7" s="1"/>
  <c r="L7" s="1"/>
  <c r="AC8" a="1"/>
  <c r="AC8" s="1"/>
  <c r="L8" s="1"/>
  <c r="AC9" a="1"/>
  <c r="AC9" s="1"/>
  <c r="L9" s="1"/>
  <c r="AC10" a="1"/>
  <c r="AC10" s="1"/>
  <c r="L10" s="1"/>
  <c r="AC11" a="1"/>
  <c r="AC11" s="1"/>
  <c r="L11" s="1"/>
  <c r="AC12" a="1"/>
  <c r="AC12" s="1"/>
  <c r="L12" s="1"/>
  <c r="AC16" a="1"/>
  <c r="AC16" s="1"/>
  <c r="L16" s="1"/>
  <c r="AC17" a="1"/>
  <c r="AC17" s="1"/>
  <c r="L17" s="1"/>
  <c r="AC47" a="1"/>
  <c r="AC47" s="1"/>
  <c r="L47" s="1"/>
  <c r="AC70" a="1"/>
  <c r="AC70" s="1"/>
  <c r="L70" s="1"/>
  <c r="AC79" a="1"/>
  <c r="AC79" s="1"/>
  <c r="L79" s="1"/>
  <c r="AC80" a="1"/>
  <c r="AC80" s="1"/>
  <c r="L80" s="1"/>
  <c r="AC81" a="1"/>
  <c r="AC81" s="1"/>
  <c r="L81" s="1"/>
  <c r="AC86" a="1"/>
  <c r="AC86" s="1"/>
  <c r="L86" s="1"/>
  <c r="AC88" a="1"/>
  <c r="AC88" s="1"/>
  <c r="L88" s="1"/>
  <c r="AC89" a="1"/>
  <c r="AC89" s="1"/>
  <c r="L89" s="1"/>
  <c r="AC90" a="1"/>
  <c r="AC90" s="1"/>
  <c r="L90" s="1"/>
  <c r="AC91" a="1"/>
  <c r="AC91" s="1"/>
  <c r="L91" s="1"/>
  <c r="AC93" a="1"/>
  <c r="AC93" s="1"/>
  <c r="L93" s="1"/>
  <c r="AC94" a="1"/>
  <c r="AC94" s="1"/>
  <c r="L94" s="1"/>
  <c r="AC95" a="1"/>
  <c r="AC95" s="1"/>
  <c r="L95" s="1"/>
  <c r="AC96" a="1"/>
  <c r="AC96" s="1"/>
  <c r="L96" s="1"/>
  <c r="AC111" a="1"/>
  <c r="AC111" s="1"/>
  <c r="L111" s="1"/>
  <c r="AC122" a="1"/>
  <c r="AC122" s="1"/>
  <c r="L122" s="1"/>
  <c r="AC129" a="1"/>
  <c r="AC129" s="1"/>
  <c r="L129" s="1"/>
  <c r="AC128" a="1"/>
  <c r="AC128" s="1"/>
  <c r="L128" s="1"/>
  <c r="AC131" a="1"/>
  <c r="AC131" s="1"/>
  <c r="L131" s="1"/>
  <c r="AC132" a="1"/>
  <c r="AC132" s="1"/>
  <c r="L132" s="1"/>
  <c r="AC133" a="1"/>
  <c r="AC133" s="1"/>
  <c r="L133" s="1"/>
  <c r="AC134" a="1"/>
  <c r="AC134" s="1"/>
  <c r="L134" s="1"/>
  <c r="AC135" a="1"/>
  <c r="AC135" s="1"/>
  <c r="L135" s="1"/>
  <c r="AC136" a="1"/>
  <c r="AC136" s="1"/>
  <c r="L136" s="1"/>
  <c r="AC145" a="1"/>
  <c r="AC145" s="1"/>
  <c r="L145" s="1"/>
  <c r="AC146" a="1"/>
  <c r="AC146" s="1"/>
  <c r="L146" s="1"/>
  <c r="AC148" a="1"/>
  <c r="AC148" s="1"/>
  <c r="L148" s="1"/>
  <c r="AC149" a="1"/>
  <c r="AC149" s="1"/>
  <c r="L149" s="1"/>
  <c r="AC150" a="1"/>
  <c r="AC150" s="1"/>
  <c r="L150" s="1"/>
  <c r="AC156" a="1"/>
  <c r="AC156" s="1"/>
  <c r="L156" s="1"/>
  <c r="AC161" a="1"/>
  <c r="AC161" s="1"/>
  <c r="L161" s="1"/>
  <c r="AC162" a="1"/>
  <c r="AC162" s="1"/>
  <c r="L162" s="1"/>
  <c r="AC163" a="1"/>
  <c r="AC163" s="1"/>
  <c r="L163" s="1"/>
  <c r="AC164" a="1"/>
  <c r="AC164" s="1"/>
  <c r="L164" s="1"/>
  <c r="AC165" a="1"/>
  <c r="AC165" s="1"/>
  <c r="L165" s="1"/>
  <c r="AC166" a="1"/>
  <c r="AC166" s="1"/>
  <c r="L166" s="1"/>
  <c r="AC167" a="1"/>
  <c r="AC167" s="1"/>
  <c r="L167" s="1"/>
  <c r="AC168" a="1"/>
  <c r="AC168" s="1"/>
  <c r="L168" s="1"/>
  <c r="AC169" a="1"/>
  <c r="AC169" s="1"/>
  <c r="L169" s="1"/>
  <c r="AC170" a="1"/>
  <c r="AC170" s="1"/>
  <c r="L170" s="1"/>
  <c r="AC171" a="1"/>
  <c r="AC171" s="1"/>
  <c r="L171" s="1"/>
  <c r="AC172" a="1"/>
  <c r="AC172" s="1"/>
  <c r="L172" s="1"/>
  <c r="AC173" a="1"/>
  <c r="AC173" s="1"/>
  <c r="L173" s="1"/>
  <c r="AC174" a="1"/>
  <c r="AC174" s="1"/>
  <c r="L174" s="1"/>
  <c r="AC175" a="1"/>
  <c r="AC175" s="1"/>
  <c r="L175" s="1"/>
  <c r="AC176" a="1"/>
  <c r="AC176" s="1"/>
  <c r="L176" s="1"/>
  <c r="AC177" a="1"/>
  <c r="AC177" s="1"/>
  <c r="L177" s="1"/>
  <c r="AC178" a="1"/>
  <c r="AC178" s="1"/>
  <c r="L178" s="1"/>
  <c r="AC179" a="1"/>
  <c r="AC179" s="1"/>
  <c r="L179" s="1"/>
  <c r="AC180" a="1"/>
  <c r="AC180" s="1"/>
  <c r="L180" s="1"/>
  <c r="AC181" a="1"/>
  <c r="AC181" s="1"/>
  <c r="L181" s="1"/>
  <c r="AC187" a="1"/>
  <c r="AC187" s="1"/>
  <c r="L187" s="1"/>
  <c r="AC188" a="1"/>
  <c r="AC188" s="1"/>
  <c r="L188" s="1"/>
  <c r="AC189" a="1"/>
  <c r="AC189" s="1"/>
  <c r="L189" s="1"/>
  <c r="AC190" a="1"/>
  <c r="AC190" s="1"/>
  <c r="L190" s="1"/>
  <c r="AC191" a="1"/>
  <c r="AC191" s="1"/>
  <c r="L191" s="1"/>
  <c r="AC192" a="1"/>
  <c r="AC192" s="1"/>
  <c r="L192" s="1"/>
  <c r="AC193" a="1"/>
  <c r="AC193" s="1"/>
  <c r="L193" s="1"/>
  <c r="AC194" a="1"/>
  <c r="AC194" s="1"/>
  <c r="L194" s="1"/>
  <c r="AC195" a="1"/>
  <c r="AC195" s="1"/>
  <c r="L195" s="1"/>
  <c r="AC196" a="1"/>
  <c r="AC196" s="1"/>
  <c r="L196" s="1"/>
  <c r="AC197" a="1"/>
  <c r="AC197" s="1"/>
  <c r="L197" s="1"/>
  <c r="AC198" a="1"/>
  <c r="AC198" s="1"/>
  <c r="L198" s="1"/>
  <c r="AC199" a="1"/>
  <c r="AC199" s="1"/>
  <c r="L199" s="1"/>
  <c r="AC200" a="1"/>
  <c r="AC200" s="1"/>
  <c r="L200" s="1"/>
  <c r="AC201" a="1"/>
  <c r="AC201" s="1"/>
  <c r="L201" s="1"/>
  <c r="AC202" a="1"/>
  <c r="AC202" s="1"/>
  <c r="L202" s="1"/>
  <c r="AC203" a="1"/>
  <c r="AC203" s="1"/>
  <c r="L203" s="1"/>
  <c r="AC204" a="1"/>
  <c r="AC204" s="1"/>
  <c r="L204" s="1"/>
  <c r="AC205" a="1"/>
  <c r="AC205" s="1"/>
  <c r="L205" s="1"/>
  <c r="AC206" a="1"/>
  <c r="AC206" s="1"/>
  <c r="L206" s="1"/>
  <c r="AC209" a="1"/>
  <c r="AC209" s="1"/>
  <c r="L209" s="1"/>
  <c r="AC210" a="1"/>
  <c r="AC210" s="1"/>
  <c r="L210" s="1"/>
  <c r="AC211" a="1"/>
  <c r="AC211" s="1"/>
  <c r="L211" s="1"/>
  <c r="AC212" a="1"/>
  <c r="AC212" s="1"/>
  <c r="L212" s="1"/>
  <c r="AC213" a="1"/>
  <c r="AC213" s="1"/>
  <c r="L213" s="1"/>
  <c r="AC214" a="1"/>
  <c r="AC214" s="1"/>
  <c r="L214" s="1"/>
  <c r="AC215" a="1"/>
  <c r="AC215" s="1"/>
  <c r="L215" s="1"/>
  <c r="AC216" a="1"/>
  <c r="AC216" s="1"/>
  <c r="L216" s="1"/>
  <c r="AC217" a="1"/>
  <c r="AC217" s="1"/>
  <c r="L217" s="1"/>
  <c r="AC218" a="1"/>
  <c r="AC218" s="1"/>
  <c r="L218" s="1"/>
  <c r="AC219" a="1"/>
  <c r="AC219" s="1"/>
  <c r="L219" s="1"/>
  <c r="AC220" a="1"/>
  <c r="AC220" s="1"/>
  <c r="L220" s="1"/>
  <c r="AC221" a="1"/>
  <c r="AC221" s="1"/>
  <c r="L221" s="1"/>
  <c r="AC222" a="1"/>
  <c r="AC222" s="1"/>
  <c r="L222" s="1"/>
  <c r="AC223" a="1"/>
  <c r="AC223" s="1"/>
  <c r="L223" s="1"/>
  <c r="AC224" a="1"/>
  <c r="AC224" s="1"/>
  <c r="L224" s="1"/>
  <c r="AC225" a="1"/>
  <c r="AC225" s="1"/>
  <c r="L225" s="1"/>
  <c r="AC226" a="1"/>
  <c r="AC226" s="1"/>
  <c r="L226" s="1"/>
  <c r="AC227" a="1"/>
  <c r="AC227" s="1"/>
  <c r="L227" s="1"/>
  <c r="AC229" a="1"/>
  <c r="AC229" s="1"/>
  <c r="L229" s="1"/>
  <c r="AC232" a="1"/>
  <c r="AC232" s="1"/>
  <c r="L232" s="1"/>
  <c r="AC234" a="1"/>
  <c r="AC234" s="1"/>
  <c r="L234" s="1"/>
  <c r="AC235" a="1"/>
  <c r="AC235" s="1"/>
  <c r="L235" s="1"/>
  <c r="AC236" a="1"/>
  <c r="AC236" s="1"/>
  <c r="L236" s="1"/>
  <c r="AC237" a="1"/>
  <c r="AC237" s="1"/>
  <c r="L237" s="1"/>
  <c r="AC238" a="1"/>
  <c r="AC238" s="1"/>
  <c r="L238" s="1"/>
  <c r="AC239" a="1"/>
  <c r="AC239" s="1"/>
  <c r="L239" s="1"/>
  <c r="AC240" a="1"/>
  <c r="AC240" s="1"/>
  <c r="L240" s="1"/>
  <c r="AC241" a="1"/>
  <c r="AC241" s="1"/>
  <c r="L241" s="1"/>
  <c r="AC242" a="1"/>
  <c r="AC242" s="1"/>
  <c r="L242" s="1"/>
  <c r="AC243" a="1"/>
  <c r="AC243" s="1"/>
  <c r="L243" s="1"/>
  <c r="AC244" a="1"/>
  <c r="AC244" s="1"/>
  <c r="L244" s="1"/>
  <c r="AC245" a="1"/>
  <c r="AC245" s="1"/>
  <c r="L245" s="1"/>
  <c r="AC246" a="1"/>
  <c r="AC246" s="1"/>
  <c r="L246" s="1"/>
  <c r="AC247" a="1"/>
  <c r="AC247" s="1"/>
  <c r="L247" s="1"/>
  <c r="AC248" a="1"/>
  <c r="AC248" s="1"/>
  <c r="L248" s="1"/>
  <c r="AC249" a="1"/>
  <c r="AC249" s="1"/>
  <c r="L249" s="1"/>
  <c r="AC250" a="1"/>
  <c r="AC250" s="1"/>
  <c r="L250" s="1"/>
  <c r="AC251" a="1"/>
  <c r="AC251" s="1"/>
  <c r="L251" s="1"/>
  <c r="AC252" a="1"/>
  <c r="AC252" s="1"/>
  <c r="L252" s="1"/>
  <c r="AC253" a="1"/>
  <c r="AC253" s="1"/>
  <c r="L253" s="1"/>
  <c r="AC254" a="1"/>
  <c r="AC254" s="1"/>
  <c r="L254" s="1"/>
  <c r="AC255" a="1"/>
  <c r="AC255" s="1"/>
  <c r="L255" s="1"/>
  <c r="AC256" a="1"/>
  <c r="AC256" s="1"/>
  <c r="L256" s="1"/>
  <c r="AC257" a="1"/>
  <c r="AC257" s="1"/>
  <c r="L257" s="1"/>
  <c r="AC258" a="1"/>
  <c r="AC258" s="1"/>
  <c r="L258" s="1"/>
  <c r="AC259" a="1"/>
  <c r="AC259" s="1"/>
  <c r="L259" s="1"/>
  <c r="AC260" a="1"/>
  <c r="AC260" s="1"/>
  <c r="L260" s="1"/>
  <c r="AC261" a="1"/>
  <c r="AC261" s="1"/>
  <c r="L261" s="1"/>
  <c r="AC262" a="1"/>
  <c r="AC262" s="1"/>
  <c r="L262" s="1"/>
  <c r="AC263" a="1"/>
  <c r="AC263" s="1"/>
  <c r="L263" s="1"/>
  <c r="AC272" a="1"/>
  <c r="AC272" s="1"/>
  <c r="L272" s="1"/>
  <c r="AC274" a="1"/>
  <c r="AC274" s="1"/>
  <c r="L274" s="1"/>
  <c r="AC276" a="1"/>
  <c r="AC276" s="1"/>
  <c r="L276" s="1"/>
  <c r="AC277" a="1"/>
  <c r="AC277" s="1"/>
  <c r="L277" s="1"/>
  <c r="AC313" a="1"/>
  <c r="AC313" s="1"/>
  <c r="L313" s="1"/>
  <c r="AC314" a="1"/>
  <c r="AC314" s="1"/>
  <c r="L314" s="1"/>
  <c r="AC325" a="1"/>
  <c r="AC325" s="1"/>
  <c r="L325" s="1"/>
  <c r="AC326" a="1"/>
  <c r="AC326" s="1"/>
  <c r="L326" s="1"/>
  <c r="AC332" a="1"/>
  <c r="AC332" s="1"/>
  <c r="L332" s="1"/>
  <c r="AC333" a="1"/>
  <c r="AC333" s="1"/>
  <c r="L333" s="1"/>
  <c r="AC334" a="1"/>
  <c r="AC334" s="1"/>
  <c r="L334" s="1"/>
  <c r="AC335" a="1"/>
  <c r="AC335" s="1"/>
  <c r="L335" s="1"/>
  <c r="AC339" a="1"/>
  <c r="AC339" s="1"/>
  <c r="L339" s="1"/>
  <c r="AC340" a="1"/>
  <c r="AC340" s="1"/>
  <c r="L340" s="1"/>
  <c r="AC345" a="1"/>
  <c r="AC345" s="1"/>
  <c r="L345" s="1"/>
  <c r="AC382" a="1"/>
  <c r="AC382" s="1"/>
  <c r="L382" s="1"/>
  <c r="AC384" a="1"/>
  <c r="AC384" s="1"/>
  <c r="L384" s="1"/>
  <c r="AC385" a="1"/>
  <c r="AC385" s="1"/>
  <c r="L385" s="1"/>
  <c r="AC390" a="1"/>
  <c r="AC390" s="1"/>
  <c r="L390" s="1"/>
  <c r="AC391" a="1"/>
  <c r="AC391" s="1"/>
  <c r="L391" s="1"/>
  <c r="AC392" a="1"/>
  <c r="AC392" s="1"/>
  <c r="L392" s="1"/>
  <c r="AC13" a="1"/>
  <c r="AC13" s="1"/>
  <c r="L13" s="1"/>
  <c r="AC14" a="1"/>
  <c r="AC14" s="1"/>
  <c r="L14" s="1"/>
  <c r="AC15" a="1"/>
  <c r="AC15" s="1"/>
  <c r="L15" s="1"/>
  <c r="AC56" a="1"/>
  <c r="AC56" s="1"/>
  <c r="L56" s="1"/>
  <c r="AC59" a="1"/>
  <c r="AC59" s="1"/>
  <c r="L59" s="1"/>
  <c r="AC60" a="1"/>
  <c r="AC60" s="1"/>
  <c r="L60" s="1"/>
  <c r="AC68" a="1"/>
  <c r="AC68" s="1"/>
  <c r="L68" s="1"/>
  <c r="AC97" a="1"/>
  <c r="AC97" s="1"/>
  <c r="L97" s="1"/>
  <c r="AC98" a="1"/>
  <c r="AC98" s="1"/>
  <c r="L98" s="1"/>
  <c r="AC99" a="1"/>
  <c r="AC99" s="1"/>
  <c r="L99" s="1"/>
  <c r="AC100" a="1"/>
  <c r="AC100" s="1"/>
  <c r="L100" s="1"/>
  <c r="AC102" a="1"/>
  <c r="AC102" s="1"/>
  <c r="L102" s="1"/>
  <c r="AC103" a="1"/>
  <c r="AC103" s="1"/>
  <c r="L103" s="1"/>
  <c r="AC106" a="1"/>
  <c r="AC106" s="1"/>
  <c r="L106" s="1"/>
  <c r="AC107" a="1"/>
  <c r="AC107" s="1"/>
  <c r="L107" s="1"/>
  <c r="AC108" a="1"/>
  <c r="AC108" s="1"/>
  <c r="L108" s="1"/>
  <c r="AC114" a="1"/>
  <c r="AC114" s="1"/>
  <c r="L114" s="1"/>
  <c r="AC121" a="1"/>
  <c r="AC121" s="1"/>
  <c r="L121" s="1"/>
  <c r="AC123" a="1"/>
  <c r="AC123" s="1"/>
  <c r="L123" s="1"/>
  <c r="AC137" a="1"/>
  <c r="AC137" s="1"/>
  <c r="L137" s="1"/>
  <c r="AC138" a="1"/>
  <c r="AC138" s="1"/>
  <c r="L138" s="1"/>
  <c r="AC139" a="1"/>
  <c r="AC139" s="1"/>
  <c r="L139" s="1"/>
  <c r="AC141" a="1"/>
  <c r="AC141" s="1"/>
  <c r="L141" s="1"/>
  <c r="AC147" a="1"/>
  <c r="AC147" s="1"/>
  <c r="L147" s="1"/>
  <c r="AC151" a="1"/>
  <c r="AC151" s="1"/>
  <c r="L151" s="1"/>
  <c r="AC152" a="1"/>
  <c r="AC152" s="1"/>
  <c r="L152" s="1"/>
  <c r="AC153" a="1"/>
  <c r="AC153" s="1"/>
  <c r="L153" s="1"/>
  <c r="AC154" a="1"/>
  <c r="AC154" s="1"/>
  <c r="L154" s="1"/>
  <c r="AC155" a="1"/>
  <c r="AC155" s="1"/>
  <c r="L155" s="1"/>
  <c r="AC267" a="1"/>
  <c r="AC267" s="1"/>
  <c r="L267" s="1"/>
  <c r="AC268" a="1"/>
  <c r="AC268" s="1"/>
  <c r="L268" s="1"/>
  <c r="AC282" a="1"/>
  <c r="AC282" s="1"/>
  <c r="L282" s="1"/>
  <c r="AC283" a="1"/>
  <c r="AC283" s="1"/>
  <c r="L283" s="1"/>
  <c r="AC284" a="1"/>
  <c r="AC284" s="1"/>
  <c r="L284" s="1"/>
  <c r="AC285" a="1"/>
  <c r="AC285" s="1"/>
  <c r="L285" s="1"/>
  <c r="AC286" a="1"/>
  <c r="AC286" s="1"/>
  <c r="L286" s="1"/>
  <c r="AC296" a="1"/>
  <c r="AC296" s="1"/>
  <c r="L296" s="1"/>
  <c r="AC304" a="1"/>
  <c r="AC304" s="1"/>
  <c r="L304" s="1"/>
  <c r="AC305" a="1"/>
  <c r="AC305" s="1"/>
  <c r="L305" s="1"/>
  <c r="AC306" a="1"/>
  <c r="AC306" s="1"/>
  <c r="L306" s="1"/>
  <c r="AC312" a="1"/>
  <c r="AC312" s="1"/>
  <c r="L312" s="1"/>
  <c r="AC319" a="1"/>
  <c r="AC319" s="1"/>
  <c r="L319" s="1"/>
  <c r="AC19" a="1"/>
  <c r="AC19" s="1"/>
  <c r="L19" s="1"/>
  <c r="AC20" a="1"/>
  <c r="AC20" s="1"/>
  <c r="L20" s="1"/>
  <c r="AC21" a="1"/>
  <c r="AC21" s="1"/>
  <c r="L21" s="1"/>
  <c r="AC22" a="1"/>
  <c r="AC22" s="1"/>
  <c r="L22" s="1"/>
  <c r="AC23" a="1"/>
  <c r="AC23" s="1"/>
  <c r="L23" s="1"/>
  <c r="AC24" a="1"/>
  <c r="AC24" s="1"/>
  <c r="L24" s="1"/>
  <c r="AC25" a="1"/>
  <c r="AC25" s="1"/>
  <c r="L25" s="1"/>
  <c r="AC26" a="1"/>
  <c r="AC26" s="1"/>
  <c r="L26" s="1"/>
  <c r="AC27" a="1"/>
  <c r="AC27" s="1"/>
  <c r="L27" s="1"/>
  <c r="AC28" a="1"/>
  <c r="AC28" s="1"/>
  <c r="L28" s="1"/>
  <c r="AC29" a="1"/>
  <c r="AC29" s="1"/>
  <c r="L29" s="1"/>
  <c r="AC30" a="1"/>
  <c r="AC30" s="1"/>
  <c r="L30" s="1"/>
  <c r="AC31" a="1"/>
  <c r="AC31" s="1"/>
  <c r="L31" s="1"/>
  <c r="AC33" a="1"/>
  <c r="AC33" s="1"/>
  <c r="L33" s="1"/>
  <c r="AC34" a="1"/>
  <c r="AC34" s="1"/>
  <c r="L34" s="1"/>
  <c r="AC35" a="1"/>
  <c r="AC35" s="1"/>
  <c r="L35" s="1"/>
  <c r="AC36" a="1"/>
  <c r="AC36" s="1"/>
  <c r="L36" s="1"/>
  <c r="AC37" a="1"/>
  <c r="AC37" s="1"/>
  <c r="L37" s="1"/>
  <c r="AC38" a="1"/>
  <c r="AC38" s="1"/>
  <c r="L38" s="1"/>
  <c r="AC39" a="1"/>
  <c r="AC39" s="1"/>
  <c r="L39" s="1"/>
  <c r="AC40" a="1"/>
  <c r="AC40" s="1"/>
  <c r="L40" s="1"/>
  <c r="AC41" a="1"/>
  <c r="AC41" s="1"/>
  <c r="L41" s="1"/>
  <c r="AC42" a="1"/>
  <c r="AC42" s="1"/>
  <c r="L42" s="1"/>
  <c r="AC43" a="1"/>
  <c r="AC43" s="1"/>
  <c r="L43" s="1"/>
  <c r="AC44" a="1"/>
  <c r="AC44" s="1"/>
  <c r="L44" s="1"/>
  <c r="AC45" a="1"/>
  <c r="AC45" s="1"/>
  <c r="L45" s="1"/>
  <c r="AC46" a="1"/>
  <c r="AC46" s="1"/>
  <c r="L46" s="1"/>
  <c r="AC48" a="1"/>
  <c r="AC48" s="1"/>
  <c r="L48" s="1"/>
  <c r="AC49" a="1"/>
  <c r="AC49" s="1"/>
  <c r="L49" s="1"/>
  <c r="AC50" a="1"/>
  <c r="AC50" s="1"/>
  <c r="L50" s="1"/>
  <c r="AC51" a="1"/>
  <c r="AC51" s="1"/>
  <c r="L51" s="1"/>
  <c r="AC52" a="1"/>
  <c r="AC52" s="1"/>
  <c r="L52" s="1"/>
  <c r="AC53" a="1"/>
  <c r="AC53" s="1"/>
  <c r="L53" s="1"/>
  <c r="AC54" a="1"/>
  <c r="AC54" s="1"/>
  <c r="L54" s="1"/>
  <c r="AC55" a="1"/>
  <c r="AC55" s="1"/>
  <c r="L55" s="1"/>
  <c r="AC58" a="1"/>
  <c r="AC58" s="1"/>
  <c r="L58" s="1"/>
  <c r="AC61" a="1"/>
  <c r="AC61" s="1"/>
  <c r="L61" s="1"/>
  <c r="AC63" a="1"/>
  <c r="AC63" s="1"/>
  <c r="L63" s="1"/>
  <c r="AC64" a="1"/>
  <c r="AC64" s="1"/>
  <c r="L64" s="1"/>
  <c r="AC65" a="1"/>
  <c r="AC65" s="1"/>
  <c r="L65" s="1"/>
  <c r="AC66" a="1"/>
  <c r="AC66" s="1"/>
  <c r="L66" s="1"/>
  <c r="AC67" a="1"/>
  <c r="AC67" s="1"/>
  <c r="L67" s="1"/>
  <c r="AC76" a="1"/>
  <c r="AC76" s="1"/>
  <c r="L76" s="1"/>
  <c r="AC77" a="1"/>
  <c r="AC77" s="1"/>
  <c r="L77" s="1"/>
  <c r="AC78" a="1"/>
  <c r="AC78" s="1"/>
  <c r="L78" s="1"/>
  <c r="AC104" a="1"/>
  <c r="AC104" s="1"/>
  <c r="L104" s="1"/>
  <c r="AC105" a="1"/>
  <c r="AC105" s="1"/>
  <c r="L105" s="1"/>
  <c r="AC109" a="1"/>
  <c r="AC109" s="1"/>
  <c r="L109" s="1"/>
  <c r="AC110" a="1"/>
  <c r="AC110" s="1"/>
  <c r="L110" s="1"/>
  <c r="AC112" a="1"/>
  <c r="AC112" s="1"/>
  <c r="L112" s="1"/>
  <c r="AC113" a="1"/>
  <c r="AC113" s="1"/>
  <c r="L113" s="1"/>
  <c r="AC115" a="1"/>
  <c r="AC115" s="1"/>
  <c r="L115" s="1"/>
  <c r="AC117" a="1"/>
  <c r="AC117" s="1"/>
  <c r="L117" s="1"/>
  <c r="AC118" a="1"/>
  <c r="AC118" s="1"/>
  <c r="L118" s="1"/>
  <c r="AC119" a="1"/>
  <c r="AC119" s="1"/>
  <c r="L119" s="1"/>
  <c r="AC120" a="1"/>
  <c r="AC120" s="1"/>
  <c r="L120" s="1"/>
  <c r="AC125" a="1"/>
  <c r="AC125" s="1"/>
  <c r="L125" s="1"/>
  <c r="AC126" a="1"/>
  <c r="AC126" s="1"/>
  <c r="L126" s="1"/>
  <c r="AC157" a="1"/>
  <c r="AC157" s="1"/>
  <c r="L157" s="1"/>
  <c r="AC264" a="1"/>
  <c r="AC264" s="1"/>
  <c r="L264" s="1"/>
  <c r="AC265" a="1"/>
  <c r="AC265" s="1"/>
  <c r="L265" s="1"/>
  <c r="AC266" a="1"/>
  <c r="AC266" s="1"/>
  <c r="L266" s="1"/>
  <c r="AC269" a="1"/>
  <c r="AC269" s="1"/>
  <c r="L269" s="1"/>
  <c r="AC270" a="1"/>
  <c r="AC270" s="1"/>
  <c r="L270" s="1"/>
  <c r="AC271" a="1"/>
  <c r="AC271" s="1"/>
  <c r="L271" s="1"/>
  <c r="AC275" a="1"/>
  <c r="AC275" s="1"/>
  <c r="L275" s="1"/>
  <c r="AC278" a="1"/>
  <c r="AC278" s="1"/>
  <c r="L278" s="1"/>
  <c r="AC279" a="1"/>
  <c r="AC279" s="1"/>
  <c r="L279" s="1"/>
  <c r="AC280" a="1"/>
  <c r="AC280" s="1"/>
  <c r="L280" s="1"/>
  <c r="AC281" a="1"/>
  <c r="AC281" s="1"/>
  <c r="L281" s="1"/>
  <c r="AC287" a="1"/>
  <c r="AC287" s="1"/>
  <c r="L287" s="1"/>
  <c r="AC288" a="1"/>
  <c r="AC288" s="1"/>
  <c r="L288" s="1"/>
  <c r="AC289" a="1"/>
  <c r="AC289" s="1"/>
  <c r="L289" s="1"/>
  <c r="AC290" a="1"/>
  <c r="AC290" s="1"/>
  <c r="L290" s="1"/>
  <c r="AC291" a="1"/>
  <c r="AC291" s="1"/>
  <c r="L291" s="1"/>
  <c r="AC292" a="1"/>
  <c r="AC292" s="1"/>
  <c r="L292" s="1"/>
  <c r="AC293" a="1"/>
  <c r="AC293" s="1"/>
  <c r="L293" s="1"/>
  <c r="AC294" a="1"/>
  <c r="AC294" s="1"/>
  <c r="L294" s="1"/>
  <c r="AC295" a="1"/>
  <c r="AC295" s="1"/>
  <c r="L295" s="1"/>
  <c r="AC297" a="1"/>
  <c r="AC297" s="1"/>
  <c r="L297" s="1"/>
  <c r="AC298" a="1"/>
  <c r="AC298" s="1"/>
  <c r="L298" s="1"/>
  <c r="AC299" a="1"/>
  <c r="AC299" s="1"/>
  <c r="L299" s="1"/>
  <c r="AC300" a="1"/>
  <c r="AC300" s="1"/>
  <c r="L300" s="1"/>
  <c r="AC301" a="1"/>
  <c r="AC301" s="1"/>
  <c r="L301" s="1"/>
  <c r="AC302" a="1"/>
  <c r="AC302" s="1"/>
  <c r="L302" s="1"/>
  <c r="AC303" a="1"/>
  <c r="AC303" s="1"/>
  <c r="L303" s="1"/>
  <c r="AC307" a="1"/>
  <c r="AC307" s="1"/>
  <c r="L307" s="1"/>
  <c r="AC308" a="1"/>
  <c r="AC308" s="1"/>
  <c r="L308" s="1"/>
  <c r="AC309" a="1"/>
  <c r="AC309" s="1"/>
  <c r="L309" s="1"/>
  <c r="AC310" a="1"/>
  <c r="AC310" s="1"/>
  <c r="L310" s="1"/>
  <c r="AC311" a="1"/>
  <c r="AC311" s="1"/>
  <c r="L311" s="1"/>
  <c r="AC315" a="1"/>
  <c r="AC315" s="1"/>
  <c r="L315" s="1"/>
  <c r="AC316" a="1"/>
  <c r="AC316" s="1"/>
  <c r="L316" s="1"/>
  <c r="AC317" a="1"/>
  <c r="AC317" s="1"/>
  <c r="L317" s="1"/>
  <c r="AC321" a="1"/>
  <c r="AC321" s="1"/>
  <c r="L321" s="1"/>
  <c r="AC322" a="1"/>
  <c r="AC322" s="1"/>
  <c r="L322" s="1"/>
  <c r="AC323" a="1"/>
  <c r="AC323" s="1"/>
  <c r="L323" s="1"/>
  <c r="AC324" a="1"/>
  <c r="AC324" s="1"/>
  <c r="L324" s="1"/>
  <c r="AC327" a="1"/>
  <c r="AC327" s="1"/>
  <c r="L327" s="1"/>
  <c r="AC328" a="1"/>
  <c r="AC328" s="1"/>
  <c r="L328" s="1"/>
  <c r="AC329" a="1"/>
  <c r="AC329" s="1"/>
  <c r="L329" s="1"/>
  <c r="AC330" a="1"/>
  <c r="AC330" s="1"/>
  <c r="L330" s="1"/>
  <c r="AC331" a="1"/>
  <c r="AC331" s="1"/>
  <c r="L331" s="1"/>
  <c r="AC337" a="1"/>
  <c r="AC337" s="1"/>
  <c r="L337" s="1"/>
  <c r="AC338" a="1"/>
  <c r="AC338" s="1"/>
  <c r="L338" s="1"/>
  <c r="AC341" a="1"/>
  <c r="AC341" s="1"/>
  <c r="L341" s="1"/>
  <c r="AC342" a="1"/>
  <c r="AC342" s="1"/>
  <c r="L342" s="1"/>
  <c r="AC343" a="1"/>
  <c r="AC343" s="1"/>
  <c r="L343" s="1"/>
  <c r="AC344" a="1"/>
  <c r="AC344" s="1"/>
  <c r="L344" s="1"/>
  <c r="AC346" a="1"/>
  <c r="AC346" s="1"/>
  <c r="L346" s="1"/>
  <c r="AC348" a="1"/>
  <c r="AC348" s="1"/>
  <c r="L348" s="1"/>
  <c r="AC349" a="1"/>
  <c r="AC349" s="1"/>
  <c r="L349" s="1"/>
  <c r="AC350" a="1"/>
  <c r="AC350" s="1"/>
  <c r="L350" s="1"/>
  <c r="AC353" a="1"/>
  <c r="AC353" s="1"/>
  <c r="L353" s="1"/>
  <c r="AC355" a="1"/>
  <c r="AC355" s="1"/>
  <c r="L355" s="1"/>
  <c r="AC356" a="1"/>
  <c r="AC356" s="1"/>
  <c r="L356" s="1"/>
  <c r="AC357" a="1"/>
  <c r="AC357" s="1"/>
  <c r="L357" s="1"/>
  <c r="AC358" a="1"/>
  <c r="AC358" s="1"/>
  <c r="L358" s="1"/>
  <c r="AC359" a="1"/>
  <c r="AC359" s="1"/>
  <c r="L359" s="1"/>
  <c r="AC360" a="1"/>
  <c r="AC360" s="1"/>
  <c r="L360" s="1"/>
  <c r="AC361" a="1"/>
  <c r="AC361" s="1"/>
  <c r="L361" s="1"/>
  <c r="AC362" a="1"/>
  <c r="AC362" s="1"/>
  <c r="L362" s="1"/>
  <c r="AC363" a="1"/>
  <c r="AC363" s="1"/>
  <c r="L363" s="1"/>
  <c r="AC364" a="1"/>
  <c r="AC364" s="1"/>
  <c r="L364" s="1"/>
  <c r="AC365" a="1"/>
  <c r="AC365" s="1"/>
  <c r="L365" s="1"/>
  <c r="AC366" a="1"/>
  <c r="AC366" s="1"/>
  <c r="L366" s="1"/>
  <c r="AC367" a="1"/>
  <c r="AC367" s="1"/>
  <c r="L367" s="1"/>
  <c r="AC368" a="1"/>
  <c r="AC368" s="1"/>
  <c r="L368" s="1"/>
  <c r="AC369" a="1"/>
  <c r="AC369" s="1"/>
  <c r="L369" s="1"/>
  <c r="AC370" a="1"/>
  <c r="AC370" s="1"/>
  <c r="L370" s="1"/>
  <c r="AC371" a="1"/>
  <c r="AC371" s="1"/>
  <c r="L371" s="1"/>
  <c r="AC373" a="1"/>
  <c r="AC373" s="1"/>
  <c r="L373" s="1"/>
  <c r="AC374" a="1"/>
  <c r="AC374" s="1"/>
  <c r="L374" s="1"/>
  <c r="AC375" a="1"/>
  <c r="AC375" s="1"/>
  <c r="L375" s="1"/>
  <c r="AC376" a="1"/>
  <c r="AC376" s="1"/>
  <c r="L376" s="1"/>
  <c r="AC377" a="1"/>
  <c r="AC377" s="1"/>
  <c r="L377" s="1"/>
  <c r="AC378" a="1"/>
  <c r="AC378" s="1"/>
  <c r="L378" s="1"/>
  <c r="AC379" a="1"/>
  <c r="AC379" s="1"/>
  <c r="L379" s="1"/>
  <c r="AC380" a="1"/>
  <c r="AC380" s="1"/>
  <c r="L380" s="1"/>
  <c r="AC381" a="1"/>
  <c r="AC381" s="1"/>
  <c r="L381" s="1"/>
  <c r="AC388" a="1"/>
  <c r="AC388" s="1"/>
  <c r="L388" s="1"/>
  <c r="AC389" a="1"/>
  <c r="AC389" s="1"/>
  <c r="L389" s="1"/>
  <c r="AC393" a="1"/>
  <c r="AC393" s="1"/>
  <c r="L393" s="1"/>
  <c r="AC394" a="1"/>
  <c r="AC394" s="1"/>
  <c r="L394" s="1"/>
  <c r="AC395" a="1"/>
  <c r="AC395" s="1"/>
  <c r="L395" s="1"/>
  <c r="AC396" a="1"/>
  <c r="AC396" s="1"/>
  <c r="L396" s="1"/>
  <c r="AC397" a="1"/>
  <c r="AC397" s="1"/>
  <c r="L397" s="1"/>
  <c r="AC398" a="1"/>
  <c r="AC398" s="1"/>
  <c r="L398" s="1"/>
  <c r="AC399" a="1"/>
  <c r="AC399" s="1"/>
  <c r="L399" s="1"/>
  <c r="AC400" a="1"/>
  <c r="AC400" s="1"/>
  <c r="L400" s="1"/>
  <c r="I2"/>
  <c r="I3"/>
  <c r="I4"/>
  <c r="I5"/>
  <c r="I6"/>
  <c r="I7"/>
  <c r="I8"/>
  <c r="I9"/>
  <c r="I10"/>
  <c r="I11"/>
  <c r="I12"/>
  <c r="I16"/>
  <c r="I17"/>
  <c r="I47"/>
  <c r="I70"/>
  <c r="I79"/>
  <c r="I80"/>
  <c r="I81"/>
  <c r="I84"/>
  <c r="I86"/>
  <c r="I87"/>
  <c r="I88"/>
  <c r="I89"/>
  <c r="I90"/>
  <c r="I91"/>
  <c r="I93"/>
  <c r="I94"/>
  <c r="I95"/>
  <c r="I96"/>
  <c r="I111"/>
  <c r="I122"/>
  <c r="I129"/>
  <c r="I128"/>
  <c r="I131"/>
  <c r="I132"/>
  <c r="I133"/>
  <c r="I134"/>
  <c r="I135"/>
  <c r="I136"/>
  <c r="I145"/>
  <c r="I146"/>
  <c r="I148"/>
  <c r="I149"/>
  <c r="I150"/>
  <c r="I156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9"/>
  <c r="I232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72"/>
  <c r="I274"/>
  <c r="I276"/>
  <c r="I277"/>
  <c r="I313"/>
  <c r="I314"/>
  <c r="I325"/>
  <c r="I326"/>
  <c r="I332"/>
  <c r="I333"/>
  <c r="I334"/>
  <c r="I335"/>
  <c r="I339"/>
  <c r="I340"/>
  <c r="I345"/>
  <c r="I382"/>
  <c r="I384"/>
  <c r="I385"/>
  <c r="I390"/>
  <c r="I391"/>
  <c r="I392"/>
  <c r="I13"/>
  <c r="I14"/>
  <c r="I15"/>
  <c r="I56"/>
  <c r="I59"/>
  <c r="I60"/>
  <c r="I68"/>
  <c r="I97"/>
  <c r="I98"/>
  <c r="I99"/>
  <c r="I100"/>
  <c r="I102"/>
  <c r="I103"/>
  <c r="I106"/>
  <c r="I107"/>
  <c r="I108"/>
  <c r="I114"/>
  <c r="I121"/>
  <c r="I123"/>
  <c r="I137"/>
  <c r="I138"/>
  <c r="I139"/>
  <c r="I141"/>
  <c r="I147"/>
  <c r="I151"/>
  <c r="I152"/>
  <c r="I153"/>
  <c r="I154"/>
  <c r="I155"/>
  <c r="I267"/>
  <c r="I268"/>
  <c r="I282"/>
  <c r="I283"/>
  <c r="I284"/>
  <c r="I285"/>
  <c r="I286"/>
  <c r="I296"/>
  <c r="I304"/>
  <c r="I305"/>
  <c r="I306"/>
  <c r="I312"/>
  <c r="I319"/>
  <c r="I19"/>
  <c r="I20"/>
  <c r="I21"/>
  <c r="I22"/>
  <c r="I23"/>
  <c r="I24"/>
  <c r="I25"/>
  <c r="I26"/>
  <c r="I27"/>
  <c r="I28"/>
  <c r="I29"/>
  <c r="I30"/>
  <c r="I31"/>
  <c r="I33"/>
  <c r="I34"/>
  <c r="I35"/>
  <c r="I36"/>
  <c r="I37"/>
  <c r="I38"/>
  <c r="I39"/>
  <c r="I40"/>
  <c r="I41"/>
  <c r="I42"/>
  <c r="I43"/>
  <c r="I44"/>
  <c r="I45"/>
  <c r="I46"/>
  <c r="I48"/>
  <c r="I49"/>
  <c r="I50"/>
  <c r="I51"/>
  <c r="I52"/>
  <c r="I53"/>
  <c r="I54"/>
  <c r="I55"/>
  <c r="I58"/>
  <c r="I61"/>
  <c r="I63"/>
  <c r="I64"/>
  <c r="I65"/>
  <c r="I66"/>
  <c r="I67"/>
  <c r="I76"/>
  <c r="I77"/>
  <c r="I78"/>
  <c r="I104"/>
  <c r="I105"/>
  <c r="I109"/>
  <c r="I110"/>
  <c r="I112"/>
  <c r="I113"/>
  <c r="I115"/>
  <c r="I117"/>
  <c r="I118"/>
  <c r="I119"/>
  <c r="I120"/>
  <c r="I125"/>
  <c r="I126"/>
  <c r="I157"/>
  <c r="I264"/>
  <c r="I265"/>
  <c r="I266"/>
  <c r="I269"/>
  <c r="I270"/>
  <c r="I271"/>
  <c r="I275"/>
  <c r="I278"/>
  <c r="I279"/>
  <c r="I280"/>
  <c r="I281"/>
  <c r="I287"/>
  <c r="I288"/>
  <c r="I289"/>
  <c r="I290"/>
  <c r="I291"/>
  <c r="I292"/>
  <c r="I293"/>
  <c r="I294"/>
  <c r="I295"/>
  <c r="I297"/>
  <c r="I298"/>
  <c r="I299"/>
  <c r="I300"/>
  <c r="I301"/>
  <c r="I302"/>
  <c r="I303"/>
  <c r="I307"/>
  <c r="I308"/>
  <c r="I309"/>
  <c r="I310"/>
  <c r="I311"/>
  <c r="I315"/>
  <c r="I316"/>
  <c r="I317"/>
  <c r="I321"/>
  <c r="I322"/>
  <c r="I323"/>
  <c r="I324"/>
  <c r="I327"/>
  <c r="I328"/>
  <c r="I329"/>
  <c r="I330"/>
  <c r="I331"/>
  <c r="I337"/>
  <c r="I338"/>
  <c r="I341"/>
  <c r="I342"/>
  <c r="I343"/>
  <c r="I344"/>
  <c r="I346"/>
  <c r="I348"/>
  <c r="I349"/>
  <c r="I350"/>
  <c r="I353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3"/>
  <c r="I374"/>
  <c r="I375"/>
  <c r="I376"/>
  <c r="I377"/>
  <c r="I378"/>
  <c r="I379"/>
  <c r="I380"/>
  <c r="I381"/>
  <c r="I388"/>
  <c r="I389"/>
  <c r="I393"/>
  <c r="I394"/>
  <c r="I395"/>
  <c r="I396"/>
  <c r="I397"/>
  <c r="I398"/>
  <c r="I399"/>
  <c r="I400"/>
  <c r="H2"/>
  <c r="H3"/>
  <c r="H4"/>
  <c r="H5"/>
  <c r="H6"/>
  <c r="H7"/>
  <c r="H8"/>
  <c r="H9"/>
  <c r="H10"/>
  <c r="H11"/>
  <c r="H12"/>
  <c r="H16"/>
  <c r="H17"/>
  <c r="H47"/>
  <c r="H70"/>
  <c r="H79"/>
  <c r="H80"/>
  <c r="H81"/>
  <c r="H84"/>
  <c r="H86"/>
  <c r="H87"/>
  <c r="H88"/>
  <c r="H89"/>
  <c r="H90"/>
  <c r="H91"/>
  <c r="H93"/>
  <c r="H94"/>
  <c r="H95"/>
  <c r="H96"/>
  <c r="H111"/>
  <c r="H122"/>
  <c r="H129"/>
  <c r="H128"/>
  <c r="H131"/>
  <c r="H132"/>
  <c r="H133"/>
  <c r="H134"/>
  <c r="H135"/>
  <c r="H136"/>
  <c r="H145"/>
  <c r="H146"/>
  <c r="H148"/>
  <c r="H149"/>
  <c r="H150"/>
  <c r="H156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9"/>
  <c r="H232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72"/>
  <c r="H274"/>
  <c r="H276"/>
  <c r="H277"/>
  <c r="H313"/>
  <c r="H314"/>
  <c r="H325"/>
  <c r="H326"/>
  <c r="H332"/>
  <c r="H333"/>
  <c r="H334"/>
  <c r="H335"/>
  <c r="H339"/>
  <c r="H340"/>
  <c r="H345"/>
  <c r="H382"/>
  <c r="H384"/>
  <c r="H385"/>
  <c r="H390"/>
  <c r="H391"/>
  <c r="H392"/>
  <c r="H13"/>
  <c r="H14"/>
  <c r="H15"/>
  <c r="H56"/>
  <c r="H59"/>
  <c r="H60"/>
  <c r="H68"/>
  <c r="H97"/>
  <c r="H98"/>
  <c r="H99"/>
  <c r="H100"/>
  <c r="H102"/>
  <c r="H103"/>
  <c r="H106"/>
  <c r="H107"/>
  <c r="H108"/>
  <c r="H114"/>
  <c r="H121"/>
  <c r="H123"/>
  <c r="H137"/>
  <c r="H138"/>
  <c r="H139"/>
  <c r="H141"/>
  <c r="H147"/>
  <c r="H151"/>
  <c r="H152"/>
  <c r="H153"/>
  <c r="H154"/>
  <c r="H155"/>
  <c r="H267"/>
  <c r="H268"/>
  <c r="H282"/>
  <c r="H283"/>
  <c r="H284"/>
  <c r="H285"/>
  <c r="H286"/>
  <c r="H296"/>
  <c r="H304"/>
  <c r="H305"/>
  <c r="H306"/>
  <c r="H312"/>
  <c r="H319"/>
  <c r="H19"/>
  <c r="H20"/>
  <c r="H21"/>
  <c r="H22"/>
  <c r="H23"/>
  <c r="H24"/>
  <c r="H25"/>
  <c r="H26"/>
  <c r="H27"/>
  <c r="H28"/>
  <c r="H29"/>
  <c r="H30"/>
  <c r="H31"/>
  <c r="H33"/>
  <c r="H34"/>
  <c r="H35"/>
  <c r="H36"/>
  <c r="H37"/>
  <c r="H38"/>
  <c r="H39"/>
  <c r="H40"/>
  <c r="H41"/>
  <c r="H42"/>
  <c r="H43"/>
  <c r="H44"/>
  <c r="H45"/>
  <c r="H46"/>
  <c r="H48"/>
  <c r="H49"/>
  <c r="H50"/>
  <c r="H51"/>
  <c r="H52"/>
  <c r="H53"/>
  <c r="H54"/>
  <c r="H55"/>
  <c r="H58"/>
  <c r="H61"/>
  <c r="H63"/>
  <c r="H64"/>
  <c r="H65"/>
  <c r="H66"/>
  <c r="H67"/>
  <c r="H76"/>
  <c r="H77"/>
  <c r="H78"/>
  <c r="H104"/>
  <c r="H105"/>
  <c r="H109"/>
  <c r="H110"/>
  <c r="H112"/>
  <c r="H113"/>
  <c r="H115"/>
  <c r="H117"/>
  <c r="H118"/>
  <c r="H119"/>
  <c r="H120"/>
  <c r="H125"/>
  <c r="H126"/>
  <c r="H157"/>
  <c r="H264"/>
  <c r="H265"/>
  <c r="H266"/>
  <c r="H269"/>
  <c r="H270"/>
  <c r="H271"/>
  <c r="H275"/>
  <c r="H278"/>
  <c r="H279"/>
  <c r="H280"/>
  <c r="H281"/>
  <c r="H287"/>
  <c r="H288"/>
  <c r="H289"/>
  <c r="H290"/>
  <c r="H291"/>
  <c r="H292"/>
  <c r="H293"/>
  <c r="H294"/>
  <c r="H295"/>
  <c r="H297"/>
  <c r="H298"/>
  <c r="H299"/>
  <c r="H300"/>
  <c r="H301"/>
  <c r="H302"/>
  <c r="H303"/>
  <c r="H307"/>
  <c r="H308"/>
  <c r="H309"/>
  <c r="H310"/>
  <c r="H311"/>
  <c r="H315"/>
  <c r="H316"/>
  <c r="H317"/>
  <c r="H321"/>
  <c r="H322"/>
  <c r="H323"/>
  <c r="H324"/>
  <c r="H327"/>
  <c r="H328"/>
  <c r="H329"/>
  <c r="H330"/>
  <c r="H331"/>
  <c r="H337"/>
  <c r="H338"/>
  <c r="H341"/>
  <c r="H342"/>
  <c r="H343"/>
  <c r="H344"/>
  <c r="H346"/>
  <c r="H348"/>
  <c r="H349"/>
  <c r="H350"/>
  <c r="H353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3"/>
  <c r="H374"/>
  <c r="H375"/>
  <c r="H376"/>
  <c r="H377"/>
  <c r="H378"/>
  <c r="H379"/>
  <c r="H380"/>
  <c r="H381"/>
  <c r="H388"/>
  <c r="H389"/>
  <c r="H393"/>
  <c r="H394"/>
  <c r="H395"/>
  <c r="H396"/>
  <c r="H397"/>
  <c r="H398"/>
  <c r="H399"/>
  <c r="H400"/>
  <c r="EA3" l="1"/>
  <c r="EM251" a="1"/>
  <c r="EM251" s="1"/>
  <c r="EM247" a="1"/>
  <c r="EM247" s="1"/>
  <c r="EM243" a="1"/>
  <c r="EM243" s="1"/>
  <c r="EM239" a="1"/>
  <c r="EM239" s="1"/>
  <c r="EM235" a="1"/>
  <c r="EM235" s="1"/>
  <c r="EM227" a="1"/>
  <c r="EM227" s="1"/>
  <c r="EM223" a="1"/>
  <c r="EM223" s="1"/>
  <c r="EM219" a="1"/>
  <c r="EM219" s="1"/>
  <c r="EM215" a="1"/>
  <c r="EM215" s="1"/>
  <c r="EM211" a="1"/>
  <c r="EM211" s="1"/>
  <c r="EM205" a="1"/>
  <c r="EM205" s="1"/>
  <c r="EM201" a="1"/>
  <c r="EM201" s="1"/>
  <c r="EM197" a="1"/>
  <c r="EM197" s="1"/>
  <c r="EM193" a="1"/>
  <c r="EM193" s="1"/>
  <c r="EM189" a="1"/>
  <c r="EM189" s="1"/>
  <c r="EM180" a="1"/>
  <c r="EM180" s="1"/>
  <c r="EM176" a="1"/>
  <c r="EM176" s="1"/>
  <c r="EM172" a="1"/>
  <c r="EM172" s="1"/>
  <c r="EM168" a="1"/>
  <c r="EM168" s="1"/>
  <c r="EM164" a="1"/>
  <c r="EM164" s="1"/>
  <c r="EM156" a="1"/>
  <c r="EM156" s="1"/>
  <c r="EM146" a="1"/>
  <c r="EM146" s="1"/>
  <c r="EM134" a="1"/>
  <c r="EM134" s="1"/>
  <c r="EM128" a="1"/>
  <c r="EM128" s="1"/>
  <c r="EM40" a="1"/>
  <c r="EM40" s="1"/>
  <c r="EM31" a="1"/>
  <c r="EM31" s="1"/>
  <c r="EM23" a="1"/>
  <c r="EM23" s="1"/>
  <c r="EM305" a="1"/>
  <c r="EM305" s="1"/>
  <c r="EM268" a="1"/>
  <c r="EM268" s="1"/>
  <c r="EM141" a="1"/>
  <c r="EM141" s="1"/>
  <c r="EM100" a="1"/>
  <c r="EM100" s="1"/>
  <c r="EM56" a="1"/>
  <c r="EM56" s="1"/>
  <c r="EM384" a="1"/>
  <c r="EM384" s="1"/>
  <c r="EM332" a="1"/>
  <c r="EM332" s="1"/>
  <c r="EM272" a="1"/>
  <c r="EM272" s="1"/>
  <c r="EM256" a="1"/>
  <c r="EM256" s="1"/>
  <c r="EM248" a="1"/>
  <c r="EM248" s="1"/>
  <c r="EM240" a="1"/>
  <c r="EM240" s="1"/>
  <c r="EM229" a="1"/>
  <c r="EM229" s="1"/>
  <c r="EM224" a="1"/>
  <c r="EM224" s="1"/>
  <c r="EM220" a="1"/>
  <c r="EM220" s="1"/>
  <c r="EM216" a="1"/>
  <c r="EM216" s="1"/>
  <c r="EM212" a="1"/>
  <c r="EM212" s="1"/>
  <c r="EM202" a="1"/>
  <c r="EM202" s="1"/>
  <c r="EM198" a="1"/>
  <c r="EM198" s="1"/>
  <c r="EM11" a="1"/>
  <c r="EM11" s="1"/>
  <c r="EM85" a="1"/>
  <c r="EM85" s="1"/>
  <c r="DW85" a="1"/>
  <c r="DW85" s="1"/>
  <c r="DG85" a="1"/>
  <c r="DG85" s="1"/>
  <c r="CQ85" a="1"/>
  <c r="CQ85" s="1"/>
  <c r="CA85" a="1"/>
  <c r="CA85" s="1"/>
  <c r="EM177" a="1"/>
  <c r="EM177" s="1"/>
  <c r="EM173" a="1"/>
  <c r="EM173" s="1"/>
  <c r="EM165" a="1"/>
  <c r="EM165" s="1"/>
  <c r="EM161" a="1"/>
  <c r="EM161" s="1"/>
  <c r="EM131" a="1"/>
  <c r="EM131" s="1"/>
  <c r="EM111" a="1"/>
  <c r="EM111" s="1"/>
  <c r="EM88" a="1"/>
  <c r="EM88" s="1"/>
  <c r="EM81" a="1"/>
  <c r="EM81" s="1"/>
  <c r="EM196" a="1"/>
  <c r="EM196" s="1"/>
  <c r="EM188" a="1"/>
  <c r="EM188" s="1"/>
  <c r="EM175" a="1"/>
  <c r="EM175" s="1"/>
  <c r="EM167" a="1"/>
  <c r="EM167" s="1"/>
  <c r="EM150" a="1"/>
  <c r="EM150" s="1"/>
  <c r="EM133" a="1"/>
  <c r="EM133" s="1"/>
  <c r="EM95" a="1"/>
  <c r="EM95" s="1"/>
  <c r="EM86" a="1"/>
  <c r="EM86" s="1"/>
  <c r="EM16" a="1"/>
  <c r="EM16" s="1"/>
  <c r="EM5" a="1"/>
  <c r="EM5" s="1"/>
  <c r="EM96" a="1"/>
  <c r="EM96" s="1"/>
  <c r="EM91" a="1"/>
  <c r="EM91" s="1"/>
  <c r="EM87" a="1"/>
  <c r="EM87" s="1"/>
  <c r="EM340" a="1"/>
  <c r="EM340" s="1"/>
  <c r="EM333" a="1"/>
  <c r="EM333" s="1"/>
  <c r="EM314" a="1"/>
  <c r="EM314" s="1"/>
  <c r="EM274" a="1"/>
  <c r="EM274" s="1"/>
  <c r="EM261" a="1"/>
  <c r="EM261" s="1"/>
  <c r="EM257" a="1"/>
  <c r="EM257" s="1"/>
  <c r="EM253" a="1"/>
  <c r="EM253" s="1"/>
  <c r="EM249" a="1"/>
  <c r="EM249" s="1"/>
  <c r="EM245" a="1"/>
  <c r="EM245" s="1"/>
  <c r="EM241" a="1"/>
  <c r="EM241" s="1"/>
  <c r="EM237" a="1"/>
  <c r="EM237" s="1"/>
  <c r="EM232" a="1"/>
  <c r="EM232" s="1"/>
  <c r="EM225" a="1"/>
  <c r="EM225" s="1"/>
  <c r="EM221" a="1"/>
  <c r="EM221" s="1"/>
  <c r="EM217" a="1"/>
  <c r="EM217" s="1"/>
  <c r="EM213" a="1"/>
  <c r="EM213" s="1"/>
  <c r="EM209" a="1"/>
  <c r="EM209" s="1"/>
  <c r="EM203" a="1"/>
  <c r="EM203" s="1"/>
  <c r="EM199" a="1"/>
  <c r="EM199" s="1"/>
  <c r="EM195" a="1"/>
  <c r="EM195" s="1"/>
  <c r="EM191" a="1"/>
  <c r="EM191" s="1"/>
  <c r="EM187" a="1"/>
  <c r="EM187" s="1"/>
  <c r="EM178" a="1"/>
  <c r="EM178" s="1"/>
  <c r="EM174" a="1"/>
  <c r="EM174" s="1"/>
  <c r="EM170" a="1"/>
  <c r="EM170" s="1"/>
  <c r="EM166" a="1"/>
  <c r="EM166" s="1"/>
  <c r="EM162" a="1"/>
  <c r="EM162" s="1"/>
  <c r="EM149" a="1"/>
  <c r="EM149" s="1"/>
  <c r="EM136" a="1"/>
  <c r="EM136" s="1"/>
  <c r="EM132" a="1"/>
  <c r="EM132" s="1"/>
  <c r="EM122" a="1"/>
  <c r="EM122" s="1"/>
  <c r="EM94" a="1"/>
  <c r="EM94" s="1"/>
  <c r="EM89" a="1"/>
  <c r="EM89" s="1"/>
  <c r="EM84" a="1"/>
  <c r="EM84" s="1"/>
  <c r="EM70" a="1"/>
  <c r="EM70" s="1"/>
  <c r="EM12" a="1"/>
  <c r="EM12" s="1"/>
  <c r="EM8" a="1"/>
  <c r="EM8" s="1"/>
  <c r="EM80" a="1"/>
  <c r="EM80" s="1"/>
  <c r="EM17" a="1"/>
  <c r="EM17" s="1"/>
  <c r="EM10" a="1"/>
  <c r="EM10" s="1"/>
  <c r="EM6" a="1"/>
  <c r="EM6" s="1"/>
  <c r="AE85" a="1"/>
  <c r="AE85" s="1"/>
  <c r="AA208" i="8"/>
  <c r="AB208" s="1"/>
  <c r="BK85" i="10" a="1"/>
  <c r="BK85" s="1"/>
  <c r="L85"/>
  <c r="EP85"/>
  <c r="EQ85"/>
  <c r="DZ85"/>
  <c r="EA85"/>
  <c r="DJ85"/>
  <c r="DK85"/>
  <c r="CT85"/>
  <c r="CU85"/>
  <c r="CD85"/>
  <c r="CE85"/>
  <c r="AH85"/>
  <c r="AI85"/>
  <c r="CQ57" a="1"/>
  <c r="CQ57" s="1"/>
  <c r="BK57" a="1"/>
  <c r="BK57" s="1"/>
  <c r="AE57" a="1"/>
  <c r="AE57" s="1"/>
  <c r="EM92" a="1"/>
  <c r="EM92" s="1"/>
  <c r="DW92" a="1"/>
  <c r="DW92" s="1"/>
  <c r="DG92" a="1"/>
  <c r="DG92" s="1"/>
  <c r="CQ92" a="1"/>
  <c r="CQ92" s="1"/>
  <c r="CA92" a="1"/>
  <c r="CA92" s="1"/>
  <c r="BK92" a="1"/>
  <c r="BK92" s="1"/>
  <c r="AE92" a="1"/>
  <c r="AE92" s="1"/>
  <c r="L92"/>
  <c r="EP92"/>
  <c r="EQ92"/>
  <c r="DZ92"/>
  <c r="EA92"/>
  <c r="DJ92"/>
  <c r="DK92"/>
  <c r="CT92"/>
  <c r="CU92"/>
  <c r="CD92"/>
  <c r="CE92"/>
  <c r="AH92"/>
  <c r="AI92"/>
  <c r="EM57" a="1"/>
  <c r="EM57" s="1"/>
  <c r="EM116" a="1"/>
  <c r="EM116" s="1"/>
  <c r="EM62" a="1"/>
  <c r="EM62" s="1"/>
  <c r="DW57" a="1"/>
  <c r="DW57" s="1"/>
  <c r="DW116" a="1"/>
  <c r="DW116" s="1"/>
  <c r="DW62" a="1"/>
  <c r="DW62" s="1"/>
  <c r="DG57" a="1"/>
  <c r="DG57" s="1"/>
  <c r="DG116" a="1"/>
  <c r="DG116" s="1"/>
  <c r="DG62" a="1"/>
  <c r="DG62" s="1"/>
  <c r="CQ116" a="1"/>
  <c r="CQ116" s="1"/>
  <c r="CQ62" a="1"/>
  <c r="CQ62" s="1"/>
  <c r="CA57" a="1"/>
  <c r="CA57" s="1"/>
  <c r="CA116" a="1"/>
  <c r="CA116" s="1"/>
  <c r="CA62" a="1"/>
  <c r="CA62" s="1"/>
  <c r="BK116" a="1"/>
  <c r="BK116" s="1"/>
  <c r="BK62" a="1"/>
  <c r="BK62" s="1"/>
  <c r="AE116" a="1"/>
  <c r="AE116" s="1"/>
  <c r="AE62" a="1"/>
  <c r="AE62" s="1"/>
  <c r="EM4" a="1"/>
  <c r="EM4" s="1"/>
  <c r="CD2"/>
  <c r="EQ57"/>
  <c r="EP57"/>
  <c r="EA57"/>
  <c r="DZ57"/>
  <c r="DK57"/>
  <c r="DJ57"/>
  <c r="CU57"/>
  <c r="CT57"/>
  <c r="CE57"/>
  <c r="CD57"/>
  <c r="AI57"/>
  <c r="AH57"/>
  <c r="L116"/>
  <c r="L62"/>
  <c r="EP116"/>
  <c r="EQ116"/>
  <c r="EP62"/>
  <c r="EQ62"/>
  <c r="DZ116"/>
  <c r="EA116"/>
  <c r="DZ62"/>
  <c r="EA62"/>
  <c r="DJ116"/>
  <c r="DK116"/>
  <c r="DJ62"/>
  <c r="DK62"/>
  <c r="CT116"/>
  <c r="CU116"/>
  <c r="CT62"/>
  <c r="CU62"/>
  <c r="CD116"/>
  <c r="CE116"/>
  <c r="CD62"/>
  <c r="CE62"/>
  <c r="AH116"/>
  <c r="AI116"/>
  <c r="AH62"/>
  <c r="AI62"/>
  <c r="L57"/>
  <c r="EM3" a="1"/>
  <c r="EM3" s="1"/>
  <c r="CD400"/>
  <c r="CD399"/>
  <c r="CD398"/>
  <c r="CD397"/>
  <c r="CD396"/>
  <c r="CD395"/>
  <c r="CD394"/>
  <c r="CD393"/>
  <c r="CD389"/>
  <c r="CD388"/>
  <c r="CD381"/>
  <c r="CD380"/>
  <c r="CD379"/>
  <c r="CD378"/>
  <c r="CD377"/>
  <c r="CD376"/>
  <c r="CD375"/>
  <c r="CD374"/>
  <c r="CD373"/>
  <c r="CD371"/>
  <c r="CD370"/>
  <c r="CD369"/>
  <c r="CD368"/>
  <c r="CD367"/>
  <c r="CD366"/>
  <c r="CD365"/>
  <c r="CD364"/>
  <c r="CD363"/>
  <c r="CD362"/>
  <c r="CD361"/>
  <c r="CD360"/>
  <c r="CD359"/>
  <c r="CD358"/>
  <c r="CD357"/>
  <c r="CD356"/>
  <c r="CD355"/>
  <c r="CD353"/>
  <c r="CD350"/>
  <c r="CD349"/>
  <c r="CD348"/>
  <c r="CD346"/>
  <c r="CD344"/>
  <c r="CD343"/>
  <c r="CD342"/>
  <c r="CD341"/>
  <c r="CD338"/>
  <c r="CD337"/>
  <c r="CD331"/>
  <c r="CD330"/>
  <c r="CD329"/>
  <c r="CD328"/>
  <c r="CD327"/>
  <c r="CD324"/>
  <c r="CD323"/>
  <c r="CD322"/>
  <c r="CD321"/>
  <c r="CD317"/>
  <c r="CD316"/>
  <c r="CD315"/>
  <c r="CD311"/>
  <c r="CD310"/>
  <c r="CD309"/>
  <c r="CD308"/>
  <c r="CD307"/>
  <c r="CD303"/>
  <c r="CD302"/>
  <c r="CD301"/>
  <c r="CD300"/>
  <c r="CD299"/>
  <c r="CD298"/>
  <c r="CD297"/>
  <c r="CD295"/>
  <c r="CD294"/>
  <c r="CD293"/>
  <c r="CD292"/>
  <c r="CD291"/>
  <c r="CD290"/>
  <c r="CD289"/>
  <c r="CD288"/>
  <c r="CD287"/>
  <c r="CD281"/>
  <c r="CD280"/>
  <c r="CD279"/>
  <c r="CD278"/>
  <c r="CD275"/>
  <c r="CD271"/>
  <c r="CD270"/>
  <c r="CD269"/>
  <c r="CD266"/>
  <c r="CD265"/>
  <c r="CD264"/>
  <c r="CD157"/>
  <c r="CD126"/>
  <c r="CD125"/>
  <c r="CD120"/>
  <c r="CD119"/>
  <c r="CD118"/>
  <c r="CD117"/>
  <c r="CD115"/>
  <c r="CD113"/>
  <c r="CD112"/>
  <c r="CD110"/>
  <c r="CD109"/>
  <c r="CD105"/>
  <c r="CD104"/>
  <c r="CD78"/>
  <c r="CD77"/>
  <c r="CD76"/>
  <c r="CD67"/>
  <c r="CD66"/>
  <c r="CD65"/>
  <c r="CD64"/>
  <c r="CD63"/>
  <c r="CD61"/>
  <c r="CD58"/>
  <c r="CD55"/>
  <c r="CD54"/>
  <c r="CD53"/>
  <c r="CD52"/>
  <c r="CD51"/>
  <c r="CD50"/>
  <c r="CD49"/>
  <c r="CD48"/>
  <c r="CD46"/>
  <c r="CD45"/>
  <c r="CD44"/>
  <c r="CD43"/>
  <c r="CD42"/>
  <c r="CD41"/>
  <c r="CD40"/>
  <c r="CD39"/>
  <c r="CD38"/>
  <c r="CD37"/>
  <c r="CD36"/>
  <c r="CD35"/>
  <c r="CD34"/>
  <c r="CD33"/>
  <c r="CD31"/>
  <c r="CD30"/>
  <c r="CD29"/>
  <c r="CD28"/>
  <c r="CD27"/>
  <c r="CD26"/>
  <c r="CD25"/>
  <c r="CD24"/>
  <c r="CD23"/>
  <c r="CD22"/>
  <c r="CD21"/>
  <c r="CD20"/>
  <c r="CD19"/>
  <c r="CD319"/>
  <c r="CD312"/>
  <c r="CD306"/>
  <c r="CD305"/>
  <c r="CD304"/>
  <c r="CD296"/>
  <c r="CD286"/>
  <c r="CD285"/>
  <c r="CD284"/>
  <c r="CD283"/>
  <c r="CD282"/>
  <c r="CD268"/>
  <c r="CD267"/>
  <c r="CD155"/>
  <c r="CD154"/>
  <c r="CD153"/>
  <c r="CD152"/>
  <c r="CD151"/>
  <c r="CD147"/>
  <c r="CD141"/>
  <c r="CD139"/>
  <c r="CD138"/>
  <c r="CD137"/>
  <c r="CD123"/>
  <c r="CD121"/>
  <c r="CD114"/>
  <c r="CD108"/>
  <c r="CD107"/>
  <c r="CD106"/>
  <c r="CD103"/>
  <c r="CD102"/>
  <c r="CD100"/>
  <c r="CD99"/>
  <c r="CD98"/>
  <c r="CD97"/>
  <c r="CD68"/>
  <c r="CD60"/>
  <c r="CD59"/>
  <c r="CD56"/>
  <c r="CD15"/>
  <c r="CD14"/>
  <c r="CD13"/>
  <c r="CD392"/>
  <c r="CD391"/>
  <c r="CD390"/>
  <c r="CD385"/>
  <c r="CD384"/>
  <c r="CD382"/>
  <c r="CD345"/>
  <c r="CD340"/>
  <c r="CD339"/>
  <c r="CD335"/>
  <c r="CD334"/>
  <c r="CD333"/>
  <c r="CD332"/>
  <c r="CD326"/>
  <c r="CD325"/>
  <c r="CD314"/>
  <c r="CD313"/>
  <c r="CD277"/>
  <c r="CD276"/>
  <c r="CD274"/>
  <c r="CD272"/>
  <c r="CD263"/>
  <c r="CD262"/>
  <c r="CD261"/>
  <c r="CD260"/>
  <c r="CD259"/>
  <c r="CD258"/>
  <c r="CD257"/>
  <c r="CD256"/>
  <c r="CD255"/>
  <c r="CD254"/>
  <c r="CD253"/>
  <c r="CD252"/>
  <c r="CD251"/>
  <c r="CD250"/>
  <c r="CD249"/>
  <c r="CD248"/>
  <c r="CD247"/>
  <c r="CD246"/>
  <c r="CD245"/>
  <c r="CD244"/>
  <c r="CD243"/>
  <c r="CD242"/>
  <c r="CD241"/>
  <c r="CD240"/>
  <c r="CD239"/>
  <c r="CD238"/>
  <c r="CD237"/>
  <c r="CD236"/>
  <c r="CD235"/>
  <c r="CD234"/>
  <c r="CD232"/>
  <c r="CD229"/>
  <c r="CD227"/>
  <c r="CD226"/>
  <c r="CD225"/>
  <c r="CD224"/>
  <c r="CD223"/>
  <c r="CD222"/>
  <c r="CD221"/>
  <c r="CD220"/>
  <c r="CD219"/>
  <c r="CD218"/>
  <c r="CD217"/>
  <c r="CD216"/>
  <c r="CD215"/>
  <c r="CD214"/>
  <c r="CD213"/>
  <c r="CD212"/>
  <c r="CD211"/>
  <c r="CD210"/>
  <c r="CD209"/>
  <c r="CD206"/>
  <c r="CD205"/>
  <c r="CD204"/>
  <c r="CD203"/>
  <c r="CD202"/>
  <c r="CD201"/>
  <c r="CD200"/>
  <c r="CD199"/>
  <c r="CD198"/>
  <c r="CD197"/>
  <c r="CD196"/>
  <c r="CD195"/>
  <c r="CD194"/>
  <c r="CD193"/>
  <c r="CD192"/>
  <c r="CD191"/>
  <c r="CD190"/>
  <c r="CD189"/>
  <c r="CD188"/>
  <c r="CD187"/>
  <c r="CD181"/>
  <c r="CD180"/>
  <c r="CD179"/>
  <c r="CD178"/>
  <c r="CD177"/>
  <c r="CD176"/>
  <c r="CD175"/>
  <c r="CD174"/>
  <c r="CD173"/>
  <c r="CD172"/>
  <c r="CD171"/>
  <c r="CD170"/>
  <c r="CD169"/>
  <c r="CD168"/>
  <c r="CD167"/>
  <c r="CD166"/>
  <c r="CD165"/>
  <c r="CD164"/>
  <c r="CD163"/>
  <c r="CD162"/>
  <c r="CD161"/>
  <c r="CD156"/>
  <c r="CD150"/>
  <c r="CD149"/>
  <c r="CD148"/>
  <c r="CD146"/>
  <c r="CD145"/>
  <c r="CD136"/>
  <c r="CD135"/>
  <c r="CD134"/>
  <c r="CD133"/>
  <c r="CD132"/>
  <c r="CD131"/>
  <c r="CD128"/>
  <c r="CD129"/>
  <c r="CD122"/>
  <c r="CD111"/>
  <c r="CD96"/>
  <c r="CD95"/>
  <c r="CD94"/>
  <c r="CD93"/>
  <c r="CD91"/>
  <c r="CD90"/>
  <c r="CD89"/>
  <c r="CD88"/>
  <c r="CD87"/>
  <c r="CD86"/>
  <c r="CD84"/>
  <c r="CD81"/>
  <c r="CD80"/>
  <c r="CD79"/>
  <c r="CD70"/>
  <c r="CD47"/>
  <c r="CD17"/>
  <c r="CD16"/>
  <c r="CD12"/>
  <c r="CD11"/>
  <c r="CD10"/>
  <c r="CD9"/>
  <c r="CD8"/>
  <c r="CD7"/>
  <c r="CD6"/>
  <c r="CD5"/>
  <c r="CD4"/>
  <c r="CD3"/>
  <c r="CT400"/>
  <c r="CT399"/>
  <c r="CT398"/>
  <c r="CT397"/>
  <c r="CT396"/>
  <c r="CT395"/>
  <c r="CT394"/>
  <c r="CT393"/>
  <c r="CT389"/>
  <c r="CT388"/>
  <c r="CT381"/>
  <c r="CT380"/>
  <c r="CT379"/>
  <c r="CT378"/>
  <c r="CT377"/>
  <c r="CT376"/>
  <c r="CT375"/>
  <c r="CT374"/>
  <c r="CT373"/>
  <c r="CT371"/>
  <c r="CT370"/>
  <c r="CT369"/>
  <c r="CT368"/>
  <c r="CT367"/>
  <c r="CT366"/>
  <c r="CT365"/>
  <c r="CT364"/>
  <c r="CT363"/>
  <c r="CT362"/>
  <c r="CT361"/>
  <c r="CT360"/>
  <c r="CT359"/>
  <c r="CT358"/>
  <c r="CT357"/>
  <c r="CT356"/>
  <c r="CT355"/>
  <c r="CT353"/>
  <c r="CT350"/>
  <c r="CT349"/>
  <c r="CT348"/>
  <c r="CT346"/>
  <c r="CT344"/>
  <c r="CT343"/>
  <c r="CT342"/>
  <c r="CT341"/>
  <c r="CT338"/>
  <c r="CT337"/>
  <c r="CT331"/>
  <c r="CT330"/>
  <c r="CT329"/>
  <c r="CT328"/>
  <c r="CT327"/>
  <c r="CT324"/>
  <c r="CT323"/>
  <c r="CT322"/>
  <c r="CT321"/>
  <c r="CT317"/>
  <c r="CT316"/>
  <c r="CT315"/>
  <c r="CT311"/>
  <c r="CT310"/>
  <c r="CT309"/>
  <c r="CT308"/>
  <c r="CT307"/>
  <c r="CT303"/>
  <c r="CT302"/>
  <c r="CT301"/>
  <c r="CT300"/>
  <c r="CT299"/>
  <c r="CT298"/>
  <c r="CT297"/>
  <c r="CT295"/>
  <c r="CT294"/>
  <c r="CT293"/>
  <c r="CT292"/>
  <c r="CT291"/>
  <c r="CT290"/>
  <c r="CT289"/>
  <c r="CT288"/>
  <c r="CT287"/>
  <c r="CT281"/>
  <c r="CT280"/>
  <c r="CT279"/>
  <c r="CT278"/>
  <c r="CT275"/>
  <c r="CT271"/>
  <c r="CT270"/>
  <c r="CT269"/>
  <c r="CT266"/>
  <c r="CT265"/>
  <c r="CT264"/>
  <c r="CT157"/>
  <c r="CT126"/>
  <c r="CT125"/>
  <c r="CT120"/>
  <c r="CT119"/>
  <c r="CT118"/>
  <c r="CT117"/>
  <c r="CT115"/>
  <c r="CT113"/>
  <c r="CT112"/>
  <c r="CT110"/>
  <c r="CT109"/>
  <c r="CT105"/>
  <c r="CT104"/>
  <c r="CT78"/>
  <c r="CT77"/>
  <c r="CT76"/>
  <c r="CT67"/>
  <c r="CT66"/>
  <c r="CT65"/>
  <c r="CT64"/>
  <c r="CT63"/>
  <c r="CT61"/>
  <c r="CT58"/>
  <c r="CT55"/>
  <c r="CT54"/>
  <c r="CT53"/>
  <c r="CT52"/>
  <c r="CT51"/>
  <c r="CT50"/>
  <c r="CT49"/>
  <c r="CT48"/>
  <c r="CT46"/>
  <c r="CT45"/>
  <c r="CT44"/>
  <c r="CT43"/>
  <c r="CT42"/>
  <c r="CT41"/>
  <c r="CT40"/>
  <c r="CT39"/>
  <c r="CT38"/>
  <c r="CT37"/>
  <c r="CT36"/>
  <c r="CT35"/>
  <c r="CT34"/>
  <c r="CT33"/>
  <c r="CT31"/>
  <c r="CT30"/>
  <c r="CT29"/>
  <c r="CT28"/>
  <c r="CT27"/>
  <c r="CT26"/>
  <c r="CT25"/>
  <c r="CT24"/>
  <c r="CT23"/>
  <c r="CT22"/>
  <c r="CT21"/>
  <c r="CT20"/>
  <c r="CT19"/>
  <c r="CT319"/>
  <c r="CT312"/>
  <c r="CT306"/>
  <c r="CT305"/>
  <c r="CT304"/>
  <c r="CT296"/>
  <c r="CT286"/>
  <c r="CT285"/>
  <c r="CT284"/>
  <c r="CT283"/>
  <c r="CT282"/>
  <c r="CT268"/>
  <c r="CT267"/>
  <c r="CT155"/>
  <c r="CT154"/>
  <c r="CT153"/>
  <c r="CT152"/>
  <c r="CT151"/>
  <c r="CT147"/>
  <c r="CT141"/>
  <c r="CT139"/>
  <c r="CT138"/>
  <c r="CT137"/>
  <c r="CT123"/>
  <c r="CT121"/>
  <c r="CT114"/>
  <c r="CT108"/>
  <c r="CT107"/>
  <c r="CT106"/>
  <c r="CT103"/>
  <c r="CT102"/>
  <c r="CT100"/>
  <c r="CT99"/>
  <c r="CT98"/>
  <c r="CT97"/>
  <c r="CT68"/>
  <c r="CT60"/>
  <c r="CT59"/>
  <c r="CT56"/>
  <c r="CT15"/>
  <c r="CT14"/>
  <c r="CT13"/>
  <c r="CT392"/>
  <c r="CT391"/>
  <c r="CT390"/>
  <c r="CT385"/>
  <c r="CT384"/>
  <c r="CT382"/>
  <c r="CT345"/>
  <c r="CT340"/>
  <c r="CT339"/>
  <c r="CT335"/>
  <c r="CT334"/>
  <c r="CT333"/>
  <c r="CT332"/>
  <c r="CT326"/>
  <c r="CT325"/>
  <c r="CT314"/>
  <c r="CT313"/>
  <c r="CT277"/>
  <c r="CT276"/>
  <c r="CT274"/>
  <c r="CT272"/>
  <c r="CT263"/>
  <c r="CT262"/>
  <c r="CT261"/>
  <c r="CT260"/>
  <c r="CT259"/>
  <c r="CT258"/>
  <c r="CT257"/>
  <c r="CT256"/>
  <c r="CT255"/>
  <c r="CT254"/>
  <c r="CT253"/>
  <c r="CT252"/>
  <c r="CT251"/>
  <c r="CT250"/>
  <c r="CT249"/>
  <c r="CT248"/>
  <c r="CT247"/>
  <c r="CT246"/>
  <c r="CT245"/>
  <c r="CT244"/>
  <c r="CT243"/>
  <c r="CT242"/>
  <c r="CT241"/>
  <c r="CT240"/>
  <c r="CT239"/>
  <c r="CT238"/>
  <c r="CT237"/>
  <c r="CT236"/>
  <c r="CT235"/>
  <c r="CT234"/>
  <c r="CT232"/>
  <c r="CT229"/>
  <c r="CT227"/>
  <c r="CT226"/>
  <c r="CT225"/>
  <c r="CT224"/>
  <c r="CT223"/>
  <c r="CT222"/>
  <c r="CT221"/>
  <c r="CT220"/>
  <c r="CT219"/>
  <c r="CT218"/>
  <c r="CT217"/>
  <c r="CT216"/>
  <c r="CT215"/>
  <c r="CT214"/>
  <c r="CT213"/>
  <c r="CT212"/>
  <c r="CT211"/>
  <c r="CT210"/>
  <c r="CT209"/>
  <c r="CT206"/>
  <c r="CT205"/>
  <c r="CT204"/>
  <c r="CT203"/>
  <c r="CT202"/>
  <c r="CT201"/>
  <c r="CT200"/>
  <c r="CT199"/>
  <c r="CT198"/>
  <c r="CT197"/>
  <c r="CT196"/>
  <c r="CT195"/>
  <c r="CT194"/>
  <c r="CT193"/>
  <c r="CT192"/>
  <c r="CT191"/>
  <c r="CT190"/>
  <c r="CT189"/>
  <c r="CT188"/>
  <c r="CT187"/>
  <c r="CT181"/>
  <c r="CT180"/>
  <c r="CT179"/>
  <c r="CT178"/>
  <c r="CT177"/>
  <c r="CT176"/>
  <c r="CT175"/>
  <c r="CT174"/>
  <c r="CT173"/>
  <c r="CT172"/>
  <c r="CT171"/>
  <c r="CT170"/>
  <c r="CT169"/>
  <c r="CT168"/>
  <c r="CT167"/>
  <c r="CT166"/>
  <c r="CT165"/>
  <c r="CT164"/>
  <c r="CT163"/>
  <c r="CT162"/>
  <c r="CT161"/>
  <c r="CT156"/>
  <c r="CT150"/>
  <c r="CT149"/>
  <c r="CT148"/>
  <c r="CT146"/>
  <c r="CT145"/>
  <c r="CT136"/>
  <c r="CT135"/>
  <c r="CT134"/>
  <c r="CT133"/>
  <c r="CT132"/>
  <c r="CT131"/>
  <c r="CT128"/>
  <c r="CT129"/>
  <c r="CT122"/>
  <c r="CT111"/>
  <c r="CT96"/>
  <c r="CT95"/>
  <c r="CT94"/>
  <c r="CT93"/>
  <c r="CT91"/>
  <c r="CT90"/>
  <c r="CT89"/>
  <c r="CT88"/>
  <c r="CT87"/>
  <c r="CT86"/>
  <c r="CT84"/>
  <c r="CT81"/>
  <c r="CT80"/>
  <c r="CT79"/>
  <c r="CT70"/>
  <c r="CT47"/>
  <c r="CT17"/>
  <c r="CT16"/>
  <c r="CT12"/>
  <c r="CT11"/>
  <c r="CT10"/>
  <c r="CT9"/>
  <c r="CT8"/>
  <c r="CT7"/>
  <c r="CT6"/>
  <c r="CT5"/>
  <c r="CT4"/>
  <c r="CT3"/>
  <c r="CT2"/>
  <c r="DJ400"/>
  <c r="DJ399"/>
  <c r="DJ398"/>
  <c r="DJ397"/>
  <c r="DJ396"/>
  <c r="DJ395"/>
  <c r="DJ394"/>
  <c r="DJ393"/>
  <c r="DJ389"/>
  <c r="DJ388"/>
  <c r="DJ381"/>
  <c r="DJ380"/>
  <c r="DJ379"/>
  <c r="DJ378"/>
  <c r="DJ377"/>
  <c r="DJ376"/>
  <c r="DJ375"/>
  <c r="DJ374"/>
  <c r="DJ373"/>
  <c r="DJ371"/>
  <c r="DJ370"/>
  <c r="DJ369"/>
  <c r="DJ368"/>
  <c r="DJ367"/>
  <c r="DJ366"/>
  <c r="DJ365"/>
  <c r="DJ364"/>
  <c r="DJ363"/>
  <c r="DJ362"/>
  <c r="DJ361"/>
  <c r="DJ360"/>
  <c r="DJ359"/>
  <c r="DJ358"/>
  <c r="DJ357"/>
  <c r="DJ356"/>
  <c r="DJ355"/>
  <c r="DJ353"/>
  <c r="DJ350"/>
  <c r="DJ349"/>
  <c r="DJ348"/>
  <c r="DJ346"/>
  <c r="DJ344"/>
  <c r="DJ343"/>
  <c r="DJ342"/>
  <c r="DJ341"/>
  <c r="DJ338"/>
  <c r="DJ337"/>
  <c r="DJ331"/>
  <c r="DJ330"/>
  <c r="DJ329"/>
  <c r="DJ328"/>
  <c r="DJ327"/>
  <c r="DJ324"/>
  <c r="DJ323"/>
  <c r="DJ322"/>
  <c r="DJ321"/>
  <c r="DJ317"/>
  <c r="DJ316"/>
  <c r="DJ315"/>
  <c r="DJ311"/>
  <c r="DJ310"/>
  <c r="DJ309"/>
  <c r="DJ308"/>
  <c r="DJ307"/>
  <c r="DJ303"/>
  <c r="DJ302"/>
  <c r="DJ301"/>
  <c r="DJ300"/>
  <c r="DJ299"/>
  <c r="DJ298"/>
  <c r="DJ297"/>
  <c r="DJ295"/>
  <c r="DJ294"/>
  <c r="DJ293"/>
  <c r="DJ292"/>
  <c r="DJ291"/>
  <c r="DJ290"/>
  <c r="DJ289"/>
  <c r="DJ288"/>
  <c r="DJ287"/>
  <c r="DJ281"/>
  <c r="DJ280"/>
  <c r="DJ279"/>
  <c r="DJ278"/>
  <c r="DJ275"/>
  <c r="DJ271"/>
  <c r="DJ270"/>
  <c r="DJ269"/>
  <c r="DJ266"/>
  <c r="DJ265"/>
  <c r="DJ264"/>
  <c r="DJ157"/>
  <c r="DJ126"/>
  <c r="DJ125"/>
  <c r="DJ120"/>
  <c r="DJ119"/>
  <c r="DJ118"/>
  <c r="DJ117"/>
  <c r="DJ115"/>
  <c r="DJ113"/>
  <c r="DJ112"/>
  <c r="DJ110"/>
  <c r="DJ109"/>
  <c r="DJ105"/>
  <c r="DJ104"/>
  <c r="DJ78"/>
  <c r="DJ77"/>
  <c r="DJ76"/>
  <c r="DJ67"/>
  <c r="DJ66"/>
  <c r="DJ65"/>
  <c r="DJ64"/>
  <c r="DJ63"/>
  <c r="DJ61"/>
  <c r="DJ58"/>
  <c r="DJ55"/>
  <c r="DJ54"/>
  <c r="DJ53"/>
  <c r="DJ52"/>
  <c r="DJ51"/>
  <c r="DJ50"/>
  <c r="DJ49"/>
  <c r="DJ48"/>
  <c r="DJ46"/>
  <c r="DJ45"/>
  <c r="DJ44"/>
  <c r="DJ43"/>
  <c r="DJ42"/>
  <c r="DJ41"/>
  <c r="DJ40"/>
  <c r="DJ39"/>
  <c r="DJ38"/>
  <c r="DJ37"/>
  <c r="DJ36"/>
  <c r="DJ35"/>
  <c r="DJ34"/>
  <c r="DJ33"/>
  <c r="DJ31"/>
  <c r="DJ30"/>
  <c r="DJ29"/>
  <c r="DJ28"/>
  <c r="DJ27"/>
  <c r="DJ26"/>
  <c r="DJ25"/>
  <c r="DJ24"/>
  <c r="DJ23"/>
  <c r="DJ22"/>
  <c r="DJ21"/>
  <c r="DJ20"/>
  <c r="DJ19"/>
  <c r="DJ319"/>
  <c r="DJ312"/>
  <c r="DJ306"/>
  <c r="DJ305"/>
  <c r="DJ304"/>
  <c r="DJ296"/>
  <c r="DJ286"/>
  <c r="DJ285"/>
  <c r="DJ284"/>
  <c r="DJ283"/>
  <c r="DJ282"/>
  <c r="DJ268"/>
  <c r="DJ267"/>
  <c r="DJ155"/>
  <c r="DJ154"/>
  <c r="DJ153"/>
  <c r="DJ152"/>
  <c r="DJ151"/>
  <c r="DJ147"/>
  <c r="DJ141"/>
  <c r="DJ139"/>
  <c r="DJ138"/>
  <c r="DJ137"/>
  <c r="DJ123"/>
  <c r="DJ121"/>
  <c r="DJ114"/>
  <c r="DJ108"/>
  <c r="DJ107"/>
  <c r="DJ106"/>
  <c r="DJ103"/>
  <c r="DJ102"/>
  <c r="DJ100"/>
  <c r="DJ99"/>
  <c r="DJ98"/>
  <c r="DJ97"/>
  <c r="DJ68"/>
  <c r="DJ60"/>
  <c r="DJ59"/>
  <c r="DJ56"/>
  <c r="DJ15"/>
  <c r="DJ14"/>
  <c r="DJ13"/>
  <c r="DJ392"/>
  <c r="DJ391"/>
  <c r="DJ390"/>
  <c r="DJ385"/>
  <c r="DJ384"/>
  <c r="DJ382"/>
  <c r="DJ345"/>
  <c r="DJ340"/>
  <c r="DJ339"/>
  <c r="DJ335"/>
  <c r="DJ334"/>
  <c r="DJ333"/>
  <c r="DJ332"/>
  <c r="DJ326"/>
  <c r="DJ325"/>
  <c r="DJ314"/>
  <c r="DJ313"/>
  <c r="DJ277"/>
  <c r="DJ276"/>
  <c r="DJ274"/>
  <c r="DJ272"/>
  <c r="DJ263"/>
  <c r="DJ262"/>
  <c r="DJ261"/>
  <c r="DJ260"/>
  <c r="DJ259"/>
  <c r="DJ258"/>
  <c r="DJ257"/>
  <c r="DJ256"/>
  <c r="DJ255"/>
  <c r="DJ254"/>
  <c r="DJ253"/>
  <c r="DJ252"/>
  <c r="DJ251"/>
  <c r="DJ250"/>
  <c r="DJ249"/>
  <c r="DJ248"/>
  <c r="DJ247"/>
  <c r="DJ246"/>
  <c r="DJ245"/>
  <c r="DJ244"/>
  <c r="DJ243"/>
  <c r="DJ242"/>
  <c r="DJ241"/>
  <c r="DJ240"/>
  <c r="DJ239"/>
  <c r="DJ238"/>
  <c r="DJ237"/>
  <c r="DJ236"/>
  <c r="DJ235"/>
  <c r="DJ234"/>
  <c r="DJ232"/>
  <c r="DJ229"/>
  <c r="DJ227"/>
  <c r="DJ226"/>
  <c r="DJ225"/>
  <c r="DJ224"/>
  <c r="DJ223"/>
  <c r="DJ222"/>
  <c r="DJ221"/>
  <c r="DJ220"/>
  <c r="DJ219"/>
  <c r="DJ218"/>
  <c r="DJ217"/>
  <c r="DJ216"/>
  <c r="DJ215"/>
  <c r="DJ214"/>
  <c r="DJ213"/>
  <c r="DJ212"/>
  <c r="DJ211"/>
  <c r="DJ210"/>
  <c r="DJ209"/>
  <c r="DJ206"/>
  <c r="DJ205"/>
  <c r="DJ204"/>
  <c r="DJ203"/>
  <c r="DJ202"/>
  <c r="DJ201"/>
  <c r="DJ200"/>
  <c r="DJ199"/>
  <c r="DJ198"/>
  <c r="DJ197"/>
  <c r="DJ196"/>
  <c r="DJ195"/>
  <c r="DJ194"/>
  <c r="DJ193"/>
  <c r="DJ192"/>
  <c r="DJ191"/>
  <c r="DJ190"/>
  <c r="DJ189"/>
  <c r="DJ188"/>
  <c r="DJ187"/>
  <c r="DJ181"/>
  <c r="DJ180"/>
  <c r="DJ179"/>
  <c r="DJ178"/>
  <c r="DJ177"/>
  <c r="DJ176"/>
  <c r="DJ175"/>
  <c r="DJ174"/>
  <c r="DJ173"/>
  <c r="DJ172"/>
  <c r="DJ171"/>
  <c r="DJ170"/>
  <c r="DJ169"/>
  <c r="DJ168"/>
  <c r="DJ167"/>
  <c r="DJ166"/>
  <c r="DJ165"/>
  <c r="DJ164"/>
  <c r="DJ163"/>
  <c r="DJ162"/>
  <c r="DJ161"/>
  <c r="DJ156"/>
  <c r="DJ150"/>
  <c r="DJ149"/>
  <c r="DJ148"/>
  <c r="DJ146"/>
  <c r="DJ145"/>
  <c r="DJ136"/>
  <c r="DJ135"/>
  <c r="DJ134"/>
  <c r="DJ133"/>
  <c r="DJ132"/>
  <c r="DJ131"/>
  <c r="DJ128"/>
  <c r="DJ129"/>
  <c r="DJ122"/>
  <c r="DJ111"/>
  <c r="DJ96"/>
  <c r="DJ95"/>
  <c r="DJ94"/>
  <c r="DJ93"/>
  <c r="DJ91"/>
  <c r="DJ90"/>
  <c r="DJ89"/>
  <c r="DJ88"/>
  <c r="DJ87"/>
  <c r="DJ86"/>
  <c r="DJ84"/>
  <c r="DJ81"/>
  <c r="DJ80"/>
  <c r="DJ79"/>
  <c r="DJ70"/>
  <c r="DJ47"/>
  <c r="DJ17"/>
  <c r="DJ16"/>
  <c r="DJ12"/>
  <c r="DJ11"/>
  <c r="DJ10"/>
  <c r="DJ9"/>
  <c r="DJ8"/>
  <c r="DJ7"/>
  <c r="DJ6"/>
  <c r="DJ5"/>
  <c r="DJ4"/>
  <c r="DJ3"/>
  <c r="DJ2"/>
  <c r="DZ400"/>
  <c r="DZ399"/>
  <c r="DZ398"/>
  <c r="DZ397"/>
  <c r="DZ396"/>
  <c r="DZ395"/>
  <c r="DZ394"/>
  <c r="DZ393"/>
  <c r="DZ389"/>
  <c r="DZ388"/>
  <c r="DZ381"/>
  <c r="DZ380"/>
  <c r="DZ379"/>
  <c r="DZ378"/>
  <c r="DZ377"/>
  <c r="DZ376"/>
  <c r="DZ375"/>
  <c r="DZ374"/>
  <c r="DZ373"/>
  <c r="DZ371"/>
  <c r="DZ370"/>
  <c r="DZ369"/>
  <c r="DZ368"/>
  <c r="DZ367"/>
  <c r="DZ366"/>
  <c r="DZ365"/>
  <c r="DZ364"/>
  <c r="DZ363"/>
  <c r="DZ362"/>
  <c r="DZ361"/>
  <c r="DZ360"/>
  <c r="DZ359"/>
  <c r="DZ358"/>
  <c r="DZ357"/>
  <c r="DZ356"/>
  <c r="DZ355"/>
  <c r="DZ353"/>
  <c r="DZ350"/>
  <c r="DZ349"/>
  <c r="DZ348"/>
  <c r="DZ346"/>
  <c r="DZ344"/>
  <c r="DZ343"/>
  <c r="DZ342"/>
  <c r="DZ341"/>
  <c r="DZ338"/>
  <c r="DZ337"/>
  <c r="DZ331"/>
  <c r="DZ330"/>
  <c r="DZ329"/>
  <c r="DZ328"/>
  <c r="DZ327"/>
  <c r="DZ324"/>
  <c r="DZ323"/>
  <c r="DZ322"/>
  <c r="DZ321"/>
  <c r="DZ317"/>
  <c r="DZ316"/>
  <c r="DZ315"/>
  <c r="DZ311"/>
  <c r="DZ310"/>
  <c r="DZ309"/>
  <c r="DZ308"/>
  <c r="DZ307"/>
  <c r="DZ303"/>
  <c r="DZ302"/>
  <c r="DZ301"/>
  <c r="DZ300"/>
  <c r="DZ299"/>
  <c r="DZ298"/>
  <c r="DZ297"/>
  <c r="DZ295"/>
  <c r="DZ294"/>
  <c r="DZ293"/>
  <c r="DZ292"/>
  <c r="DZ291"/>
  <c r="DZ290"/>
  <c r="DZ289"/>
  <c r="DZ288"/>
  <c r="DZ287"/>
  <c r="DZ281"/>
  <c r="DZ280"/>
  <c r="DZ279"/>
  <c r="DZ278"/>
  <c r="DZ275"/>
  <c r="DZ271"/>
  <c r="DZ270"/>
  <c r="DZ269"/>
  <c r="DZ266"/>
  <c r="DZ265"/>
  <c r="DZ264"/>
  <c r="DZ157"/>
  <c r="DZ126"/>
  <c r="DZ125"/>
  <c r="DZ120"/>
  <c r="DZ119"/>
  <c r="DZ118"/>
  <c r="DZ117"/>
  <c r="DZ115"/>
  <c r="DZ113"/>
  <c r="DZ112"/>
  <c r="DZ110"/>
  <c r="DZ109"/>
  <c r="DZ105"/>
  <c r="DZ104"/>
  <c r="DZ78"/>
  <c r="DZ77"/>
  <c r="DZ76"/>
  <c r="DZ67"/>
  <c r="DZ66"/>
  <c r="DZ65"/>
  <c r="DZ64"/>
  <c r="DZ63"/>
  <c r="DZ61"/>
  <c r="DZ58"/>
  <c r="DZ55"/>
  <c r="DZ54"/>
  <c r="DZ53"/>
  <c r="DZ52"/>
  <c r="DZ51"/>
  <c r="DZ50"/>
  <c r="DZ49"/>
  <c r="DZ48"/>
  <c r="DZ46"/>
  <c r="DZ45"/>
  <c r="DZ44"/>
  <c r="DZ43"/>
  <c r="DZ42"/>
  <c r="DZ41"/>
  <c r="DZ40"/>
  <c r="DZ39"/>
  <c r="DZ38"/>
  <c r="DZ37"/>
  <c r="DZ36"/>
  <c r="DZ35"/>
  <c r="DZ34"/>
  <c r="DZ33"/>
  <c r="DZ31"/>
  <c r="DZ30"/>
  <c r="DZ29"/>
  <c r="DZ28"/>
  <c r="DZ27"/>
  <c r="DZ26"/>
  <c r="DZ25"/>
  <c r="DZ24"/>
  <c r="DZ23"/>
  <c r="DZ22"/>
  <c r="DZ21"/>
  <c r="DZ20"/>
  <c r="DZ19"/>
  <c r="DZ319"/>
  <c r="DZ312"/>
  <c r="DZ306"/>
  <c r="DZ305"/>
  <c r="DZ304"/>
  <c r="DZ296"/>
  <c r="DZ286"/>
  <c r="DZ285"/>
  <c r="DZ284"/>
  <c r="DZ283"/>
  <c r="DZ282"/>
  <c r="DZ268"/>
  <c r="DZ267"/>
  <c r="DZ155"/>
  <c r="DZ154"/>
  <c r="DZ153"/>
  <c r="DZ152"/>
  <c r="DZ151"/>
  <c r="DZ147"/>
  <c r="DZ141"/>
  <c r="DZ139"/>
  <c r="DZ138"/>
  <c r="DZ137"/>
  <c r="DZ123"/>
  <c r="DZ121"/>
  <c r="DZ114"/>
  <c r="DZ108"/>
  <c r="DZ107"/>
  <c r="DZ106"/>
  <c r="DZ103"/>
  <c r="DZ102"/>
  <c r="DZ100"/>
  <c r="DZ99"/>
  <c r="DZ98"/>
  <c r="DZ97"/>
  <c r="DZ68"/>
  <c r="DZ60"/>
  <c r="DZ59"/>
  <c r="DZ56"/>
  <c r="DZ15"/>
  <c r="DZ14"/>
  <c r="DZ13"/>
  <c r="DZ392"/>
  <c r="DZ391"/>
  <c r="DZ390"/>
  <c r="DZ385"/>
  <c r="DZ384"/>
  <c r="DZ382"/>
  <c r="DZ345"/>
  <c r="DZ340"/>
  <c r="DZ339"/>
  <c r="DZ335"/>
  <c r="DZ334"/>
  <c r="DZ333"/>
  <c r="DZ332"/>
  <c r="DZ326"/>
  <c r="DZ325"/>
  <c r="DZ314"/>
  <c r="DZ313"/>
  <c r="DZ277"/>
  <c r="DZ276"/>
  <c r="DZ274"/>
  <c r="DZ272"/>
  <c r="DZ263"/>
  <c r="DZ262"/>
  <c r="DZ261"/>
  <c r="DZ260"/>
  <c r="DZ259"/>
  <c r="DZ258"/>
  <c r="DZ257"/>
  <c r="DZ256"/>
  <c r="DZ255"/>
  <c r="DZ254"/>
  <c r="DZ253"/>
  <c r="DZ252"/>
  <c r="DZ251"/>
  <c r="DZ250"/>
  <c r="DZ249"/>
  <c r="DZ248"/>
  <c r="DZ247"/>
  <c r="DZ246"/>
  <c r="DZ245"/>
  <c r="DZ244"/>
  <c r="DZ243"/>
  <c r="DZ242"/>
  <c r="DZ241"/>
  <c r="DZ240"/>
  <c r="DZ239"/>
  <c r="DZ238"/>
  <c r="DZ237"/>
  <c r="DZ236"/>
  <c r="DZ235"/>
  <c r="DZ234"/>
  <c r="DZ232"/>
  <c r="DZ229"/>
  <c r="DZ227"/>
  <c r="DZ226"/>
  <c r="DZ225"/>
  <c r="DZ224"/>
  <c r="DZ223"/>
  <c r="DZ222"/>
  <c r="DZ221"/>
  <c r="DZ220"/>
  <c r="DZ219"/>
  <c r="DZ218"/>
  <c r="DZ217"/>
  <c r="DZ216"/>
  <c r="DZ215"/>
  <c r="DZ214"/>
  <c r="DZ213"/>
  <c r="DZ212"/>
  <c r="DZ211"/>
  <c r="DZ210"/>
  <c r="DZ209"/>
  <c r="DZ206"/>
  <c r="DZ205"/>
  <c r="DZ204"/>
  <c r="DZ203"/>
  <c r="DZ202"/>
  <c r="DZ201"/>
  <c r="DZ200"/>
  <c r="DZ199"/>
  <c r="DZ198"/>
  <c r="DZ197"/>
  <c r="DZ196"/>
  <c r="DZ195"/>
  <c r="DZ194"/>
  <c r="DZ193"/>
  <c r="DZ192"/>
  <c r="DZ191"/>
  <c r="DZ190"/>
  <c r="DZ189"/>
  <c r="DZ188"/>
  <c r="DZ187"/>
  <c r="DZ181"/>
  <c r="DZ180"/>
  <c r="DZ179"/>
  <c r="DZ178"/>
  <c r="DZ177"/>
  <c r="DZ176"/>
  <c r="DZ175"/>
  <c r="DZ174"/>
  <c r="DZ173"/>
  <c r="DZ172"/>
  <c r="DZ171"/>
  <c r="DZ170"/>
  <c r="DZ169"/>
  <c r="DZ168"/>
  <c r="DZ167"/>
  <c r="DZ166"/>
  <c r="DZ165"/>
  <c r="DZ164"/>
  <c r="DZ163"/>
  <c r="DZ162"/>
  <c r="DZ161"/>
  <c r="DZ156"/>
  <c r="DZ150"/>
  <c r="DZ149"/>
  <c r="DZ148"/>
  <c r="DZ146"/>
  <c r="DZ145"/>
  <c r="DZ136"/>
  <c r="DZ135"/>
  <c r="DZ134"/>
  <c r="DZ133"/>
  <c r="DZ132"/>
  <c r="DZ131"/>
  <c r="DZ128"/>
  <c r="DZ129"/>
  <c r="DZ122"/>
  <c r="DZ111"/>
  <c r="DZ96"/>
  <c r="DZ95"/>
  <c r="DZ94"/>
  <c r="DZ93"/>
  <c r="DZ91"/>
  <c r="DZ90"/>
  <c r="DZ89"/>
  <c r="DZ88"/>
  <c r="DZ87"/>
  <c r="DZ86"/>
  <c r="DZ84"/>
  <c r="DZ81"/>
  <c r="DZ80"/>
  <c r="DZ79"/>
  <c r="DZ70"/>
  <c r="DZ47"/>
  <c r="DZ17"/>
  <c r="DZ16"/>
  <c r="DZ12"/>
  <c r="DZ11"/>
  <c r="DZ10"/>
  <c r="DZ9"/>
  <c r="DZ8"/>
  <c r="DZ7"/>
  <c r="DZ6"/>
  <c r="DZ5"/>
  <c r="DZ4"/>
  <c r="DZ3"/>
  <c r="DZ2"/>
  <c r="EP400"/>
  <c r="EP399"/>
  <c r="EP398"/>
  <c r="EP397"/>
  <c r="EP396"/>
  <c r="EP395"/>
  <c r="EP394"/>
  <c r="EP393"/>
  <c r="EP389"/>
  <c r="EP388"/>
  <c r="EP381"/>
  <c r="EP380"/>
  <c r="EP379"/>
  <c r="EP378"/>
  <c r="EP377"/>
  <c r="EP376"/>
  <c r="EP375"/>
  <c r="EP374"/>
  <c r="EP373"/>
  <c r="EP371"/>
  <c r="EP370"/>
  <c r="EP369"/>
  <c r="EP368"/>
  <c r="EP367"/>
  <c r="EP366"/>
  <c r="EP365"/>
  <c r="EP364"/>
  <c r="EP363"/>
  <c r="EP362"/>
  <c r="EP361"/>
  <c r="EP360"/>
  <c r="EP359"/>
  <c r="EP358"/>
  <c r="EP357"/>
  <c r="EP356"/>
  <c r="EP355"/>
  <c r="EP353"/>
  <c r="EP350"/>
  <c r="EP349"/>
  <c r="EP348"/>
  <c r="EP346"/>
  <c r="EP344"/>
  <c r="EP343"/>
  <c r="EP342"/>
  <c r="EP341"/>
  <c r="EP338"/>
  <c r="EP337"/>
  <c r="EP331"/>
  <c r="EP330"/>
  <c r="EP329"/>
  <c r="EP328"/>
  <c r="EP327"/>
  <c r="EP324"/>
  <c r="EP323"/>
  <c r="EP322"/>
  <c r="EP321"/>
  <c r="EP317"/>
  <c r="EP316"/>
  <c r="EP315"/>
  <c r="EP311"/>
  <c r="EP310"/>
  <c r="EP309"/>
  <c r="EP308"/>
  <c r="EP307"/>
  <c r="EP303"/>
  <c r="EP302"/>
  <c r="EP301"/>
  <c r="EP300"/>
  <c r="EP299"/>
  <c r="EP298"/>
  <c r="EP297"/>
  <c r="EP295"/>
  <c r="EP294"/>
  <c r="EP293"/>
  <c r="EP292"/>
  <c r="EP291"/>
  <c r="EP290"/>
  <c r="EP289"/>
  <c r="EP288"/>
  <c r="EP287"/>
  <c r="EP281"/>
  <c r="EP280"/>
  <c r="EP279"/>
  <c r="EP278"/>
  <c r="EP275"/>
  <c r="EP271"/>
  <c r="EP270"/>
  <c r="EP269"/>
  <c r="EP266"/>
  <c r="EP265"/>
  <c r="EP264"/>
  <c r="EP157"/>
  <c r="EP126"/>
  <c r="EP125"/>
  <c r="EP120"/>
  <c r="EP119"/>
  <c r="EP118"/>
  <c r="EP117"/>
  <c r="EP115"/>
  <c r="EP113"/>
  <c r="EP112"/>
  <c r="EP110"/>
  <c r="EP109"/>
  <c r="EP105"/>
  <c r="EP104"/>
  <c r="EP78"/>
  <c r="EP77"/>
  <c r="EP76"/>
  <c r="EP67"/>
  <c r="EP66"/>
  <c r="EP65"/>
  <c r="EP64"/>
  <c r="EP63"/>
  <c r="EP61"/>
  <c r="EP58"/>
  <c r="EP55"/>
  <c r="EP54"/>
  <c r="EP53"/>
  <c r="EP52"/>
  <c r="EP51"/>
  <c r="EP50"/>
  <c r="EP49"/>
  <c r="EP48"/>
  <c r="EP46"/>
  <c r="EP45"/>
  <c r="EP44"/>
  <c r="EP43"/>
  <c r="EP42"/>
  <c r="EP41"/>
  <c r="EP40"/>
  <c r="EP39"/>
  <c r="EP38"/>
  <c r="EP37"/>
  <c r="EP36"/>
  <c r="EP35"/>
  <c r="EP34"/>
  <c r="EP33"/>
  <c r="EP31"/>
  <c r="EP30"/>
  <c r="EP29"/>
  <c r="EP28"/>
  <c r="EP27"/>
  <c r="EP26"/>
  <c r="EP25"/>
  <c r="EP24"/>
  <c r="EP23"/>
  <c r="EP22"/>
  <c r="EP21"/>
  <c r="EP20"/>
  <c r="EP19"/>
  <c r="EP319"/>
  <c r="EP312"/>
  <c r="EP306"/>
  <c r="EP305"/>
  <c r="EP304"/>
  <c r="EP296"/>
  <c r="EP286"/>
  <c r="EP285"/>
  <c r="EP284"/>
  <c r="EP283"/>
  <c r="EP282"/>
  <c r="EP268"/>
  <c r="EP267"/>
  <c r="EP155"/>
  <c r="EP154"/>
  <c r="EP153"/>
  <c r="EP152"/>
  <c r="EP151"/>
  <c r="EP147"/>
  <c r="EP141"/>
  <c r="EP139"/>
  <c r="EP138"/>
  <c r="EP137"/>
  <c r="EP123"/>
  <c r="EP121"/>
  <c r="EP114"/>
  <c r="EP108"/>
  <c r="EP107"/>
  <c r="EP106"/>
  <c r="EP103"/>
  <c r="EP102"/>
  <c r="EP100"/>
  <c r="EP99"/>
  <c r="EP98"/>
  <c r="EP97"/>
  <c r="EP68"/>
  <c r="EP60"/>
  <c r="EP59"/>
  <c r="EP56"/>
  <c r="EP15"/>
  <c r="EP14"/>
  <c r="EP13"/>
  <c r="EP392"/>
  <c r="EP391"/>
  <c r="EP390"/>
  <c r="EP385"/>
  <c r="EP384"/>
  <c r="EP382"/>
  <c r="EP345"/>
  <c r="EP340"/>
  <c r="EP339"/>
  <c r="EP335"/>
  <c r="EP334"/>
  <c r="EP333"/>
  <c r="EP332"/>
  <c r="EP326"/>
  <c r="EP325"/>
  <c r="EP314"/>
  <c r="EP313"/>
  <c r="EP277"/>
  <c r="EP276"/>
  <c r="EP274"/>
  <c r="EP272"/>
  <c r="EP263"/>
  <c r="EP262"/>
  <c r="EP261"/>
  <c r="EP260"/>
  <c r="EP259"/>
  <c r="EP258"/>
  <c r="EP257"/>
  <c r="EP256"/>
  <c r="EP255"/>
  <c r="EP254"/>
  <c r="EP253"/>
  <c r="EP252"/>
  <c r="EP251"/>
  <c r="EP250"/>
  <c r="EP249"/>
  <c r="EP248"/>
  <c r="EP247"/>
  <c r="EP246"/>
  <c r="EP245"/>
  <c r="EP244"/>
  <c r="EP243"/>
  <c r="EP242"/>
  <c r="EP241"/>
  <c r="EP240"/>
  <c r="EP239"/>
  <c r="EP238"/>
  <c r="EP237"/>
  <c r="EP236"/>
  <c r="EP235"/>
  <c r="EP234"/>
  <c r="EP232"/>
  <c r="EP229"/>
  <c r="EP227"/>
  <c r="EP226"/>
  <c r="EP225"/>
  <c r="EP224"/>
  <c r="EP223"/>
  <c r="EP222"/>
  <c r="EP221"/>
  <c r="EP220"/>
  <c r="EP219"/>
  <c r="EP218"/>
  <c r="EP217"/>
  <c r="EP216"/>
  <c r="EP215"/>
  <c r="EP214"/>
  <c r="EP213"/>
  <c r="EP212"/>
  <c r="EP211"/>
  <c r="EP210"/>
  <c r="EP209"/>
  <c r="EP206"/>
  <c r="EP205"/>
  <c r="EP204"/>
  <c r="EP203"/>
  <c r="EP202"/>
  <c r="EP201"/>
  <c r="EP200"/>
  <c r="EP199"/>
  <c r="EP198"/>
  <c r="EP197"/>
  <c r="EP196"/>
  <c r="EP195"/>
  <c r="EP194"/>
  <c r="EP193"/>
  <c r="EP192"/>
  <c r="EP191"/>
  <c r="EP190"/>
  <c r="EP189"/>
  <c r="EP188"/>
  <c r="EP187"/>
  <c r="EP181"/>
  <c r="EP180"/>
  <c r="EP179"/>
  <c r="EP178"/>
  <c r="EP177"/>
  <c r="EP176"/>
  <c r="EP175"/>
  <c r="EP174"/>
  <c r="EP173"/>
  <c r="EP172"/>
  <c r="EP171"/>
  <c r="EP170"/>
  <c r="EP169"/>
  <c r="EP168"/>
  <c r="EP167"/>
  <c r="EP166"/>
  <c r="EP165"/>
  <c r="EP164"/>
  <c r="EP163"/>
  <c r="EP162"/>
  <c r="EP161"/>
  <c r="EP156"/>
  <c r="EP150"/>
  <c r="EP149"/>
  <c r="EP148"/>
  <c r="EP146"/>
  <c r="EP145"/>
  <c r="EP136"/>
  <c r="EP135"/>
  <c r="EP134"/>
  <c r="EP133"/>
  <c r="EP132"/>
  <c r="EP131"/>
  <c r="EP128"/>
  <c r="EP129"/>
  <c r="EP122"/>
  <c r="EP111"/>
  <c r="EP96"/>
  <c r="EP95"/>
  <c r="EP94"/>
  <c r="EP93"/>
  <c r="EP91"/>
  <c r="EP90"/>
  <c r="EP89"/>
  <c r="EP88"/>
  <c r="EP87"/>
  <c r="EP86"/>
  <c r="EP84"/>
  <c r="EP81"/>
  <c r="EP80"/>
  <c r="EP79"/>
  <c r="EP70"/>
  <c r="EP47"/>
  <c r="EP17"/>
  <c r="EP16"/>
  <c r="EP12"/>
  <c r="EP11"/>
  <c r="EP10"/>
  <c r="EP9"/>
  <c r="EP8"/>
  <c r="EP7"/>
  <c r="EP6"/>
  <c r="EP5"/>
  <c r="EP4"/>
  <c r="EP3"/>
  <c r="EP2"/>
  <c r="EQ400"/>
  <c r="EQ399"/>
  <c r="EQ398"/>
  <c r="EQ397"/>
  <c r="EQ396"/>
  <c r="EQ395"/>
  <c r="EQ394"/>
  <c r="EQ393"/>
  <c r="EQ389"/>
  <c r="EQ388"/>
  <c r="EQ381"/>
  <c r="EQ380"/>
  <c r="EQ379"/>
  <c r="EQ378"/>
  <c r="EQ377"/>
  <c r="EQ376"/>
  <c r="EQ375"/>
  <c r="EQ374"/>
  <c r="EQ373"/>
  <c r="EQ371"/>
  <c r="EQ370"/>
  <c r="EQ369"/>
  <c r="EQ368"/>
  <c r="EQ367"/>
  <c r="EQ366"/>
  <c r="EQ365"/>
  <c r="EQ364"/>
  <c r="EQ363"/>
  <c r="EQ362"/>
  <c r="EQ361"/>
  <c r="EQ360"/>
  <c r="EQ359"/>
  <c r="EQ358"/>
  <c r="EQ357"/>
  <c r="EQ356"/>
  <c r="EQ355"/>
  <c r="EQ353"/>
  <c r="EQ350"/>
  <c r="EQ349"/>
  <c r="EQ348"/>
  <c r="EQ346"/>
  <c r="EQ344"/>
  <c r="EQ343"/>
  <c r="EQ342"/>
  <c r="EQ341"/>
  <c r="EQ338"/>
  <c r="EQ337"/>
  <c r="EQ331"/>
  <c r="EQ330"/>
  <c r="EQ329"/>
  <c r="EQ328"/>
  <c r="EQ327"/>
  <c r="EQ324"/>
  <c r="EQ323"/>
  <c r="EQ322"/>
  <c r="EQ321"/>
  <c r="EQ317"/>
  <c r="EQ316"/>
  <c r="EQ315"/>
  <c r="EQ311"/>
  <c r="EQ310"/>
  <c r="EQ309"/>
  <c r="EQ308"/>
  <c r="EQ307"/>
  <c r="EQ303"/>
  <c r="EQ302"/>
  <c r="EQ301"/>
  <c r="EQ300"/>
  <c r="EQ299"/>
  <c r="EQ298"/>
  <c r="EQ297"/>
  <c r="EQ295"/>
  <c r="EQ294"/>
  <c r="EQ293"/>
  <c r="EQ292"/>
  <c r="EQ291"/>
  <c r="EQ290"/>
  <c r="EQ289"/>
  <c r="EQ288"/>
  <c r="EQ287"/>
  <c r="EQ281"/>
  <c r="EQ280"/>
  <c r="EQ279"/>
  <c r="EQ278"/>
  <c r="EQ275"/>
  <c r="EQ271"/>
  <c r="EQ270"/>
  <c r="EQ269"/>
  <c r="EQ266"/>
  <c r="EQ265"/>
  <c r="EQ264"/>
  <c r="EQ157"/>
  <c r="EQ126"/>
  <c r="EQ125"/>
  <c r="EQ120"/>
  <c r="EQ119"/>
  <c r="EQ118"/>
  <c r="EQ117"/>
  <c r="EQ115"/>
  <c r="EQ113"/>
  <c r="EQ112"/>
  <c r="EQ110"/>
  <c r="EQ109"/>
  <c r="EQ105"/>
  <c r="EQ104"/>
  <c r="EQ78"/>
  <c r="EQ77"/>
  <c r="EQ76"/>
  <c r="EQ67"/>
  <c r="EQ66"/>
  <c r="EQ65"/>
  <c r="EQ64"/>
  <c r="EQ63"/>
  <c r="EQ61"/>
  <c r="EQ58"/>
  <c r="EQ55"/>
  <c r="EQ54"/>
  <c r="EQ53"/>
  <c r="EQ52"/>
  <c r="EQ51"/>
  <c r="EQ50"/>
  <c r="EQ49"/>
  <c r="EQ48"/>
  <c r="EQ46"/>
  <c r="EQ45"/>
  <c r="EQ44"/>
  <c r="EQ43"/>
  <c r="EQ42"/>
  <c r="EQ41"/>
  <c r="EQ40"/>
  <c r="EQ39"/>
  <c r="EQ38"/>
  <c r="EQ37"/>
  <c r="EQ36"/>
  <c r="EQ35"/>
  <c r="EQ34"/>
  <c r="EQ33"/>
  <c r="EQ31"/>
  <c r="EQ30"/>
  <c r="EQ29"/>
  <c r="EQ28"/>
  <c r="EQ27"/>
  <c r="EQ26"/>
  <c r="EQ25"/>
  <c r="EQ24"/>
  <c r="EQ23"/>
  <c r="EQ22"/>
  <c r="EQ21"/>
  <c r="EQ20"/>
  <c r="EQ19"/>
  <c r="EQ319"/>
  <c r="EQ312"/>
  <c r="EQ306"/>
  <c r="EQ305"/>
  <c r="EQ304"/>
  <c r="EQ296"/>
  <c r="EQ286"/>
  <c r="EQ285"/>
  <c r="EQ284"/>
  <c r="EQ283"/>
  <c r="EQ282"/>
  <c r="EQ268"/>
  <c r="EQ267"/>
  <c r="EQ155"/>
  <c r="EQ154"/>
  <c r="EQ153"/>
  <c r="EQ152"/>
  <c r="EQ151"/>
  <c r="EQ147"/>
  <c r="EQ141"/>
  <c r="EQ139"/>
  <c r="EQ138"/>
  <c r="EQ137"/>
  <c r="EQ123"/>
  <c r="EQ121"/>
  <c r="EQ114"/>
  <c r="EQ108"/>
  <c r="EQ107"/>
  <c r="EQ106"/>
  <c r="EQ103"/>
  <c r="EQ102"/>
  <c r="EQ100"/>
  <c r="EQ99"/>
  <c r="EQ98"/>
  <c r="EQ97"/>
  <c r="EQ68"/>
  <c r="EQ60"/>
  <c r="EQ59"/>
  <c r="EQ56"/>
  <c r="EQ15"/>
  <c r="EQ14"/>
  <c r="EQ13"/>
  <c r="EQ392"/>
  <c r="EQ391"/>
  <c r="EQ390"/>
  <c r="EQ385"/>
  <c r="EQ384"/>
  <c r="EQ382"/>
  <c r="EQ345"/>
  <c r="EQ340"/>
  <c r="EQ339"/>
  <c r="EQ335"/>
  <c r="EQ334"/>
  <c r="EQ333"/>
  <c r="EQ332"/>
  <c r="EQ326"/>
  <c r="EQ325"/>
  <c r="EQ314"/>
  <c r="EQ313"/>
  <c r="EQ277"/>
  <c r="EQ276"/>
  <c r="EQ274"/>
  <c r="EQ272"/>
  <c r="EQ263"/>
  <c r="EQ262"/>
  <c r="EQ261"/>
  <c r="EQ260"/>
  <c r="EQ259"/>
  <c r="EQ258"/>
  <c r="EQ257"/>
  <c r="EQ256"/>
  <c r="EQ255"/>
  <c r="EQ254"/>
  <c r="EQ253"/>
  <c r="EQ252"/>
  <c r="EQ251"/>
  <c r="EQ250"/>
  <c r="EQ249"/>
  <c r="EQ248"/>
  <c r="EQ247"/>
  <c r="EQ246"/>
  <c r="EQ245"/>
  <c r="EQ244"/>
  <c r="EQ243"/>
  <c r="EQ242"/>
  <c r="EQ241"/>
  <c r="EQ240"/>
  <c r="EQ239"/>
  <c r="EQ238"/>
  <c r="EQ237"/>
  <c r="EQ236"/>
  <c r="EQ235"/>
  <c r="EQ234"/>
  <c r="EQ232"/>
  <c r="EQ229"/>
  <c r="EQ227"/>
  <c r="EQ226"/>
  <c r="EQ225"/>
  <c r="EQ224"/>
  <c r="EQ223"/>
  <c r="EQ222"/>
  <c r="EQ221"/>
  <c r="EQ220"/>
  <c r="EQ219"/>
  <c r="EQ218"/>
  <c r="EQ217"/>
  <c r="EQ216"/>
  <c r="EQ215"/>
  <c r="EQ214"/>
  <c r="EQ213"/>
  <c r="EQ212"/>
  <c r="EQ211"/>
  <c r="EQ210"/>
  <c r="EQ209"/>
  <c r="EQ206"/>
  <c r="EQ205"/>
  <c r="EQ204"/>
  <c r="EQ203"/>
  <c r="EQ202"/>
  <c r="EQ201"/>
  <c r="EQ200"/>
  <c r="EQ199"/>
  <c r="EQ198"/>
  <c r="EQ197"/>
  <c r="EQ196"/>
  <c r="EQ195"/>
  <c r="EQ194"/>
  <c r="EQ193"/>
  <c r="EQ192"/>
  <c r="EQ191"/>
  <c r="EQ190"/>
  <c r="EQ189"/>
  <c r="EQ188"/>
  <c r="EQ187"/>
  <c r="EQ181"/>
  <c r="EQ180"/>
  <c r="EQ179"/>
  <c r="EQ178"/>
  <c r="EQ177"/>
  <c r="EQ176"/>
  <c r="EQ175"/>
  <c r="EQ174"/>
  <c r="EQ173"/>
  <c r="EQ172"/>
  <c r="EQ171"/>
  <c r="EQ170"/>
  <c r="EQ169"/>
  <c r="EQ168"/>
  <c r="EQ167"/>
  <c r="EQ166"/>
  <c r="EQ165"/>
  <c r="EQ164"/>
  <c r="EQ163"/>
  <c r="EQ162"/>
  <c r="EQ161"/>
  <c r="EQ156"/>
  <c r="EQ150"/>
  <c r="EQ149"/>
  <c r="EQ148"/>
  <c r="EQ146"/>
  <c r="EQ145"/>
  <c r="EQ136"/>
  <c r="EQ135"/>
  <c r="EQ134"/>
  <c r="EQ133"/>
  <c r="EQ132"/>
  <c r="EQ131"/>
  <c r="EQ128"/>
  <c r="EQ129"/>
  <c r="EQ122"/>
  <c r="EQ111"/>
  <c r="EQ96"/>
  <c r="EQ95"/>
  <c r="EQ94"/>
  <c r="EQ93"/>
  <c r="EQ91"/>
  <c r="EQ90"/>
  <c r="EQ89"/>
  <c r="EQ88"/>
  <c r="EQ87"/>
  <c r="EQ86"/>
  <c r="EQ84"/>
  <c r="EQ81"/>
  <c r="EQ80"/>
  <c r="EQ79"/>
  <c r="EQ70"/>
  <c r="EQ47"/>
  <c r="EQ17"/>
  <c r="EQ16"/>
  <c r="EQ12"/>
  <c r="EQ11"/>
  <c r="EQ10"/>
  <c r="EQ9"/>
  <c r="EQ8"/>
  <c r="EQ7"/>
  <c r="EQ6"/>
  <c r="EQ5"/>
  <c r="EQ4"/>
  <c r="EQ3"/>
  <c r="EQ2"/>
  <c r="EA400"/>
  <c r="EA399"/>
  <c r="EA398"/>
  <c r="EA397"/>
  <c r="EA396"/>
  <c r="EA395"/>
  <c r="EA394"/>
  <c r="EA393"/>
  <c r="EA389"/>
  <c r="EA388"/>
  <c r="EA381"/>
  <c r="EA380"/>
  <c r="EA379"/>
  <c r="EA378"/>
  <c r="EA377"/>
  <c r="EA376"/>
  <c r="EA375"/>
  <c r="EA374"/>
  <c r="EA373"/>
  <c r="EA371"/>
  <c r="EA370"/>
  <c r="EA369"/>
  <c r="EA368"/>
  <c r="EA367"/>
  <c r="EA366"/>
  <c r="EA365"/>
  <c r="EA364"/>
  <c r="EA363"/>
  <c r="EA362"/>
  <c r="EA361"/>
  <c r="EA360"/>
  <c r="EA359"/>
  <c r="EA358"/>
  <c r="EA357"/>
  <c r="EA356"/>
  <c r="EA355"/>
  <c r="EA353"/>
  <c r="EA350"/>
  <c r="EA349"/>
  <c r="EA348"/>
  <c r="EA346"/>
  <c r="EA344"/>
  <c r="EA343"/>
  <c r="EA342"/>
  <c r="EA341"/>
  <c r="EA338"/>
  <c r="EA337"/>
  <c r="EA331"/>
  <c r="EA330"/>
  <c r="EA329"/>
  <c r="EA328"/>
  <c r="EA327"/>
  <c r="EA324"/>
  <c r="EA323"/>
  <c r="EA322"/>
  <c r="EA321"/>
  <c r="EA317"/>
  <c r="EA316"/>
  <c r="EA315"/>
  <c r="EA311"/>
  <c r="EA310"/>
  <c r="EA309"/>
  <c r="EA308"/>
  <c r="EA307"/>
  <c r="EA303"/>
  <c r="EA302"/>
  <c r="EA301"/>
  <c r="EA300"/>
  <c r="EA299"/>
  <c r="EA298"/>
  <c r="EA297"/>
  <c r="EA295"/>
  <c r="EA294"/>
  <c r="EA293"/>
  <c r="EA292"/>
  <c r="EA291"/>
  <c r="EA290"/>
  <c r="EA289"/>
  <c r="EA288"/>
  <c r="EA287"/>
  <c r="EA281"/>
  <c r="EA280"/>
  <c r="EA279"/>
  <c r="EA278"/>
  <c r="EA275"/>
  <c r="EA271"/>
  <c r="EA270"/>
  <c r="EA269"/>
  <c r="EA266"/>
  <c r="EA265"/>
  <c r="EA264"/>
  <c r="EA157"/>
  <c r="EA126"/>
  <c r="EA125"/>
  <c r="EA120"/>
  <c r="EA119"/>
  <c r="EA118"/>
  <c r="EA117"/>
  <c r="EA115"/>
  <c r="EA113"/>
  <c r="EA112"/>
  <c r="EA110"/>
  <c r="EA109"/>
  <c r="EA105"/>
  <c r="EA104"/>
  <c r="EA78"/>
  <c r="EA77"/>
  <c r="EA76"/>
  <c r="EA67"/>
  <c r="EA66"/>
  <c r="EA65"/>
  <c r="EA64"/>
  <c r="EA63"/>
  <c r="EA61"/>
  <c r="EA58"/>
  <c r="EA55"/>
  <c r="EA54"/>
  <c r="EA53"/>
  <c r="EA52"/>
  <c r="EA51"/>
  <c r="EA50"/>
  <c r="EA49"/>
  <c r="EA48"/>
  <c r="EA46"/>
  <c r="EA45"/>
  <c r="EA44"/>
  <c r="EA43"/>
  <c r="EA42"/>
  <c r="EA41"/>
  <c r="EA40"/>
  <c r="EA39"/>
  <c r="EA38"/>
  <c r="EA37"/>
  <c r="EA36"/>
  <c r="EA35"/>
  <c r="EA34"/>
  <c r="EA33"/>
  <c r="EA31"/>
  <c r="EA30"/>
  <c r="EA29"/>
  <c r="EA28"/>
  <c r="EA27"/>
  <c r="EA26"/>
  <c r="EA25"/>
  <c r="EA24"/>
  <c r="EA23"/>
  <c r="EA22"/>
  <c r="EA21"/>
  <c r="EA20"/>
  <c r="EA19"/>
  <c r="EA319"/>
  <c r="EA312"/>
  <c r="EA306"/>
  <c r="EA305"/>
  <c r="EA304"/>
  <c r="EA296"/>
  <c r="EA286"/>
  <c r="EA285"/>
  <c r="EA284"/>
  <c r="EA283"/>
  <c r="EA282"/>
  <c r="EA268"/>
  <c r="EA267"/>
  <c r="EA155"/>
  <c r="EA154"/>
  <c r="EA153"/>
  <c r="EA152"/>
  <c r="EA151"/>
  <c r="EA147"/>
  <c r="EA141"/>
  <c r="EA139"/>
  <c r="EA138"/>
  <c r="EA137"/>
  <c r="EA123"/>
  <c r="EA121"/>
  <c r="EA114"/>
  <c r="EA108"/>
  <c r="EA107"/>
  <c r="EA106"/>
  <c r="EA103"/>
  <c r="EA102"/>
  <c r="EA100"/>
  <c r="EA99"/>
  <c r="EA98"/>
  <c r="EA97"/>
  <c r="EA68"/>
  <c r="EA60"/>
  <c r="EA59"/>
  <c r="EA56"/>
  <c r="EA15"/>
  <c r="EA14"/>
  <c r="EA13"/>
  <c r="EA392"/>
  <c r="EA391"/>
  <c r="EA390"/>
  <c r="EA385"/>
  <c r="EA384"/>
  <c r="EA382"/>
  <c r="EA345"/>
  <c r="EA340"/>
  <c r="EA339"/>
  <c r="EA335"/>
  <c r="EA334"/>
  <c r="EA333"/>
  <c r="EA332"/>
  <c r="EA326"/>
  <c r="EA325"/>
  <c r="EA314"/>
  <c r="EA313"/>
  <c r="EA277"/>
  <c r="EA276"/>
  <c r="EA274"/>
  <c r="EA272"/>
  <c r="EA263"/>
  <c r="EA262"/>
  <c r="EA261"/>
  <c r="EA260"/>
  <c r="EA259"/>
  <c r="EA258"/>
  <c r="EA257"/>
  <c r="EA256"/>
  <c r="EA255"/>
  <c r="EA254"/>
  <c r="EA253"/>
  <c r="EA252"/>
  <c r="EA251"/>
  <c r="EA250"/>
  <c r="EA249"/>
  <c r="EA248"/>
  <c r="EA247"/>
  <c r="EA246"/>
  <c r="EA245"/>
  <c r="EA244"/>
  <c r="EA243"/>
  <c r="EA242"/>
  <c r="EA241"/>
  <c r="EA240"/>
  <c r="EA239"/>
  <c r="EA238"/>
  <c r="EA237"/>
  <c r="EA236"/>
  <c r="EA235"/>
  <c r="EA234"/>
  <c r="EA232"/>
  <c r="EA229"/>
  <c r="EA227"/>
  <c r="EA226"/>
  <c r="EA225"/>
  <c r="EA224"/>
  <c r="EA223"/>
  <c r="EA222"/>
  <c r="EA221"/>
  <c r="EA220"/>
  <c r="EA219"/>
  <c r="EA218"/>
  <c r="EA217"/>
  <c r="EA216"/>
  <c r="EA215"/>
  <c r="EA214"/>
  <c r="EA213"/>
  <c r="EA212"/>
  <c r="EA211"/>
  <c r="EA210"/>
  <c r="EA209"/>
  <c r="EA206"/>
  <c r="EA205"/>
  <c r="EA204"/>
  <c r="EA203"/>
  <c r="EA202"/>
  <c r="EA201"/>
  <c r="EA200"/>
  <c r="EA199"/>
  <c r="EA198"/>
  <c r="EA197"/>
  <c r="EA196"/>
  <c r="EA195"/>
  <c r="EA194"/>
  <c r="EA193"/>
  <c r="EA192"/>
  <c r="EA191"/>
  <c r="EA190"/>
  <c r="EA189"/>
  <c r="EA188"/>
  <c r="EA187"/>
  <c r="EA181"/>
  <c r="EA180"/>
  <c r="EA179"/>
  <c r="EA178"/>
  <c r="EA177"/>
  <c r="EA176"/>
  <c r="EA175"/>
  <c r="EA174"/>
  <c r="EA173"/>
  <c r="EA172"/>
  <c r="EA171"/>
  <c r="EA170"/>
  <c r="EA169"/>
  <c r="EA168"/>
  <c r="EA167"/>
  <c r="EA166"/>
  <c r="EA165"/>
  <c r="EA164"/>
  <c r="EA163"/>
  <c r="EA162"/>
  <c r="EA161"/>
  <c r="EA156"/>
  <c r="EA150"/>
  <c r="EA149"/>
  <c r="EA148"/>
  <c r="EA146"/>
  <c r="EA145"/>
  <c r="EA136"/>
  <c r="EA135"/>
  <c r="EA134"/>
  <c r="EA133"/>
  <c r="EA132"/>
  <c r="EA131"/>
  <c r="EA128"/>
  <c r="EA129"/>
  <c r="EA122"/>
  <c r="EA111"/>
  <c r="EA96"/>
  <c r="EA95"/>
  <c r="EA94"/>
  <c r="EA93"/>
  <c r="EA91"/>
  <c r="EA90"/>
  <c r="EA89"/>
  <c r="EA88"/>
  <c r="EA87"/>
  <c r="EA86"/>
  <c r="EA84"/>
  <c r="EA81"/>
  <c r="EA80"/>
  <c r="EA79"/>
  <c r="EA70"/>
  <c r="EA47"/>
  <c r="EA17"/>
  <c r="EA16"/>
  <c r="EA12"/>
  <c r="EA11"/>
  <c r="EA10"/>
  <c r="EA9"/>
  <c r="EA8"/>
  <c r="EA7"/>
  <c r="EA6"/>
  <c r="EA5"/>
  <c r="EA4"/>
  <c r="EA2"/>
  <c r="DK400"/>
  <c r="DK399"/>
  <c r="DK398"/>
  <c r="DK397"/>
  <c r="DK396"/>
  <c r="DK395"/>
  <c r="DK394"/>
  <c r="DK393"/>
  <c r="DK389"/>
  <c r="DK388"/>
  <c r="DK381"/>
  <c r="DK380"/>
  <c r="DK379"/>
  <c r="DK378"/>
  <c r="DK377"/>
  <c r="DK376"/>
  <c r="DK375"/>
  <c r="DK374"/>
  <c r="DK373"/>
  <c r="DK371"/>
  <c r="DK370"/>
  <c r="DK369"/>
  <c r="DK368"/>
  <c r="DK367"/>
  <c r="DK366"/>
  <c r="DK365"/>
  <c r="DK364"/>
  <c r="DK363"/>
  <c r="DK362"/>
  <c r="DK361"/>
  <c r="DK360"/>
  <c r="DK359"/>
  <c r="DK358"/>
  <c r="DK357"/>
  <c r="DK356"/>
  <c r="DK355"/>
  <c r="DK353"/>
  <c r="DK350"/>
  <c r="DK349"/>
  <c r="DK348"/>
  <c r="DK346"/>
  <c r="DK344"/>
  <c r="DK343"/>
  <c r="DK342"/>
  <c r="DK341"/>
  <c r="DK338"/>
  <c r="DK337"/>
  <c r="DK331"/>
  <c r="DK330"/>
  <c r="DK329"/>
  <c r="DK328"/>
  <c r="DK327"/>
  <c r="DK324"/>
  <c r="DK323"/>
  <c r="DK322"/>
  <c r="DK321"/>
  <c r="DK317"/>
  <c r="DK316"/>
  <c r="DK315"/>
  <c r="DK311"/>
  <c r="DK310"/>
  <c r="DK309"/>
  <c r="DK308"/>
  <c r="DK307"/>
  <c r="DK303"/>
  <c r="DK302"/>
  <c r="DK301"/>
  <c r="DK300"/>
  <c r="DK299"/>
  <c r="DK298"/>
  <c r="DK297"/>
  <c r="DK295"/>
  <c r="DK294"/>
  <c r="DK293"/>
  <c r="DK292"/>
  <c r="DK291"/>
  <c r="DK290"/>
  <c r="DK289"/>
  <c r="DK288"/>
  <c r="DK287"/>
  <c r="DK281"/>
  <c r="DK280"/>
  <c r="DK279"/>
  <c r="DK278"/>
  <c r="DK275"/>
  <c r="DK271"/>
  <c r="DK270"/>
  <c r="DK269"/>
  <c r="DK266"/>
  <c r="DK265"/>
  <c r="DK264"/>
  <c r="DK157"/>
  <c r="DK126"/>
  <c r="DK125"/>
  <c r="DK120"/>
  <c r="DK119"/>
  <c r="DK118"/>
  <c r="DK117"/>
  <c r="DK115"/>
  <c r="DK113"/>
  <c r="DK112"/>
  <c r="DK110"/>
  <c r="DK109"/>
  <c r="DK105"/>
  <c r="DK104"/>
  <c r="DK78"/>
  <c r="DK77"/>
  <c r="DK76"/>
  <c r="DK67"/>
  <c r="DK66"/>
  <c r="DK65"/>
  <c r="DK64"/>
  <c r="DK63"/>
  <c r="DK61"/>
  <c r="DK58"/>
  <c r="DK55"/>
  <c r="DK54"/>
  <c r="DK53"/>
  <c r="DK52"/>
  <c r="DK51"/>
  <c r="DK50"/>
  <c r="DK49"/>
  <c r="DK48"/>
  <c r="DK46"/>
  <c r="DK45"/>
  <c r="DK44"/>
  <c r="DK43"/>
  <c r="DK42"/>
  <c r="DK41"/>
  <c r="DK40"/>
  <c r="DK39"/>
  <c r="DK38"/>
  <c r="DK37"/>
  <c r="DK36"/>
  <c r="DK35"/>
  <c r="DK34"/>
  <c r="DK33"/>
  <c r="DK31"/>
  <c r="DK30"/>
  <c r="DK29"/>
  <c r="DK28"/>
  <c r="DK27"/>
  <c r="DK26"/>
  <c r="DK25"/>
  <c r="DK24"/>
  <c r="DK23"/>
  <c r="DK22"/>
  <c r="DK21"/>
  <c r="DK20"/>
  <c r="DK19"/>
  <c r="DK319"/>
  <c r="DK312"/>
  <c r="DK306"/>
  <c r="DK305"/>
  <c r="DK304"/>
  <c r="DK296"/>
  <c r="DK286"/>
  <c r="DK285"/>
  <c r="DK284"/>
  <c r="DK283"/>
  <c r="DK282"/>
  <c r="DK268"/>
  <c r="DK267"/>
  <c r="DK155"/>
  <c r="DK154"/>
  <c r="DK153"/>
  <c r="DK152"/>
  <c r="DK151"/>
  <c r="DK147"/>
  <c r="DK141"/>
  <c r="DK139"/>
  <c r="DK138"/>
  <c r="DK137"/>
  <c r="DK123"/>
  <c r="DK121"/>
  <c r="DK114"/>
  <c r="DK108"/>
  <c r="DK107"/>
  <c r="DK106"/>
  <c r="DK103"/>
  <c r="DK102"/>
  <c r="DK100"/>
  <c r="DK99"/>
  <c r="DK98"/>
  <c r="DK97"/>
  <c r="DK68"/>
  <c r="DK60"/>
  <c r="DK59"/>
  <c r="DK56"/>
  <c r="DK15"/>
  <c r="DK14"/>
  <c r="DK13"/>
  <c r="DK392"/>
  <c r="DK391"/>
  <c r="DK390"/>
  <c r="DK385"/>
  <c r="DK384"/>
  <c r="DK382"/>
  <c r="DK345"/>
  <c r="DK340"/>
  <c r="DK339"/>
  <c r="DK335"/>
  <c r="DK334"/>
  <c r="DK333"/>
  <c r="DK332"/>
  <c r="DK326"/>
  <c r="DK325"/>
  <c r="DK314"/>
  <c r="DK313"/>
  <c r="DK277"/>
  <c r="DK276"/>
  <c r="DK274"/>
  <c r="DK272"/>
  <c r="DK263"/>
  <c r="DK262"/>
  <c r="DK261"/>
  <c r="DK260"/>
  <c r="DK259"/>
  <c r="DK258"/>
  <c r="DK257"/>
  <c r="DK256"/>
  <c r="DK255"/>
  <c r="DK254"/>
  <c r="DK253"/>
  <c r="DK252"/>
  <c r="DK251"/>
  <c r="DK250"/>
  <c r="DK249"/>
  <c r="DK248"/>
  <c r="DK247"/>
  <c r="DK246"/>
  <c r="DK245"/>
  <c r="DK244"/>
  <c r="DK243"/>
  <c r="DK242"/>
  <c r="DK241"/>
  <c r="DK240"/>
  <c r="DK239"/>
  <c r="DK238"/>
  <c r="DK237"/>
  <c r="DK236"/>
  <c r="DK235"/>
  <c r="DK234"/>
  <c r="DK232"/>
  <c r="DK229"/>
  <c r="DK227"/>
  <c r="DK226"/>
  <c r="DK225"/>
  <c r="DK224"/>
  <c r="DK223"/>
  <c r="DK222"/>
  <c r="DK221"/>
  <c r="DK220"/>
  <c r="DK219"/>
  <c r="DK218"/>
  <c r="DK217"/>
  <c r="DK216"/>
  <c r="DK215"/>
  <c r="DK214"/>
  <c r="DK213"/>
  <c r="DK212"/>
  <c r="DK211"/>
  <c r="DK210"/>
  <c r="DK209"/>
  <c r="DK206"/>
  <c r="DK205"/>
  <c r="DK204"/>
  <c r="DK203"/>
  <c r="DK202"/>
  <c r="DK201"/>
  <c r="DK200"/>
  <c r="DK199"/>
  <c r="DK198"/>
  <c r="DK197"/>
  <c r="DK196"/>
  <c r="DK195"/>
  <c r="DK194"/>
  <c r="DK193"/>
  <c r="DK192"/>
  <c r="DK191"/>
  <c r="DK190"/>
  <c r="DK189"/>
  <c r="DK188"/>
  <c r="DK187"/>
  <c r="DK181"/>
  <c r="DK180"/>
  <c r="DK179"/>
  <c r="DK178"/>
  <c r="DK177"/>
  <c r="DK176"/>
  <c r="DK175"/>
  <c r="DK174"/>
  <c r="DK173"/>
  <c r="DK172"/>
  <c r="DK171"/>
  <c r="DK170"/>
  <c r="DK169"/>
  <c r="DK168"/>
  <c r="DK167"/>
  <c r="DK166"/>
  <c r="DK165"/>
  <c r="DK164"/>
  <c r="DK163"/>
  <c r="DK162"/>
  <c r="DK161"/>
  <c r="DK156"/>
  <c r="DK150"/>
  <c r="DK149"/>
  <c r="DK148"/>
  <c r="DK146"/>
  <c r="DK145"/>
  <c r="DK136"/>
  <c r="DK135"/>
  <c r="DK134"/>
  <c r="DK133"/>
  <c r="DK132"/>
  <c r="DK131"/>
  <c r="DK128"/>
  <c r="DK129"/>
  <c r="DK122"/>
  <c r="DK111"/>
  <c r="DK96"/>
  <c r="DK95"/>
  <c r="DK94"/>
  <c r="DK93"/>
  <c r="DK91"/>
  <c r="DK90"/>
  <c r="DK89"/>
  <c r="DK88"/>
  <c r="DK87"/>
  <c r="DK86"/>
  <c r="DK84"/>
  <c r="DK81"/>
  <c r="DK80"/>
  <c r="DK79"/>
  <c r="DK70"/>
  <c r="DK47"/>
  <c r="DK17"/>
  <c r="DK16"/>
  <c r="DK12"/>
  <c r="DK11"/>
  <c r="DK10"/>
  <c r="DK9"/>
  <c r="DK8"/>
  <c r="DK7"/>
  <c r="DK6"/>
  <c r="DK5"/>
  <c r="DK4"/>
  <c r="DK3"/>
  <c r="DK2"/>
  <c r="CU400"/>
  <c r="CU399"/>
  <c r="CU398"/>
  <c r="CU397"/>
  <c r="CU396"/>
  <c r="CU395"/>
  <c r="CU394"/>
  <c r="CU393"/>
  <c r="CU389"/>
  <c r="CU388"/>
  <c r="CU381"/>
  <c r="CU380"/>
  <c r="CU379"/>
  <c r="CU378"/>
  <c r="CU377"/>
  <c r="CU376"/>
  <c r="CU375"/>
  <c r="CU374"/>
  <c r="CU373"/>
  <c r="CU371"/>
  <c r="CU370"/>
  <c r="CU369"/>
  <c r="CU368"/>
  <c r="CU367"/>
  <c r="CU366"/>
  <c r="CU365"/>
  <c r="CU364"/>
  <c r="CU363"/>
  <c r="CU362"/>
  <c r="CU361"/>
  <c r="CU360"/>
  <c r="CU359"/>
  <c r="CU358"/>
  <c r="CU357"/>
  <c r="CU356"/>
  <c r="CU355"/>
  <c r="CU353"/>
  <c r="CU350"/>
  <c r="CU349"/>
  <c r="CU348"/>
  <c r="CU346"/>
  <c r="CU344"/>
  <c r="CU343"/>
  <c r="CU342"/>
  <c r="CU341"/>
  <c r="CU338"/>
  <c r="CU337"/>
  <c r="CU331"/>
  <c r="CU330"/>
  <c r="CU329"/>
  <c r="CU328"/>
  <c r="CU327"/>
  <c r="CU324"/>
  <c r="CU323"/>
  <c r="CU322"/>
  <c r="CU321"/>
  <c r="CU317"/>
  <c r="CU316"/>
  <c r="CU315"/>
  <c r="CU311"/>
  <c r="CU310"/>
  <c r="CU309"/>
  <c r="CU308"/>
  <c r="CU307"/>
  <c r="CU303"/>
  <c r="CU302"/>
  <c r="CU301"/>
  <c r="CU300"/>
  <c r="CU299"/>
  <c r="CU298"/>
  <c r="CU297"/>
  <c r="CU295"/>
  <c r="CU294"/>
  <c r="CU293"/>
  <c r="CU292"/>
  <c r="CU291"/>
  <c r="CU290"/>
  <c r="CU289"/>
  <c r="CU288"/>
  <c r="CU287"/>
  <c r="CU281"/>
  <c r="CU280"/>
  <c r="CU279"/>
  <c r="CU278"/>
  <c r="CU275"/>
  <c r="CU271"/>
  <c r="CU270"/>
  <c r="CU269"/>
  <c r="CU266"/>
  <c r="CU265"/>
  <c r="CU264"/>
  <c r="CU157"/>
  <c r="CU126"/>
  <c r="CU125"/>
  <c r="CU120"/>
  <c r="CU119"/>
  <c r="CU118"/>
  <c r="CU117"/>
  <c r="CU115"/>
  <c r="CU113"/>
  <c r="CU112"/>
  <c r="CU110"/>
  <c r="CU109"/>
  <c r="CU105"/>
  <c r="CU104"/>
  <c r="CU78"/>
  <c r="CU77"/>
  <c r="CU76"/>
  <c r="CU67"/>
  <c r="CU66"/>
  <c r="CU65"/>
  <c r="CU64"/>
  <c r="CU63"/>
  <c r="CU61"/>
  <c r="CU58"/>
  <c r="CU55"/>
  <c r="CU54"/>
  <c r="CU53"/>
  <c r="CU52"/>
  <c r="CU51"/>
  <c r="CU50"/>
  <c r="CU49"/>
  <c r="CU48"/>
  <c r="CU46"/>
  <c r="CU45"/>
  <c r="CU44"/>
  <c r="CU43"/>
  <c r="CU42"/>
  <c r="CU41"/>
  <c r="CU40"/>
  <c r="CU39"/>
  <c r="CU38"/>
  <c r="CU37"/>
  <c r="CU36"/>
  <c r="CU35"/>
  <c r="CU34"/>
  <c r="CU33"/>
  <c r="CU31"/>
  <c r="CU30"/>
  <c r="CU29"/>
  <c r="CU28"/>
  <c r="CU27"/>
  <c r="CU26"/>
  <c r="CU25"/>
  <c r="CU24"/>
  <c r="CU23"/>
  <c r="CU22"/>
  <c r="CU21"/>
  <c r="CU20"/>
  <c r="CU19"/>
  <c r="CU319"/>
  <c r="CU312"/>
  <c r="CU306"/>
  <c r="CU305"/>
  <c r="CU304"/>
  <c r="CU296"/>
  <c r="CU286"/>
  <c r="CU285"/>
  <c r="CU284"/>
  <c r="CU283"/>
  <c r="CU282"/>
  <c r="CU268"/>
  <c r="CU267"/>
  <c r="CU155"/>
  <c r="CU154"/>
  <c r="CU153"/>
  <c r="CU152"/>
  <c r="CU151"/>
  <c r="CU147"/>
  <c r="CU141"/>
  <c r="CU139"/>
  <c r="CU138"/>
  <c r="CU137"/>
  <c r="CU123"/>
  <c r="CU121"/>
  <c r="CU114"/>
  <c r="CU108"/>
  <c r="CU107"/>
  <c r="CU106"/>
  <c r="CU103"/>
  <c r="CU102"/>
  <c r="CU100"/>
  <c r="CU99"/>
  <c r="CU98"/>
  <c r="CU97"/>
  <c r="CU68"/>
  <c r="CU60"/>
  <c r="CU59"/>
  <c r="CU56"/>
  <c r="CU15"/>
  <c r="CU14"/>
  <c r="CU13"/>
  <c r="CU392"/>
  <c r="CU391"/>
  <c r="CU390"/>
  <c r="CU385"/>
  <c r="CU384"/>
  <c r="CU382"/>
  <c r="CU345"/>
  <c r="CU340"/>
  <c r="CU339"/>
  <c r="CU335"/>
  <c r="CU334"/>
  <c r="CU333"/>
  <c r="CU332"/>
  <c r="CU326"/>
  <c r="CU325"/>
  <c r="CU314"/>
  <c r="CU313"/>
  <c r="CU277"/>
  <c r="CU276"/>
  <c r="CU274"/>
  <c r="CU272"/>
  <c r="CU263"/>
  <c r="CU262"/>
  <c r="CU261"/>
  <c r="CU260"/>
  <c r="CU259"/>
  <c r="CU258"/>
  <c r="CU257"/>
  <c r="CU256"/>
  <c r="CU255"/>
  <c r="CU254"/>
  <c r="CU253"/>
  <c r="CU252"/>
  <c r="CU251"/>
  <c r="CU250"/>
  <c r="CU249"/>
  <c r="CU248"/>
  <c r="CU247"/>
  <c r="CU246"/>
  <c r="CU245"/>
  <c r="CU244"/>
  <c r="CU243"/>
  <c r="CU242"/>
  <c r="CU241"/>
  <c r="CU240"/>
  <c r="CU239"/>
  <c r="CU238"/>
  <c r="CU237"/>
  <c r="CU236"/>
  <c r="CU235"/>
  <c r="CU234"/>
  <c r="CU232"/>
  <c r="CU229"/>
  <c r="CU227"/>
  <c r="CU226"/>
  <c r="CU225"/>
  <c r="CU224"/>
  <c r="CU223"/>
  <c r="CU222"/>
  <c r="CU221"/>
  <c r="CU220"/>
  <c r="CU219"/>
  <c r="CU218"/>
  <c r="CU217"/>
  <c r="CU216"/>
  <c r="CU215"/>
  <c r="CU214"/>
  <c r="CU213"/>
  <c r="CU212"/>
  <c r="CU211"/>
  <c r="CU210"/>
  <c r="CU209"/>
  <c r="CU206"/>
  <c r="CU205"/>
  <c r="CU204"/>
  <c r="CU203"/>
  <c r="CU202"/>
  <c r="CU201"/>
  <c r="CU200"/>
  <c r="CU199"/>
  <c r="CU198"/>
  <c r="CU197"/>
  <c r="CU196"/>
  <c r="CU195"/>
  <c r="CU194"/>
  <c r="CU193"/>
  <c r="CU192"/>
  <c r="CU191"/>
  <c r="CU190"/>
  <c r="CU189"/>
  <c r="CU188"/>
  <c r="CU187"/>
  <c r="CU181"/>
  <c r="CU180"/>
  <c r="CU179"/>
  <c r="CU178"/>
  <c r="CU177"/>
  <c r="CU176"/>
  <c r="CU175"/>
  <c r="CU174"/>
  <c r="CU173"/>
  <c r="CU172"/>
  <c r="CU171"/>
  <c r="CU170"/>
  <c r="CU169"/>
  <c r="CU168"/>
  <c r="CU167"/>
  <c r="CU166"/>
  <c r="CU165"/>
  <c r="CU164"/>
  <c r="CU163"/>
  <c r="CU162"/>
  <c r="CU161"/>
  <c r="CU156"/>
  <c r="CU150"/>
  <c r="CU149"/>
  <c r="CU148"/>
  <c r="CU146"/>
  <c r="CU145"/>
  <c r="CU136"/>
  <c r="CU135"/>
  <c r="CU134"/>
  <c r="CU133"/>
  <c r="CU132"/>
  <c r="CU131"/>
  <c r="CU128"/>
  <c r="CU129"/>
  <c r="CU122"/>
  <c r="CU111"/>
  <c r="CU96"/>
  <c r="CU95"/>
  <c r="CU94"/>
  <c r="CU93"/>
  <c r="CU91"/>
  <c r="CU90"/>
  <c r="CU89"/>
  <c r="CU88"/>
  <c r="CU87"/>
  <c r="CU86"/>
  <c r="CU84"/>
  <c r="CU81"/>
  <c r="CU80"/>
  <c r="CU79"/>
  <c r="CU70"/>
  <c r="CU47"/>
  <c r="CU17"/>
  <c r="CU16"/>
  <c r="CU12"/>
  <c r="CU11"/>
  <c r="CU10"/>
  <c r="CU9"/>
  <c r="CU8"/>
  <c r="CU7"/>
  <c r="CU6"/>
  <c r="CU5"/>
  <c r="CU4"/>
  <c r="CU3"/>
  <c r="CU2"/>
  <c r="CE400"/>
  <c r="CE399"/>
  <c r="CE398"/>
  <c r="CE397"/>
  <c r="CE396"/>
  <c r="CE395"/>
  <c r="CE394"/>
  <c r="CE393"/>
  <c r="CE389"/>
  <c r="CE388"/>
  <c r="CE381"/>
  <c r="CE380"/>
  <c r="CE379"/>
  <c r="CE378"/>
  <c r="CE377"/>
  <c r="CE376"/>
  <c r="CE375"/>
  <c r="CE374"/>
  <c r="CE373"/>
  <c r="CE371"/>
  <c r="CE370"/>
  <c r="CE369"/>
  <c r="CE368"/>
  <c r="CE367"/>
  <c r="CE366"/>
  <c r="CE365"/>
  <c r="CE364"/>
  <c r="CE363"/>
  <c r="CE362"/>
  <c r="CE361"/>
  <c r="CE360"/>
  <c r="CE359"/>
  <c r="CE358"/>
  <c r="CE357"/>
  <c r="CE356"/>
  <c r="CE355"/>
  <c r="CE353"/>
  <c r="CE350"/>
  <c r="CE349"/>
  <c r="CE348"/>
  <c r="CE346"/>
  <c r="CE344"/>
  <c r="CE343"/>
  <c r="CE342"/>
  <c r="CE341"/>
  <c r="CE338"/>
  <c r="CE337"/>
  <c r="CE331"/>
  <c r="CE330"/>
  <c r="CE329"/>
  <c r="CE328"/>
  <c r="CE327"/>
  <c r="CE324"/>
  <c r="CE323"/>
  <c r="CE322"/>
  <c r="CE321"/>
  <c r="CE317"/>
  <c r="CE316"/>
  <c r="CE315"/>
  <c r="CE311"/>
  <c r="CE310"/>
  <c r="CE309"/>
  <c r="CE308"/>
  <c r="CE307"/>
  <c r="CE303"/>
  <c r="CE302"/>
  <c r="CE301"/>
  <c r="CE300"/>
  <c r="CE299"/>
  <c r="CE298"/>
  <c r="CE297"/>
  <c r="CE295"/>
  <c r="CE294"/>
  <c r="CE293"/>
  <c r="CE292"/>
  <c r="CE291"/>
  <c r="CE290"/>
  <c r="CE289"/>
  <c r="CE288"/>
  <c r="CE287"/>
  <c r="CE281"/>
  <c r="CE280"/>
  <c r="CE279"/>
  <c r="CE278"/>
  <c r="CE275"/>
  <c r="CE271"/>
  <c r="CE270"/>
  <c r="CE269"/>
  <c r="CE266"/>
  <c r="CE265"/>
  <c r="CE264"/>
  <c r="CE157"/>
  <c r="CE126"/>
  <c r="CE125"/>
  <c r="CE120"/>
  <c r="CE119"/>
  <c r="CE118"/>
  <c r="CE117"/>
  <c r="CE115"/>
  <c r="CE113"/>
  <c r="CE112"/>
  <c r="CE110"/>
  <c r="CE109"/>
  <c r="CE105"/>
  <c r="CE104"/>
  <c r="CE78"/>
  <c r="CE77"/>
  <c r="CE76"/>
  <c r="CE67"/>
  <c r="CE66"/>
  <c r="CE65"/>
  <c r="CE64"/>
  <c r="CE63"/>
  <c r="CE61"/>
  <c r="CE58"/>
  <c r="CE55"/>
  <c r="CE54"/>
  <c r="CE53"/>
  <c r="CE52"/>
  <c r="CE51"/>
  <c r="CE50"/>
  <c r="CE49"/>
  <c r="CE48"/>
  <c r="CE46"/>
  <c r="CE45"/>
  <c r="CE44"/>
  <c r="CE43"/>
  <c r="CE42"/>
  <c r="CE41"/>
  <c r="CE40"/>
  <c r="CE39"/>
  <c r="CE38"/>
  <c r="CE37"/>
  <c r="CE36"/>
  <c r="CE35"/>
  <c r="CE34"/>
  <c r="CE33"/>
  <c r="CE31"/>
  <c r="CE30"/>
  <c r="CE29"/>
  <c r="CE28"/>
  <c r="CE27"/>
  <c r="CE26"/>
  <c r="CE25"/>
  <c r="CE24"/>
  <c r="CE23"/>
  <c r="CE22"/>
  <c r="CE21"/>
  <c r="CE20"/>
  <c r="CE19"/>
  <c r="CE319"/>
  <c r="CE312"/>
  <c r="CE306"/>
  <c r="CE305"/>
  <c r="CE304"/>
  <c r="CE296"/>
  <c r="CE286"/>
  <c r="CE285"/>
  <c r="CE284"/>
  <c r="CE283"/>
  <c r="CE282"/>
  <c r="CE268"/>
  <c r="CE267"/>
  <c r="CE155"/>
  <c r="CE154"/>
  <c r="CE153"/>
  <c r="CE152"/>
  <c r="CE151"/>
  <c r="CE147"/>
  <c r="CE141"/>
  <c r="CE139"/>
  <c r="CE138"/>
  <c r="CE137"/>
  <c r="CE123"/>
  <c r="CE121"/>
  <c r="CE114"/>
  <c r="CE108"/>
  <c r="CE107"/>
  <c r="CE106"/>
  <c r="CE103"/>
  <c r="CE102"/>
  <c r="CE100"/>
  <c r="CE99"/>
  <c r="CE98"/>
  <c r="CE97"/>
  <c r="CE68"/>
  <c r="CE60"/>
  <c r="CE59"/>
  <c r="CE56"/>
  <c r="CE15"/>
  <c r="CE14"/>
  <c r="CE13"/>
  <c r="CE392"/>
  <c r="CE391"/>
  <c r="CE390"/>
  <c r="CE385"/>
  <c r="CE384"/>
  <c r="CE382"/>
  <c r="CE345"/>
  <c r="CE340"/>
  <c r="CE339"/>
  <c r="CE335"/>
  <c r="CE334"/>
  <c r="CE333"/>
  <c r="CE332"/>
  <c r="CE326"/>
  <c r="CE325"/>
  <c r="CE314"/>
  <c r="CE313"/>
  <c r="CE277"/>
  <c r="CE276"/>
  <c r="CE274"/>
  <c r="CE272"/>
  <c r="CE263"/>
  <c r="CE262"/>
  <c r="CE261"/>
  <c r="CE260"/>
  <c r="CE259"/>
  <c r="CE258"/>
  <c r="CE257"/>
  <c r="CE256"/>
  <c r="CE255"/>
  <c r="CE254"/>
  <c r="CE253"/>
  <c r="CE252"/>
  <c r="CE251"/>
  <c r="CE250"/>
  <c r="CE249"/>
  <c r="CE248"/>
  <c r="CE247"/>
  <c r="CE246"/>
  <c r="CE245"/>
  <c r="CE244"/>
  <c r="CE243"/>
  <c r="CE242"/>
  <c r="CE241"/>
  <c r="CE240"/>
  <c r="CE239"/>
  <c r="CE238"/>
  <c r="CE237"/>
  <c r="CE236"/>
  <c r="CE235"/>
  <c r="CE234"/>
  <c r="CE232"/>
  <c r="CE229"/>
  <c r="CE227"/>
  <c r="CE226"/>
  <c r="CE225"/>
  <c r="CE224"/>
  <c r="CE223"/>
  <c r="CE222"/>
  <c r="CE221"/>
  <c r="CE220"/>
  <c r="CE219"/>
  <c r="CE218"/>
  <c r="CE217"/>
  <c r="CE216"/>
  <c r="CE215"/>
  <c r="CE214"/>
  <c r="CE213"/>
  <c r="CE212"/>
  <c r="CE211"/>
  <c r="CE210"/>
  <c r="CE209"/>
  <c r="CE206"/>
  <c r="CE205"/>
  <c r="CE204"/>
  <c r="CE203"/>
  <c r="CE202"/>
  <c r="CE201"/>
  <c r="CE200"/>
  <c r="CE199"/>
  <c r="CE198"/>
  <c r="CE197"/>
  <c r="CE196"/>
  <c r="CE195"/>
  <c r="CE194"/>
  <c r="CE193"/>
  <c r="CE192"/>
  <c r="CE191"/>
  <c r="CE190"/>
  <c r="CE189"/>
  <c r="CE188"/>
  <c r="CE187"/>
  <c r="CE181"/>
  <c r="CE180"/>
  <c r="CE179"/>
  <c r="CE178"/>
  <c r="CE177"/>
  <c r="CE176"/>
  <c r="CE175"/>
  <c r="CE174"/>
  <c r="CE173"/>
  <c r="CE172"/>
  <c r="CE171"/>
  <c r="CE170"/>
  <c r="CE169"/>
  <c r="CE168"/>
  <c r="CE167"/>
  <c r="CE166"/>
  <c r="CE165"/>
  <c r="CE164"/>
  <c r="CE163"/>
  <c r="CE162"/>
  <c r="CE161"/>
  <c r="CE156"/>
  <c r="CE150"/>
  <c r="CE149"/>
  <c r="CE148"/>
  <c r="CE146"/>
  <c r="CE145"/>
  <c r="CE136"/>
  <c r="CE135"/>
  <c r="CE134"/>
  <c r="CE133"/>
  <c r="CE132"/>
  <c r="CE131"/>
  <c r="CE128"/>
  <c r="CE129"/>
  <c r="CE122"/>
  <c r="CE111"/>
  <c r="CE96"/>
  <c r="CE95"/>
  <c r="CE94"/>
  <c r="CE93"/>
  <c r="CE91"/>
  <c r="CE90"/>
  <c r="CE89"/>
  <c r="CE88"/>
  <c r="CE87"/>
  <c r="CE86"/>
  <c r="CE84"/>
  <c r="CE81"/>
  <c r="CE80"/>
  <c r="CE79"/>
  <c r="CE70"/>
  <c r="CE47"/>
  <c r="CE17"/>
  <c r="CE16"/>
  <c r="CE12"/>
  <c r="CE11"/>
  <c r="CE10"/>
  <c r="CE9"/>
  <c r="CE8"/>
  <c r="CE7"/>
  <c r="CE6"/>
  <c r="CE5"/>
  <c r="CE4"/>
  <c r="CE3"/>
  <c r="CE2"/>
  <c r="AH400"/>
  <c r="AH399"/>
  <c r="AH398"/>
  <c r="AH397"/>
  <c r="AH396"/>
  <c r="AH395"/>
  <c r="AH394"/>
  <c r="AH393"/>
  <c r="AH389"/>
  <c r="AH388"/>
  <c r="AH381"/>
  <c r="AH380"/>
  <c r="AH379"/>
  <c r="AH378"/>
  <c r="AH377"/>
  <c r="AH376"/>
  <c r="AH375"/>
  <c r="AH374"/>
  <c r="AH373"/>
  <c r="AH371"/>
  <c r="AH370"/>
  <c r="AH369"/>
  <c r="AH368"/>
  <c r="AH367"/>
  <c r="AH366"/>
  <c r="AH365"/>
  <c r="AH364"/>
  <c r="AH363"/>
  <c r="AH362"/>
  <c r="AH361"/>
  <c r="AH360"/>
  <c r="AH359"/>
  <c r="AH358"/>
  <c r="AH357"/>
  <c r="AH356"/>
  <c r="AH355"/>
  <c r="AH353"/>
  <c r="AH350"/>
  <c r="AH349"/>
  <c r="AH348"/>
  <c r="AH346"/>
  <c r="AH344"/>
  <c r="AH343"/>
  <c r="AH342"/>
  <c r="AH341"/>
  <c r="AH338"/>
  <c r="AH337"/>
  <c r="AH331"/>
  <c r="AH330"/>
  <c r="AH329"/>
  <c r="AH328"/>
  <c r="AH327"/>
  <c r="AH324"/>
  <c r="AH323"/>
  <c r="AH322"/>
  <c r="AH321"/>
  <c r="AH317"/>
  <c r="AH316"/>
  <c r="AH315"/>
  <c r="AH311"/>
  <c r="AH310"/>
  <c r="AH309"/>
  <c r="AH308"/>
  <c r="AH307"/>
  <c r="AH303"/>
  <c r="AH302"/>
  <c r="AH301"/>
  <c r="AH300"/>
  <c r="AH299"/>
  <c r="AH298"/>
  <c r="AH297"/>
  <c r="AH295"/>
  <c r="AH294"/>
  <c r="AH293"/>
  <c r="AH292"/>
  <c r="AH291"/>
  <c r="AH290"/>
  <c r="AH289"/>
  <c r="AH288"/>
  <c r="AH287"/>
  <c r="AH281"/>
  <c r="AH280"/>
  <c r="AH279"/>
  <c r="AH278"/>
  <c r="AH275"/>
  <c r="AH271"/>
  <c r="AH270"/>
  <c r="AH269"/>
  <c r="AH266"/>
  <c r="AH265"/>
  <c r="AH264"/>
  <c r="AH157"/>
  <c r="AH126"/>
  <c r="AH125"/>
  <c r="AH120"/>
  <c r="AH119"/>
  <c r="AH118"/>
  <c r="AH117"/>
  <c r="AH115"/>
  <c r="AH113"/>
  <c r="AH112"/>
  <c r="AH110"/>
  <c r="AH109"/>
  <c r="AH105"/>
  <c r="AH104"/>
  <c r="AH78"/>
  <c r="AH77"/>
  <c r="AH76"/>
  <c r="AH67"/>
  <c r="AH66"/>
  <c r="AH65"/>
  <c r="AH64"/>
  <c r="AH63"/>
  <c r="AH61"/>
  <c r="AH58"/>
  <c r="AH55"/>
  <c r="AH54"/>
  <c r="AH53"/>
  <c r="AH52"/>
  <c r="AH51"/>
  <c r="AH50"/>
  <c r="AH49"/>
  <c r="AH48"/>
  <c r="AH46"/>
  <c r="AH45"/>
  <c r="AH44"/>
  <c r="AH43"/>
  <c r="AH42"/>
  <c r="AH41"/>
  <c r="AH40"/>
  <c r="AH39"/>
  <c r="AH38"/>
  <c r="AH37"/>
  <c r="AH36"/>
  <c r="AH35"/>
  <c r="AH34"/>
  <c r="AH33"/>
  <c r="AH31"/>
  <c r="AH30"/>
  <c r="AH29"/>
  <c r="AH28"/>
  <c r="AH27"/>
  <c r="AH26"/>
  <c r="AH25"/>
  <c r="AH24"/>
  <c r="AH23"/>
  <c r="AH22"/>
  <c r="AH21"/>
  <c r="AH20"/>
  <c r="AH19"/>
  <c r="AH319"/>
  <c r="AH312"/>
  <c r="AH306"/>
  <c r="AH305"/>
  <c r="AH304"/>
  <c r="AH296"/>
  <c r="AH286"/>
  <c r="AH285"/>
  <c r="AH284"/>
  <c r="AH283"/>
  <c r="AH282"/>
  <c r="AH268"/>
  <c r="AH267"/>
  <c r="AH155"/>
  <c r="AH154"/>
  <c r="AH153"/>
  <c r="AH152"/>
  <c r="AH151"/>
  <c r="AH147"/>
  <c r="AH141"/>
  <c r="AH139"/>
  <c r="AH138"/>
  <c r="AH137"/>
  <c r="AH123"/>
  <c r="AH121"/>
  <c r="AH114"/>
  <c r="AH108"/>
  <c r="AH107"/>
  <c r="AH106"/>
  <c r="AH103"/>
  <c r="AH102"/>
  <c r="AH100"/>
  <c r="AH99"/>
  <c r="AH98"/>
  <c r="AH97"/>
  <c r="AH68"/>
  <c r="AH60"/>
  <c r="AH59"/>
  <c r="AH56"/>
  <c r="AH15"/>
  <c r="AH14"/>
  <c r="AH13"/>
  <c r="AH392"/>
  <c r="AH391"/>
  <c r="AH390"/>
  <c r="AH385"/>
  <c r="AH384"/>
  <c r="AH382"/>
  <c r="AH345"/>
  <c r="AH340"/>
  <c r="AH339"/>
  <c r="AH335"/>
  <c r="AH334"/>
  <c r="AH333"/>
  <c r="AH332"/>
  <c r="AH326"/>
  <c r="AH325"/>
  <c r="AH314"/>
  <c r="AH313"/>
  <c r="AH277"/>
  <c r="AH276"/>
  <c r="AH274"/>
  <c r="AH272"/>
  <c r="AH263"/>
  <c r="AH262"/>
  <c r="AH261"/>
  <c r="AH260"/>
  <c r="AH259"/>
  <c r="AH258"/>
  <c r="AH257"/>
  <c r="AH256"/>
  <c r="AH255"/>
  <c r="AH254"/>
  <c r="AH253"/>
  <c r="AH252"/>
  <c r="AH251"/>
  <c r="AH250"/>
  <c r="AH249"/>
  <c r="AH248"/>
  <c r="AH247"/>
  <c r="AH246"/>
  <c r="AH245"/>
  <c r="AH244"/>
  <c r="AH243"/>
  <c r="AH242"/>
  <c r="AH241"/>
  <c r="AH240"/>
  <c r="AH239"/>
  <c r="AH238"/>
  <c r="AH237"/>
  <c r="AH236"/>
  <c r="AH235"/>
  <c r="AH234"/>
  <c r="AH232"/>
  <c r="AH229"/>
  <c r="AH227"/>
  <c r="AH226"/>
  <c r="AH225"/>
  <c r="AH224"/>
  <c r="AH223"/>
  <c r="AH222"/>
  <c r="AH221"/>
  <c r="AH220"/>
  <c r="AH219"/>
  <c r="AH218"/>
  <c r="AH217"/>
  <c r="AH216"/>
  <c r="AH215"/>
  <c r="AH214"/>
  <c r="AH213"/>
  <c r="AH212"/>
  <c r="AH211"/>
  <c r="AH210"/>
  <c r="AH209"/>
  <c r="AH206"/>
  <c r="AH205"/>
  <c r="AH204"/>
  <c r="AH203"/>
  <c r="AH202"/>
  <c r="AH201"/>
  <c r="AH200"/>
  <c r="AH199"/>
  <c r="AH198"/>
  <c r="AH197"/>
  <c r="AH196"/>
  <c r="AH195"/>
  <c r="AH194"/>
  <c r="AH193"/>
  <c r="AH192"/>
  <c r="AH191"/>
  <c r="AH190"/>
  <c r="AH189"/>
  <c r="AH188"/>
  <c r="AH187"/>
  <c r="AH181"/>
  <c r="AH180"/>
  <c r="AH179"/>
  <c r="AH178"/>
  <c r="AH177"/>
  <c r="AH176"/>
  <c r="AH175"/>
  <c r="AH174"/>
  <c r="AH173"/>
  <c r="AH172"/>
  <c r="AH171"/>
  <c r="AH170"/>
  <c r="AH169"/>
  <c r="AH168"/>
  <c r="AH167"/>
  <c r="AH166"/>
  <c r="AH165"/>
  <c r="AH164"/>
  <c r="AH163"/>
  <c r="AH162"/>
  <c r="AH161"/>
  <c r="AH156"/>
  <c r="AH150"/>
  <c r="AH149"/>
  <c r="AH148"/>
  <c r="AH146"/>
  <c r="AH145"/>
  <c r="AH136"/>
  <c r="AH135"/>
  <c r="AH134"/>
  <c r="AH133"/>
  <c r="AH132"/>
  <c r="AH131"/>
  <c r="AH128"/>
  <c r="AH129"/>
  <c r="AH122"/>
  <c r="AH111"/>
  <c r="AH96"/>
  <c r="AH95"/>
  <c r="AH94"/>
  <c r="AH93"/>
  <c r="AH91"/>
  <c r="AH90"/>
  <c r="AH89"/>
  <c r="AH88"/>
  <c r="AH87"/>
  <c r="AH86"/>
  <c r="AH84"/>
  <c r="AH81"/>
  <c r="AH80"/>
  <c r="AH79"/>
  <c r="AH70"/>
  <c r="AH47"/>
  <c r="AH17"/>
  <c r="AH16"/>
  <c r="AH12"/>
  <c r="AH11"/>
  <c r="AH10"/>
  <c r="AH9"/>
  <c r="AH8"/>
  <c r="AH7"/>
  <c r="AH6"/>
  <c r="AH5"/>
  <c r="AH4"/>
  <c r="AH3"/>
  <c r="AI400"/>
  <c r="AI399"/>
  <c r="AI398"/>
  <c r="AI397"/>
  <c r="AI396"/>
  <c r="AI395"/>
  <c r="AI394"/>
  <c r="AI393"/>
  <c r="AI389"/>
  <c r="AI388"/>
  <c r="AI381"/>
  <c r="AI380"/>
  <c r="AI379"/>
  <c r="AI378"/>
  <c r="AI377"/>
  <c r="AI376"/>
  <c r="AI375"/>
  <c r="AI374"/>
  <c r="AI373"/>
  <c r="AI371"/>
  <c r="AI370"/>
  <c r="AI369"/>
  <c r="AI368"/>
  <c r="AI367"/>
  <c r="AI366"/>
  <c r="AI365"/>
  <c r="AI364"/>
  <c r="AI363"/>
  <c r="AI362"/>
  <c r="AI361"/>
  <c r="AI360"/>
  <c r="AI359"/>
  <c r="AI358"/>
  <c r="AI357"/>
  <c r="AI356"/>
  <c r="AI355"/>
  <c r="AI353"/>
  <c r="AI350"/>
  <c r="AI349"/>
  <c r="AI348"/>
  <c r="AI346"/>
  <c r="AI344"/>
  <c r="AI343"/>
  <c r="AI342"/>
  <c r="AI341"/>
  <c r="AI338"/>
  <c r="AI337"/>
  <c r="AI331"/>
  <c r="AI330"/>
  <c r="AI329"/>
  <c r="AI328"/>
  <c r="AI327"/>
  <c r="AI324"/>
  <c r="AI323"/>
  <c r="AI322"/>
  <c r="AI321"/>
  <c r="AI317"/>
  <c r="AI316"/>
  <c r="AI315"/>
  <c r="AI311"/>
  <c r="AI310"/>
  <c r="AI309"/>
  <c r="AI308"/>
  <c r="AI307"/>
  <c r="AI303"/>
  <c r="AI302"/>
  <c r="AI301"/>
  <c r="AI300"/>
  <c r="AI299"/>
  <c r="AI298"/>
  <c r="AI297"/>
  <c r="AI295"/>
  <c r="AI294"/>
  <c r="AI293"/>
  <c r="AI292"/>
  <c r="AI291"/>
  <c r="AI290"/>
  <c r="AI289"/>
  <c r="AI288"/>
  <c r="AI287"/>
  <c r="AI281"/>
  <c r="AI280"/>
  <c r="AI279"/>
  <c r="AI278"/>
  <c r="AI275"/>
  <c r="AI271"/>
  <c r="AI270"/>
  <c r="AI269"/>
  <c r="AI266"/>
  <c r="AI265"/>
  <c r="AI264"/>
  <c r="AI157"/>
  <c r="AI126"/>
  <c r="AI125"/>
  <c r="AI120"/>
  <c r="BK120" a="1"/>
  <c r="BK120" s="1"/>
  <c r="BK119" a="1"/>
  <c r="BK119" s="1"/>
  <c r="BK118" a="1"/>
  <c r="BK118" s="1"/>
  <c r="BK117" a="1"/>
  <c r="BK117" s="1"/>
  <c r="BK115" a="1"/>
  <c r="BK115" s="1"/>
  <c r="BK113" a="1"/>
  <c r="BK113" s="1"/>
  <c r="BK112" a="1"/>
  <c r="BK112" s="1"/>
  <c r="BK110" a="1"/>
  <c r="BK110" s="1"/>
  <c r="BK109" a="1"/>
  <c r="BK109" s="1"/>
  <c r="BK105" a="1"/>
  <c r="BK105" s="1"/>
  <c r="BK104" a="1"/>
  <c r="BK104" s="1"/>
  <c r="BK78" a="1"/>
  <c r="BK78" s="1"/>
  <c r="BK77" a="1"/>
  <c r="BK77" s="1"/>
  <c r="BK76" a="1"/>
  <c r="BK76" s="1"/>
  <c r="BK67" a="1"/>
  <c r="BK67" s="1"/>
  <c r="BK66" a="1"/>
  <c r="BK66" s="1"/>
  <c r="BK65" a="1"/>
  <c r="BK65" s="1"/>
  <c r="BK64" a="1"/>
  <c r="BK64" s="1"/>
  <c r="BK63" a="1"/>
  <c r="BK63" s="1"/>
  <c r="BK61" a="1"/>
  <c r="BK61" s="1"/>
  <c r="BK58" a="1"/>
  <c r="BK58" s="1"/>
  <c r="BK55" a="1"/>
  <c r="BK55" s="1"/>
  <c r="BK54" a="1"/>
  <c r="BK54" s="1"/>
  <c r="BK53" a="1"/>
  <c r="BK53" s="1"/>
  <c r="BK52" a="1"/>
  <c r="BK52" s="1"/>
  <c r="BK51" a="1"/>
  <c r="BK51" s="1"/>
  <c r="BK50" a="1"/>
  <c r="BK50" s="1"/>
  <c r="BK49" a="1"/>
  <c r="BK49" s="1"/>
  <c r="BK48" a="1"/>
  <c r="BK48" s="1"/>
  <c r="BK46" a="1"/>
  <c r="BK46" s="1"/>
  <c r="BK45" a="1"/>
  <c r="BK45" s="1"/>
  <c r="BK44" a="1"/>
  <c r="BK44" s="1"/>
  <c r="BK43" a="1"/>
  <c r="BK43" s="1"/>
  <c r="BK42" a="1"/>
  <c r="BK42" s="1"/>
  <c r="BK41" a="1"/>
  <c r="BK41" s="1"/>
  <c r="BK40" a="1"/>
  <c r="BK40" s="1"/>
  <c r="BK39" a="1"/>
  <c r="BK39" s="1"/>
  <c r="BK38" a="1"/>
  <c r="BK38" s="1"/>
  <c r="BK37" a="1"/>
  <c r="BK37" s="1"/>
  <c r="BK36" a="1"/>
  <c r="BK36" s="1"/>
  <c r="BK35" a="1"/>
  <c r="BK35" s="1"/>
  <c r="BK34" a="1"/>
  <c r="BK34" s="1"/>
  <c r="BK33" a="1"/>
  <c r="BK33" s="1"/>
  <c r="BK31" a="1"/>
  <c r="BK31" s="1"/>
  <c r="BK30" a="1"/>
  <c r="BK30" s="1"/>
  <c r="BK29" a="1"/>
  <c r="BK29" s="1"/>
  <c r="BK28" a="1"/>
  <c r="BK28" s="1"/>
  <c r="BK27" a="1"/>
  <c r="BK27" s="1"/>
  <c r="BK26" a="1"/>
  <c r="BK26" s="1"/>
  <c r="BK25" a="1"/>
  <c r="BK25" s="1"/>
  <c r="BK24" a="1"/>
  <c r="BK24" s="1"/>
  <c r="BK23" a="1"/>
  <c r="BK23" s="1"/>
  <c r="BK22" a="1"/>
  <c r="BK22" s="1"/>
  <c r="BK21" a="1"/>
  <c r="BK21" s="1"/>
  <c r="BK20" a="1"/>
  <c r="BK20" s="1"/>
  <c r="BK19" a="1"/>
  <c r="BK19" s="1"/>
  <c r="BK319" a="1"/>
  <c r="BK319" s="1"/>
  <c r="BK312" a="1"/>
  <c r="BK312" s="1"/>
  <c r="BK306" a="1"/>
  <c r="BK306" s="1"/>
  <c r="BK305" a="1"/>
  <c r="BK305" s="1"/>
  <c r="BK304" a="1"/>
  <c r="BK304" s="1"/>
  <c r="BK296" a="1"/>
  <c r="BK296" s="1"/>
  <c r="BK286" a="1"/>
  <c r="BK286" s="1"/>
  <c r="BK285" a="1"/>
  <c r="BK285" s="1"/>
  <c r="BK284" a="1"/>
  <c r="BK284" s="1"/>
  <c r="BK283" a="1"/>
  <c r="BK283" s="1"/>
  <c r="BK282" a="1"/>
  <c r="BK282" s="1"/>
  <c r="BK268" a="1"/>
  <c r="BK268" s="1"/>
  <c r="BK267" a="1"/>
  <c r="BK267" s="1"/>
  <c r="BK155" a="1"/>
  <c r="BK155" s="1"/>
  <c r="BK154" a="1"/>
  <c r="BK154" s="1"/>
  <c r="BK153" a="1"/>
  <c r="BK153" s="1"/>
  <c r="BK152" a="1"/>
  <c r="BK152" s="1"/>
  <c r="BK151" a="1"/>
  <c r="BK151" s="1"/>
  <c r="BK147" a="1"/>
  <c r="BK147" s="1"/>
  <c r="BK141" a="1"/>
  <c r="BK141" s="1"/>
  <c r="BK139" a="1"/>
  <c r="BK139" s="1"/>
  <c r="BK138" a="1"/>
  <c r="BK138" s="1"/>
  <c r="BK137" a="1"/>
  <c r="BK137" s="1"/>
  <c r="BK123" a="1"/>
  <c r="BK123" s="1"/>
  <c r="BK121" a="1"/>
  <c r="BK121" s="1"/>
  <c r="BK114" a="1"/>
  <c r="BK114" s="1"/>
  <c r="BK108" a="1"/>
  <c r="BK108" s="1"/>
  <c r="BK107" a="1"/>
  <c r="BK107" s="1"/>
  <c r="BK106" a="1"/>
  <c r="BK106" s="1"/>
  <c r="BK103" a="1"/>
  <c r="BK103" s="1"/>
  <c r="BK102" a="1"/>
  <c r="BK102" s="1"/>
  <c r="BK100" a="1"/>
  <c r="BK100" s="1"/>
  <c r="BK99" a="1"/>
  <c r="BK99" s="1"/>
  <c r="BK98" a="1"/>
  <c r="BK98" s="1"/>
  <c r="BK97" a="1"/>
  <c r="BK97" s="1"/>
  <c r="BK68" a="1"/>
  <c r="BK68" s="1"/>
  <c r="BK60" a="1"/>
  <c r="BK60" s="1"/>
  <c r="BK59" a="1"/>
  <c r="BK59" s="1"/>
  <c r="BK56" a="1"/>
  <c r="BK56" s="1"/>
  <c r="BK15" a="1"/>
  <c r="BK15" s="1"/>
  <c r="BK14" a="1"/>
  <c r="BK14" s="1"/>
  <c r="BK13" a="1"/>
  <c r="BK13" s="1"/>
  <c r="BK392" a="1"/>
  <c r="BK392" s="1"/>
  <c r="BK391" a="1"/>
  <c r="BK391" s="1"/>
  <c r="BK390" a="1"/>
  <c r="BK390" s="1"/>
  <c r="BK385" a="1"/>
  <c r="BK385" s="1"/>
  <c r="BK384" a="1"/>
  <c r="BK384" s="1"/>
  <c r="BK382" a="1"/>
  <c r="BK382" s="1"/>
  <c r="BK345" a="1"/>
  <c r="BK345" s="1"/>
  <c r="BK340" a="1"/>
  <c r="BK340" s="1"/>
  <c r="BK339" a="1"/>
  <c r="BK339" s="1"/>
  <c r="BK335" a="1"/>
  <c r="BK335" s="1"/>
  <c r="BK334" a="1"/>
  <c r="BK334" s="1"/>
  <c r="BK333" a="1"/>
  <c r="BK333" s="1"/>
  <c r="BK332" a="1"/>
  <c r="BK332" s="1"/>
  <c r="BK326" a="1"/>
  <c r="BK326" s="1"/>
  <c r="BK325" a="1"/>
  <c r="BK325" s="1"/>
  <c r="BK314" a="1"/>
  <c r="BK314" s="1"/>
  <c r="BK313" a="1"/>
  <c r="BK313" s="1"/>
  <c r="BK277" a="1"/>
  <c r="BK277" s="1"/>
  <c r="BK276" a="1"/>
  <c r="BK276" s="1"/>
  <c r="BK274" a="1"/>
  <c r="BK274" s="1"/>
  <c r="BK272" a="1"/>
  <c r="BK272" s="1"/>
  <c r="BK263" a="1"/>
  <c r="BK263" s="1"/>
  <c r="BK262" a="1"/>
  <c r="BK262" s="1"/>
  <c r="BK261" a="1"/>
  <c r="BK261" s="1"/>
  <c r="BK260" a="1"/>
  <c r="BK260" s="1"/>
  <c r="BK259" a="1"/>
  <c r="BK259" s="1"/>
  <c r="BK258" a="1"/>
  <c r="BK258" s="1"/>
  <c r="BK257" a="1"/>
  <c r="BK257" s="1"/>
  <c r="BK256" a="1"/>
  <c r="BK256" s="1"/>
  <c r="BK400" a="1"/>
  <c r="BK400" s="1"/>
  <c r="BK399" a="1"/>
  <c r="BK399" s="1"/>
  <c r="BK398" a="1"/>
  <c r="BK398" s="1"/>
  <c r="BK397" a="1"/>
  <c r="BK397" s="1"/>
  <c r="BK396" a="1"/>
  <c r="BK396" s="1"/>
  <c r="BK395" a="1"/>
  <c r="BK395" s="1"/>
  <c r="BK394" a="1"/>
  <c r="BK394" s="1"/>
  <c r="BK393" a="1"/>
  <c r="BK393" s="1"/>
  <c r="BK389" a="1"/>
  <c r="BK389" s="1"/>
  <c r="BK388" a="1"/>
  <c r="BK388" s="1"/>
  <c r="BK381" a="1"/>
  <c r="BK381" s="1"/>
  <c r="BK380" a="1"/>
  <c r="BK380" s="1"/>
  <c r="BK379" a="1"/>
  <c r="BK379" s="1"/>
  <c r="BK378" a="1"/>
  <c r="BK378" s="1"/>
  <c r="BK377" a="1"/>
  <c r="BK377" s="1"/>
  <c r="BK376" a="1"/>
  <c r="BK376" s="1"/>
  <c r="BK375" a="1"/>
  <c r="BK375" s="1"/>
  <c r="BK374" a="1"/>
  <c r="BK374" s="1"/>
  <c r="BK373" a="1"/>
  <c r="BK373" s="1"/>
  <c r="BK371" a="1"/>
  <c r="BK371" s="1"/>
  <c r="BK370" a="1"/>
  <c r="BK370" s="1"/>
  <c r="BK369" a="1"/>
  <c r="BK369" s="1"/>
  <c r="BK368" a="1"/>
  <c r="BK368" s="1"/>
  <c r="BK367" a="1"/>
  <c r="BK367" s="1"/>
  <c r="BK366" a="1"/>
  <c r="BK366" s="1"/>
  <c r="BK365" a="1"/>
  <c r="BK365" s="1"/>
  <c r="BK364" a="1"/>
  <c r="BK364" s="1"/>
  <c r="BK363" a="1"/>
  <c r="BK363" s="1"/>
  <c r="BK362" a="1"/>
  <c r="BK362" s="1"/>
  <c r="BK361" a="1"/>
  <c r="BK361" s="1"/>
  <c r="BK360" a="1"/>
  <c r="BK360" s="1"/>
  <c r="BK359" a="1"/>
  <c r="BK359" s="1"/>
  <c r="BK358" a="1"/>
  <c r="BK358" s="1"/>
  <c r="BK357" a="1"/>
  <c r="BK357" s="1"/>
  <c r="BK356" a="1"/>
  <c r="BK356" s="1"/>
  <c r="BK355" a="1"/>
  <c r="BK355" s="1"/>
  <c r="BK353" a="1"/>
  <c r="BK353" s="1"/>
  <c r="BK350" a="1"/>
  <c r="BK350" s="1"/>
  <c r="BK349" a="1"/>
  <c r="BK349" s="1"/>
  <c r="BK348" a="1"/>
  <c r="BK348" s="1"/>
  <c r="BK346" a="1"/>
  <c r="BK346" s="1"/>
  <c r="BK344" a="1"/>
  <c r="BK344" s="1"/>
  <c r="BK343" a="1"/>
  <c r="BK343" s="1"/>
  <c r="BK342" a="1"/>
  <c r="BK342" s="1"/>
  <c r="BK341" a="1"/>
  <c r="BK341" s="1"/>
  <c r="BK338" a="1"/>
  <c r="BK338" s="1"/>
  <c r="BK337" a="1"/>
  <c r="BK337" s="1"/>
  <c r="BK331" a="1"/>
  <c r="BK331" s="1"/>
  <c r="BK330" a="1"/>
  <c r="BK330" s="1"/>
  <c r="BK329" a="1"/>
  <c r="BK329" s="1"/>
  <c r="BK328" a="1"/>
  <c r="BK328" s="1"/>
  <c r="BK327" a="1"/>
  <c r="BK327" s="1"/>
  <c r="BK324" a="1"/>
  <c r="BK324" s="1"/>
  <c r="BK323" a="1"/>
  <c r="BK323" s="1"/>
  <c r="BK322" a="1"/>
  <c r="BK322" s="1"/>
  <c r="BK321" a="1"/>
  <c r="BK321" s="1"/>
  <c r="BK317" a="1"/>
  <c r="BK317" s="1"/>
  <c r="BK316" a="1"/>
  <c r="BK316" s="1"/>
  <c r="BK315" a="1"/>
  <c r="BK315" s="1"/>
  <c r="BK311" a="1"/>
  <c r="BK311" s="1"/>
  <c r="BK310" a="1"/>
  <c r="BK310" s="1"/>
  <c r="BK309" a="1"/>
  <c r="BK309" s="1"/>
  <c r="BK308" a="1"/>
  <c r="BK308" s="1"/>
  <c r="BK307" a="1"/>
  <c r="BK307" s="1"/>
  <c r="BK303" a="1"/>
  <c r="BK303" s="1"/>
  <c r="BK302" a="1"/>
  <c r="BK302" s="1"/>
  <c r="BK301" a="1"/>
  <c r="BK301" s="1"/>
  <c r="BK300" a="1"/>
  <c r="BK300" s="1"/>
  <c r="BK299" a="1"/>
  <c r="BK299" s="1"/>
  <c r="BK298" a="1"/>
  <c r="BK298" s="1"/>
  <c r="BK297" a="1"/>
  <c r="BK297" s="1"/>
  <c r="BK295" a="1"/>
  <c r="BK295" s="1"/>
  <c r="BK294" a="1"/>
  <c r="BK294" s="1"/>
  <c r="BK293" a="1"/>
  <c r="BK293" s="1"/>
  <c r="BK292" a="1"/>
  <c r="BK292" s="1"/>
  <c r="BK291" a="1"/>
  <c r="BK291" s="1"/>
  <c r="BK290" a="1"/>
  <c r="BK290" s="1"/>
  <c r="BK289" a="1"/>
  <c r="BK289" s="1"/>
  <c r="BK288" a="1"/>
  <c r="BK288" s="1"/>
  <c r="BK287" a="1"/>
  <c r="BK287" s="1"/>
  <c r="BK281" a="1"/>
  <c r="BK281" s="1"/>
  <c r="BK280" a="1"/>
  <c r="BK280" s="1"/>
  <c r="BK279" a="1"/>
  <c r="BK279" s="1"/>
  <c r="BK278" a="1"/>
  <c r="BK278" s="1"/>
  <c r="BK275" a="1"/>
  <c r="BK275" s="1"/>
  <c r="BK271" a="1"/>
  <c r="BK271" s="1"/>
  <c r="BK270" a="1"/>
  <c r="BK270" s="1"/>
  <c r="BK269" a="1"/>
  <c r="BK269" s="1"/>
  <c r="BK266" a="1"/>
  <c r="BK266" s="1"/>
  <c r="BK265" a="1"/>
  <c r="BK265" s="1"/>
  <c r="BK264" a="1"/>
  <c r="BK264" s="1"/>
  <c r="BK157" a="1"/>
  <c r="BK157" s="1"/>
  <c r="BK126" a="1"/>
  <c r="BK126" s="1"/>
  <c r="BK125" a="1"/>
  <c r="BK125" s="1"/>
  <c r="BK255" a="1"/>
  <c r="BK255" s="1"/>
  <c r="BK254" a="1"/>
  <c r="BK254" s="1"/>
  <c r="BK253" a="1"/>
  <c r="BK253" s="1"/>
  <c r="BK252" a="1"/>
  <c r="BK252" s="1"/>
  <c r="BK251" a="1"/>
  <c r="BK251" s="1"/>
  <c r="BK250" a="1"/>
  <c r="BK250" s="1"/>
  <c r="BK249" a="1"/>
  <c r="BK249" s="1"/>
  <c r="BK248" a="1"/>
  <c r="BK248" s="1"/>
  <c r="BK247" a="1"/>
  <c r="BK247" s="1"/>
  <c r="BK246" a="1"/>
  <c r="BK246" s="1"/>
  <c r="BK245" a="1"/>
  <c r="BK245" s="1"/>
  <c r="BK244" a="1"/>
  <c r="BK244" s="1"/>
  <c r="BK243" a="1"/>
  <c r="BK243" s="1"/>
  <c r="BK242" a="1"/>
  <c r="BK242" s="1"/>
  <c r="BK241" a="1"/>
  <c r="BK241" s="1"/>
  <c r="BK240" a="1"/>
  <c r="BK240" s="1"/>
  <c r="BK239" a="1"/>
  <c r="BK239" s="1"/>
  <c r="BK238" a="1"/>
  <c r="BK238" s="1"/>
  <c r="BK237" a="1"/>
  <c r="BK237" s="1"/>
  <c r="BK236" a="1"/>
  <c r="BK236" s="1"/>
  <c r="BK235" a="1"/>
  <c r="BK235" s="1"/>
  <c r="BK234" a="1"/>
  <c r="BK234" s="1"/>
  <c r="BK232" a="1"/>
  <c r="BK232" s="1"/>
  <c r="BK229" a="1"/>
  <c r="BK229" s="1"/>
  <c r="BK227" a="1"/>
  <c r="BK227" s="1"/>
  <c r="BK226" a="1"/>
  <c r="BK226" s="1"/>
  <c r="BK225" a="1"/>
  <c r="BK225" s="1"/>
  <c r="BK224" a="1"/>
  <c r="BK224" s="1"/>
  <c r="BK223" a="1"/>
  <c r="BK223" s="1"/>
  <c r="BK222" a="1"/>
  <c r="BK222" s="1"/>
  <c r="BK221" a="1"/>
  <c r="BK221" s="1"/>
  <c r="BK220" a="1"/>
  <c r="BK220" s="1"/>
  <c r="BK219" a="1"/>
  <c r="BK219" s="1"/>
  <c r="BK218" a="1"/>
  <c r="BK218" s="1"/>
  <c r="BK217" a="1"/>
  <c r="BK217" s="1"/>
  <c r="BK216" a="1"/>
  <c r="BK216" s="1"/>
  <c r="BK215" a="1"/>
  <c r="BK215" s="1"/>
  <c r="BK214" a="1"/>
  <c r="BK214" s="1"/>
  <c r="BK213" a="1"/>
  <c r="BK213" s="1"/>
  <c r="BK212" a="1"/>
  <c r="BK212" s="1"/>
  <c r="BK211" a="1"/>
  <c r="BK211" s="1"/>
  <c r="BK210" a="1"/>
  <c r="BK210" s="1"/>
  <c r="BK209" a="1"/>
  <c r="BK209" s="1"/>
  <c r="BK206" a="1"/>
  <c r="BK206" s="1"/>
  <c r="BK205" a="1"/>
  <c r="BK205" s="1"/>
  <c r="BK204" a="1"/>
  <c r="BK204" s="1"/>
  <c r="BK203" a="1"/>
  <c r="BK203" s="1"/>
  <c r="BK202" a="1"/>
  <c r="BK202" s="1"/>
  <c r="BK201" a="1"/>
  <c r="BK201" s="1"/>
  <c r="BK200" a="1"/>
  <c r="BK200" s="1"/>
  <c r="BK199" a="1"/>
  <c r="BK199" s="1"/>
  <c r="BK198" a="1"/>
  <c r="BK198" s="1"/>
  <c r="BK197" a="1"/>
  <c r="BK197" s="1"/>
  <c r="BK196" a="1"/>
  <c r="BK196" s="1"/>
  <c r="BK195" a="1"/>
  <c r="BK195" s="1"/>
  <c r="BK194" a="1"/>
  <c r="BK194" s="1"/>
  <c r="BK193" a="1"/>
  <c r="BK193" s="1"/>
  <c r="BK192" a="1"/>
  <c r="BK192" s="1"/>
  <c r="BK191" a="1"/>
  <c r="BK191" s="1"/>
  <c r="BK190" a="1"/>
  <c r="BK190" s="1"/>
  <c r="BK189" a="1"/>
  <c r="BK189" s="1"/>
  <c r="BK188" a="1"/>
  <c r="BK188" s="1"/>
  <c r="BK187" a="1"/>
  <c r="BK187" s="1"/>
  <c r="BK181" a="1"/>
  <c r="BK181" s="1"/>
  <c r="BK180" a="1"/>
  <c r="BK180" s="1"/>
  <c r="BK179" a="1"/>
  <c r="BK179" s="1"/>
  <c r="BK178" a="1"/>
  <c r="BK178" s="1"/>
  <c r="BK177" a="1"/>
  <c r="BK177" s="1"/>
  <c r="BK176" a="1"/>
  <c r="BK176" s="1"/>
  <c r="BK175" a="1"/>
  <c r="BK175" s="1"/>
  <c r="BK174" a="1"/>
  <c r="BK174" s="1"/>
  <c r="BK173" a="1"/>
  <c r="BK173" s="1"/>
  <c r="BK172" a="1"/>
  <c r="BK172" s="1"/>
  <c r="BK171" a="1"/>
  <c r="BK171" s="1"/>
  <c r="BK170" a="1"/>
  <c r="BK170" s="1"/>
  <c r="BK169" a="1"/>
  <c r="BK169" s="1"/>
  <c r="BK168" a="1"/>
  <c r="BK168" s="1"/>
  <c r="BK167" a="1"/>
  <c r="BK167" s="1"/>
  <c r="BK166" a="1"/>
  <c r="BK166" s="1"/>
  <c r="BK165" a="1"/>
  <c r="BK165" s="1"/>
  <c r="BK164" a="1"/>
  <c r="BK164" s="1"/>
  <c r="BK163" a="1"/>
  <c r="BK163" s="1"/>
  <c r="BK162" a="1"/>
  <c r="BK162" s="1"/>
  <c r="BK161" a="1"/>
  <c r="BK161" s="1"/>
  <c r="BK156" a="1"/>
  <c r="BK156" s="1"/>
  <c r="BK150" a="1"/>
  <c r="BK150" s="1"/>
  <c r="BK149" a="1"/>
  <c r="BK149" s="1"/>
  <c r="BK148" a="1"/>
  <c r="BK148" s="1"/>
  <c r="BK146" a="1"/>
  <c r="BK146" s="1"/>
  <c r="BK145" a="1"/>
  <c r="BK145" s="1"/>
  <c r="BK136" a="1"/>
  <c r="BK136" s="1"/>
  <c r="BK135" a="1"/>
  <c r="BK135" s="1"/>
  <c r="BK134" a="1"/>
  <c r="BK134" s="1"/>
  <c r="BK133" a="1"/>
  <c r="BK133" s="1"/>
  <c r="BK132" a="1"/>
  <c r="BK132" s="1"/>
  <c r="BK131" a="1"/>
  <c r="BK131" s="1"/>
  <c r="BK128" a="1"/>
  <c r="BK128" s="1"/>
  <c r="BK129" a="1"/>
  <c r="BK129" s="1"/>
  <c r="BK122" a="1"/>
  <c r="BK122" s="1"/>
  <c r="BK111" a="1"/>
  <c r="BK111" s="1"/>
  <c r="BK96" a="1"/>
  <c r="BK96" s="1"/>
  <c r="BK95" a="1"/>
  <c r="BK95" s="1"/>
  <c r="BK94" a="1"/>
  <c r="BK94" s="1"/>
  <c r="BK93" a="1"/>
  <c r="BK93" s="1"/>
  <c r="BK91" a="1"/>
  <c r="BK91" s="1"/>
  <c r="BK90" a="1"/>
  <c r="BK90" s="1"/>
  <c r="BK89" a="1"/>
  <c r="BK89" s="1"/>
  <c r="BK88" a="1"/>
  <c r="BK88" s="1"/>
  <c r="BK87" a="1"/>
  <c r="BK87" s="1"/>
  <c r="BK86" a="1"/>
  <c r="BK86" s="1"/>
  <c r="BK84" a="1"/>
  <c r="BK84" s="1"/>
  <c r="BK81" a="1"/>
  <c r="BK81" s="1"/>
  <c r="BK80" a="1"/>
  <c r="BK80" s="1"/>
  <c r="BK79" a="1"/>
  <c r="BK79" s="1"/>
  <c r="BK70" a="1"/>
  <c r="BK70" s="1"/>
  <c r="BK47" a="1"/>
  <c r="BK47" s="1"/>
  <c r="BK17" a="1"/>
  <c r="BK17" s="1"/>
  <c r="BK16" a="1"/>
  <c r="BK16" s="1"/>
  <c r="BK12" a="1"/>
  <c r="BK12" s="1"/>
  <c r="BK11" a="1"/>
  <c r="BK11" s="1"/>
  <c r="BK10" a="1"/>
  <c r="BK10" s="1"/>
  <c r="BK9" a="1"/>
  <c r="BK9" s="1"/>
  <c r="BK8" a="1"/>
  <c r="BK8" s="1"/>
  <c r="BK7" a="1"/>
  <c r="BK7" s="1"/>
  <c r="BK6" a="1"/>
  <c r="BK6" s="1"/>
  <c r="BK5" a="1"/>
  <c r="BK5" s="1"/>
  <c r="BK4" a="1"/>
  <c r="BK4" s="1"/>
  <c r="BK3" a="1"/>
  <c r="BK3" s="1"/>
  <c r="AI2"/>
  <c r="AI119"/>
  <c r="AI118"/>
  <c r="AI117"/>
  <c r="AI115"/>
  <c r="AI113"/>
  <c r="AI112"/>
  <c r="AI110"/>
  <c r="AI109"/>
  <c r="AI105"/>
  <c r="AI104"/>
  <c r="AI78"/>
  <c r="AI77"/>
  <c r="AI76"/>
  <c r="AI67"/>
  <c r="AI66"/>
  <c r="AI65"/>
  <c r="AI64"/>
  <c r="AI63"/>
  <c r="AI61"/>
  <c r="AI58"/>
  <c r="AI55"/>
  <c r="AI54"/>
  <c r="AI53"/>
  <c r="AI52"/>
  <c r="AI51"/>
  <c r="AI50"/>
  <c r="AI49"/>
  <c r="AI48"/>
  <c r="AI46"/>
  <c r="AI45"/>
  <c r="AI44"/>
  <c r="AI43"/>
  <c r="AI42"/>
  <c r="AI41"/>
  <c r="AI40"/>
  <c r="AI39"/>
  <c r="AI38"/>
  <c r="AI37"/>
  <c r="AI36"/>
  <c r="AI35"/>
  <c r="AI34"/>
  <c r="AI33"/>
  <c r="AI31"/>
  <c r="AI30"/>
  <c r="AI29"/>
  <c r="AI28"/>
  <c r="AI27"/>
  <c r="AI26"/>
  <c r="AI25"/>
  <c r="AI24"/>
  <c r="AI23"/>
  <c r="AI22"/>
  <c r="AI21"/>
  <c r="AI20"/>
  <c r="AI19"/>
  <c r="AI319"/>
  <c r="AI312"/>
  <c r="AI306"/>
  <c r="AI305"/>
  <c r="AI304"/>
  <c r="AI296"/>
  <c r="AI286"/>
  <c r="AI285"/>
  <c r="AI284"/>
  <c r="AI283"/>
  <c r="AI282"/>
  <c r="AI268"/>
  <c r="AI267"/>
  <c r="AI155"/>
  <c r="AI154"/>
  <c r="AI153"/>
  <c r="AI152"/>
  <c r="AI151"/>
  <c r="AI147"/>
  <c r="AI141"/>
  <c r="AI139"/>
  <c r="AI138"/>
  <c r="AI137"/>
  <c r="AI123"/>
  <c r="AI121"/>
  <c r="AI114"/>
  <c r="AI108"/>
  <c r="AI107"/>
  <c r="AI106"/>
  <c r="AI103"/>
  <c r="AI102"/>
  <c r="AI100"/>
  <c r="AI99"/>
  <c r="AI98"/>
  <c r="AI97"/>
  <c r="AI68"/>
  <c r="AI60"/>
  <c r="AI59"/>
  <c r="AI56"/>
  <c r="AI15"/>
  <c r="AI14"/>
  <c r="AI13"/>
  <c r="AI392"/>
  <c r="AI391"/>
  <c r="AI390"/>
  <c r="AI385"/>
  <c r="AI384"/>
  <c r="AI382"/>
  <c r="AI345"/>
  <c r="AI340"/>
  <c r="AI339"/>
  <c r="AI335"/>
  <c r="AI334"/>
  <c r="AI333"/>
  <c r="AI332"/>
  <c r="AI326"/>
  <c r="AI325"/>
  <c r="AI314"/>
  <c r="AI313"/>
  <c r="AI277"/>
  <c r="AI276"/>
  <c r="AI274"/>
  <c r="AI272"/>
  <c r="AI263"/>
  <c r="AI262"/>
  <c r="AI261"/>
  <c r="AI260"/>
  <c r="AI259"/>
  <c r="AI258"/>
  <c r="AI257"/>
  <c r="AI256"/>
  <c r="AI255"/>
  <c r="AI254"/>
  <c r="AI253"/>
  <c r="AI252"/>
  <c r="AI251"/>
  <c r="AI250"/>
  <c r="AI249"/>
  <c r="AI248"/>
  <c r="AI247"/>
  <c r="AI246"/>
  <c r="AI245"/>
  <c r="AI244"/>
  <c r="AI243"/>
  <c r="AI242"/>
  <c r="AI241"/>
  <c r="AI240"/>
  <c r="AI239"/>
  <c r="AI238"/>
  <c r="AI237"/>
  <c r="AI236"/>
  <c r="AI235"/>
  <c r="AI234"/>
  <c r="AI232"/>
  <c r="AI229"/>
  <c r="AI227"/>
  <c r="AI226"/>
  <c r="AI225"/>
  <c r="AI224"/>
  <c r="AI223"/>
  <c r="AI222"/>
  <c r="AI221"/>
  <c r="AI220"/>
  <c r="AI219"/>
  <c r="AI218"/>
  <c r="AI217"/>
  <c r="AI216"/>
  <c r="AI215"/>
  <c r="AI214"/>
  <c r="AI213"/>
  <c r="AI212"/>
  <c r="AI211"/>
  <c r="AI210"/>
  <c r="AI209"/>
  <c r="AI206"/>
  <c r="AI205"/>
  <c r="AI204"/>
  <c r="AI203"/>
  <c r="AI202"/>
  <c r="AI201"/>
  <c r="AI200"/>
  <c r="AI199"/>
  <c r="AI198"/>
  <c r="AI197"/>
  <c r="AI196"/>
  <c r="AI195"/>
  <c r="AI194"/>
  <c r="AI193"/>
  <c r="AI192"/>
  <c r="AI191"/>
  <c r="AI190"/>
  <c r="AI189"/>
  <c r="AI188"/>
  <c r="AI187"/>
  <c r="AI181"/>
  <c r="AI180"/>
  <c r="AI179"/>
  <c r="AI178"/>
  <c r="AI177"/>
  <c r="AI176"/>
  <c r="AI175"/>
  <c r="AI174"/>
  <c r="AI173"/>
  <c r="AI172"/>
  <c r="AI171"/>
  <c r="AI170"/>
  <c r="AI169"/>
  <c r="AI168"/>
  <c r="AI167"/>
  <c r="AI166"/>
  <c r="AI165"/>
  <c r="AI164"/>
  <c r="AI163"/>
  <c r="AI162"/>
  <c r="AI161"/>
  <c r="AI156"/>
  <c r="AI150"/>
  <c r="AI149"/>
  <c r="AI148"/>
  <c r="AI146"/>
  <c r="AI145"/>
  <c r="AI136"/>
  <c r="AI135"/>
  <c r="AI134"/>
  <c r="AI133"/>
  <c r="AI132"/>
  <c r="AI131"/>
  <c r="AI128"/>
  <c r="AI129"/>
  <c r="AI122"/>
  <c r="AI111"/>
  <c r="AI96"/>
  <c r="AI95"/>
  <c r="AI94"/>
  <c r="AI93"/>
  <c r="AI91"/>
  <c r="AI90"/>
  <c r="AI89"/>
  <c r="AI88"/>
  <c r="AI87"/>
  <c r="AI86"/>
  <c r="AI84"/>
  <c r="AI81"/>
  <c r="AI80"/>
  <c r="AI79"/>
  <c r="AI70"/>
  <c r="AI47"/>
  <c r="AI17"/>
  <c r="AI16"/>
  <c r="AI12"/>
  <c r="AI11"/>
  <c r="AI10"/>
  <c r="AI9"/>
  <c r="AI8"/>
  <c r="AI7"/>
  <c r="AI6"/>
  <c r="AI5"/>
  <c r="AI4"/>
  <c r="AI3"/>
  <c r="L204" i="8" l="1"/>
  <c r="W204"/>
  <c r="X204"/>
  <c r="Z204"/>
  <c r="AE204"/>
  <c r="AG204" s="1"/>
  <c r="AF204"/>
  <c r="AJ204"/>
  <c r="AM204"/>
  <c r="AN204"/>
  <c r="AA204" l="1"/>
  <c r="AB204" s="1"/>
  <c r="L203"/>
  <c r="W203"/>
  <c r="X203"/>
  <c r="Z203"/>
  <c r="AE203"/>
  <c r="AG203" s="1"/>
  <c r="AF203"/>
  <c r="AJ203"/>
  <c r="AN203"/>
  <c r="AA203" l="1"/>
  <c r="AB203" s="1"/>
  <c r="AM203"/>
  <c r="L202"/>
  <c r="W202"/>
  <c r="X202"/>
  <c r="Z202"/>
  <c r="AE202"/>
  <c r="AF202"/>
  <c r="AG202"/>
  <c r="AJ202"/>
  <c r="AM202"/>
  <c r="AN202"/>
  <c r="AA202" l="1"/>
  <c r="AB202" s="1"/>
  <c r="L201"/>
  <c r="W201"/>
  <c r="X201"/>
  <c r="Z201"/>
  <c r="AE201"/>
  <c r="AG201" s="1"/>
  <c r="AF201"/>
  <c r="AJ201"/>
  <c r="AN201"/>
  <c r="AA201" l="1"/>
  <c r="AB201" s="1"/>
  <c r="AM201"/>
  <c r="L200"/>
  <c r="W200"/>
  <c r="X200"/>
  <c r="Z200"/>
  <c r="AE200"/>
  <c r="AF200"/>
  <c r="AG200"/>
  <c r="AJ200"/>
  <c r="AM200"/>
  <c r="AN200"/>
  <c r="AA200" l="1"/>
  <c r="AB200" s="1"/>
  <c r="L199"/>
  <c r="W199"/>
  <c r="X199"/>
  <c r="Z199"/>
  <c r="AE199"/>
  <c r="AG199" s="1"/>
  <c r="AF199"/>
  <c r="AJ199"/>
  <c r="AN199"/>
  <c r="AA199" l="1"/>
  <c r="AB199" s="1"/>
  <c r="AM199"/>
  <c r="L198"/>
  <c r="W198"/>
  <c r="X198"/>
  <c r="Z198"/>
  <c r="AE198"/>
  <c r="AF198"/>
  <c r="AG198"/>
  <c r="AJ198"/>
  <c r="AM198"/>
  <c r="AN198"/>
  <c r="BN121" i="1"/>
  <c r="BO121"/>
  <c r="BQ121"/>
  <c r="BR121"/>
  <c r="BS121"/>
  <c r="BX121"/>
  <c r="BY121"/>
  <c r="BZ121"/>
  <c r="CB121"/>
  <c r="CC121"/>
  <c r="CD121"/>
  <c r="CE121"/>
  <c r="CF121"/>
  <c r="CG121"/>
  <c r="AA198" i="8" l="1"/>
  <c r="AB198" s="1"/>
  <c r="I120" i="1"/>
  <c r="BN120"/>
  <c r="BO120"/>
  <c r="BQ120"/>
  <c r="BR120"/>
  <c r="BS120"/>
  <c r="BX120"/>
  <c r="BY120"/>
  <c r="BZ120"/>
  <c r="CB120"/>
  <c r="CC120"/>
  <c r="CD120"/>
  <c r="CE120"/>
  <c r="CF120"/>
  <c r="CG120"/>
  <c r="L192" i="8" l="1"/>
  <c r="W192"/>
  <c r="X192"/>
  <c r="Z192"/>
  <c r="AE192"/>
  <c r="AG192" s="1"/>
  <c r="AF192"/>
  <c r="AJ192"/>
  <c r="AM192"/>
  <c r="AN192"/>
  <c r="AA192" l="1"/>
  <c r="AB192" s="1"/>
  <c r="L167"/>
  <c r="W167"/>
  <c r="X167"/>
  <c r="Z167"/>
  <c r="AE167"/>
  <c r="AF167"/>
  <c r="AG167"/>
  <c r="AJ167"/>
  <c r="AM167"/>
  <c r="AN167"/>
  <c r="AE5"/>
  <c r="AG5" s="1"/>
  <c r="L5"/>
  <c r="W5"/>
  <c r="Z5"/>
  <c r="AA5"/>
  <c r="AB5" s="1"/>
  <c r="AF5"/>
  <c r="AJ5"/>
  <c r="AN5"/>
  <c r="AA167" l="1"/>
  <c r="AB167" s="1"/>
  <c r="AM5"/>
  <c r="L191"/>
  <c r="W191"/>
  <c r="X191"/>
  <c r="Z191"/>
  <c r="AE191"/>
  <c r="AG191" s="1"/>
  <c r="AF191"/>
  <c r="AJ191"/>
  <c r="AN191"/>
  <c r="AA191" l="1"/>
  <c r="AB191" s="1"/>
  <c r="AM191"/>
  <c r="AE7"/>
  <c r="AE34"/>
  <c r="L188" l="1"/>
  <c r="L126"/>
  <c r="L127"/>
  <c r="W188"/>
  <c r="W126"/>
  <c r="W127"/>
  <c r="X188"/>
  <c r="X126"/>
  <c r="X127"/>
  <c r="Z188"/>
  <c r="Z126"/>
  <c r="AA126" s="1"/>
  <c r="AB126" s="1"/>
  <c r="Z127"/>
  <c r="AA188"/>
  <c r="AB188" s="1"/>
  <c r="AA127"/>
  <c r="AB127" s="1"/>
  <c r="AE188"/>
  <c r="AE126"/>
  <c r="AE127"/>
  <c r="AF188"/>
  <c r="AF126"/>
  <c r="AF127"/>
  <c r="AG188"/>
  <c r="AG126"/>
  <c r="AG127"/>
  <c r="AJ188"/>
  <c r="AJ126"/>
  <c r="AJ127"/>
  <c r="AM188"/>
  <c r="AM126"/>
  <c r="AM127"/>
  <c r="AN188"/>
  <c r="AN126"/>
  <c r="AN127"/>
  <c r="AN47"/>
  <c r="L136"/>
  <c r="W136"/>
  <c r="X136"/>
  <c r="Z136"/>
  <c r="AE136"/>
  <c r="AF136"/>
  <c r="AG136"/>
  <c r="AJ136"/>
  <c r="AM136"/>
  <c r="AN136"/>
  <c r="L135"/>
  <c r="W135"/>
  <c r="X135"/>
  <c r="Z135"/>
  <c r="AE135"/>
  <c r="AF135"/>
  <c r="AG135"/>
  <c r="AJ135"/>
  <c r="AM135"/>
  <c r="AN135"/>
  <c r="L134"/>
  <c r="W134"/>
  <c r="X134"/>
  <c r="Z134"/>
  <c r="AA134" s="1"/>
  <c r="AB134" s="1"/>
  <c r="AE134"/>
  <c r="AG134" s="1"/>
  <c r="AF134"/>
  <c r="AJ134"/>
  <c r="AN134"/>
  <c r="L47"/>
  <c r="W47"/>
  <c r="Z47"/>
  <c r="AA47"/>
  <c r="AB47" s="1"/>
  <c r="AE47"/>
  <c r="AF47"/>
  <c r="AG47"/>
  <c r="AJ47"/>
  <c r="AM47"/>
  <c r="AA135" l="1"/>
  <c r="AB135" s="1"/>
  <c r="AA136"/>
  <c r="AB136" s="1"/>
  <c r="AM134"/>
  <c r="AN6"/>
  <c r="AN7"/>
  <c r="AN9"/>
  <c r="AN197"/>
  <c r="AN196"/>
  <c r="AN195"/>
  <c r="AN194"/>
  <c r="AN193"/>
  <c r="AN190"/>
  <c r="AN189"/>
  <c r="AN187"/>
  <c r="AN186"/>
  <c r="AN185"/>
  <c r="AN184"/>
  <c r="AN183"/>
  <c r="AN181"/>
  <c r="AN180"/>
  <c r="AN169"/>
  <c r="AN168"/>
  <c r="AN166"/>
  <c r="AN163"/>
  <c r="AN162"/>
  <c r="AN161"/>
  <c r="AN160"/>
  <c r="AN159"/>
  <c r="AN158"/>
  <c r="AN157"/>
  <c r="AN156"/>
  <c r="AN155"/>
  <c r="AN154"/>
  <c r="AN153"/>
  <c r="AN152"/>
  <c r="AN151"/>
  <c r="AN150"/>
  <c r="AN149"/>
  <c r="AN148"/>
  <c r="AN147"/>
  <c r="AN146"/>
  <c r="AN145"/>
  <c r="AN144"/>
  <c r="AN143"/>
  <c r="AN142"/>
  <c r="AN141"/>
  <c r="AN140"/>
  <c r="AN139"/>
  <c r="AN138"/>
  <c r="AN137"/>
  <c r="AN133"/>
  <c r="AN132"/>
  <c r="AN131"/>
  <c r="AN130"/>
  <c r="AN129"/>
  <c r="AN128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5"/>
  <c r="AN84"/>
  <c r="AN83"/>
  <c r="AN82"/>
  <c r="AN81"/>
  <c r="AN80"/>
  <c r="AN79"/>
  <c r="AN78"/>
  <c r="AN77"/>
  <c r="AN76"/>
  <c r="AN75"/>
  <c r="AN74"/>
  <c r="AN73"/>
  <c r="AN72"/>
  <c r="AN71"/>
  <c r="AN70"/>
  <c r="AN64"/>
  <c r="AN63"/>
  <c r="AN62"/>
  <c r="AN60"/>
  <c r="AN56"/>
  <c r="AN55"/>
  <c r="AN54"/>
  <c r="AN53"/>
  <c r="AN52"/>
  <c r="AN51"/>
  <c r="AN50"/>
  <c r="AN49"/>
  <c r="AN44"/>
  <c r="AN34"/>
  <c r="AN33"/>
  <c r="AN32"/>
  <c r="AN31"/>
  <c r="AN30"/>
  <c r="AN29"/>
  <c r="AN28"/>
  <c r="AN27"/>
  <c r="AN26"/>
  <c r="AN25"/>
  <c r="AN24"/>
  <c r="AN23"/>
  <c r="AN22"/>
  <c r="AN17"/>
  <c r="AN16"/>
  <c r="AN15"/>
  <c r="AM34"/>
  <c r="AM51"/>
  <c r="L7" l="1"/>
  <c r="W7"/>
  <c r="Z7"/>
  <c r="AA7"/>
  <c r="AB7" s="1"/>
  <c r="AM7"/>
  <c r="AF7"/>
  <c r="AG7"/>
  <c r="AJ7"/>
  <c r="AJ175"/>
  <c r="AJ2"/>
  <c r="AJ3"/>
  <c r="AJ4"/>
  <c r="AJ8"/>
  <c r="AJ6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8"/>
  <c r="AJ39"/>
  <c r="AJ41"/>
  <c r="AJ42"/>
  <c r="AJ43"/>
  <c r="AJ44"/>
  <c r="AJ45"/>
  <c r="AJ46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8"/>
  <c r="AJ129"/>
  <c r="AJ130"/>
  <c r="AJ131"/>
  <c r="AJ132"/>
  <c r="AJ133"/>
  <c r="AJ137"/>
  <c r="AJ138"/>
  <c r="AJ139"/>
  <c r="AJ140"/>
  <c r="AJ141"/>
  <c r="AJ142"/>
  <c r="AJ143"/>
  <c r="AJ144"/>
  <c r="AJ145"/>
  <c r="AJ146"/>
  <c r="AJ147"/>
  <c r="AJ148"/>
  <c r="AJ149"/>
  <c r="AJ150"/>
  <c r="AJ151"/>
  <c r="AJ152"/>
  <c r="AJ153"/>
  <c r="AJ154"/>
  <c r="AJ155"/>
  <c r="AJ156"/>
  <c r="AJ157"/>
  <c r="AJ158"/>
  <c r="AJ159"/>
  <c r="AJ160"/>
  <c r="AJ161"/>
  <c r="AJ162"/>
  <c r="AJ163"/>
  <c r="AJ164"/>
  <c r="AJ165"/>
  <c r="AJ166"/>
  <c r="AJ168"/>
  <c r="AJ169"/>
  <c r="AJ170"/>
  <c r="AJ171"/>
  <c r="AJ172"/>
  <c r="AJ173"/>
  <c r="AJ174"/>
  <c r="AJ176"/>
  <c r="AJ177"/>
  <c r="AJ178"/>
  <c r="AJ179"/>
  <c r="AJ180"/>
  <c r="AJ181"/>
  <c r="AJ182"/>
  <c r="AJ183"/>
  <c r="AJ184"/>
  <c r="AJ185"/>
  <c r="AJ186"/>
  <c r="AJ187"/>
  <c r="AJ189"/>
  <c r="AJ190"/>
  <c r="AJ193"/>
  <c r="AJ194"/>
  <c r="AJ195"/>
  <c r="AJ196"/>
  <c r="AJ197"/>
  <c r="L6" l="1"/>
  <c r="W6"/>
  <c r="Z6"/>
  <c r="AA6"/>
  <c r="AB6" s="1"/>
  <c r="AE6"/>
  <c r="AM6" s="1"/>
  <c r="AF6"/>
  <c r="AG6" l="1"/>
  <c r="N37"/>
  <c r="N175"/>
  <c r="AE174"/>
  <c r="AM174" s="1"/>
  <c r="L174"/>
  <c r="W174"/>
  <c r="X174"/>
  <c r="Z174"/>
  <c r="AF174"/>
  <c r="AG174"/>
  <c r="AN174"/>
  <c r="L42"/>
  <c r="W42"/>
  <c r="Z42"/>
  <c r="AA42" s="1"/>
  <c r="AB42" s="1"/>
  <c r="AE42"/>
  <c r="AM42" s="1"/>
  <c r="AF42"/>
  <c r="AG42"/>
  <c r="AN42"/>
  <c r="L21"/>
  <c r="W21"/>
  <c r="Z21"/>
  <c r="AA21"/>
  <c r="AB21" s="1"/>
  <c r="AE21"/>
  <c r="AM21" s="1"/>
  <c r="AF21"/>
  <c r="AG21"/>
  <c r="AN21"/>
  <c r="AH40"/>
  <c r="AJ40" s="1"/>
  <c r="AH37"/>
  <c r="AJ37" s="1"/>
  <c r="AA174" l="1"/>
  <c r="AB174" s="1"/>
  <c r="L72"/>
  <c r="W72"/>
  <c r="Z72"/>
  <c r="AA72"/>
  <c r="AB72" s="1"/>
  <c r="AE72"/>
  <c r="AM72" s="1"/>
  <c r="AF72"/>
  <c r="AG72"/>
  <c r="L71"/>
  <c r="W71"/>
  <c r="Z71"/>
  <c r="AA71" s="1"/>
  <c r="AB71" s="1"/>
  <c r="AE71"/>
  <c r="AM71" s="1"/>
  <c r="AF71"/>
  <c r="AG71" l="1"/>
  <c r="L169"/>
  <c r="W169"/>
  <c r="X169"/>
  <c r="Z169"/>
  <c r="AE169"/>
  <c r="AM169" s="1"/>
  <c r="AF169"/>
  <c r="AG169"/>
  <c r="L168"/>
  <c r="W168"/>
  <c r="X168"/>
  <c r="Z168"/>
  <c r="AE168"/>
  <c r="AM168" s="1"/>
  <c r="AF168"/>
  <c r="AG168"/>
  <c r="BM117" i="2"/>
  <c r="BM118"/>
  <c r="BO117"/>
  <c r="BO118"/>
  <c r="BO119"/>
  <c r="BP117"/>
  <c r="BP118"/>
  <c r="BP119"/>
  <c r="BM117" i="3"/>
  <c r="BO117"/>
  <c r="BO118"/>
  <c r="BO119"/>
  <c r="BP119" s="1"/>
  <c r="BP117"/>
  <c r="BP118"/>
  <c r="BR117"/>
  <c r="BR118"/>
  <c r="BR119"/>
  <c r="BO116" i="2"/>
  <c r="BP116"/>
  <c r="BO116" i="3"/>
  <c r="BP116"/>
  <c r="BR116"/>
  <c r="BN55" i="1"/>
  <c r="BN56"/>
  <c r="BQ55"/>
  <c r="BQ56"/>
  <c r="BR55"/>
  <c r="BR56"/>
  <c r="BS55"/>
  <c r="BS56"/>
  <c r="BX55"/>
  <c r="BX56"/>
  <c r="BY55"/>
  <c r="BY56"/>
  <c r="BZ55"/>
  <c r="BZ56"/>
  <c r="CB55"/>
  <c r="CB56"/>
  <c r="CC55"/>
  <c r="CC56"/>
  <c r="CD55"/>
  <c r="CD56"/>
  <c r="CE55"/>
  <c r="CE56"/>
  <c r="CF55"/>
  <c r="CF56"/>
  <c r="CG55"/>
  <c r="CG56"/>
  <c r="BN54"/>
  <c r="BQ54"/>
  <c r="BR54"/>
  <c r="BS54"/>
  <c r="BX54"/>
  <c r="BY54"/>
  <c r="BZ54"/>
  <c r="CB54"/>
  <c r="CC54"/>
  <c r="CD54"/>
  <c r="CE54"/>
  <c r="CF54"/>
  <c r="CG54"/>
  <c r="BN53"/>
  <c r="BQ53"/>
  <c r="BX53"/>
  <c r="BY53"/>
  <c r="BZ53"/>
  <c r="CB53"/>
  <c r="CC53"/>
  <c r="CD53"/>
  <c r="CE53"/>
  <c r="CF53"/>
  <c r="CG53"/>
  <c r="AF2" i="8"/>
  <c r="AF3"/>
  <c r="AF4"/>
  <c r="AF8"/>
  <c r="AF9"/>
  <c r="AF10"/>
  <c r="AF11"/>
  <c r="AF12"/>
  <c r="AF13"/>
  <c r="AF14"/>
  <c r="AF15"/>
  <c r="AF16"/>
  <c r="AF17"/>
  <c r="AF18"/>
  <c r="AF19"/>
  <c r="AF20"/>
  <c r="AF22"/>
  <c r="AF23"/>
  <c r="AF34"/>
  <c r="AF24"/>
  <c r="AF25"/>
  <c r="AF26"/>
  <c r="AF27"/>
  <c r="AF28"/>
  <c r="AF29"/>
  <c r="AF30"/>
  <c r="AF31"/>
  <c r="AF32"/>
  <c r="AF33"/>
  <c r="AF35"/>
  <c r="AF36"/>
  <c r="AF37"/>
  <c r="AF38"/>
  <c r="AF39"/>
  <c r="AF40"/>
  <c r="AF41"/>
  <c r="AF43"/>
  <c r="AF44"/>
  <c r="AF45"/>
  <c r="AF46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8"/>
  <c r="AF129"/>
  <c r="AF130"/>
  <c r="AF131"/>
  <c r="AF132"/>
  <c r="AF133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70"/>
  <c r="AF171"/>
  <c r="AF172"/>
  <c r="AF173"/>
  <c r="AF175"/>
  <c r="AF176"/>
  <c r="AF177"/>
  <c r="AF178"/>
  <c r="AF179"/>
  <c r="AF180"/>
  <c r="AF181"/>
  <c r="AF182"/>
  <c r="AF183"/>
  <c r="AF184"/>
  <c r="AF185"/>
  <c r="AF186"/>
  <c r="AF187"/>
  <c r="AF189"/>
  <c r="AF190"/>
  <c r="AF193"/>
  <c r="AF194"/>
  <c r="AF195"/>
  <c r="AF196"/>
  <c r="AF197"/>
  <c r="AE2"/>
  <c r="AM2" s="1"/>
  <c r="AE3"/>
  <c r="AM3" s="1"/>
  <c r="AE4"/>
  <c r="AM4" s="1"/>
  <c r="AE8"/>
  <c r="AM8" s="1"/>
  <c r="AE9"/>
  <c r="AM9" s="1"/>
  <c r="AE10"/>
  <c r="AM10" s="1"/>
  <c r="AE11"/>
  <c r="AM11" s="1"/>
  <c r="AE12"/>
  <c r="AM12" s="1"/>
  <c r="AE13"/>
  <c r="AM13" s="1"/>
  <c r="AE14"/>
  <c r="AM14" s="1"/>
  <c r="AE15"/>
  <c r="AM15" s="1"/>
  <c r="AE16"/>
  <c r="AM16" s="1"/>
  <c r="AE17"/>
  <c r="AM17" s="1"/>
  <c r="AE18"/>
  <c r="AM18" s="1"/>
  <c r="AE19"/>
  <c r="AM19" s="1"/>
  <c r="AE20"/>
  <c r="AM20" s="1"/>
  <c r="AE22"/>
  <c r="AM22" s="1"/>
  <c r="AE23"/>
  <c r="AM23" s="1"/>
  <c r="AE24"/>
  <c r="AM24" s="1"/>
  <c r="AE25"/>
  <c r="AM25" s="1"/>
  <c r="AE26"/>
  <c r="AM26" s="1"/>
  <c r="AE27"/>
  <c r="AM27" s="1"/>
  <c r="AE28"/>
  <c r="AM28" s="1"/>
  <c r="AE29"/>
  <c r="AM29" s="1"/>
  <c r="AE30"/>
  <c r="AM30" s="1"/>
  <c r="AE31"/>
  <c r="AM31" s="1"/>
  <c r="AE32"/>
  <c r="AM32" s="1"/>
  <c r="AE33"/>
  <c r="AM33" s="1"/>
  <c r="AE35"/>
  <c r="AM35" s="1"/>
  <c r="AE36"/>
  <c r="AM36" s="1"/>
  <c r="AE37"/>
  <c r="AM37" s="1"/>
  <c r="AE38"/>
  <c r="AM38" s="1"/>
  <c r="AE39"/>
  <c r="AM39" s="1"/>
  <c r="AE40"/>
  <c r="AM40" s="1"/>
  <c r="AE41"/>
  <c r="AM41" s="1"/>
  <c r="AE43"/>
  <c r="AM43" s="1"/>
  <c r="AE44"/>
  <c r="AM44" s="1"/>
  <c r="AE45"/>
  <c r="AM45" s="1"/>
  <c r="AE46"/>
  <c r="AM46" s="1"/>
  <c r="AE48"/>
  <c r="AM48" s="1"/>
  <c r="AE49"/>
  <c r="AM49" s="1"/>
  <c r="AE50"/>
  <c r="AM50" s="1"/>
  <c r="AE52"/>
  <c r="AM52" s="1"/>
  <c r="AE53"/>
  <c r="AM53" s="1"/>
  <c r="AE54"/>
  <c r="AM54" s="1"/>
  <c r="AE55"/>
  <c r="AM55" s="1"/>
  <c r="AE56"/>
  <c r="AM56" s="1"/>
  <c r="AE57"/>
  <c r="AM57" s="1"/>
  <c r="AE58"/>
  <c r="AM58" s="1"/>
  <c r="AE59"/>
  <c r="AM59" s="1"/>
  <c r="AE60"/>
  <c r="AM60" s="1"/>
  <c r="AE61"/>
  <c r="AM61" s="1"/>
  <c r="AE62"/>
  <c r="AM62" s="1"/>
  <c r="AE63"/>
  <c r="AM63" s="1"/>
  <c r="AE64"/>
  <c r="AM64" s="1"/>
  <c r="AE65"/>
  <c r="AM65" s="1"/>
  <c r="AE66"/>
  <c r="AM66" s="1"/>
  <c r="AE67"/>
  <c r="AM67" s="1"/>
  <c r="AE68"/>
  <c r="AM68" s="1"/>
  <c r="AE69"/>
  <c r="AM69" s="1"/>
  <c r="AE70"/>
  <c r="AM70" s="1"/>
  <c r="AE73"/>
  <c r="AM73" s="1"/>
  <c r="AE74"/>
  <c r="AM74" s="1"/>
  <c r="AE75"/>
  <c r="AM75" s="1"/>
  <c r="AE76"/>
  <c r="AM76" s="1"/>
  <c r="AE77"/>
  <c r="AM77" s="1"/>
  <c r="AE78"/>
  <c r="AM78" s="1"/>
  <c r="AE79"/>
  <c r="AM79" s="1"/>
  <c r="AE80"/>
  <c r="AM80" s="1"/>
  <c r="AE81"/>
  <c r="AM81" s="1"/>
  <c r="AE82"/>
  <c r="AM82" s="1"/>
  <c r="AE83"/>
  <c r="AM83" s="1"/>
  <c r="AE84"/>
  <c r="AM84" s="1"/>
  <c r="AE85"/>
  <c r="AM85" s="1"/>
  <c r="AE86"/>
  <c r="AM86" s="1"/>
  <c r="AE87"/>
  <c r="AM87" s="1"/>
  <c r="AE88"/>
  <c r="AM88" s="1"/>
  <c r="AE89"/>
  <c r="AM89" s="1"/>
  <c r="AE90"/>
  <c r="AM90" s="1"/>
  <c r="AE91"/>
  <c r="AM91" s="1"/>
  <c r="AE92"/>
  <c r="AM92" s="1"/>
  <c r="AE93"/>
  <c r="AM93" s="1"/>
  <c r="AE94"/>
  <c r="AM94" s="1"/>
  <c r="AE95"/>
  <c r="AM95" s="1"/>
  <c r="AE96"/>
  <c r="AM96" s="1"/>
  <c r="AE97"/>
  <c r="AM97" s="1"/>
  <c r="AE98"/>
  <c r="AM98" s="1"/>
  <c r="AE99"/>
  <c r="AM99" s="1"/>
  <c r="AE100"/>
  <c r="AM100" s="1"/>
  <c r="AE101"/>
  <c r="AM101" s="1"/>
  <c r="AE102"/>
  <c r="AM102" s="1"/>
  <c r="AE103"/>
  <c r="AM103" s="1"/>
  <c r="AE104"/>
  <c r="AM104" s="1"/>
  <c r="AE105"/>
  <c r="AM105" s="1"/>
  <c r="AE106"/>
  <c r="AM106" s="1"/>
  <c r="AE107"/>
  <c r="AM107" s="1"/>
  <c r="AE108"/>
  <c r="AM108" s="1"/>
  <c r="AE109"/>
  <c r="AM109" s="1"/>
  <c r="AE110"/>
  <c r="AM110" s="1"/>
  <c r="AE111"/>
  <c r="AM111" s="1"/>
  <c r="AE112"/>
  <c r="AM112" s="1"/>
  <c r="AE113"/>
  <c r="AM113" s="1"/>
  <c r="AE114"/>
  <c r="AM114" s="1"/>
  <c r="AE115"/>
  <c r="AM115" s="1"/>
  <c r="AE116"/>
  <c r="AM116" s="1"/>
  <c r="AE117"/>
  <c r="AM117" s="1"/>
  <c r="AE118"/>
  <c r="AM118" s="1"/>
  <c r="AE119"/>
  <c r="AM119" s="1"/>
  <c r="AE120"/>
  <c r="AM120" s="1"/>
  <c r="AE121"/>
  <c r="AM121" s="1"/>
  <c r="AE122"/>
  <c r="AM122" s="1"/>
  <c r="AE123"/>
  <c r="AM123" s="1"/>
  <c r="AE124"/>
  <c r="AM124" s="1"/>
  <c r="AE125"/>
  <c r="AM125" s="1"/>
  <c r="AE128"/>
  <c r="AM128" s="1"/>
  <c r="AE129"/>
  <c r="AM129" s="1"/>
  <c r="AE130"/>
  <c r="AM130" s="1"/>
  <c r="AE131"/>
  <c r="AM131" s="1"/>
  <c r="AE132"/>
  <c r="AM132" s="1"/>
  <c r="AE133"/>
  <c r="AM133" s="1"/>
  <c r="AE137"/>
  <c r="AM137" s="1"/>
  <c r="AE138"/>
  <c r="AM138" s="1"/>
  <c r="AE139"/>
  <c r="AM139" s="1"/>
  <c r="AE140"/>
  <c r="AM140" s="1"/>
  <c r="AE141"/>
  <c r="AM141" s="1"/>
  <c r="AE142"/>
  <c r="AM142" s="1"/>
  <c r="AE143"/>
  <c r="AM143" s="1"/>
  <c r="AE144"/>
  <c r="AM144" s="1"/>
  <c r="AE145"/>
  <c r="AM145" s="1"/>
  <c r="AE146"/>
  <c r="AM146" s="1"/>
  <c r="AE147"/>
  <c r="AM147" s="1"/>
  <c r="AE148"/>
  <c r="AM148" s="1"/>
  <c r="AE149"/>
  <c r="AM149" s="1"/>
  <c r="AE150"/>
  <c r="AM150" s="1"/>
  <c r="AE151"/>
  <c r="AM151" s="1"/>
  <c r="AE152"/>
  <c r="AM152" s="1"/>
  <c r="AE153"/>
  <c r="AM153" s="1"/>
  <c r="AE154"/>
  <c r="AM154" s="1"/>
  <c r="AE155"/>
  <c r="AM155" s="1"/>
  <c r="AE156"/>
  <c r="AM156" s="1"/>
  <c r="AE157"/>
  <c r="AM157" s="1"/>
  <c r="AE158"/>
  <c r="AM158" s="1"/>
  <c r="AE159"/>
  <c r="AM159" s="1"/>
  <c r="AE160"/>
  <c r="AM160" s="1"/>
  <c r="AE161"/>
  <c r="AM161" s="1"/>
  <c r="AE162"/>
  <c r="AM162" s="1"/>
  <c r="AE163"/>
  <c r="AM163" s="1"/>
  <c r="AE164"/>
  <c r="AM164" s="1"/>
  <c r="AE165"/>
  <c r="AM165" s="1"/>
  <c r="AE166"/>
  <c r="AM166" s="1"/>
  <c r="AE170"/>
  <c r="AM170" s="1"/>
  <c r="AE171"/>
  <c r="AM171" s="1"/>
  <c r="AE172"/>
  <c r="AM172" s="1"/>
  <c r="AE173"/>
  <c r="AM173" s="1"/>
  <c r="AE175"/>
  <c r="AM175" s="1"/>
  <c r="AE176"/>
  <c r="AM176" s="1"/>
  <c r="AE177"/>
  <c r="AM177" s="1"/>
  <c r="AE178"/>
  <c r="AM178" s="1"/>
  <c r="AE179"/>
  <c r="AM179" s="1"/>
  <c r="AE180"/>
  <c r="AM180" s="1"/>
  <c r="AE181"/>
  <c r="AM181" s="1"/>
  <c r="AE182"/>
  <c r="AM182" s="1"/>
  <c r="AE183"/>
  <c r="AM183" s="1"/>
  <c r="AE184"/>
  <c r="AM184" s="1"/>
  <c r="AE185"/>
  <c r="AM185" s="1"/>
  <c r="AE186"/>
  <c r="AM186" s="1"/>
  <c r="AE187"/>
  <c r="AM187" s="1"/>
  <c r="AE189"/>
  <c r="AM189" s="1"/>
  <c r="AE190"/>
  <c r="AM190" s="1"/>
  <c r="AE193"/>
  <c r="AM193" s="1"/>
  <c r="AE194"/>
  <c r="AM194" s="1"/>
  <c r="AE195"/>
  <c r="AM195" s="1"/>
  <c r="AE196"/>
  <c r="AM196" s="1"/>
  <c r="AE197"/>
  <c r="AM197" s="1"/>
  <c r="L34"/>
  <c r="W34"/>
  <c r="Z34"/>
  <c r="AA34"/>
  <c r="AG34"/>
  <c r="AN4"/>
  <c r="AA169" l="1"/>
  <c r="AB169" s="1"/>
  <c r="AA168"/>
  <c r="AB168" s="1"/>
  <c r="BR53" i="1"/>
  <c r="BS53" s="1"/>
  <c r="AN2" i="8" l="1"/>
  <c r="AN3"/>
  <c r="AN8"/>
  <c r="AN10"/>
  <c r="AN11"/>
  <c r="AN12"/>
  <c r="AN13"/>
  <c r="AN14"/>
  <c r="AN18"/>
  <c r="AN19"/>
  <c r="AN20"/>
  <c r="AN35"/>
  <c r="AN36"/>
  <c r="AN37"/>
  <c r="AN38"/>
  <c r="AN39"/>
  <c r="AN40"/>
  <c r="AN41"/>
  <c r="AN43"/>
  <c r="AN45"/>
  <c r="AN46"/>
  <c r="AN48"/>
  <c r="AN57"/>
  <c r="AN58"/>
  <c r="AN59"/>
  <c r="AN61"/>
  <c r="AN65"/>
  <c r="AN66"/>
  <c r="AN67"/>
  <c r="AN68"/>
  <c r="AN69"/>
  <c r="AN164"/>
  <c r="AN165"/>
  <c r="AN170"/>
  <c r="AN171"/>
  <c r="AN172"/>
  <c r="AN173"/>
  <c r="AN175"/>
  <c r="AN176"/>
  <c r="AN177"/>
  <c r="AN178"/>
  <c r="AN179"/>
  <c r="AN182"/>
  <c r="AG2" l="1"/>
  <c r="AG3"/>
  <c r="AG4"/>
  <c r="AG8"/>
  <c r="AG9"/>
  <c r="AG10"/>
  <c r="AG11"/>
  <c r="AG12"/>
  <c r="AG13"/>
  <c r="AG14"/>
  <c r="AG15"/>
  <c r="AG16"/>
  <c r="AG17"/>
  <c r="AG18"/>
  <c r="AG19"/>
  <c r="AG20"/>
  <c r="AG22"/>
  <c r="AG23"/>
  <c r="AG35"/>
  <c r="AG36"/>
  <c r="AG37"/>
  <c r="AG38"/>
  <c r="AG39"/>
  <c r="AG40"/>
  <c r="AG41"/>
  <c r="AG43"/>
  <c r="AG45"/>
  <c r="AG46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8"/>
  <c r="AG129"/>
  <c r="AG130"/>
  <c r="AG131"/>
  <c r="AG132"/>
  <c r="AG133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70"/>
  <c r="AG171"/>
  <c r="AG172"/>
  <c r="AG173"/>
  <c r="AG175"/>
  <c r="AG176"/>
  <c r="AG177"/>
  <c r="AG178"/>
  <c r="AG179"/>
  <c r="AG180"/>
  <c r="AG181"/>
  <c r="AG182"/>
  <c r="AG183"/>
  <c r="AG184"/>
  <c r="AG185"/>
  <c r="AG186"/>
  <c r="AG187"/>
  <c r="AG189"/>
  <c r="AG190"/>
  <c r="AG193"/>
  <c r="AG194"/>
  <c r="AG195"/>
  <c r="AG196"/>
  <c r="AG197"/>
  <c r="CC2" i="1" l="1"/>
  <c r="I2"/>
  <c r="BN2"/>
  <c r="BQ2"/>
  <c r="BR2"/>
  <c r="BS2"/>
  <c r="BX2"/>
  <c r="BY2"/>
  <c r="BZ2"/>
  <c r="CA2" s="1"/>
  <c r="CB2" s="1"/>
  <c r="K3"/>
  <c r="BO7" i="2"/>
  <c r="BO6"/>
  <c r="BO5"/>
  <c r="BO4"/>
  <c r="BO3"/>
  <c r="BO2"/>
  <c r="BP2" s="1"/>
  <c r="BO3" i="3"/>
  <c r="BP3" s="1"/>
  <c r="BO2"/>
  <c r="BP2" s="1"/>
  <c r="BM3" i="2"/>
  <c r="BM4"/>
  <c r="BM5"/>
  <c r="BM6"/>
  <c r="BM7"/>
  <c r="BM8"/>
  <c r="BM9"/>
  <c r="BM10"/>
  <c r="BM11"/>
  <c r="BM12"/>
  <c r="BM13"/>
  <c r="BM14"/>
  <c r="BM15"/>
  <c r="BM16"/>
  <c r="BM17"/>
  <c r="BM18"/>
  <c r="BM19"/>
  <c r="BM20"/>
  <c r="BM21"/>
  <c r="BM22"/>
  <c r="BM23"/>
  <c r="BM24"/>
  <c r="BM25"/>
  <c r="BM26"/>
  <c r="BM27"/>
  <c r="BM28"/>
  <c r="BM29"/>
  <c r="BM30"/>
  <c r="BM31"/>
  <c r="BM32"/>
  <c r="BM33"/>
  <c r="BM34"/>
  <c r="BM35"/>
  <c r="BM36"/>
  <c r="BM37"/>
  <c r="BM38"/>
  <c r="BM39"/>
  <c r="BM40"/>
  <c r="BM41"/>
  <c r="BM42"/>
  <c r="BM43"/>
  <c r="BM44"/>
  <c r="BM45"/>
  <c r="BM46"/>
  <c r="BM47"/>
  <c r="BM48"/>
  <c r="BM49"/>
  <c r="BM50"/>
  <c r="BM51"/>
  <c r="BM52"/>
  <c r="BM53"/>
  <c r="BM54"/>
  <c r="BM55"/>
  <c r="BM56"/>
  <c r="BM57"/>
  <c r="BM58"/>
  <c r="BM59"/>
  <c r="BM60"/>
  <c r="BM61"/>
  <c r="BM63"/>
  <c r="BM65"/>
  <c r="BM66"/>
  <c r="BM67"/>
  <c r="BM68"/>
  <c r="BM69"/>
  <c r="BM70"/>
  <c r="BM71"/>
  <c r="BM72"/>
  <c r="BM73"/>
  <c r="BM74"/>
  <c r="BM75"/>
  <c r="BM76"/>
  <c r="BM77"/>
  <c r="BM78"/>
  <c r="BM79"/>
  <c r="BM80"/>
  <c r="BM81"/>
  <c r="BM82"/>
  <c r="BM83"/>
  <c r="BM84"/>
  <c r="BM85"/>
  <c r="BM86"/>
  <c r="BM87"/>
  <c r="BM88"/>
  <c r="BM89"/>
  <c r="BM90"/>
  <c r="BM91"/>
  <c r="BM92"/>
  <c r="BM93"/>
  <c r="BM94"/>
  <c r="BM95"/>
  <c r="BM96"/>
  <c r="BM97"/>
  <c r="BM98"/>
  <c r="BM99"/>
  <c r="BM100"/>
  <c r="BM101"/>
  <c r="BM102"/>
  <c r="BM103"/>
  <c r="BM104"/>
  <c r="BM105"/>
  <c r="BM106"/>
  <c r="BM107"/>
  <c r="BM108"/>
  <c r="BM109"/>
  <c r="BM110"/>
  <c r="BM111"/>
  <c r="BM112"/>
  <c r="BM113"/>
  <c r="BM114"/>
  <c r="BM115"/>
  <c r="BO8"/>
  <c r="BO9"/>
  <c r="BO10"/>
  <c r="BO11"/>
  <c r="BO12"/>
  <c r="BO13"/>
  <c r="BO14"/>
  <c r="BO15"/>
  <c r="BO16"/>
  <c r="BO17"/>
  <c r="BO18"/>
  <c r="BO19"/>
  <c r="BO20"/>
  <c r="BO21"/>
  <c r="BO22"/>
  <c r="BO23"/>
  <c r="BO24"/>
  <c r="BO25"/>
  <c r="BO26"/>
  <c r="BO27"/>
  <c r="BO28"/>
  <c r="BO29"/>
  <c r="BO30"/>
  <c r="BO31"/>
  <c r="BO32"/>
  <c r="BO33"/>
  <c r="BO34"/>
  <c r="BO35"/>
  <c r="BO36"/>
  <c r="BO37"/>
  <c r="BO38"/>
  <c r="BO39"/>
  <c r="BO40"/>
  <c r="BO41"/>
  <c r="BO42"/>
  <c r="BO43"/>
  <c r="BO44"/>
  <c r="BO45"/>
  <c r="BO46"/>
  <c r="BO47"/>
  <c r="BO48"/>
  <c r="BO49"/>
  <c r="BO50"/>
  <c r="BO51"/>
  <c r="BO52"/>
  <c r="BO53"/>
  <c r="BO54"/>
  <c r="BO55"/>
  <c r="BO56"/>
  <c r="BO57"/>
  <c r="BO58"/>
  <c r="BO59"/>
  <c r="BO60"/>
  <c r="BO61"/>
  <c r="BP61" s="1"/>
  <c r="BO62"/>
  <c r="BP62" s="1"/>
  <c r="BO63"/>
  <c r="BP63" s="1"/>
  <c r="BO64"/>
  <c r="BP64" s="1"/>
  <c r="BO65"/>
  <c r="BP65" s="1"/>
  <c r="BO66"/>
  <c r="BP66" s="1"/>
  <c r="BO67"/>
  <c r="BP67" s="1"/>
  <c r="BO68"/>
  <c r="BP68" s="1"/>
  <c r="BO69"/>
  <c r="BP69" s="1"/>
  <c r="BO70"/>
  <c r="BP70" s="1"/>
  <c r="BO71"/>
  <c r="BP71" s="1"/>
  <c r="BO72"/>
  <c r="BP72" s="1"/>
  <c r="BO73"/>
  <c r="BP73" s="1"/>
  <c r="BO74"/>
  <c r="BP74" s="1"/>
  <c r="BO75"/>
  <c r="BP75" s="1"/>
  <c r="BO76"/>
  <c r="BP76" s="1"/>
  <c r="BO77"/>
  <c r="BP77" s="1"/>
  <c r="BO78"/>
  <c r="BP78" s="1"/>
  <c r="BO79"/>
  <c r="BP79" s="1"/>
  <c r="BO80"/>
  <c r="BP80" s="1"/>
  <c r="BO81"/>
  <c r="BP81" s="1"/>
  <c r="BO82"/>
  <c r="BP82" s="1"/>
  <c r="BO83"/>
  <c r="BP83" s="1"/>
  <c r="BO84"/>
  <c r="BP84" s="1"/>
  <c r="BO85"/>
  <c r="BP85" s="1"/>
  <c r="BO86"/>
  <c r="BP86" s="1"/>
  <c r="BO87"/>
  <c r="BP87" s="1"/>
  <c r="BO88"/>
  <c r="BP88" s="1"/>
  <c r="BO89"/>
  <c r="BP89" s="1"/>
  <c r="BO90"/>
  <c r="BP90" s="1"/>
  <c r="BO91"/>
  <c r="BP91" s="1"/>
  <c r="BO92"/>
  <c r="BP92" s="1"/>
  <c r="BO93"/>
  <c r="BP93" s="1"/>
  <c r="BO94"/>
  <c r="BP94" s="1"/>
  <c r="BO95"/>
  <c r="BP95" s="1"/>
  <c r="BO96"/>
  <c r="BP96" s="1"/>
  <c r="BO97"/>
  <c r="BP97" s="1"/>
  <c r="BO98"/>
  <c r="BP98" s="1"/>
  <c r="BO99"/>
  <c r="BP99" s="1"/>
  <c r="BO100"/>
  <c r="BP100" s="1"/>
  <c r="BO101"/>
  <c r="BP101" s="1"/>
  <c r="BO102"/>
  <c r="BP102" s="1"/>
  <c r="BO103"/>
  <c r="BP103" s="1"/>
  <c r="BO104"/>
  <c r="BP104" s="1"/>
  <c r="BO105"/>
  <c r="BP105" s="1"/>
  <c r="BO106"/>
  <c r="BP106" s="1"/>
  <c r="BO107"/>
  <c r="BP107" s="1"/>
  <c r="BO108"/>
  <c r="BP108" s="1"/>
  <c r="BO109"/>
  <c r="BP109" s="1"/>
  <c r="BO110"/>
  <c r="BP110" s="1"/>
  <c r="BO111"/>
  <c r="BP111" s="1"/>
  <c r="BO112"/>
  <c r="BP112" s="1"/>
  <c r="BO113"/>
  <c r="BP113" s="1"/>
  <c r="BO114"/>
  <c r="BP114" s="1"/>
  <c r="BO115"/>
  <c r="BP115" s="1"/>
  <c r="BO4" i="3"/>
  <c r="BP4" s="1"/>
  <c r="BO5"/>
  <c r="BP5" s="1"/>
  <c r="BO6"/>
  <c r="BP6" s="1"/>
  <c r="BO7"/>
  <c r="BP7" s="1"/>
  <c r="BO8"/>
  <c r="BP8" s="1"/>
  <c r="BO9"/>
  <c r="BP9" s="1"/>
  <c r="BO10"/>
  <c r="BP10" s="1"/>
  <c r="BO11"/>
  <c r="BP11" s="1"/>
  <c r="BO12"/>
  <c r="BP12" s="1"/>
  <c r="BO13"/>
  <c r="BP13" s="1"/>
  <c r="BO14"/>
  <c r="BP14" s="1"/>
  <c r="BO15"/>
  <c r="BP15" s="1"/>
  <c r="BO16"/>
  <c r="BP16" s="1"/>
  <c r="BO17"/>
  <c r="BP17" s="1"/>
  <c r="BO18"/>
  <c r="BP18" s="1"/>
  <c r="BO19"/>
  <c r="BP19" s="1"/>
  <c r="BO20"/>
  <c r="BP20" s="1"/>
  <c r="BO21"/>
  <c r="BP21" s="1"/>
  <c r="BO22"/>
  <c r="BP22" s="1"/>
  <c r="BO23"/>
  <c r="BP23" s="1"/>
  <c r="BO24"/>
  <c r="BP24" s="1"/>
  <c r="BO25"/>
  <c r="BP25" s="1"/>
  <c r="BO26"/>
  <c r="BP26" s="1"/>
  <c r="BO27"/>
  <c r="BP27" s="1"/>
  <c r="BO28"/>
  <c r="BP28" s="1"/>
  <c r="BO29"/>
  <c r="BP29" s="1"/>
  <c r="BO30"/>
  <c r="BP30" s="1"/>
  <c r="BO31"/>
  <c r="BP31" s="1"/>
  <c r="BO32"/>
  <c r="BP32" s="1"/>
  <c r="BO33"/>
  <c r="BP33" s="1"/>
  <c r="BO34"/>
  <c r="BP34" s="1"/>
  <c r="BO35"/>
  <c r="BP35" s="1"/>
  <c r="BO36"/>
  <c r="BP36" s="1"/>
  <c r="BO37"/>
  <c r="BP37" s="1"/>
  <c r="BO38"/>
  <c r="BP38" s="1"/>
  <c r="BO39"/>
  <c r="BP39" s="1"/>
  <c r="BO40"/>
  <c r="BP40" s="1"/>
  <c r="BO41"/>
  <c r="BP41" s="1"/>
  <c r="BO42"/>
  <c r="BP42" s="1"/>
  <c r="BO43"/>
  <c r="BP43" s="1"/>
  <c r="BO44"/>
  <c r="BP44" s="1"/>
  <c r="BO45"/>
  <c r="BP45" s="1"/>
  <c r="BO46"/>
  <c r="BP46" s="1"/>
  <c r="BO47"/>
  <c r="BP47" s="1"/>
  <c r="BO48"/>
  <c r="BP48" s="1"/>
  <c r="BO49"/>
  <c r="BP49" s="1"/>
  <c r="BO50"/>
  <c r="BP50" s="1"/>
  <c r="BO51"/>
  <c r="BP51" s="1"/>
  <c r="BO52"/>
  <c r="BP52" s="1"/>
  <c r="BO53"/>
  <c r="BP53" s="1"/>
  <c r="BO54"/>
  <c r="BP54" s="1"/>
  <c r="BO55"/>
  <c r="BP55" s="1"/>
  <c r="BO56"/>
  <c r="BP56" s="1"/>
  <c r="BO57"/>
  <c r="BP57" s="1"/>
  <c r="BO58"/>
  <c r="BP58" s="1"/>
  <c r="BO59"/>
  <c r="BP59" s="1"/>
  <c r="BO60"/>
  <c r="BP60" s="1"/>
  <c r="BO61"/>
  <c r="BP61" s="1"/>
  <c r="BO62"/>
  <c r="BP62" s="1"/>
  <c r="BO63"/>
  <c r="BP63" s="1"/>
  <c r="BO64"/>
  <c r="BP64" s="1"/>
  <c r="BO65"/>
  <c r="BP65" s="1"/>
  <c r="BO66"/>
  <c r="BP66" s="1"/>
  <c r="BO67"/>
  <c r="BP67" s="1"/>
  <c r="BO68"/>
  <c r="BP68" s="1"/>
  <c r="BO69"/>
  <c r="BP69" s="1"/>
  <c r="BO70"/>
  <c r="BP70" s="1"/>
  <c r="BO71"/>
  <c r="BP71" s="1"/>
  <c r="BO72"/>
  <c r="BP72" s="1"/>
  <c r="BO73"/>
  <c r="BP73" s="1"/>
  <c r="BO74"/>
  <c r="BP74" s="1"/>
  <c r="BO75"/>
  <c r="BP75" s="1"/>
  <c r="BO76"/>
  <c r="BP76" s="1"/>
  <c r="BO77"/>
  <c r="BP77" s="1"/>
  <c r="BO78"/>
  <c r="BP78" s="1"/>
  <c r="BO79"/>
  <c r="BP79" s="1"/>
  <c r="BO80"/>
  <c r="BP80" s="1"/>
  <c r="BO81"/>
  <c r="BP81" s="1"/>
  <c r="BO82"/>
  <c r="BP82" s="1"/>
  <c r="BO83"/>
  <c r="BP83" s="1"/>
  <c r="BO84"/>
  <c r="BP84" s="1"/>
  <c r="BO85"/>
  <c r="BP85" s="1"/>
  <c r="BO86"/>
  <c r="BP86" s="1"/>
  <c r="BO87"/>
  <c r="BP87" s="1"/>
  <c r="BO88"/>
  <c r="BP88" s="1"/>
  <c r="BO89"/>
  <c r="BP89" s="1"/>
  <c r="BO90"/>
  <c r="BP90" s="1"/>
  <c r="BO91"/>
  <c r="BP91" s="1"/>
  <c r="BO92"/>
  <c r="BP92" s="1"/>
  <c r="BO93"/>
  <c r="BP93" s="1"/>
  <c r="BO94"/>
  <c r="BP94" s="1"/>
  <c r="BO95"/>
  <c r="BP95" s="1"/>
  <c r="BO96"/>
  <c r="BP96" s="1"/>
  <c r="BO97"/>
  <c r="BP97" s="1"/>
  <c r="BO98"/>
  <c r="BP98" s="1"/>
  <c r="BO99"/>
  <c r="BP99" s="1"/>
  <c r="BO100"/>
  <c r="BP100" s="1"/>
  <c r="BO101"/>
  <c r="BP101" s="1"/>
  <c r="BO102"/>
  <c r="BP102" s="1"/>
  <c r="BO103"/>
  <c r="BP103" s="1"/>
  <c r="BO104"/>
  <c r="BP104" s="1"/>
  <c r="BO105"/>
  <c r="BP105" s="1"/>
  <c r="BO106"/>
  <c r="BP106" s="1"/>
  <c r="BO107"/>
  <c r="BP107" s="1"/>
  <c r="BO108"/>
  <c r="BP108" s="1"/>
  <c r="BO109"/>
  <c r="BP109" s="1"/>
  <c r="BO110"/>
  <c r="BP110" s="1"/>
  <c r="BO111"/>
  <c r="BP111" s="1"/>
  <c r="BO112"/>
  <c r="BP112" s="1"/>
  <c r="BO113"/>
  <c r="BP113" s="1"/>
  <c r="BO114"/>
  <c r="BP114" s="1"/>
  <c r="BO115"/>
  <c r="BP115" s="1"/>
  <c r="W3" i="8"/>
  <c r="W4"/>
  <c r="W8"/>
  <c r="W9"/>
  <c r="W10"/>
  <c r="W11"/>
  <c r="W12"/>
  <c r="W13"/>
  <c r="W14"/>
  <c r="W15"/>
  <c r="W16"/>
  <c r="W17"/>
  <c r="W18"/>
  <c r="W19"/>
  <c r="W20"/>
  <c r="W22"/>
  <c r="W23"/>
  <c r="W24"/>
  <c r="W25"/>
  <c r="W26"/>
  <c r="W27"/>
  <c r="W28"/>
  <c r="W29"/>
  <c r="W30"/>
  <c r="W31"/>
  <c r="W32"/>
  <c r="W33"/>
  <c r="W35"/>
  <c r="W36"/>
  <c r="W37"/>
  <c r="W38"/>
  <c r="W39"/>
  <c r="W40"/>
  <c r="W41"/>
  <c r="W43"/>
  <c r="W44"/>
  <c r="W45"/>
  <c r="W46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7"/>
  <c r="W116"/>
  <c r="W118"/>
  <c r="W119"/>
  <c r="W120"/>
  <c r="W121"/>
  <c r="W122"/>
  <c r="W123"/>
  <c r="W124"/>
  <c r="W125"/>
  <c r="W128"/>
  <c r="W129"/>
  <c r="W130"/>
  <c r="W131"/>
  <c r="W132"/>
  <c r="W133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4"/>
  <c r="W165"/>
  <c r="W166"/>
  <c r="W170"/>
  <c r="W171"/>
  <c r="W172"/>
  <c r="W173"/>
  <c r="W175"/>
  <c r="W176"/>
  <c r="W177"/>
  <c r="W178"/>
  <c r="W179"/>
  <c r="W180"/>
  <c r="W181"/>
  <c r="W182"/>
  <c r="W183"/>
  <c r="W184"/>
  <c r="W185"/>
  <c r="W186"/>
  <c r="W187"/>
  <c r="W189"/>
  <c r="W190"/>
  <c r="W193"/>
  <c r="W194"/>
  <c r="W195"/>
  <c r="W196"/>
  <c r="W197"/>
  <c r="W163"/>
  <c r="W2"/>
  <c r="BN4" i="1"/>
  <c r="BN3"/>
  <c r="BQ4"/>
  <c r="BQ3"/>
  <c r="BQ5"/>
  <c r="BQ6"/>
  <c r="BQ7"/>
  <c r="BQ8"/>
  <c r="BQ9"/>
  <c r="BQ10"/>
  <c r="BQ11"/>
  <c r="BQ12"/>
  <c r="BQ13"/>
  <c r="BQ14"/>
  <c r="BQ15"/>
  <c r="BQ16"/>
  <c r="BQ17"/>
  <c r="BQ18"/>
  <c r="BQ19"/>
  <c r="BQ20"/>
  <c r="BQ21"/>
  <c r="BQ22"/>
  <c r="BQ23"/>
  <c r="BQ24"/>
  <c r="BQ25"/>
  <c r="BQ26"/>
  <c r="BQ27"/>
  <c r="BQ28"/>
  <c r="BQ29"/>
  <c r="BQ30"/>
  <c r="BQ31"/>
  <c r="BQ32"/>
  <c r="BQ33"/>
  <c r="BQ34"/>
  <c r="BQ35"/>
  <c r="BQ36"/>
  <c r="BQ37"/>
  <c r="BQ38"/>
  <c r="BQ39"/>
  <c r="BQ40"/>
  <c r="BQ41"/>
  <c r="BQ42"/>
  <c r="BQ43"/>
  <c r="BQ44"/>
  <c r="BQ45"/>
  <c r="BQ46"/>
  <c r="BQ47"/>
  <c r="BQ48"/>
  <c r="BQ49"/>
  <c r="BQ50"/>
  <c r="BQ51"/>
  <c r="BQ52"/>
  <c r="BQ57"/>
  <c r="BQ58"/>
  <c r="BQ59"/>
  <c r="BQ60"/>
  <c r="BQ61"/>
  <c r="BQ62"/>
  <c r="BQ63"/>
  <c r="BQ64"/>
  <c r="BQ65"/>
  <c r="BQ66"/>
  <c r="BQ67"/>
  <c r="BQ68"/>
  <c r="BQ69"/>
  <c r="BQ70"/>
  <c r="BQ71"/>
  <c r="BQ72"/>
  <c r="BQ73"/>
  <c r="BQ74"/>
  <c r="BQ75"/>
  <c r="BQ76"/>
  <c r="BQ77"/>
  <c r="BQ78"/>
  <c r="BQ79"/>
  <c r="BQ80"/>
  <c r="BQ81"/>
  <c r="BQ82"/>
  <c r="BQ83"/>
  <c r="BQ84"/>
  <c r="BQ85"/>
  <c r="BQ86"/>
  <c r="BQ87"/>
  <c r="BQ88"/>
  <c r="BQ89"/>
  <c r="BQ90"/>
  <c r="BQ91"/>
  <c r="BQ92"/>
  <c r="BQ93"/>
  <c r="BQ94"/>
  <c r="BQ95"/>
  <c r="BQ96"/>
  <c r="BQ97"/>
  <c r="BQ98"/>
  <c r="BQ99"/>
  <c r="BQ100"/>
  <c r="BQ101"/>
  <c r="BQ102"/>
  <c r="BQ103"/>
  <c r="BQ104"/>
  <c r="BQ105"/>
  <c r="BQ106"/>
  <c r="BQ107"/>
  <c r="BQ108"/>
  <c r="BQ109"/>
  <c r="BQ110"/>
  <c r="BQ111"/>
  <c r="BQ112"/>
  <c r="BQ113"/>
  <c r="BQ114"/>
  <c r="BQ115"/>
  <c r="BQ116"/>
  <c r="BQ117"/>
  <c r="BQ118"/>
  <c r="BQ119"/>
  <c r="BN5"/>
  <c r="BR5" s="1"/>
  <c r="BS5" s="1"/>
  <c r="BN6"/>
  <c r="BR6" s="1"/>
  <c r="BS6" s="1"/>
  <c r="BN7"/>
  <c r="BR7" s="1"/>
  <c r="BS7" s="1"/>
  <c r="BN8"/>
  <c r="BR8" s="1"/>
  <c r="BS8" s="1"/>
  <c r="BN9"/>
  <c r="BR9" s="1"/>
  <c r="BS9" s="1"/>
  <c r="BN10"/>
  <c r="BR10" s="1"/>
  <c r="BS10" s="1"/>
  <c r="BN11"/>
  <c r="BR11" s="1"/>
  <c r="BS11" s="1"/>
  <c r="BN12"/>
  <c r="BR12" s="1"/>
  <c r="BS12" s="1"/>
  <c r="BN13"/>
  <c r="BR13" s="1"/>
  <c r="BS13" s="1"/>
  <c r="BN14"/>
  <c r="BR14" s="1"/>
  <c r="BS14" s="1"/>
  <c r="BN15"/>
  <c r="BR15" s="1"/>
  <c r="BS15" s="1"/>
  <c r="BN16"/>
  <c r="BR16" s="1"/>
  <c r="BS16" s="1"/>
  <c r="BN17"/>
  <c r="BR17" s="1"/>
  <c r="BS17" s="1"/>
  <c r="BN18"/>
  <c r="BR18" s="1"/>
  <c r="BS18" s="1"/>
  <c r="BN19"/>
  <c r="BR19" s="1"/>
  <c r="BS19" s="1"/>
  <c r="BN20"/>
  <c r="BR20" s="1"/>
  <c r="BS20" s="1"/>
  <c r="BN21"/>
  <c r="BR21" s="1"/>
  <c r="BS21" s="1"/>
  <c r="BN22"/>
  <c r="BR22" s="1"/>
  <c r="BS22" s="1"/>
  <c r="BN23"/>
  <c r="BR23" s="1"/>
  <c r="BS23" s="1"/>
  <c r="BN24"/>
  <c r="BR24" s="1"/>
  <c r="BS24" s="1"/>
  <c r="BN25"/>
  <c r="BR25" s="1"/>
  <c r="BS25" s="1"/>
  <c r="BN26"/>
  <c r="BR26" s="1"/>
  <c r="BS26" s="1"/>
  <c r="BN27"/>
  <c r="BR27" s="1"/>
  <c r="BS27" s="1"/>
  <c r="BN28"/>
  <c r="BR28" s="1"/>
  <c r="BS28" s="1"/>
  <c r="BN29"/>
  <c r="BR29" s="1"/>
  <c r="BS29" s="1"/>
  <c r="BN30"/>
  <c r="BR30" s="1"/>
  <c r="BS30" s="1"/>
  <c r="BN31"/>
  <c r="BR31" s="1"/>
  <c r="BS31" s="1"/>
  <c r="BN32"/>
  <c r="BR32" s="1"/>
  <c r="BS32" s="1"/>
  <c r="BN33"/>
  <c r="BR33" s="1"/>
  <c r="BS33" s="1"/>
  <c r="BN34"/>
  <c r="BR34" s="1"/>
  <c r="BS34" s="1"/>
  <c r="BN35"/>
  <c r="BR35" s="1"/>
  <c r="BS35" s="1"/>
  <c r="BN36"/>
  <c r="BR36" s="1"/>
  <c r="BS36" s="1"/>
  <c r="BN37"/>
  <c r="BR37" s="1"/>
  <c r="BS37" s="1"/>
  <c r="BN38"/>
  <c r="BR38" s="1"/>
  <c r="BS38" s="1"/>
  <c r="BN39"/>
  <c r="BR39" s="1"/>
  <c r="BS39" s="1"/>
  <c r="BN40"/>
  <c r="BR40" s="1"/>
  <c r="BS40" s="1"/>
  <c r="BN41"/>
  <c r="BR41" s="1"/>
  <c r="BS41" s="1"/>
  <c r="BN42"/>
  <c r="BR42" s="1"/>
  <c r="BS42" s="1"/>
  <c r="BN43"/>
  <c r="BR43" s="1"/>
  <c r="BS43" s="1"/>
  <c r="BN44"/>
  <c r="BR44" s="1"/>
  <c r="BS44" s="1"/>
  <c r="BN45"/>
  <c r="BR45" s="1"/>
  <c r="BS45" s="1"/>
  <c r="BN46"/>
  <c r="BR46" s="1"/>
  <c r="BS46" s="1"/>
  <c r="BN47"/>
  <c r="BR47" s="1"/>
  <c r="BS47" s="1"/>
  <c r="BN48"/>
  <c r="BR48" s="1"/>
  <c r="BS48" s="1"/>
  <c r="BN49"/>
  <c r="BR49" s="1"/>
  <c r="BS49" s="1"/>
  <c r="BN50"/>
  <c r="BR50" s="1"/>
  <c r="BS50" s="1"/>
  <c r="BN51"/>
  <c r="BR51" s="1"/>
  <c r="BS51" s="1"/>
  <c r="BN52"/>
  <c r="BR52" s="1"/>
  <c r="BS52" s="1"/>
  <c r="BN57"/>
  <c r="BR57" s="1"/>
  <c r="BS57" s="1"/>
  <c r="BN58"/>
  <c r="BR58" s="1"/>
  <c r="BS58" s="1"/>
  <c r="BN59"/>
  <c r="BR59" s="1"/>
  <c r="BS59" s="1"/>
  <c r="BN60"/>
  <c r="BR60" s="1"/>
  <c r="BS60" s="1"/>
  <c r="BN61"/>
  <c r="BR61" s="1"/>
  <c r="BS61" s="1"/>
  <c r="BN62"/>
  <c r="BR62" s="1"/>
  <c r="BS62" s="1"/>
  <c r="BN63"/>
  <c r="BR63" s="1"/>
  <c r="BS63" s="1"/>
  <c r="BN64"/>
  <c r="BR64" s="1"/>
  <c r="BS64" s="1"/>
  <c r="BN65"/>
  <c r="BR65" s="1"/>
  <c r="BS65" s="1"/>
  <c r="BN66"/>
  <c r="BR66" s="1"/>
  <c r="BS66" s="1"/>
  <c r="BN67"/>
  <c r="BR67" s="1"/>
  <c r="BS67" s="1"/>
  <c r="BN68"/>
  <c r="BR68" s="1"/>
  <c r="BS68" s="1"/>
  <c r="BN69"/>
  <c r="BR69" s="1"/>
  <c r="BS69" s="1"/>
  <c r="BN70"/>
  <c r="BR70" s="1"/>
  <c r="BS70" s="1"/>
  <c r="BN71"/>
  <c r="BR71" s="1"/>
  <c r="BS71" s="1"/>
  <c r="BN72"/>
  <c r="BR72" s="1"/>
  <c r="BS72" s="1"/>
  <c r="BN73"/>
  <c r="BR73" s="1"/>
  <c r="BS73" s="1"/>
  <c r="BN74"/>
  <c r="BR74" s="1"/>
  <c r="BS74" s="1"/>
  <c r="BN75"/>
  <c r="BR75" s="1"/>
  <c r="BS75" s="1"/>
  <c r="BN76"/>
  <c r="BR76" s="1"/>
  <c r="BS76" s="1"/>
  <c r="BN77"/>
  <c r="BR77" s="1"/>
  <c r="BS77" s="1"/>
  <c r="BN78"/>
  <c r="BR78" s="1"/>
  <c r="BS78" s="1"/>
  <c r="BN79"/>
  <c r="BR79" s="1"/>
  <c r="BS79" s="1"/>
  <c r="BN80"/>
  <c r="BR80" s="1"/>
  <c r="BS80" s="1"/>
  <c r="BN81"/>
  <c r="BR81" s="1"/>
  <c r="BS81" s="1"/>
  <c r="BN82"/>
  <c r="BR82" s="1"/>
  <c r="BS82" s="1"/>
  <c r="BN83"/>
  <c r="BR83" s="1"/>
  <c r="BS83" s="1"/>
  <c r="BN84"/>
  <c r="BR84" s="1"/>
  <c r="BS84" s="1"/>
  <c r="BN85"/>
  <c r="BR85" s="1"/>
  <c r="BS85" s="1"/>
  <c r="BN86"/>
  <c r="BR86" s="1"/>
  <c r="BS86" s="1"/>
  <c r="BN87"/>
  <c r="BR87" s="1"/>
  <c r="BS87" s="1"/>
  <c r="BN88"/>
  <c r="BR88" s="1"/>
  <c r="BS88" s="1"/>
  <c r="BN89"/>
  <c r="BR89" s="1"/>
  <c r="BS89" s="1"/>
  <c r="BN90"/>
  <c r="BR90" s="1"/>
  <c r="BS90" s="1"/>
  <c r="BN91"/>
  <c r="BR91" s="1"/>
  <c r="BS91" s="1"/>
  <c r="BN92"/>
  <c r="BR92" s="1"/>
  <c r="BS92" s="1"/>
  <c r="BN93"/>
  <c r="BR93" s="1"/>
  <c r="BS93" s="1"/>
  <c r="BN94"/>
  <c r="BR94" s="1"/>
  <c r="BS94" s="1"/>
  <c r="BN95"/>
  <c r="BR95" s="1"/>
  <c r="BS95" s="1"/>
  <c r="BN96"/>
  <c r="BR96" s="1"/>
  <c r="BS96" s="1"/>
  <c r="BN97"/>
  <c r="BR97" s="1"/>
  <c r="BS97" s="1"/>
  <c r="BN98"/>
  <c r="BR98" s="1"/>
  <c r="BS98" s="1"/>
  <c r="BN99"/>
  <c r="BR99" s="1"/>
  <c r="BS99" s="1"/>
  <c r="BN100"/>
  <c r="BR100" s="1"/>
  <c r="BS100" s="1"/>
  <c r="BN101"/>
  <c r="BR101" s="1"/>
  <c r="BS101" s="1"/>
  <c r="BN102"/>
  <c r="BR102" s="1"/>
  <c r="BS102" s="1"/>
  <c r="BN103"/>
  <c r="BR103" s="1"/>
  <c r="BS103" s="1"/>
  <c r="BN104"/>
  <c r="BR104" s="1"/>
  <c r="BS104" s="1"/>
  <c r="BN105"/>
  <c r="BR105" s="1"/>
  <c r="BS105" s="1"/>
  <c r="BN106"/>
  <c r="BR106" s="1"/>
  <c r="BS106" s="1"/>
  <c r="BN107"/>
  <c r="BR107" s="1"/>
  <c r="BS107" s="1"/>
  <c r="BN108"/>
  <c r="BR108" s="1"/>
  <c r="BS108" s="1"/>
  <c r="BN109"/>
  <c r="BR109" s="1"/>
  <c r="BS109" s="1"/>
  <c r="BN110"/>
  <c r="BR110" s="1"/>
  <c r="BS110" s="1"/>
  <c r="BN111"/>
  <c r="BR111" s="1"/>
  <c r="BS111" s="1"/>
  <c r="BN112"/>
  <c r="BR112" s="1"/>
  <c r="BS112" s="1"/>
  <c r="BN113"/>
  <c r="BR113" s="1"/>
  <c r="BS113" s="1"/>
  <c r="BN114"/>
  <c r="BR114" s="1"/>
  <c r="BS114" s="1"/>
  <c r="BN115"/>
  <c r="BR115" s="1"/>
  <c r="BS115" s="1"/>
  <c r="BN116"/>
  <c r="BR116" s="1"/>
  <c r="BS116" s="1"/>
  <c r="BN117"/>
  <c r="BR117" s="1"/>
  <c r="BS117" s="1"/>
  <c r="BN118"/>
  <c r="BR118" s="1"/>
  <c r="BS118" s="1"/>
  <c r="BN119"/>
  <c r="BR119" s="1"/>
  <c r="BS119" s="1"/>
  <c r="BO3"/>
  <c r="BO4"/>
  <c r="BO5"/>
  <c r="BO6"/>
  <c r="BO7"/>
  <c r="BO8"/>
  <c r="BO9"/>
  <c r="BO10"/>
  <c r="BO11"/>
  <c r="BO12"/>
  <c r="BO13"/>
  <c r="BO14"/>
  <c r="BO15"/>
  <c r="BO16"/>
  <c r="BO17"/>
  <c r="BO18"/>
  <c r="BO19"/>
  <c r="BO20"/>
  <c r="BO21"/>
  <c r="BO22"/>
  <c r="BO23"/>
  <c r="BO24"/>
  <c r="BO25"/>
  <c r="BO26"/>
  <c r="BO27"/>
  <c r="BO28"/>
  <c r="BO29"/>
  <c r="BO30"/>
  <c r="BO31"/>
  <c r="BO32"/>
  <c r="BO33"/>
  <c r="BO34"/>
  <c r="BO35"/>
  <c r="BO36"/>
  <c r="BO37"/>
  <c r="BO38"/>
  <c r="BO39"/>
  <c r="BO40"/>
  <c r="BO41"/>
  <c r="BO42"/>
  <c r="BO43"/>
  <c r="BO44"/>
  <c r="BO45"/>
  <c r="BO46"/>
  <c r="BO47"/>
  <c r="BO48"/>
  <c r="BO49"/>
  <c r="BO50"/>
  <c r="BO51"/>
  <c r="BO52"/>
  <c r="BO57"/>
  <c r="BO58"/>
  <c r="BO59"/>
  <c r="BO60"/>
  <c r="BO61"/>
  <c r="BO62"/>
  <c r="BO63"/>
  <c r="BO64"/>
  <c r="BO65"/>
  <c r="BO66"/>
  <c r="BO67"/>
  <c r="BO68"/>
  <c r="BO69"/>
  <c r="BO70"/>
  <c r="BO71"/>
  <c r="BO72"/>
  <c r="BO73"/>
  <c r="BO74"/>
  <c r="BO75"/>
  <c r="BO76"/>
  <c r="BO77"/>
  <c r="BO78"/>
  <c r="BO79"/>
  <c r="BO80"/>
  <c r="BO81"/>
  <c r="BO82"/>
  <c r="BO83"/>
  <c r="BO84"/>
  <c r="BO85"/>
  <c r="BO86"/>
  <c r="BO87"/>
  <c r="BO88"/>
  <c r="BO89"/>
  <c r="BO90"/>
  <c r="BO91"/>
  <c r="BO92"/>
  <c r="BO93"/>
  <c r="BO94"/>
  <c r="BO95"/>
  <c r="BO96"/>
  <c r="BO97"/>
  <c r="BO98"/>
  <c r="BO99"/>
  <c r="BO100"/>
  <c r="BO101"/>
  <c r="BO102"/>
  <c r="BO103"/>
  <c r="BO104"/>
  <c r="BO105"/>
  <c r="BO106"/>
  <c r="BO107"/>
  <c r="BO108"/>
  <c r="BO109"/>
  <c r="BO110"/>
  <c r="BO111"/>
  <c r="BO112"/>
  <c r="BO113"/>
  <c r="BO114"/>
  <c r="BO115"/>
  <c r="BO116"/>
  <c r="BO117"/>
  <c r="BO118"/>
  <c r="BM61" i="3"/>
  <c r="BM3"/>
  <c r="BM4"/>
  <c r="BM5"/>
  <c r="X5" i="8" s="1"/>
  <c r="BM6" i="3"/>
  <c r="BM7"/>
  <c r="BM8"/>
  <c r="X6" i="8" s="1"/>
  <c r="BM9" i="3"/>
  <c r="BM10"/>
  <c r="BM11"/>
  <c r="BM12"/>
  <c r="BM13"/>
  <c r="BM14"/>
  <c r="BM15"/>
  <c r="BM16"/>
  <c r="BM17"/>
  <c r="BM18"/>
  <c r="BM19"/>
  <c r="BM20"/>
  <c r="BM21"/>
  <c r="X21" i="8" s="1"/>
  <c r="BM22" i="3"/>
  <c r="BM23"/>
  <c r="BM24"/>
  <c r="BM25"/>
  <c r="BM26"/>
  <c r="BM27"/>
  <c r="BM28"/>
  <c r="BM29"/>
  <c r="BM30"/>
  <c r="BM31"/>
  <c r="BM32"/>
  <c r="BM33"/>
  <c r="BM34"/>
  <c r="BM35"/>
  <c r="BM36"/>
  <c r="BM37"/>
  <c r="BM38"/>
  <c r="BM39"/>
  <c r="BM40"/>
  <c r="BM41"/>
  <c r="BM42"/>
  <c r="BM43"/>
  <c r="BM44"/>
  <c r="BM45"/>
  <c r="BM46"/>
  <c r="BM47"/>
  <c r="X47" i="8" s="1"/>
  <c r="BM48" i="3"/>
  <c r="BM49"/>
  <c r="BM50"/>
  <c r="BM51"/>
  <c r="BM52"/>
  <c r="BM53"/>
  <c r="BM54"/>
  <c r="BM55"/>
  <c r="BM56"/>
  <c r="BM57"/>
  <c r="BM58"/>
  <c r="BM59"/>
  <c r="BM60"/>
  <c r="BM62"/>
  <c r="BM63"/>
  <c r="BM64"/>
  <c r="BM65"/>
  <c r="BM66"/>
  <c r="BM67"/>
  <c r="BM68"/>
  <c r="BM69"/>
  <c r="BM70"/>
  <c r="BM71"/>
  <c r="BM72"/>
  <c r="BM73"/>
  <c r="BM74"/>
  <c r="BM75"/>
  <c r="BM76"/>
  <c r="BM77"/>
  <c r="BM78"/>
  <c r="BM79"/>
  <c r="BM80"/>
  <c r="BM81"/>
  <c r="BM82"/>
  <c r="BM83"/>
  <c r="BM84"/>
  <c r="BM85"/>
  <c r="BM86"/>
  <c r="BM87"/>
  <c r="BM88"/>
  <c r="BM89"/>
  <c r="BM90"/>
  <c r="BM91"/>
  <c r="BM92"/>
  <c r="BM93"/>
  <c r="BM94"/>
  <c r="BM95"/>
  <c r="BM96"/>
  <c r="BM97"/>
  <c r="BM98"/>
  <c r="BM99"/>
  <c r="BM100"/>
  <c r="BM101"/>
  <c r="BM102"/>
  <c r="BM103"/>
  <c r="BM104"/>
  <c r="BM105"/>
  <c r="BM106"/>
  <c r="BM107"/>
  <c r="BM108"/>
  <c r="BM109"/>
  <c r="BM110"/>
  <c r="BM111"/>
  <c r="BM112"/>
  <c r="BM113"/>
  <c r="BM114"/>
  <c r="BM115"/>
  <c r="BM2"/>
  <c r="X42" i="8" l="1"/>
  <c r="X7"/>
  <c r="X34"/>
  <c r="X72"/>
  <c r="X71"/>
  <c r="BR3" i="1"/>
  <c r="CD2"/>
  <c r="CE2"/>
  <c r="CF2" s="1"/>
  <c r="CG2"/>
  <c r="BS3"/>
  <c r="BR4"/>
  <c r="BS4" s="1"/>
  <c r="I65"/>
  <c r="AG26" i="8" l="1"/>
  <c r="AG25"/>
  <c r="AG24"/>
  <c r="AG44"/>
  <c r="CC119" i="1"/>
  <c r="CC118"/>
  <c r="CC117"/>
  <c r="CC111"/>
  <c r="CC110"/>
  <c r="CC109"/>
  <c r="CC108"/>
  <c r="CC107"/>
  <c r="CC106"/>
  <c r="CC105"/>
  <c r="CC104"/>
  <c r="CC103"/>
  <c r="CC102"/>
  <c r="CC101"/>
  <c r="CC100"/>
  <c r="CC99"/>
  <c r="CC98"/>
  <c r="CC97"/>
  <c r="CC96"/>
  <c r="CC95"/>
  <c r="CC94"/>
  <c r="CC93"/>
  <c r="CC92"/>
  <c r="CC91"/>
  <c r="CC90"/>
  <c r="CC89"/>
  <c r="CC88"/>
  <c r="CC87"/>
  <c r="CC86"/>
  <c r="CC85"/>
  <c r="CC84"/>
  <c r="CC83"/>
  <c r="CC82"/>
  <c r="CC81"/>
  <c r="CC80"/>
  <c r="CC79"/>
  <c r="CC78"/>
  <c r="CC77"/>
  <c r="CC76"/>
  <c r="CC75"/>
  <c r="CC74"/>
  <c r="CC73"/>
  <c r="CC72"/>
  <c r="CC71"/>
  <c r="CC70"/>
  <c r="CC69"/>
  <c r="CC68"/>
  <c r="CC67"/>
  <c r="CC66"/>
  <c r="CC64"/>
  <c r="CC63"/>
  <c r="CC62"/>
  <c r="CC61"/>
  <c r="CC60"/>
  <c r="CC59"/>
  <c r="CC52"/>
  <c r="CC51"/>
  <c r="CC50"/>
  <c r="CC49"/>
  <c r="CC47"/>
  <c r="CC46"/>
  <c r="CC44"/>
  <c r="CC43"/>
  <c r="CC42"/>
  <c r="CC41"/>
  <c r="CC40"/>
  <c r="CC39"/>
  <c r="CC38"/>
  <c r="CC33"/>
  <c r="CC32"/>
  <c r="CC31"/>
  <c r="CC30"/>
  <c r="CC29"/>
  <c r="CC28"/>
  <c r="CC25"/>
  <c r="CC24"/>
  <c r="CC23"/>
  <c r="CC22"/>
  <c r="CC21"/>
  <c r="CC20"/>
  <c r="CC19"/>
  <c r="CC18"/>
  <c r="CC17"/>
  <c r="CC16"/>
  <c r="CC15"/>
  <c r="CC14"/>
  <c r="CC13"/>
  <c r="CC12"/>
  <c r="CC11"/>
  <c r="CC10"/>
  <c r="CC9"/>
  <c r="CC8"/>
  <c r="CC7"/>
  <c r="CC6"/>
  <c r="CC5"/>
  <c r="CC4"/>
  <c r="CC3"/>
  <c r="CC26"/>
  <c r="CC27"/>
  <c r="CC34"/>
  <c r="CC35"/>
  <c r="CC36"/>
  <c r="CC37"/>
  <c r="CC45"/>
  <c r="CC48"/>
  <c r="CC57"/>
  <c r="CC58"/>
  <c r="CC112"/>
  <c r="CC113"/>
  <c r="CC114"/>
  <c r="CC115"/>
  <c r="CC116"/>
  <c r="BZ49"/>
  <c r="CA49" s="1"/>
  <c r="CB49" s="1"/>
  <c r="BZ50"/>
  <c r="CA50" s="1"/>
  <c r="CB50" s="1"/>
  <c r="BZ51"/>
  <c r="CA51" s="1"/>
  <c r="CB51" s="1"/>
  <c r="BZ79"/>
  <c r="CA79" s="1"/>
  <c r="CB79" s="1"/>
  <c r="BZ80"/>
  <c r="CA80" s="1"/>
  <c r="CB80" s="1"/>
  <c r="BZ81"/>
  <c r="CA81" s="1"/>
  <c r="CB81" s="1"/>
  <c r="BZ82"/>
  <c r="CA82" s="1"/>
  <c r="CB82" s="1"/>
  <c r="BY3"/>
  <c r="BY4"/>
  <c r="BY5"/>
  <c r="BY6"/>
  <c r="BY7"/>
  <c r="BY8"/>
  <c r="BY9"/>
  <c r="BY10"/>
  <c r="BY11"/>
  <c r="BY12"/>
  <c r="BY13"/>
  <c r="BY14"/>
  <c r="BY15"/>
  <c r="BY16"/>
  <c r="BY17"/>
  <c r="BY18"/>
  <c r="BY19"/>
  <c r="BY20"/>
  <c r="BY21"/>
  <c r="BY22"/>
  <c r="BY23"/>
  <c r="BY24"/>
  <c r="BY25"/>
  <c r="BY26"/>
  <c r="CA26" s="1"/>
  <c r="CB26" s="1"/>
  <c r="BY27"/>
  <c r="CA27" s="1"/>
  <c r="CB27" s="1"/>
  <c r="BY28"/>
  <c r="BY29"/>
  <c r="BY30"/>
  <c r="BY31"/>
  <c r="BY32"/>
  <c r="BY33"/>
  <c r="BY34"/>
  <c r="CA34" s="1"/>
  <c r="CB34" s="1"/>
  <c r="BY35"/>
  <c r="CA35" s="1"/>
  <c r="CB35" s="1"/>
  <c r="BY36"/>
  <c r="CA36" s="1"/>
  <c r="CB36" s="1"/>
  <c r="BY37"/>
  <c r="CA37" s="1"/>
  <c r="CB37" s="1"/>
  <c r="BY38"/>
  <c r="BY39"/>
  <c r="BY40"/>
  <c r="BY41"/>
  <c r="BY42"/>
  <c r="BY43"/>
  <c r="BY44"/>
  <c r="BY45"/>
  <c r="CA45" s="1"/>
  <c r="CB45" s="1"/>
  <c r="BY46"/>
  <c r="BY47"/>
  <c r="BY48"/>
  <c r="CA48" s="1"/>
  <c r="CB48" s="1"/>
  <c r="BY49"/>
  <c r="BY50"/>
  <c r="BY51"/>
  <c r="BY52"/>
  <c r="BY57"/>
  <c r="CA57" s="1"/>
  <c r="CB57" s="1"/>
  <c r="BY58"/>
  <c r="CA58" s="1"/>
  <c r="CB58" s="1"/>
  <c r="BY59"/>
  <c r="BY60"/>
  <c r="BY61"/>
  <c r="BY62"/>
  <c r="BY63"/>
  <c r="BY64"/>
  <c r="BY66"/>
  <c r="BY67"/>
  <c r="BY68"/>
  <c r="BY69"/>
  <c r="BY70"/>
  <c r="BY71"/>
  <c r="BY72"/>
  <c r="BY73"/>
  <c r="BY74"/>
  <c r="BY75"/>
  <c r="BY76"/>
  <c r="BY77"/>
  <c r="BY78"/>
  <c r="BY79"/>
  <c r="BY80"/>
  <c r="BY81"/>
  <c r="BY82"/>
  <c r="BY83"/>
  <c r="BY84"/>
  <c r="BY85"/>
  <c r="BY86"/>
  <c r="BY87"/>
  <c r="BY88"/>
  <c r="BY89"/>
  <c r="BY90"/>
  <c r="BY91"/>
  <c r="BY92"/>
  <c r="BY93"/>
  <c r="BY94"/>
  <c r="BY95"/>
  <c r="BY96"/>
  <c r="BY97"/>
  <c r="BY98"/>
  <c r="BY99"/>
  <c r="BY100"/>
  <c r="BY101"/>
  <c r="BY102"/>
  <c r="BY103"/>
  <c r="BY104"/>
  <c r="BY105"/>
  <c r="BY106"/>
  <c r="BY107"/>
  <c r="BY108"/>
  <c r="BY109"/>
  <c r="BY110"/>
  <c r="BY111"/>
  <c r="BY112"/>
  <c r="CA112" s="1"/>
  <c r="CB112" s="1"/>
  <c r="BY113"/>
  <c r="CA113" s="1"/>
  <c r="CB113" s="1"/>
  <c r="BY114"/>
  <c r="CA114" s="1"/>
  <c r="CB114" s="1"/>
  <c r="BY115"/>
  <c r="CA115" s="1"/>
  <c r="CB115" s="1"/>
  <c r="BY116"/>
  <c r="CA116" s="1"/>
  <c r="CB116" s="1"/>
  <c r="BY117"/>
  <c r="BY118"/>
  <c r="BY119"/>
  <c r="BX3"/>
  <c r="BX4"/>
  <c r="BX5"/>
  <c r="BX6"/>
  <c r="BX7"/>
  <c r="BX8"/>
  <c r="BX9"/>
  <c r="BX10"/>
  <c r="BX11"/>
  <c r="BX12"/>
  <c r="BX13"/>
  <c r="BX14"/>
  <c r="BX15"/>
  <c r="BX16"/>
  <c r="BX17"/>
  <c r="BX18"/>
  <c r="BX19"/>
  <c r="BX20"/>
  <c r="BX21"/>
  <c r="BX22"/>
  <c r="BX23"/>
  <c r="BX24"/>
  <c r="BX25"/>
  <c r="BX26"/>
  <c r="BX27"/>
  <c r="BX28"/>
  <c r="BX29"/>
  <c r="BX30"/>
  <c r="BX31"/>
  <c r="BX32"/>
  <c r="BX33"/>
  <c r="BX34"/>
  <c r="BX35"/>
  <c r="BX36"/>
  <c r="BX37"/>
  <c r="BX38"/>
  <c r="BX39"/>
  <c r="BX40"/>
  <c r="BX41"/>
  <c r="BX42"/>
  <c r="BX43"/>
  <c r="BX44"/>
  <c r="BX45"/>
  <c r="BX46"/>
  <c r="BX47"/>
  <c r="BX48"/>
  <c r="BX49"/>
  <c r="BX50"/>
  <c r="BX51"/>
  <c r="BX52"/>
  <c r="BX57"/>
  <c r="BX58"/>
  <c r="BX59"/>
  <c r="BX60"/>
  <c r="BX61"/>
  <c r="BX62"/>
  <c r="BX63"/>
  <c r="BX64"/>
  <c r="BX66"/>
  <c r="BX67"/>
  <c r="BX68"/>
  <c r="BX69"/>
  <c r="BX70"/>
  <c r="BX71"/>
  <c r="BX72"/>
  <c r="BX73"/>
  <c r="BX74"/>
  <c r="BX75"/>
  <c r="BX76"/>
  <c r="BX77"/>
  <c r="BX78"/>
  <c r="BX79"/>
  <c r="BX80"/>
  <c r="BX81"/>
  <c r="BX82"/>
  <c r="BX83"/>
  <c r="BX84"/>
  <c r="BX85"/>
  <c r="BX86"/>
  <c r="BX87"/>
  <c r="BX88"/>
  <c r="BX89"/>
  <c r="BX90"/>
  <c r="BX91"/>
  <c r="BX92"/>
  <c r="BX93"/>
  <c r="BX94"/>
  <c r="BX95"/>
  <c r="BX96"/>
  <c r="BX97"/>
  <c r="BX98"/>
  <c r="BX99"/>
  <c r="BX100"/>
  <c r="BX101"/>
  <c r="BX102"/>
  <c r="BX103"/>
  <c r="BX104"/>
  <c r="BX105"/>
  <c r="BX106"/>
  <c r="BX107"/>
  <c r="BX108"/>
  <c r="BX109"/>
  <c r="BX110"/>
  <c r="BX111"/>
  <c r="BX112"/>
  <c r="BX113"/>
  <c r="BX114"/>
  <c r="BX115"/>
  <c r="BX116"/>
  <c r="BX117"/>
  <c r="BX118"/>
  <c r="BX119"/>
  <c r="CD36" l="1"/>
  <c r="CD34"/>
  <c r="CD26"/>
  <c r="CD115"/>
  <c r="CD113"/>
  <c r="CD58"/>
  <c r="CD48"/>
  <c r="CD50"/>
  <c r="CD79"/>
  <c r="CD81"/>
  <c r="CD116"/>
  <c r="CD114"/>
  <c r="CD112"/>
  <c r="CD82"/>
  <c r="CE82" s="1"/>
  <c r="CF82" s="1"/>
  <c r="CD80"/>
  <c r="CD57"/>
  <c r="CD51"/>
  <c r="CD49"/>
  <c r="CD45"/>
  <c r="CE45" s="1"/>
  <c r="CF45" s="1"/>
  <c r="CD37"/>
  <c r="CD35"/>
  <c r="CD27"/>
  <c r="CE115"/>
  <c r="CF115" s="1"/>
  <c r="CE113"/>
  <c r="CF113" s="1"/>
  <c r="CE81"/>
  <c r="CF81" s="1"/>
  <c r="CE79"/>
  <c r="CF79" s="1"/>
  <c r="CE58"/>
  <c r="CF58" s="1"/>
  <c r="CE50"/>
  <c r="CF50" s="1"/>
  <c r="CE48"/>
  <c r="CF48" s="1"/>
  <c r="CE36"/>
  <c r="CF36" s="1"/>
  <c r="CE34"/>
  <c r="CF34" s="1"/>
  <c r="CE26"/>
  <c r="CF26" s="1"/>
  <c r="CG81" l="1"/>
  <c r="CG50"/>
  <c r="CE35"/>
  <c r="CF35" s="1"/>
  <c r="CG35" s="1"/>
  <c r="CG48"/>
  <c r="CG113"/>
  <c r="CE51"/>
  <c r="CF51" s="1"/>
  <c r="CG51" s="1"/>
  <c r="CG34"/>
  <c r="CE112"/>
  <c r="CF112" s="1"/>
  <c r="CG112" s="1"/>
  <c r="CE116"/>
  <c r="CF116" s="1"/>
  <c r="CG116" s="1"/>
  <c r="CG45"/>
  <c r="CG82"/>
  <c r="CG79"/>
  <c r="CE27"/>
  <c r="CF27" s="1"/>
  <c r="CG27" s="1"/>
  <c r="CE37"/>
  <c r="CF37" s="1"/>
  <c r="CG37" s="1"/>
  <c r="CG58"/>
  <c r="CG115"/>
  <c r="CE80"/>
  <c r="CF80" s="1"/>
  <c r="CG80" s="1"/>
  <c r="CE49"/>
  <c r="CF49" s="1"/>
  <c r="CG49" s="1"/>
  <c r="CG26"/>
  <c r="CG36"/>
  <c r="CE57"/>
  <c r="CF57" s="1"/>
  <c r="CG57" s="1"/>
  <c r="CE114"/>
  <c r="CF114" s="1"/>
  <c r="CG114" s="1"/>
  <c r="BR65" i="3"/>
  <c r="BR66"/>
  <c r="BR67"/>
  <c r="BR68"/>
  <c r="BR69"/>
  <c r="BR70"/>
  <c r="BR71"/>
  <c r="BR72"/>
  <c r="BR73"/>
  <c r="BR74"/>
  <c r="BR75"/>
  <c r="BR76"/>
  <c r="BR77"/>
  <c r="BR78"/>
  <c r="BR79"/>
  <c r="BR80"/>
  <c r="BR81"/>
  <c r="BR82"/>
  <c r="BR83"/>
  <c r="BR84"/>
  <c r="BR85"/>
  <c r="BR86"/>
  <c r="BR87"/>
  <c r="BR88"/>
  <c r="BR89"/>
  <c r="BR90"/>
  <c r="BR91"/>
  <c r="BR92"/>
  <c r="BR93"/>
  <c r="BR94"/>
  <c r="BR95"/>
  <c r="BR96"/>
  <c r="BR97"/>
  <c r="BR98"/>
  <c r="BR99"/>
  <c r="BR100"/>
  <c r="BR101"/>
  <c r="BR102"/>
  <c r="BR103"/>
  <c r="BR104"/>
  <c r="BR105"/>
  <c r="BR106"/>
  <c r="BR107"/>
  <c r="BR108"/>
  <c r="BR109"/>
  <c r="BR110"/>
  <c r="BR111"/>
  <c r="BR112"/>
  <c r="BR113"/>
  <c r="BR114"/>
  <c r="BR115"/>
  <c r="BR62"/>
  <c r="BR63"/>
  <c r="BR64"/>
  <c r="I64"/>
  <c r="I63"/>
  <c r="I62"/>
  <c r="I64" i="2"/>
  <c r="I63"/>
  <c r="I62"/>
  <c r="Z163" i="8"/>
  <c r="L163"/>
  <c r="I68" i="1"/>
  <c r="BZ68" s="1"/>
  <c r="CA68" s="1"/>
  <c r="I67"/>
  <c r="BZ67" s="1"/>
  <c r="CA67" s="1"/>
  <c r="I66"/>
  <c r="BZ66" s="1"/>
  <c r="CA66" s="1"/>
  <c r="AA163" i="8" l="1"/>
  <c r="AB163" s="1"/>
  <c r="CB67" i="1"/>
  <c r="CD67"/>
  <c r="CB66"/>
  <c r="CD66"/>
  <c r="CB68"/>
  <c r="CD68"/>
  <c r="Z197" i="8"/>
  <c r="AA197" s="1"/>
  <c r="AB197" s="1"/>
  <c r="L197"/>
  <c r="Z196"/>
  <c r="L196"/>
  <c r="Z195"/>
  <c r="AA195" s="1"/>
  <c r="AB195" s="1"/>
  <c r="L195"/>
  <c r="Z194"/>
  <c r="L194"/>
  <c r="Z193"/>
  <c r="L193"/>
  <c r="Z190"/>
  <c r="L190"/>
  <c r="Z189"/>
  <c r="L189"/>
  <c r="Z187"/>
  <c r="L187"/>
  <c r="Z186"/>
  <c r="L186"/>
  <c r="Z185"/>
  <c r="L185"/>
  <c r="Z184"/>
  <c r="L184"/>
  <c r="Z183"/>
  <c r="L183"/>
  <c r="Z182"/>
  <c r="L182"/>
  <c r="Z181"/>
  <c r="L181"/>
  <c r="Z180"/>
  <c r="L180"/>
  <c r="Z179"/>
  <c r="L179"/>
  <c r="Z178"/>
  <c r="L178"/>
  <c r="Z177"/>
  <c r="L177"/>
  <c r="Z176"/>
  <c r="L176"/>
  <c r="Z175"/>
  <c r="Z173"/>
  <c r="L173"/>
  <c r="Z172"/>
  <c r="L172"/>
  <c r="Z171"/>
  <c r="L171"/>
  <c r="Z170"/>
  <c r="L170"/>
  <c r="Z166"/>
  <c r="L166"/>
  <c r="Z165"/>
  <c r="L165"/>
  <c r="Z164"/>
  <c r="L164"/>
  <c r="Z162"/>
  <c r="L162"/>
  <c r="Z161"/>
  <c r="L161"/>
  <c r="Z160"/>
  <c r="L160"/>
  <c r="Z159"/>
  <c r="L159"/>
  <c r="Z158"/>
  <c r="L158"/>
  <c r="Z157"/>
  <c r="L157"/>
  <c r="Z156"/>
  <c r="L156"/>
  <c r="Z155"/>
  <c r="L155"/>
  <c r="Z154"/>
  <c r="L154"/>
  <c r="Z153"/>
  <c r="L153"/>
  <c r="Z152"/>
  <c r="L152"/>
  <c r="Z151"/>
  <c r="L151"/>
  <c r="Z150"/>
  <c r="L150"/>
  <c r="Z149"/>
  <c r="L149"/>
  <c r="Z148"/>
  <c r="L148"/>
  <c r="Z147"/>
  <c r="L147"/>
  <c r="Z146"/>
  <c r="L146"/>
  <c r="Z145"/>
  <c r="L145"/>
  <c r="Z144"/>
  <c r="L144"/>
  <c r="Z143"/>
  <c r="L143"/>
  <c r="Z142"/>
  <c r="L142"/>
  <c r="Z141"/>
  <c r="L141"/>
  <c r="Z140"/>
  <c r="L140"/>
  <c r="Z139"/>
  <c r="L139"/>
  <c r="Z138"/>
  <c r="L138"/>
  <c r="Z137"/>
  <c r="L137"/>
  <c r="Z133"/>
  <c r="L133"/>
  <c r="Z132"/>
  <c r="L132"/>
  <c r="Z131"/>
  <c r="L131"/>
  <c r="Z130"/>
  <c r="L130"/>
  <c r="Z129"/>
  <c r="L129"/>
  <c r="Z128"/>
  <c r="L128"/>
  <c r="Z125"/>
  <c r="L125"/>
  <c r="Z124"/>
  <c r="L124"/>
  <c r="Z123"/>
  <c r="L123"/>
  <c r="Z122"/>
  <c r="L122"/>
  <c r="Z121"/>
  <c r="L121"/>
  <c r="Z120"/>
  <c r="L120"/>
  <c r="Z119"/>
  <c r="L119"/>
  <c r="Z118"/>
  <c r="L118"/>
  <c r="Z116"/>
  <c r="L116"/>
  <c r="Z117"/>
  <c r="L117"/>
  <c r="Z115"/>
  <c r="L115"/>
  <c r="Z114"/>
  <c r="L114"/>
  <c r="Z113"/>
  <c r="L113"/>
  <c r="Z112"/>
  <c r="L112"/>
  <c r="Z111"/>
  <c r="L111"/>
  <c r="Z110"/>
  <c r="L110"/>
  <c r="Z109"/>
  <c r="L109"/>
  <c r="Z108"/>
  <c r="L108"/>
  <c r="Z107"/>
  <c r="L107"/>
  <c r="Z106"/>
  <c r="L106"/>
  <c r="Z105"/>
  <c r="L105"/>
  <c r="Z104"/>
  <c r="L104"/>
  <c r="Z103"/>
  <c r="L103"/>
  <c r="Z102"/>
  <c r="L102"/>
  <c r="Z101"/>
  <c r="L101"/>
  <c r="Z100"/>
  <c r="L100"/>
  <c r="Z99"/>
  <c r="L99"/>
  <c r="Z98"/>
  <c r="L98"/>
  <c r="Z97"/>
  <c r="L97"/>
  <c r="Z96"/>
  <c r="L96"/>
  <c r="Z95"/>
  <c r="L95"/>
  <c r="Z94"/>
  <c r="L94"/>
  <c r="Z93"/>
  <c r="L93"/>
  <c r="Z92"/>
  <c r="L92"/>
  <c r="Z91"/>
  <c r="L91"/>
  <c r="Z90"/>
  <c r="L90"/>
  <c r="Z89"/>
  <c r="L89"/>
  <c r="Z88"/>
  <c r="L88"/>
  <c r="Z87"/>
  <c r="L87"/>
  <c r="Z86"/>
  <c r="L86"/>
  <c r="Z85"/>
  <c r="L85"/>
  <c r="Z84"/>
  <c r="L84"/>
  <c r="Z83"/>
  <c r="L83"/>
  <c r="Z82"/>
  <c r="L82"/>
  <c r="Z81"/>
  <c r="L81"/>
  <c r="Z80"/>
  <c r="L80"/>
  <c r="Z79"/>
  <c r="L79"/>
  <c r="Z78"/>
  <c r="L78"/>
  <c r="Z77"/>
  <c r="L77"/>
  <c r="Z76"/>
  <c r="L76"/>
  <c r="Z75"/>
  <c r="L75"/>
  <c r="Z74"/>
  <c r="L74"/>
  <c r="Z73"/>
  <c r="L73"/>
  <c r="Z70"/>
  <c r="L70"/>
  <c r="Z69"/>
  <c r="L69"/>
  <c r="Z68"/>
  <c r="L68"/>
  <c r="Z67"/>
  <c r="L67"/>
  <c r="Z66"/>
  <c r="L66"/>
  <c r="Z65"/>
  <c r="L65"/>
  <c r="Z64"/>
  <c r="L64"/>
  <c r="Z63"/>
  <c r="L63"/>
  <c r="Z62"/>
  <c r="L62"/>
  <c r="Z61"/>
  <c r="L61"/>
  <c r="Z60"/>
  <c r="L60"/>
  <c r="Z59"/>
  <c r="L59"/>
  <c r="Z58"/>
  <c r="L58"/>
  <c r="Z57"/>
  <c r="L57"/>
  <c r="Z56"/>
  <c r="L56"/>
  <c r="Z55"/>
  <c r="L55"/>
  <c r="Z54"/>
  <c r="L54"/>
  <c r="Z53"/>
  <c r="L53"/>
  <c r="Z52"/>
  <c r="L52"/>
  <c r="Z51"/>
  <c r="L51"/>
  <c r="Z50"/>
  <c r="L50"/>
  <c r="Z49"/>
  <c r="L49"/>
  <c r="Z48"/>
  <c r="L48"/>
  <c r="Z46"/>
  <c r="L46"/>
  <c r="Z45"/>
  <c r="L45"/>
  <c r="Z44"/>
  <c r="L44"/>
  <c r="Z43"/>
  <c r="L43"/>
  <c r="Z41"/>
  <c r="L41"/>
  <c r="Z40"/>
  <c r="L40"/>
  <c r="Z39"/>
  <c r="L39"/>
  <c r="Z38"/>
  <c r="L38"/>
  <c r="Z37"/>
  <c r="Z36"/>
  <c r="L36"/>
  <c r="Z35"/>
  <c r="L35"/>
  <c r="Z33"/>
  <c r="L33"/>
  <c r="Z32"/>
  <c r="L32"/>
  <c r="Z31"/>
  <c r="L31"/>
  <c r="Z30"/>
  <c r="L30"/>
  <c r="Z29"/>
  <c r="L29"/>
  <c r="Z28"/>
  <c r="L28"/>
  <c r="Z27"/>
  <c r="L27"/>
  <c r="Z26"/>
  <c r="L26"/>
  <c r="Z25"/>
  <c r="L25"/>
  <c r="Z24"/>
  <c r="L24"/>
  <c r="Z22"/>
  <c r="L22"/>
  <c r="Z20"/>
  <c r="L20"/>
  <c r="Z19"/>
  <c r="L19"/>
  <c r="Z18"/>
  <c r="L18"/>
  <c r="Z17"/>
  <c r="L17"/>
  <c r="Z16"/>
  <c r="L16"/>
  <c r="Z15"/>
  <c r="L15"/>
  <c r="Z14"/>
  <c r="L14"/>
  <c r="Z13"/>
  <c r="L13"/>
  <c r="Z12"/>
  <c r="L12"/>
  <c r="Z11"/>
  <c r="L11"/>
  <c r="Z10"/>
  <c r="L10"/>
  <c r="Z9"/>
  <c r="L9"/>
  <c r="Z8"/>
  <c r="L8"/>
  <c r="Z4"/>
  <c r="L4"/>
  <c r="Z3"/>
  <c r="L3"/>
  <c r="Z2"/>
  <c r="L2"/>
  <c r="Z23"/>
  <c r="L23"/>
  <c r="I118" i="1"/>
  <c r="BZ118" s="1"/>
  <c r="CA118" s="1"/>
  <c r="I119"/>
  <c r="BZ119" s="1"/>
  <c r="CA119" s="1"/>
  <c r="I117"/>
  <c r="BZ117" s="1"/>
  <c r="CA117" s="1"/>
  <c r="I111"/>
  <c r="BZ111" s="1"/>
  <c r="CA111" s="1"/>
  <c r="I110"/>
  <c r="BZ110" s="1"/>
  <c r="CA110" s="1"/>
  <c r="I105"/>
  <c r="BZ105" s="1"/>
  <c r="CA105" s="1"/>
  <c r="I106"/>
  <c r="BZ106" s="1"/>
  <c r="CA106" s="1"/>
  <c r="I107"/>
  <c r="BZ107" s="1"/>
  <c r="CA107" s="1"/>
  <c r="I108"/>
  <c r="BZ108" s="1"/>
  <c r="CA108" s="1"/>
  <c r="I109"/>
  <c r="BZ109" s="1"/>
  <c r="CA109" s="1"/>
  <c r="I104"/>
  <c r="BZ104" s="1"/>
  <c r="CA104" s="1"/>
  <c r="I99"/>
  <c r="BZ99" s="1"/>
  <c r="CA99" s="1"/>
  <c r="I100"/>
  <c r="BZ100" s="1"/>
  <c r="CA100" s="1"/>
  <c r="I101"/>
  <c r="BZ101" s="1"/>
  <c r="CA101" s="1"/>
  <c r="I103"/>
  <c r="BZ103" s="1"/>
  <c r="CA103" s="1"/>
  <c r="I102"/>
  <c r="BZ102" s="1"/>
  <c r="CA102" s="1"/>
  <c r="I98"/>
  <c r="BZ98" s="1"/>
  <c r="CA98" s="1"/>
  <c r="I97"/>
  <c r="BZ97" s="1"/>
  <c r="CA97" s="1"/>
  <c r="I95"/>
  <c r="BZ95" s="1"/>
  <c r="CA95" s="1"/>
  <c r="I96"/>
  <c r="BZ96" s="1"/>
  <c r="CA96" s="1"/>
  <c r="I94"/>
  <c r="BZ94" s="1"/>
  <c r="CA94" s="1"/>
  <c r="I92"/>
  <c r="BZ92" s="1"/>
  <c r="CA92" s="1"/>
  <c r="I93"/>
  <c r="BZ93" s="1"/>
  <c r="CA93" s="1"/>
  <c r="I91"/>
  <c r="BZ91" s="1"/>
  <c r="CA91" s="1"/>
  <c r="I85"/>
  <c r="BZ85" s="1"/>
  <c r="CA85" s="1"/>
  <c r="I86"/>
  <c r="BZ86" s="1"/>
  <c r="CA86" s="1"/>
  <c r="I87"/>
  <c r="BZ87" s="1"/>
  <c r="CA87" s="1"/>
  <c r="I88"/>
  <c r="BZ88" s="1"/>
  <c r="CA88" s="1"/>
  <c r="I89"/>
  <c r="BZ89" s="1"/>
  <c r="CA89" s="1"/>
  <c r="I90"/>
  <c r="BZ90" s="1"/>
  <c r="CA90" s="1"/>
  <c r="I84"/>
  <c r="BZ84" s="1"/>
  <c r="CA84" s="1"/>
  <c r="I83"/>
  <c r="BZ83" s="1"/>
  <c r="CA83" s="1"/>
  <c r="I77"/>
  <c r="BZ77" s="1"/>
  <c r="CA77" s="1"/>
  <c r="I76"/>
  <c r="BZ76" s="1"/>
  <c r="CA76" s="1"/>
  <c r="I75"/>
  <c r="BZ75" s="1"/>
  <c r="CA75" s="1"/>
  <c r="I74"/>
  <c r="BZ74" s="1"/>
  <c r="CA74" s="1"/>
  <c r="I71"/>
  <c r="BZ71" s="1"/>
  <c r="CA71" s="1"/>
  <c r="I72"/>
  <c r="BZ72" s="1"/>
  <c r="CA72" s="1"/>
  <c r="I73"/>
  <c r="BZ73" s="1"/>
  <c r="CA73" s="1"/>
  <c r="I70"/>
  <c r="BZ70" s="1"/>
  <c r="CA70" s="1"/>
  <c r="I69"/>
  <c r="BZ69" s="1"/>
  <c r="CA69" s="1"/>
  <c r="I64"/>
  <c r="BZ64" s="1"/>
  <c r="CA64" s="1"/>
  <c r="I63"/>
  <c r="BZ63" s="1"/>
  <c r="CA63" s="1"/>
  <c r="I62"/>
  <c r="BZ62" s="1"/>
  <c r="CA62" s="1"/>
  <c r="I59"/>
  <c r="BZ59" s="1"/>
  <c r="CA59" s="1"/>
  <c r="I60"/>
  <c r="BZ60" s="1"/>
  <c r="CA60" s="1"/>
  <c r="I61"/>
  <c r="BZ61" s="1"/>
  <c r="CA61" s="1"/>
  <c r="I52"/>
  <c r="BZ52" s="1"/>
  <c r="CA52" s="1"/>
  <c r="I47"/>
  <c r="BZ47" s="1"/>
  <c r="CA47" s="1"/>
  <c r="I46"/>
  <c r="BZ46" s="1"/>
  <c r="CA46" s="1"/>
  <c r="I44"/>
  <c r="BZ44" s="1"/>
  <c r="CA44" s="1"/>
  <c r="I43"/>
  <c r="BZ43" s="1"/>
  <c r="CA43" s="1"/>
  <c r="I42"/>
  <c r="BZ42" s="1"/>
  <c r="CA42" s="1"/>
  <c r="I41"/>
  <c r="BZ41" s="1"/>
  <c r="CA41" s="1"/>
  <c r="I39"/>
  <c r="BZ39" s="1"/>
  <c r="CA39" s="1"/>
  <c r="I40"/>
  <c r="BZ40" s="1"/>
  <c r="CA40" s="1"/>
  <c r="I38"/>
  <c r="BZ38" s="1"/>
  <c r="CA38" s="1"/>
  <c r="I29"/>
  <c r="BZ29" s="1"/>
  <c r="CA29" s="1"/>
  <c r="I30"/>
  <c r="BZ30" s="1"/>
  <c r="CA30" s="1"/>
  <c r="I31"/>
  <c r="BZ31" s="1"/>
  <c r="CA31" s="1"/>
  <c r="I33"/>
  <c r="BZ33" s="1"/>
  <c r="CA33" s="1"/>
  <c r="I28"/>
  <c r="BZ28" s="1"/>
  <c r="CA28" s="1"/>
  <c r="I23"/>
  <c r="BZ23" s="1"/>
  <c r="CA23" s="1"/>
  <c r="I24"/>
  <c r="BZ24" s="1"/>
  <c r="CA24" s="1"/>
  <c r="I25"/>
  <c r="BZ25" s="1"/>
  <c r="CA25" s="1"/>
  <c r="I15"/>
  <c r="BZ15" s="1"/>
  <c r="CA15" s="1"/>
  <c r="I16"/>
  <c r="BZ16" s="1"/>
  <c r="CA16" s="1"/>
  <c r="I17"/>
  <c r="BZ17" s="1"/>
  <c r="CA17" s="1"/>
  <c r="I18"/>
  <c r="BZ18" s="1"/>
  <c r="CA18" s="1"/>
  <c r="I19"/>
  <c r="BZ19" s="1"/>
  <c r="CA19" s="1"/>
  <c r="I20"/>
  <c r="BZ20" s="1"/>
  <c r="CA20" s="1"/>
  <c r="I21"/>
  <c r="BZ21" s="1"/>
  <c r="CA21" s="1"/>
  <c r="I22"/>
  <c r="BZ22" s="1"/>
  <c r="CA22" s="1"/>
  <c r="I14"/>
  <c r="BZ14" s="1"/>
  <c r="CA14" s="1"/>
  <c r="I10"/>
  <c r="BZ10" s="1"/>
  <c r="CA10" s="1"/>
  <c r="I11"/>
  <c r="BZ11" s="1"/>
  <c r="CA11" s="1"/>
  <c r="I12"/>
  <c r="BZ12" s="1"/>
  <c r="CA12" s="1"/>
  <c r="I13"/>
  <c r="BZ13" s="1"/>
  <c r="CA13" s="1"/>
  <c r="I6"/>
  <c r="BZ6" s="1"/>
  <c r="CA6" s="1"/>
  <c r="I7"/>
  <c r="BZ7" s="1"/>
  <c r="CA7" s="1"/>
  <c r="I8"/>
  <c r="BZ8" s="1"/>
  <c r="CA8" s="1"/>
  <c r="I9"/>
  <c r="BZ9" s="1"/>
  <c r="CA9" s="1"/>
  <c r="I5"/>
  <c r="BZ5" s="1"/>
  <c r="CA5" s="1"/>
  <c r="AA132" i="8" l="1"/>
  <c r="AB132" s="1"/>
  <c r="AA137"/>
  <c r="AB137" s="1"/>
  <c r="AA139"/>
  <c r="AB139" s="1"/>
  <c r="AA141"/>
  <c r="AB141" s="1"/>
  <c r="AA143"/>
  <c r="AB143" s="1"/>
  <c r="AA145"/>
  <c r="AB145" s="1"/>
  <c r="AA147"/>
  <c r="AB147" s="1"/>
  <c r="AA149"/>
  <c r="AB149" s="1"/>
  <c r="AA151"/>
  <c r="AB151" s="1"/>
  <c r="AA153"/>
  <c r="AB153" s="1"/>
  <c r="AA155"/>
  <c r="AB155" s="1"/>
  <c r="AA157"/>
  <c r="AB157" s="1"/>
  <c r="AA159"/>
  <c r="AB159" s="1"/>
  <c r="AA161"/>
  <c r="AB161" s="1"/>
  <c r="AA164"/>
  <c r="AB164" s="1"/>
  <c r="AA166"/>
  <c r="AB166" s="1"/>
  <c r="AA171"/>
  <c r="AB171" s="1"/>
  <c r="AA173"/>
  <c r="AB173" s="1"/>
  <c r="AA176"/>
  <c r="AB176" s="1"/>
  <c r="AA178"/>
  <c r="AB178" s="1"/>
  <c r="AA179"/>
  <c r="AB179" s="1"/>
  <c r="AA181"/>
  <c r="AB181" s="1"/>
  <c r="AA183"/>
  <c r="AB183" s="1"/>
  <c r="AA185"/>
  <c r="AB185" s="1"/>
  <c r="AA187"/>
  <c r="AB187" s="1"/>
  <c r="AA190"/>
  <c r="AB190" s="1"/>
  <c r="AA194"/>
  <c r="AB194" s="1"/>
  <c r="AA196"/>
  <c r="AB196" s="1"/>
  <c r="CB5" i="1"/>
  <c r="CD5"/>
  <c r="CB6"/>
  <c r="CD6"/>
  <c r="CB12"/>
  <c r="CD12"/>
  <c r="CB10"/>
  <c r="CD10"/>
  <c r="CB22"/>
  <c r="CD22"/>
  <c r="CB20"/>
  <c r="CD20"/>
  <c r="CB18"/>
  <c r="CD18"/>
  <c r="CB16"/>
  <c r="CD16"/>
  <c r="CB25"/>
  <c r="CD25"/>
  <c r="CB23"/>
  <c r="CD23"/>
  <c r="CB33"/>
  <c r="CD33"/>
  <c r="CB30"/>
  <c r="CD30"/>
  <c r="CB38"/>
  <c r="CD38"/>
  <c r="CB39"/>
  <c r="CD39"/>
  <c r="CB42"/>
  <c r="CD42"/>
  <c r="CB44"/>
  <c r="CD44"/>
  <c r="CB47"/>
  <c r="CD47"/>
  <c r="CB61"/>
  <c r="CD61"/>
  <c r="CB59"/>
  <c r="CD59"/>
  <c r="CB63"/>
  <c r="CD63"/>
  <c r="CB69"/>
  <c r="CD69"/>
  <c r="CB73"/>
  <c r="CD73"/>
  <c r="CB71"/>
  <c r="CD71"/>
  <c r="CB75"/>
  <c r="CD75"/>
  <c r="CB77"/>
  <c r="CD77"/>
  <c r="CB84"/>
  <c r="CD84"/>
  <c r="CB89"/>
  <c r="CD89"/>
  <c r="CB87"/>
  <c r="CD87"/>
  <c r="CB85"/>
  <c r="CD85"/>
  <c r="CB93"/>
  <c r="CD93"/>
  <c r="CB94"/>
  <c r="CD94"/>
  <c r="CB95"/>
  <c r="CD95"/>
  <c r="CB98"/>
  <c r="CD98"/>
  <c r="CB103"/>
  <c r="CD103"/>
  <c r="CB100"/>
  <c r="CD100"/>
  <c r="CB104"/>
  <c r="CD104"/>
  <c r="CB108"/>
  <c r="CD108"/>
  <c r="CB106"/>
  <c r="CD106"/>
  <c r="CB110"/>
  <c r="CD110"/>
  <c r="CB117"/>
  <c r="CD117"/>
  <c r="CB118"/>
  <c r="CD118"/>
  <c r="CB8"/>
  <c r="CD8"/>
  <c r="CB9"/>
  <c r="CD9"/>
  <c r="CB7"/>
  <c r="CD7"/>
  <c r="CB13"/>
  <c r="CD13"/>
  <c r="CB11"/>
  <c r="CD11"/>
  <c r="CB14"/>
  <c r="CD14"/>
  <c r="CB21"/>
  <c r="CD21"/>
  <c r="CB19"/>
  <c r="CD19"/>
  <c r="CB17"/>
  <c r="CD17"/>
  <c r="CB15"/>
  <c r="CD15"/>
  <c r="CB24"/>
  <c r="CD24"/>
  <c r="CB28"/>
  <c r="CD28"/>
  <c r="CB31"/>
  <c r="CD31"/>
  <c r="CB29"/>
  <c r="CD29"/>
  <c r="CB40"/>
  <c r="CD40"/>
  <c r="CB41"/>
  <c r="CD41"/>
  <c r="CB43"/>
  <c r="CD43"/>
  <c r="CB46"/>
  <c r="CD46"/>
  <c r="CB52"/>
  <c r="CD52"/>
  <c r="CB60"/>
  <c r="CD60"/>
  <c r="CB62"/>
  <c r="CD62"/>
  <c r="CB64"/>
  <c r="CD64"/>
  <c r="CB70"/>
  <c r="CD70"/>
  <c r="CB72"/>
  <c r="CD72"/>
  <c r="CB74"/>
  <c r="CD74"/>
  <c r="CB76"/>
  <c r="CD76"/>
  <c r="CB83"/>
  <c r="CD83"/>
  <c r="CB90"/>
  <c r="CD90"/>
  <c r="CB88"/>
  <c r="CD88"/>
  <c r="CB86"/>
  <c r="CD86"/>
  <c r="CB91"/>
  <c r="CD91"/>
  <c r="CB92"/>
  <c r="CD92"/>
  <c r="CB96"/>
  <c r="CD96"/>
  <c r="CB97"/>
  <c r="CD97"/>
  <c r="CB102"/>
  <c r="CD102"/>
  <c r="CB101"/>
  <c r="CD101"/>
  <c r="CB99"/>
  <c r="CD99"/>
  <c r="CB109"/>
  <c r="CD109"/>
  <c r="CB107"/>
  <c r="CD107"/>
  <c r="CB105"/>
  <c r="CD105"/>
  <c r="CB111"/>
  <c r="CD111"/>
  <c r="CB119"/>
  <c r="CD119"/>
  <c r="CE68"/>
  <c r="CF68" s="1"/>
  <c r="CG68" s="1"/>
  <c r="CE66"/>
  <c r="CF66" s="1"/>
  <c r="CG66" s="1"/>
  <c r="CE67"/>
  <c r="CF67" s="1"/>
  <c r="CG67" s="1"/>
  <c r="AA2" i="8"/>
  <c r="AB2" s="1"/>
  <c r="AA133"/>
  <c r="AB133" s="1"/>
  <c r="AA138"/>
  <c r="AB138" s="1"/>
  <c r="AA140"/>
  <c r="AB140" s="1"/>
  <c r="AA142"/>
  <c r="AB142" s="1"/>
  <c r="AA144"/>
  <c r="AB144" s="1"/>
  <c r="AA146"/>
  <c r="AB146" s="1"/>
  <c r="AA148"/>
  <c r="AB148" s="1"/>
  <c r="AA150"/>
  <c r="AB150" s="1"/>
  <c r="AA152"/>
  <c r="AB152" s="1"/>
  <c r="AA154"/>
  <c r="AB154" s="1"/>
  <c r="AA156"/>
  <c r="AB156" s="1"/>
  <c r="AA158"/>
  <c r="AB158" s="1"/>
  <c r="AA160"/>
  <c r="AB160" s="1"/>
  <c r="AA162"/>
  <c r="AB162" s="1"/>
  <c r="AA165"/>
  <c r="AB165" s="1"/>
  <c r="AA170"/>
  <c r="AB170" s="1"/>
  <c r="AA172"/>
  <c r="AB172" s="1"/>
  <c r="AA175"/>
  <c r="AA177"/>
  <c r="AB177" s="1"/>
  <c r="AA180"/>
  <c r="AB180" s="1"/>
  <c r="AA182"/>
  <c r="AB182" s="1"/>
  <c r="AA184"/>
  <c r="AB184" s="1"/>
  <c r="AA186"/>
  <c r="AA189"/>
  <c r="AB189" s="1"/>
  <c r="AA193"/>
  <c r="AB193" s="1"/>
  <c r="I115" i="2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4"/>
  <c r="I73"/>
  <c r="I72"/>
  <c r="I71"/>
  <c r="I70"/>
  <c r="I69"/>
  <c r="I68"/>
  <c r="I67"/>
  <c r="I66"/>
  <c r="I65"/>
  <c r="I60"/>
  <c r="I59"/>
  <c r="I58"/>
  <c r="I57"/>
  <c r="I56"/>
  <c r="I55"/>
  <c r="I54"/>
  <c r="I53"/>
  <c r="I52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I115" i="3"/>
  <c r="I114"/>
  <c r="I113"/>
  <c r="I112"/>
  <c r="I111"/>
  <c r="I110"/>
  <c r="I109"/>
  <c r="I108"/>
  <c r="I107"/>
  <c r="I106"/>
  <c r="I105"/>
  <c r="I104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4"/>
  <c r="I73"/>
  <c r="I72"/>
  <c r="I71"/>
  <c r="I70"/>
  <c r="I69"/>
  <c r="I68"/>
  <c r="I67"/>
  <c r="I66"/>
  <c r="I65"/>
  <c r="I60"/>
  <c r="I59"/>
  <c r="I58"/>
  <c r="I57"/>
  <c r="I56"/>
  <c r="I55"/>
  <c r="I54"/>
  <c r="I53"/>
  <c r="I52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I4"/>
  <c r="I3"/>
  <c r="I2"/>
  <c r="CE119" i="1" l="1"/>
  <c r="CF119" s="1"/>
  <c r="CG119" s="1"/>
  <c r="CE111"/>
  <c r="CF111" s="1"/>
  <c r="CG111" s="1"/>
  <c r="CE105"/>
  <c r="CF105" s="1"/>
  <c r="CG105" s="1"/>
  <c r="CE107"/>
  <c r="CF107" s="1"/>
  <c r="CG107" s="1"/>
  <c r="CE109"/>
  <c r="CF109" s="1"/>
  <c r="CG109" s="1"/>
  <c r="CE99"/>
  <c r="CF99" s="1"/>
  <c r="CG99" s="1"/>
  <c r="CE101"/>
  <c r="CF101" s="1"/>
  <c r="CG101" s="1"/>
  <c r="CE102"/>
  <c r="CF102" s="1"/>
  <c r="CG102" s="1"/>
  <c r="CE97"/>
  <c r="CF97" s="1"/>
  <c r="CG97" s="1"/>
  <c r="CE96"/>
  <c r="CF96" s="1"/>
  <c r="CG96" s="1"/>
  <c r="CE92"/>
  <c r="CF92" s="1"/>
  <c r="CG92" s="1"/>
  <c r="CE91"/>
  <c r="CF91" s="1"/>
  <c r="CG91" s="1"/>
  <c r="CE86"/>
  <c r="CF86" s="1"/>
  <c r="CG86" s="1"/>
  <c r="CE88"/>
  <c r="CF88" s="1"/>
  <c r="CG88" s="1"/>
  <c r="CE90"/>
  <c r="CF90" s="1"/>
  <c r="CG90" s="1"/>
  <c r="CE83"/>
  <c r="CF83" s="1"/>
  <c r="CG83" s="1"/>
  <c r="CE76"/>
  <c r="CF76" s="1"/>
  <c r="CG76" s="1"/>
  <c r="CE74"/>
  <c r="CF74" s="1"/>
  <c r="CG74" s="1"/>
  <c r="CE72"/>
  <c r="CF72" s="1"/>
  <c r="CG72" s="1"/>
  <c r="CE70"/>
  <c r="CF70" s="1"/>
  <c r="CG70" s="1"/>
  <c r="CE64"/>
  <c r="CF64" s="1"/>
  <c r="CG64" s="1"/>
  <c r="CE62"/>
  <c r="CF62" s="1"/>
  <c r="CG62" s="1"/>
  <c r="CE60"/>
  <c r="CF60" s="1"/>
  <c r="CG60" s="1"/>
  <c r="CE52"/>
  <c r="CF52" s="1"/>
  <c r="CG52" s="1"/>
  <c r="CE46"/>
  <c r="CF46" s="1"/>
  <c r="CG46" s="1"/>
  <c r="CE43"/>
  <c r="CF43" s="1"/>
  <c r="CG43" s="1"/>
  <c r="CE41"/>
  <c r="CF41" s="1"/>
  <c r="CG41" s="1"/>
  <c r="CE40"/>
  <c r="CF40" s="1"/>
  <c r="CG40" s="1"/>
  <c r="CE29"/>
  <c r="CF29" s="1"/>
  <c r="CG29" s="1"/>
  <c r="CE31"/>
  <c r="CF31" s="1"/>
  <c r="CG31" s="1"/>
  <c r="CE28"/>
  <c r="CF28" s="1"/>
  <c r="CG28" s="1"/>
  <c r="CE24"/>
  <c r="CF24" s="1"/>
  <c r="CG24" s="1"/>
  <c r="CE15"/>
  <c r="CF15" s="1"/>
  <c r="CG15" s="1"/>
  <c r="CE17"/>
  <c r="CF17" s="1"/>
  <c r="CG17" s="1"/>
  <c r="CE19"/>
  <c r="CF19" s="1"/>
  <c r="CG19" s="1"/>
  <c r="CE21"/>
  <c r="CF21" s="1"/>
  <c r="CG21" s="1"/>
  <c r="CE14"/>
  <c r="CF14" s="1"/>
  <c r="CG14" s="1"/>
  <c r="CE11"/>
  <c r="CF11" s="1"/>
  <c r="CG11" s="1"/>
  <c r="CE13"/>
  <c r="CF13" s="1"/>
  <c r="CG13" s="1"/>
  <c r="CE7"/>
  <c r="CF7" s="1"/>
  <c r="CG7" s="1"/>
  <c r="CE9"/>
  <c r="CF9" s="1"/>
  <c r="CG9" s="1"/>
  <c r="CE8"/>
  <c r="CF8" s="1"/>
  <c r="CG8" s="1"/>
  <c r="CE118"/>
  <c r="CF118" s="1"/>
  <c r="CG118" s="1"/>
  <c r="CE117"/>
  <c r="CF117" s="1"/>
  <c r="CG117" s="1"/>
  <c r="CE110"/>
  <c r="CF110" s="1"/>
  <c r="CG110" s="1"/>
  <c r="CE106"/>
  <c r="CF106" s="1"/>
  <c r="CG106" s="1"/>
  <c r="CE108"/>
  <c r="CF108" s="1"/>
  <c r="CG108" s="1"/>
  <c r="CE104"/>
  <c r="CF104" s="1"/>
  <c r="CG104" s="1"/>
  <c r="CE100"/>
  <c r="CF100" s="1"/>
  <c r="CG100" s="1"/>
  <c r="CE103"/>
  <c r="CF103" s="1"/>
  <c r="CG103" s="1"/>
  <c r="CE98"/>
  <c r="CF98" s="1"/>
  <c r="CG98" s="1"/>
  <c r="CE95"/>
  <c r="CF95" s="1"/>
  <c r="CG95" s="1"/>
  <c r="CE94"/>
  <c r="CF94" s="1"/>
  <c r="CG94" s="1"/>
  <c r="CE93"/>
  <c r="CF93" s="1"/>
  <c r="CG93" s="1"/>
  <c r="CE85"/>
  <c r="CF85" s="1"/>
  <c r="CG85" s="1"/>
  <c r="CE87"/>
  <c r="CF87" s="1"/>
  <c r="CG87" s="1"/>
  <c r="CE89"/>
  <c r="CF89" s="1"/>
  <c r="CG89" s="1"/>
  <c r="CE84"/>
  <c r="CF84" s="1"/>
  <c r="CG84" s="1"/>
  <c r="CE77"/>
  <c r="CF77" s="1"/>
  <c r="CG77" s="1"/>
  <c r="CE75"/>
  <c r="CF75" s="1"/>
  <c r="CG75" s="1"/>
  <c r="CE71"/>
  <c r="CF71" s="1"/>
  <c r="CG71" s="1"/>
  <c r="CE73"/>
  <c r="CF73" s="1"/>
  <c r="CG73" s="1"/>
  <c r="CE69"/>
  <c r="CF69" s="1"/>
  <c r="CG69" s="1"/>
  <c r="CE63"/>
  <c r="CF63" s="1"/>
  <c r="CG63" s="1"/>
  <c r="CE59"/>
  <c r="CF59" s="1"/>
  <c r="CG59" s="1"/>
  <c r="CE61"/>
  <c r="CF61" s="1"/>
  <c r="CG61" s="1"/>
  <c r="CE47"/>
  <c r="CF47" s="1"/>
  <c r="CG47" s="1"/>
  <c r="CE44"/>
  <c r="CF44" s="1"/>
  <c r="CG44" s="1"/>
  <c r="CE42"/>
  <c r="CF42" s="1"/>
  <c r="CG42" s="1"/>
  <c r="CE39"/>
  <c r="CF39" s="1"/>
  <c r="CG39" s="1"/>
  <c r="CE38"/>
  <c r="CF38" s="1"/>
  <c r="CG38" s="1"/>
  <c r="CE30"/>
  <c r="CF30" s="1"/>
  <c r="CG30" s="1"/>
  <c r="CE33"/>
  <c r="CF33" s="1"/>
  <c r="CG33" s="1"/>
  <c r="CE23"/>
  <c r="CF23" s="1"/>
  <c r="CG23" s="1"/>
  <c r="CE25"/>
  <c r="CF25" s="1"/>
  <c r="CG25" s="1"/>
  <c r="CE16"/>
  <c r="CF16" s="1"/>
  <c r="CG16" s="1"/>
  <c r="CE18"/>
  <c r="CF18" s="1"/>
  <c r="CG18" s="1"/>
  <c r="CE20"/>
  <c r="CF20" s="1"/>
  <c r="CG20" s="1"/>
  <c r="CE22"/>
  <c r="CF22" s="1"/>
  <c r="CG22" s="1"/>
  <c r="CE10"/>
  <c r="CF10" s="1"/>
  <c r="CG10" s="1"/>
  <c r="CE12"/>
  <c r="CF12" s="1"/>
  <c r="CG12" s="1"/>
  <c r="CE6"/>
  <c r="CF6" s="1"/>
  <c r="CG6" s="1"/>
  <c r="CE5"/>
  <c r="CF5" s="1"/>
  <c r="CG5" s="1"/>
  <c r="AA131" i="8"/>
  <c r="AB131" s="1"/>
  <c r="AA130"/>
  <c r="AB130" s="1"/>
  <c r="AA129"/>
  <c r="AB129" s="1"/>
  <c r="AA128"/>
  <c r="AB128" s="1"/>
  <c r="AA125"/>
  <c r="AB125" s="1"/>
  <c r="AA124"/>
  <c r="AB124" s="1"/>
  <c r="AA123"/>
  <c r="AB123" s="1"/>
  <c r="AA122"/>
  <c r="AB122" s="1"/>
  <c r="AA121"/>
  <c r="AB121" s="1"/>
  <c r="AA120"/>
  <c r="AB120" s="1"/>
  <c r="AA119"/>
  <c r="AB119" s="1"/>
  <c r="AA118"/>
  <c r="AB118" s="1"/>
  <c r="AA116"/>
  <c r="AB116" s="1"/>
  <c r="AA117"/>
  <c r="AB117" s="1"/>
  <c r="AA115"/>
  <c r="AB115" s="1"/>
  <c r="AA114"/>
  <c r="AB114" s="1"/>
  <c r="AA113"/>
  <c r="AB113" s="1"/>
  <c r="AA112"/>
  <c r="AB112" s="1"/>
  <c r="AA111"/>
  <c r="AB111" s="1"/>
  <c r="AA110"/>
  <c r="AB110" s="1"/>
  <c r="AA109"/>
  <c r="AB109" s="1"/>
  <c r="AA108"/>
  <c r="AB108" s="1"/>
  <c r="AA107"/>
  <c r="AB107" s="1"/>
  <c r="AA106"/>
  <c r="AB106" s="1"/>
  <c r="AA105"/>
  <c r="AB105" s="1"/>
  <c r="AA104"/>
  <c r="AB104" s="1"/>
  <c r="AA103"/>
  <c r="AB103" s="1"/>
  <c r="AA102"/>
  <c r="AB102" s="1"/>
  <c r="AA101"/>
  <c r="AB101" s="1"/>
  <c r="AA100"/>
  <c r="AB100" s="1"/>
  <c r="AA99"/>
  <c r="AB99" s="1"/>
  <c r="AA98"/>
  <c r="AB98" s="1"/>
  <c r="AA97"/>
  <c r="AB97" s="1"/>
  <c r="AA96"/>
  <c r="AB96" s="1"/>
  <c r="AA95"/>
  <c r="AB95" s="1"/>
  <c r="AA94"/>
  <c r="AB94" s="1"/>
  <c r="AA93"/>
  <c r="AB93" s="1"/>
  <c r="AA92"/>
  <c r="AB92" s="1"/>
  <c r="AA91"/>
  <c r="AB91" s="1"/>
  <c r="AA90"/>
  <c r="AB90" s="1"/>
  <c r="AA89"/>
  <c r="AB89" s="1"/>
  <c r="AA88"/>
  <c r="AB88" s="1"/>
  <c r="AA87"/>
  <c r="AB87" s="1"/>
  <c r="AA86"/>
  <c r="AB86" s="1"/>
  <c r="AA85"/>
  <c r="AB85" s="1"/>
  <c r="AA84"/>
  <c r="AB84" s="1"/>
  <c r="AA83"/>
  <c r="AB83" s="1"/>
  <c r="AA82"/>
  <c r="AB82" s="1"/>
  <c r="AA81"/>
  <c r="AB81" s="1"/>
  <c r="AA80"/>
  <c r="AB80" s="1"/>
  <c r="AA79"/>
  <c r="AB79" s="1"/>
  <c r="AA78"/>
  <c r="AB78" s="1"/>
  <c r="AA77"/>
  <c r="AB77" s="1"/>
  <c r="AA76"/>
  <c r="AB76" s="1"/>
  <c r="AA75"/>
  <c r="AB75" s="1"/>
  <c r="AA74"/>
  <c r="AB74" s="1"/>
  <c r="AA73"/>
  <c r="AB73" s="1"/>
  <c r="AA70"/>
  <c r="AB70" s="1"/>
  <c r="AA69"/>
  <c r="AB69" s="1"/>
  <c r="AA68"/>
  <c r="AB68" s="1"/>
  <c r="AA67"/>
  <c r="AB67" s="1"/>
  <c r="AA66"/>
  <c r="AB66" s="1"/>
  <c r="AA65"/>
  <c r="AB65" s="1"/>
  <c r="AA64"/>
  <c r="AB64" s="1"/>
  <c r="AA63"/>
  <c r="AB63" s="1"/>
  <c r="AA62"/>
  <c r="AB62" s="1"/>
  <c r="AA61"/>
  <c r="AB61" s="1"/>
  <c r="AA60"/>
  <c r="AB60" s="1"/>
  <c r="AA59"/>
  <c r="AB59" s="1"/>
  <c r="AA58"/>
  <c r="AB58" s="1"/>
  <c r="AA57"/>
  <c r="AB57" s="1"/>
  <c r="AA56"/>
  <c r="AB56" s="1"/>
  <c r="AA55"/>
  <c r="AB55" s="1"/>
  <c r="AA54"/>
  <c r="AB54" s="1"/>
  <c r="AA53"/>
  <c r="AB53" s="1"/>
  <c r="AA52"/>
  <c r="AB52" s="1"/>
  <c r="AA51"/>
  <c r="AB51" s="1"/>
  <c r="AA50"/>
  <c r="AB50" s="1"/>
  <c r="AA49"/>
  <c r="AB49" s="1"/>
  <c r="AA48"/>
  <c r="AB48" s="1"/>
  <c r="AA46"/>
  <c r="AB46" s="1"/>
  <c r="AA45"/>
  <c r="AB45" s="1"/>
  <c r="AA44"/>
  <c r="AB44" s="1"/>
  <c r="AA43"/>
  <c r="AB43" s="1"/>
  <c r="AA41"/>
  <c r="AB41" s="1"/>
  <c r="AA40"/>
  <c r="AB40" s="1"/>
  <c r="AA39"/>
  <c r="AB39" s="1"/>
  <c r="AA38"/>
  <c r="AB38" s="1"/>
  <c r="AA37"/>
  <c r="AB37" s="1"/>
  <c r="AA36"/>
  <c r="AB36" s="1"/>
  <c r="AA35"/>
  <c r="AB35" s="1"/>
  <c r="AA33"/>
  <c r="AB33" s="1"/>
  <c r="AA32"/>
  <c r="AB32" s="1"/>
  <c r="AA31"/>
  <c r="AB31" s="1"/>
  <c r="AA30"/>
  <c r="AB30" s="1"/>
  <c r="AA29"/>
  <c r="AB29" s="1"/>
  <c r="AA28"/>
  <c r="AB28" s="1"/>
  <c r="AA27"/>
  <c r="AB27" s="1"/>
  <c r="AA26"/>
  <c r="AB26" s="1"/>
  <c r="AA25"/>
  <c r="AB25" s="1"/>
  <c r="AA24"/>
  <c r="AB24" s="1"/>
  <c r="AA22"/>
  <c r="AB22" s="1"/>
  <c r="AA20"/>
  <c r="AB20" s="1"/>
  <c r="AA19"/>
  <c r="AB19" s="1"/>
  <c r="AA18"/>
  <c r="AB18" s="1"/>
  <c r="AA17"/>
  <c r="AB17" s="1"/>
  <c r="AA16"/>
  <c r="AB16" s="1"/>
  <c r="AA15"/>
  <c r="AB15" s="1"/>
  <c r="AA14"/>
  <c r="AB14" s="1"/>
  <c r="AA13"/>
  <c r="AB13" s="1"/>
  <c r="AA12"/>
  <c r="AB12" s="1"/>
  <c r="AA11"/>
  <c r="AB11" s="1"/>
  <c r="AA10"/>
  <c r="AB10" s="1"/>
  <c r="AA9"/>
  <c r="AB9" s="1"/>
  <c r="AA8"/>
  <c r="AB8" s="1"/>
  <c r="AA4"/>
  <c r="AB4" s="1"/>
  <c r="AA3"/>
  <c r="AB3" s="1"/>
  <c r="AA23"/>
  <c r="AB23" s="1"/>
  <c r="I116" i="1"/>
  <c r="BZ116" s="1"/>
  <c r="I115"/>
  <c r="BZ115" s="1"/>
  <c r="I114"/>
  <c r="BZ114" s="1"/>
  <c r="I113"/>
  <c r="BZ113" s="1"/>
  <c r="I112"/>
  <c r="BZ112" s="1"/>
  <c r="I58"/>
  <c r="BZ58" s="1"/>
  <c r="I57"/>
  <c r="BZ57" s="1"/>
  <c r="I48"/>
  <c r="BZ48" s="1"/>
  <c r="I45"/>
  <c r="BZ45" s="1"/>
  <c r="I37"/>
  <c r="BZ37" s="1"/>
  <c r="I36"/>
  <c r="BZ36" s="1"/>
  <c r="I35"/>
  <c r="BZ35" s="1"/>
  <c r="I34"/>
  <c r="BZ34" s="1"/>
  <c r="I27"/>
  <c r="BZ27" s="1"/>
  <c r="I26"/>
  <c r="BZ26" s="1"/>
  <c r="BP34" i="2"/>
  <c r="BP35"/>
  <c r="BP36"/>
  <c r="BP37"/>
  <c r="BP48"/>
  <c r="BM2"/>
  <c r="I3" i="1"/>
  <c r="BZ3" s="1"/>
  <c r="CA3" s="1"/>
  <c r="I4"/>
  <c r="BZ4" s="1"/>
  <c r="CA4" s="1"/>
  <c r="I32"/>
  <c r="BZ32" s="1"/>
  <c r="CA32" s="1"/>
  <c r="I78"/>
  <c r="BZ78" s="1"/>
  <c r="CA78" s="1"/>
  <c r="CB32" l="1"/>
  <c r="CD32"/>
  <c r="CB78"/>
  <c r="CD78"/>
  <c r="CB4"/>
  <c r="CD4"/>
  <c r="CB3"/>
  <c r="CD3"/>
  <c r="BP60" i="2"/>
  <c r="BP59"/>
  <c r="BP58"/>
  <c r="BP57"/>
  <c r="BP56"/>
  <c r="BP55"/>
  <c r="BP54"/>
  <c r="BP53"/>
  <c r="BP52"/>
  <c r="BP51"/>
  <c r="BP50"/>
  <c r="BP49"/>
  <c r="BP47"/>
  <c r="BP46"/>
  <c r="BP45"/>
  <c r="BP44"/>
  <c r="BP43"/>
  <c r="BP42"/>
  <c r="BP41"/>
  <c r="BP40"/>
  <c r="BP39"/>
  <c r="BP38"/>
  <c r="BP33"/>
  <c r="BP32"/>
  <c r="BP31"/>
  <c r="BP30"/>
  <c r="BP29"/>
  <c r="BP28"/>
  <c r="BP27"/>
  <c r="BP26"/>
  <c r="BP25"/>
  <c r="BP24"/>
  <c r="BP23"/>
  <c r="BP22"/>
  <c r="BP21"/>
  <c r="BP20"/>
  <c r="BP19"/>
  <c r="BP18"/>
  <c r="BP17"/>
  <c r="BP16"/>
  <c r="BP15"/>
  <c r="BP14"/>
  <c r="BP13"/>
  <c r="BP12"/>
  <c r="BP11"/>
  <c r="BP10"/>
  <c r="BP9"/>
  <c r="BP8"/>
  <c r="BP7"/>
  <c r="BP6"/>
  <c r="BP5"/>
  <c r="BP4"/>
  <c r="BP3"/>
  <c r="CE3" i="1" l="1"/>
  <c r="CF3" s="1"/>
  <c r="CG3" s="1"/>
  <c r="CE4"/>
  <c r="CF4" s="1"/>
  <c r="CG4" s="1"/>
  <c r="CE78"/>
  <c r="CF78" s="1"/>
  <c r="CG78" s="1"/>
  <c r="CE32"/>
  <c r="CF32" s="1"/>
  <c r="CG32" s="1"/>
</calcChain>
</file>

<file path=xl/comments1.xml><?xml version="1.0" encoding="utf-8"?>
<comments xmlns="http://schemas.openxmlformats.org/spreadsheetml/2006/main">
  <authors>
    <author>user</author>
  </authors>
  <commentList>
    <comment ref="I3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SE TRAE PT AGROTAFOL ENGROSE X KILO </t>
        </r>
      </text>
    </comment>
    <comment ref="I10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SE TRAE COMO AGROTAFOL DESARROLLO </t>
        </r>
      </text>
    </comment>
    <comment ref="O13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se deveria comprar solo en 200l </t>
        </r>
      </text>
    </comment>
    <comment ref="O22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preferible comprar envasado</t>
        </r>
      </text>
    </comment>
    <comment ref="AO36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PEDIR SI ES POSIBLE EN FUNDA PREIMPRESA
</t>
        </r>
      </text>
    </comment>
    <comment ref="AO37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PEDIR SI ES POSIBLE EN FUNDA PREIMPRESA
</t>
        </r>
      </text>
    </comment>
    <comment ref="AO40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PEDIR SI ES POSIBLE EN  FUNDA PREIMPRESA
</t>
        </r>
      </text>
    </comment>
    <comment ref="AO45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TRAER EN FUNDA BLANCA
</t>
        </r>
      </text>
    </comment>
    <comment ref="I50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deberia eliminarse </t>
        </r>
      </text>
    </comment>
    <comment ref="I51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deberia eliminarse </t>
        </r>
      </text>
    </comment>
    <comment ref="AO164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TRAER EN FUNDA BLANCA </t>
        </r>
      </text>
    </comment>
    <comment ref="I171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SE TRAE PT SINOPRID 100GR</t>
        </r>
      </text>
    </comment>
    <comment ref="AQ171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PEDIR EN FUNDA PREIMPRESA</t>
        </r>
      </text>
    </comment>
    <comment ref="AO173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SI LA CHINA ACEPTA ESTA CANTIDAD</t>
        </r>
      </text>
    </comment>
    <comment ref="I179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TRAERMOS PT EN ZULLY</t>
        </r>
      </text>
    </comment>
    <comment ref="AQ179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COMPRA MARCELA </t>
        </r>
      </text>
    </comment>
    <comment ref="I180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SE TRAE PT AGROTAFOL COMBI 200GR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F12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 INANCTIVO NO HA PRODUCIDO </t>
        </r>
      </text>
    </comment>
    <comment ref="BT33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SE SIPE SOLO BAJO PEDIDO 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INACTIVO 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INACTIVO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INACTIVO</t>
        </r>
      </text>
    </comment>
    <comment ref="BT69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SOLO BAJO PEDIDO</t>
        </r>
      </text>
    </comment>
    <comment ref="F72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INACTIVO </t>
        </r>
      </text>
    </comment>
    <comment ref="F79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
</t>
        </r>
      </text>
    </comment>
    <comment ref="F80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</t>
        </r>
      </text>
    </comment>
    <comment ref="F81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</t>
        </r>
      </text>
    </comment>
    <comment ref="F82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</t>
        </r>
      </text>
    </comment>
    <comment ref="F83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</t>
        </r>
      </text>
    </comment>
    <comment ref="F84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</t>
        </r>
      </text>
    </comment>
    <comment ref="F89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|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F12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 INANCTIVO NO HA PRODUCIDO 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INACTIVO 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INACTIVO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INACTIVO</t>
        </r>
      </text>
    </comment>
    <comment ref="F68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INACTIVO </t>
        </r>
      </text>
    </comment>
    <comment ref="F75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
</t>
        </r>
      </text>
    </comment>
    <comment ref="F76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</t>
        </r>
      </text>
    </comment>
    <comment ref="F77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</t>
        </r>
      </text>
    </comment>
    <comment ref="F78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</t>
        </r>
      </text>
    </comment>
    <comment ref="F79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</t>
        </r>
      </text>
    </comment>
    <comment ref="F80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</t>
        </r>
      </text>
    </comment>
    <comment ref="F85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|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F12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 INANCTIVO NO HA PRODUCIDO 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INACTIVO 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INACTIVO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INACTIVO</t>
        </r>
      </text>
    </comment>
    <comment ref="F68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INACTIVO </t>
        </r>
      </text>
    </comment>
    <comment ref="F75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
</t>
        </r>
      </text>
    </comment>
    <comment ref="F76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</t>
        </r>
      </text>
    </comment>
    <comment ref="F77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</t>
        </r>
      </text>
    </comment>
    <comment ref="F78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</t>
        </r>
      </text>
    </comment>
    <comment ref="F79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</t>
        </r>
      </text>
    </comment>
    <comment ref="F80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ES INACT</t>
        </r>
      </text>
    </comment>
    <comment ref="F85" authorId="0">
      <text>
        <r>
          <rPr>
            <b/>
            <sz val="8"/>
            <color indexed="81"/>
            <rFont val="Tahoma"/>
            <family val="2"/>
          </rPr>
          <t>user:</t>
        </r>
        <r>
          <rPr>
            <sz val="8"/>
            <color indexed="81"/>
            <rFont val="Tahoma"/>
            <family val="2"/>
          </rPr>
          <t xml:space="preserve">
DIEGO DICE QUE |</t>
        </r>
      </text>
    </comment>
  </commentList>
</comments>
</file>

<file path=xl/sharedStrings.xml><?xml version="1.0" encoding="utf-8"?>
<sst xmlns="http://schemas.openxmlformats.org/spreadsheetml/2006/main" count="20958" uniqueCount="1404">
  <si>
    <t xml:space="preserve">CODIGO </t>
  </si>
  <si>
    <t>DESCRIPCION</t>
  </si>
  <si>
    <t>UNIDAD</t>
  </si>
  <si>
    <t>PVP</t>
  </si>
  <si>
    <t>PVD</t>
  </si>
  <si>
    <t>COSTOS</t>
  </si>
  <si>
    <t xml:space="preserve">GRUPO </t>
  </si>
  <si>
    <t>LINEA</t>
  </si>
  <si>
    <t>FRECUENCIA</t>
  </si>
  <si>
    <t xml:space="preserve">TIEMPO REPOSICION </t>
  </si>
  <si>
    <t>SEM.1</t>
  </si>
  <si>
    <t>SEM.2</t>
  </si>
  <si>
    <t>SEM.3</t>
  </si>
  <si>
    <t>SEM.4</t>
  </si>
  <si>
    <t>SEM.5</t>
  </si>
  <si>
    <t>SEM.6</t>
  </si>
  <si>
    <t>SEM.7</t>
  </si>
  <si>
    <t>SEM.8</t>
  </si>
  <si>
    <t>SEM.9</t>
  </si>
  <si>
    <t>SEM.10</t>
  </si>
  <si>
    <t>SEM.11</t>
  </si>
  <si>
    <t>SEM.12</t>
  </si>
  <si>
    <t>SEM.13</t>
  </si>
  <si>
    <t>SEM.14</t>
  </si>
  <si>
    <t>SEM.15</t>
  </si>
  <si>
    <t>SEM.16</t>
  </si>
  <si>
    <t>SEM.17</t>
  </si>
  <si>
    <t>SEM.18</t>
  </si>
  <si>
    <t>SEM.19</t>
  </si>
  <si>
    <t>SEM.20</t>
  </si>
  <si>
    <t>SEM.21</t>
  </si>
  <si>
    <t>SEM.22</t>
  </si>
  <si>
    <t>SEM.23</t>
  </si>
  <si>
    <t>SEM.24</t>
  </si>
  <si>
    <t>SEM.25</t>
  </si>
  <si>
    <t>SEM.26</t>
  </si>
  <si>
    <t>SEM.27</t>
  </si>
  <si>
    <t>SEM.28</t>
  </si>
  <si>
    <t>SEM.29</t>
  </si>
  <si>
    <t>SEM.30</t>
  </si>
  <si>
    <t>SEM.31</t>
  </si>
  <si>
    <t>SEM.32</t>
  </si>
  <si>
    <t>SEM.33</t>
  </si>
  <si>
    <t>SEM.34</t>
  </si>
  <si>
    <t>SEM.35</t>
  </si>
  <si>
    <t>SEM.36</t>
  </si>
  <si>
    <t>SEM.37</t>
  </si>
  <si>
    <t>SEM.38</t>
  </si>
  <si>
    <t>SEM.39</t>
  </si>
  <si>
    <t>SEM.40</t>
  </si>
  <si>
    <t>SEM.41</t>
  </si>
  <si>
    <t>SEM.42</t>
  </si>
  <si>
    <t>SEM.43</t>
  </si>
  <si>
    <t>SEM.44</t>
  </si>
  <si>
    <t>SEM.45</t>
  </si>
  <si>
    <t>SEM.46</t>
  </si>
  <si>
    <t>SEM.47</t>
  </si>
  <si>
    <t>SEM.48</t>
  </si>
  <si>
    <t>SEM.49</t>
  </si>
  <si>
    <t>SEM.50</t>
  </si>
  <si>
    <t>SEM.51</t>
  </si>
  <si>
    <t>SEM.52</t>
  </si>
  <si>
    <t>MP-006</t>
  </si>
  <si>
    <t>10-15-30-5+MICROELEMENTOS 500 GR</t>
  </si>
  <si>
    <t>MP-002</t>
  </si>
  <si>
    <t>10-15-30-5+MICROELEMENTOS KILO</t>
  </si>
  <si>
    <t>MP-004</t>
  </si>
  <si>
    <t>15-40-15-1+MICROELEMENTOS KILO</t>
  </si>
  <si>
    <t>MP-262</t>
  </si>
  <si>
    <t>MP-003</t>
  </si>
  <si>
    <t>20-20-20-1+MICROELEMENTOS KILO</t>
  </si>
  <si>
    <t>MP-001</t>
  </si>
  <si>
    <t>30-10-10-2+MICROELEMENTOS KILO</t>
  </si>
  <si>
    <t>MP-011</t>
  </si>
  <si>
    <t>35-25-20+MICRO+GA3+AUXINAS+VITAMINAS</t>
  </si>
  <si>
    <t>MP-256</t>
  </si>
  <si>
    <t>ABAMECTINA NEGRA 1.8 % X LITRO</t>
  </si>
  <si>
    <t>MP-257</t>
  </si>
  <si>
    <t>ABAMECTINA NEGRA 1.8% X 100 ML</t>
  </si>
  <si>
    <t>MP-402</t>
  </si>
  <si>
    <t>ABAMECTINA NEGRA 1.8% X 200L</t>
  </si>
  <si>
    <t>G-005</t>
  </si>
  <si>
    <t>ABUNDANCE PLUS X LITRO</t>
  </si>
  <si>
    <t>MP-022</t>
  </si>
  <si>
    <t>ACIDOS HUMICOS, FULVICOS + AMINOACIDOS</t>
  </si>
  <si>
    <t>IN-0042</t>
  </si>
  <si>
    <t>AGROTAFIX X 100 ML</t>
  </si>
  <si>
    <t>IN-0028</t>
  </si>
  <si>
    <t>AGROTAFIX X 250 ML</t>
  </si>
  <si>
    <t>IN-041.</t>
  </si>
  <si>
    <t>AGROTAFIX X LITRO</t>
  </si>
  <si>
    <t>IN-62</t>
  </si>
  <si>
    <t>AGROTAFOL 10-15-30-5 ENGROSE 500 GRMS</t>
  </si>
  <si>
    <t>IN-34</t>
  </si>
  <si>
    <t>AGROTAFOL 10-15-30-5 ENGROSE X KILO</t>
  </si>
  <si>
    <t>IN-32</t>
  </si>
  <si>
    <t>AGROTAFOL 15-40-15-10 INICIAL X KILO</t>
  </si>
  <si>
    <t>IN-35</t>
  </si>
  <si>
    <t>AGROTAFOL 20-20-20-1 FLORACION X KILO</t>
  </si>
  <si>
    <t>IN-33</t>
  </si>
  <si>
    <t>AGROTAFOL 30-10-10-20 DESARROLLO X KILO</t>
  </si>
  <si>
    <t>IN-104</t>
  </si>
  <si>
    <t>AGROTAFOL BORO X 250 ML</t>
  </si>
  <si>
    <t>IN-0007</t>
  </si>
  <si>
    <t>AGROTAFOL BORO X 500 ML</t>
  </si>
  <si>
    <t>IN-0102</t>
  </si>
  <si>
    <t>AGROTAFOL BORO X GALON</t>
  </si>
  <si>
    <t>IN-092</t>
  </si>
  <si>
    <t>AGROTAFOL BORO X LITRO</t>
  </si>
  <si>
    <t>IN - 126</t>
  </si>
  <si>
    <t>AGROTAFOL COMBI X 200 GRS</t>
  </si>
  <si>
    <t>IN-0008</t>
  </si>
  <si>
    <t>AGROTAFOL FOSFITO X 500 ML</t>
  </si>
  <si>
    <t>IN-043</t>
  </si>
  <si>
    <t>AGROTAFOL FOSFITO X LITRO</t>
  </si>
  <si>
    <t>IN-0004</t>
  </si>
  <si>
    <t>AGROTAFOL K PLUS X 500 ML</t>
  </si>
  <si>
    <t>IN-048</t>
  </si>
  <si>
    <t>AGROTAFOL K PLUS X LITRO</t>
  </si>
  <si>
    <t>IN-00102</t>
  </si>
  <si>
    <t>AGROTAFOL SUPER X KILO</t>
  </si>
  <si>
    <t>IN-0005</t>
  </si>
  <si>
    <t>AGROTAFOL ZINC X 500 ML</t>
  </si>
  <si>
    <t>IN-0006</t>
  </si>
  <si>
    <t>AGROTAFOL ZINC X GALON</t>
  </si>
  <si>
    <t>IN-30</t>
  </si>
  <si>
    <t>AGROTAFOL ZINC X LITRO.</t>
  </si>
  <si>
    <t>PT-010</t>
  </si>
  <si>
    <t>IN-139</t>
  </si>
  <si>
    <t>AGROTAZOLE 25 % EC X LITRO</t>
  </si>
  <si>
    <t>IN-140</t>
  </si>
  <si>
    <t>AGROVERDOL X 500 ML</t>
  </si>
  <si>
    <t>IN-1410</t>
  </si>
  <si>
    <t>AGROVERDOL X GALON</t>
  </si>
  <si>
    <t>IN-141</t>
  </si>
  <si>
    <t>AGROVERDOL X LITRO</t>
  </si>
  <si>
    <t>G-003</t>
  </si>
  <si>
    <t>ALG - VIRABLOCK X LITRO</t>
  </si>
  <si>
    <t>F-021</t>
  </si>
  <si>
    <t>ALGAENZIM X LITRO</t>
  </si>
  <si>
    <t>G-001</t>
  </si>
  <si>
    <t>ALGAENZIMES CANECA</t>
  </si>
  <si>
    <t>QUIM-011</t>
  </si>
  <si>
    <t>ANIQUILADOR X 100 ML</t>
  </si>
  <si>
    <t>QU-012</t>
  </si>
  <si>
    <t>ANIQUILADOR X 250 ML</t>
  </si>
  <si>
    <t>QU-013</t>
  </si>
  <si>
    <t>ANIQUILADOR X 500 ML</t>
  </si>
  <si>
    <t>QUIM-010</t>
  </si>
  <si>
    <t>ANIQUILADOR X LITRO</t>
  </si>
  <si>
    <t>PT-008</t>
  </si>
  <si>
    <t>ASTUTO X 500 ML</t>
  </si>
  <si>
    <t>IN-48</t>
  </si>
  <si>
    <t>ASTUTO X LITRO</t>
  </si>
  <si>
    <t>MP-026</t>
  </si>
  <si>
    <t>BENALAXIL 8% + MANCOZEB 65 % WP 250 GR</t>
  </si>
  <si>
    <t>MP-025</t>
  </si>
  <si>
    <t>BENALAXIL 8% + MANCOZEB 65 % WP 500 GR</t>
  </si>
  <si>
    <t>MP-370</t>
  </si>
  <si>
    <t>BENALAXYL + MANCOZEB BLUE X 25 KILOS</t>
  </si>
  <si>
    <t>MP-0056</t>
  </si>
  <si>
    <t>BISPIRIBAC SODIO 40%</t>
  </si>
  <si>
    <t>IN-0012</t>
  </si>
  <si>
    <t>BUCANER X 250 ML</t>
  </si>
  <si>
    <t>IN-0014</t>
  </si>
  <si>
    <t>BUCANER X 500 ML</t>
  </si>
  <si>
    <t>IN-0011</t>
  </si>
  <si>
    <t>BUCANER X LITRO</t>
  </si>
  <si>
    <t>C-007</t>
  </si>
  <si>
    <t>CAJA 100 ML</t>
  </si>
  <si>
    <t>C-009</t>
  </si>
  <si>
    <t>CAJA 250 ML</t>
  </si>
  <si>
    <t>C-0010</t>
  </si>
  <si>
    <t>CAJA 500 ML</t>
  </si>
  <si>
    <t>CAJA CARTON</t>
  </si>
  <si>
    <t>P-006</t>
  </si>
  <si>
    <t>CAJA COMBO ARROZ TOTAL</t>
  </si>
  <si>
    <t>P-007</t>
  </si>
  <si>
    <t>CAJA COMBO DESARROLLO</t>
  </si>
  <si>
    <t>P-005</t>
  </si>
  <si>
    <t>CAJA COMBO INSECTICIDA</t>
  </si>
  <si>
    <t>P-004</t>
  </si>
  <si>
    <t>CAJA COMBO MASTER ENGROSE</t>
  </si>
  <si>
    <t>P-003</t>
  </si>
  <si>
    <t>CAJA COMBO MASTER INICIAL</t>
  </si>
  <si>
    <t>P-001</t>
  </si>
  <si>
    <t>CAJA COMBO PRO</t>
  </si>
  <si>
    <t>C-008</t>
  </si>
  <si>
    <t>CAJA LITRO</t>
  </si>
  <si>
    <t>MP-020</t>
  </si>
  <si>
    <t>CALCIO 6 %, BORO 3 %</t>
  </si>
  <si>
    <t>MP-037</t>
  </si>
  <si>
    <t>CARBENDAZIM 50 % SC</t>
  </si>
  <si>
    <t>MP-040</t>
  </si>
  <si>
    <t>CARBENDAZIM 50 % WP 100 GR</t>
  </si>
  <si>
    <t>MP-267</t>
  </si>
  <si>
    <t>CARBENDAZIM 50 % WP 25 KILOS</t>
  </si>
  <si>
    <t>MP-039</t>
  </si>
  <si>
    <t>CARBENDAZIM 50 % WP 250 GR</t>
  </si>
  <si>
    <t>MP-038</t>
  </si>
  <si>
    <t>CARBENDAZIM 50 % WP KILO</t>
  </si>
  <si>
    <t>MP-364</t>
  </si>
  <si>
    <t>CARBENDAZIM 50 % WP X 200 GMS</t>
  </si>
  <si>
    <t>MP-072</t>
  </si>
  <si>
    <t>CARTAP 50 % PS 100 GR</t>
  </si>
  <si>
    <t>MP-071</t>
  </si>
  <si>
    <t>CARTAP 50 % PS 300 GR</t>
  </si>
  <si>
    <t>MP-0101</t>
  </si>
  <si>
    <t>CARTON GALON / 250 ML</t>
  </si>
  <si>
    <t>IN-1442</t>
  </si>
  <si>
    <t>CIROMAZINA 50 GRS AGROMAC</t>
  </si>
  <si>
    <t>IN-144</t>
  </si>
  <si>
    <t>CIROMAZINA 50 GRS AGROTA</t>
  </si>
  <si>
    <t>MP-073</t>
  </si>
  <si>
    <t>CIROMAZINA 75 % WP</t>
  </si>
  <si>
    <t>IN-669</t>
  </si>
  <si>
    <t>CIROMAZINA FRONTEAGRO X 250 GRS</t>
  </si>
  <si>
    <t>IN-1441</t>
  </si>
  <si>
    <t>CIROMAZINA FRONTEAGRO X 50 GRS</t>
  </si>
  <si>
    <t>F-0015</t>
  </si>
  <si>
    <t>CITOQMAX X LITRO</t>
  </si>
  <si>
    <t>MP-079</t>
  </si>
  <si>
    <t>CLOFENTAZINE 50 % SC</t>
  </si>
  <si>
    <t>MP-034</t>
  </si>
  <si>
    <t>CLOROTALONIL 72 % SC</t>
  </si>
  <si>
    <t>MP-064</t>
  </si>
  <si>
    <t>DELTAMETRINA 2,5 % EC</t>
  </si>
  <si>
    <t>QUIM-020</t>
  </si>
  <si>
    <t>DEPREDADOR X 100GRMS</t>
  </si>
  <si>
    <t>QUIM-021</t>
  </si>
  <si>
    <t>DEPREDADOR X 300GRMS</t>
  </si>
  <si>
    <t>MP-029</t>
  </si>
  <si>
    <t>DIFENOCONAZOLE 25 % EC</t>
  </si>
  <si>
    <t>MP-403</t>
  </si>
  <si>
    <t>DIFENOCONAZOLE 25 % EC X 20LITR</t>
  </si>
  <si>
    <t>MP-382</t>
  </si>
  <si>
    <t>DIFENOCONAZOLE COEX X LITRO</t>
  </si>
  <si>
    <t>MP-221</t>
  </si>
  <si>
    <t>ENVASE AGROBALA 1/2 LITRO</t>
  </si>
  <si>
    <t>MP-222</t>
  </si>
  <si>
    <t>ENVASE AGROBALA 1/4 LITRO</t>
  </si>
  <si>
    <t>MP-220</t>
  </si>
  <si>
    <t>ENVASE AGROBALA LITRO</t>
  </si>
  <si>
    <t>P-008</t>
  </si>
  <si>
    <t>ENVASE AGROBALA VERDE X 500 ML</t>
  </si>
  <si>
    <t>MP-219</t>
  </si>
  <si>
    <t>ENVASE AGROGALON</t>
  </si>
  <si>
    <t>MP-315</t>
  </si>
  <si>
    <t>ENVASE AGROTAFOL DESARROLLO X KILO PREIM</t>
  </si>
  <si>
    <t>MP-316</t>
  </si>
  <si>
    <t>ENVASE AGROTAFOL ENGROSE X KILO PREIMPRE</t>
  </si>
  <si>
    <t>MP-292</t>
  </si>
  <si>
    <t>ENVASE COEX X LITRO</t>
  </si>
  <si>
    <t>MP-223</t>
  </si>
  <si>
    <t>ENVASE FARMACEUTICO 120 ML</t>
  </si>
  <si>
    <t>MP-224</t>
  </si>
  <si>
    <t>ENVASE FARMACEUTICO 60 ML</t>
  </si>
  <si>
    <t>MP-225</t>
  </si>
  <si>
    <t>ENVASE PARAGUAS PREIMPRESA</t>
  </si>
  <si>
    <t>MP-218</t>
  </si>
  <si>
    <t>ENVASE PET 250 ML</t>
  </si>
  <si>
    <t>MP-217</t>
  </si>
  <si>
    <t>ENVASE PET 500 ML</t>
  </si>
  <si>
    <t>MP-216</t>
  </si>
  <si>
    <t>ENVASE PET LITRO</t>
  </si>
  <si>
    <t>MP-459</t>
  </si>
  <si>
    <t>ENVASE PREIMPRESO AGROTAFOL COMBI X 200</t>
  </si>
  <si>
    <t>MP-361</t>
  </si>
  <si>
    <t>ENVASE PREIMPRESO PARALANCHA 250/500 G</t>
  </si>
  <si>
    <t>MP-249</t>
  </si>
  <si>
    <t>ENVASE PREIMPRESO SKEKURA WP X 100 GMS</t>
  </si>
  <si>
    <t>MP-265</t>
  </si>
  <si>
    <t>ENVASE SINOPRID X 100 GMS PREIMPRESA</t>
  </si>
  <si>
    <t>MP-310</t>
  </si>
  <si>
    <t>ENVASE SINOTYL X 100 GMS PREIMPRESO</t>
  </si>
  <si>
    <t>MP-283</t>
  </si>
  <si>
    <t>ENVASE X CANECA 20 LITROS</t>
  </si>
  <si>
    <t>MP-268</t>
  </si>
  <si>
    <t>ETIQUETA AGROTAFIX X 100 ML</t>
  </si>
  <si>
    <t>MP-187</t>
  </si>
  <si>
    <t>ETIQUETA AGROTAFIX X 250 ML</t>
  </si>
  <si>
    <t>MP-186</t>
  </si>
  <si>
    <t>ETIQUETA AGROTAFIX X LITRO</t>
  </si>
  <si>
    <t>MP-109</t>
  </si>
  <si>
    <t>ETIQUETA AGROTAFOL BORO X 250 ML</t>
  </si>
  <si>
    <t>MP-108</t>
  </si>
  <si>
    <t>ETIQUETA AGROTAFOL BORO X 500 ML</t>
  </si>
  <si>
    <t>MP-106</t>
  </si>
  <si>
    <t>ETIQUETA AGROTAFOL BORO X GALON</t>
  </si>
  <si>
    <t>MP-107</t>
  </si>
  <si>
    <t>ETIQUETA AGROTAFOL BORO X LITRO</t>
  </si>
  <si>
    <t>MP-083</t>
  </si>
  <si>
    <t>ETIQUETA AGROTAFOL FLORACION X KILO</t>
  </si>
  <si>
    <t>MP-098</t>
  </si>
  <si>
    <t>ETIQUETA AGROTAFOL FOSFITO X 500 ML</t>
  </si>
  <si>
    <t>MP-097</t>
  </si>
  <si>
    <t>ETIQUETA AGROTAFOL FOSFITO X LITRO</t>
  </si>
  <si>
    <t>MP-084</t>
  </si>
  <si>
    <t>ETIQUETA AGROTAFOL INICIAL X KILO</t>
  </si>
  <si>
    <t>MP-100</t>
  </si>
  <si>
    <t>ETIQUETA AGROTAFOL K PLUS X LITRO</t>
  </si>
  <si>
    <t>MP-089</t>
  </si>
  <si>
    <t>ETIQUETA AGROTAFOL SUPER X KILO</t>
  </si>
  <si>
    <t>MP-104</t>
  </si>
  <si>
    <t>ETIQUETA AGROTAFOL ZINC X 500 ML</t>
  </si>
  <si>
    <t>MP-105</t>
  </si>
  <si>
    <t>ETIQUETA AGROTAFOL ZINC X GALON</t>
  </si>
  <si>
    <t>MP-103</t>
  </si>
  <si>
    <t>ETIQUETA AGROTAFOL ZINC X LITRO</t>
  </si>
  <si>
    <t>MP-295</t>
  </si>
  <si>
    <t>MP-0632</t>
  </si>
  <si>
    <t>ETIQUETA AGROTAZOLE X LITRO</t>
  </si>
  <si>
    <t>MP-273</t>
  </si>
  <si>
    <t>ETIQUETA AGROVERDOL X 500 ML</t>
  </si>
  <si>
    <t>MP-285</t>
  </si>
  <si>
    <t>ETIQUETA AGROVERDOL X LITRO</t>
  </si>
  <si>
    <t>MP-191</t>
  </si>
  <si>
    <t>ETIQUETA ANIQUILADOR X 100 ML</t>
  </si>
  <si>
    <t>MP-393</t>
  </si>
  <si>
    <t>ETIQUETA ANIQUILADOR X 250 ML</t>
  </si>
  <si>
    <t>MP-394</t>
  </si>
  <si>
    <t>ETIQUETA ANIQUILADOR X 500 ML</t>
  </si>
  <si>
    <t>MP-190</t>
  </si>
  <si>
    <t>ETIQUETA ANIQUILADOR X LITRO</t>
  </si>
  <si>
    <t>MP-350</t>
  </si>
  <si>
    <t>ETIQUETA BIOBAN LITRO GALON 5 GAL</t>
  </si>
  <si>
    <t>MP-164</t>
  </si>
  <si>
    <t>ETIQUETA BUCANER X 250 ML</t>
  </si>
  <si>
    <t>MP-163</t>
  </si>
  <si>
    <t>ETIQUETA BUCANER X 500 ML</t>
  </si>
  <si>
    <t>MP-162</t>
  </si>
  <si>
    <t>ETIQUETA BUCANER X LITRO</t>
  </si>
  <si>
    <t>MP-2891</t>
  </si>
  <si>
    <t>ETIQUETA CIROMAZINA  50 GRS AGROMAC ( DE</t>
  </si>
  <si>
    <t>MP-388</t>
  </si>
  <si>
    <t>ETIQUETA CIROMAZINA 50 GRS POST (AGROTA)</t>
  </si>
  <si>
    <t>MP-389</t>
  </si>
  <si>
    <t>ETIQUETA CIROMAZINA 50 GRS POST (F.A)</t>
  </si>
  <si>
    <t>MP-387</t>
  </si>
  <si>
    <t>ETIQUETA CIROMAZINA X 50 GMS  DEL (AGROT</t>
  </si>
  <si>
    <t>MP-289</t>
  </si>
  <si>
    <t>ETIQUETA CIROMAZINA X 50 GMS DEL  (F. A.</t>
  </si>
  <si>
    <t>MP-284</t>
  </si>
  <si>
    <t>ETIQUETA CITOQMAX X LITRO</t>
  </si>
  <si>
    <t>MP-207</t>
  </si>
  <si>
    <t>ETIQUETA DEPREDADOR X 100 GRS</t>
  </si>
  <si>
    <t>MP-206</t>
  </si>
  <si>
    <t>ETIQUETA DEPREDADOR X 300 GRS</t>
  </si>
  <si>
    <t>MP-353</t>
  </si>
  <si>
    <t>ETIQUETA ESTAMPIDA ORGANICO X LITRO</t>
  </si>
  <si>
    <t>MP-321</t>
  </si>
  <si>
    <t>ETIQUETA FERTILIFE PLUS X 250 ML</t>
  </si>
  <si>
    <t>MP-325</t>
  </si>
  <si>
    <t>ETIQUETA FERTILIFE PLUS X 500 ML</t>
  </si>
  <si>
    <t>MP-319</t>
  </si>
  <si>
    <t>ETIQUETA FERTILIFE X LITRO</t>
  </si>
  <si>
    <t>MP-208</t>
  </si>
  <si>
    <t>ETIQUETA FULMINANTE  X 50 GRS / DELANTER</t>
  </si>
  <si>
    <t>MP-26</t>
  </si>
  <si>
    <t>ETIQUETA FULMINANTE X 50 GMS / TRASERA</t>
  </si>
  <si>
    <t>MP-166</t>
  </si>
  <si>
    <t>ETIQUETA GLIFOSATO X 20 LITROS</t>
  </si>
  <si>
    <t>MP-167</t>
  </si>
  <si>
    <t>ETIQUETA GLIFOSATO X GALON</t>
  </si>
  <si>
    <t>MP-168</t>
  </si>
  <si>
    <t>ETIQUETA GLIFOSATO X LITRO</t>
  </si>
  <si>
    <t>MP-391</t>
  </si>
  <si>
    <t>ETIQUETA IMPULMAX X 250 ML</t>
  </si>
  <si>
    <t>MP-390</t>
  </si>
  <si>
    <t>ETIQUETA IMPULMAX X LITRO</t>
  </si>
  <si>
    <t>MP-182</t>
  </si>
  <si>
    <t>ETIQUETA KEMADOR X 20 LITROS</t>
  </si>
  <si>
    <t>MP-181</t>
  </si>
  <si>
    <t>MP-180</t>
  </si>
  <si>
    <t>ETIQUETA KEMADOR X LITRO</t>
  </si>
  <si>
    <t>MP-144</t>
  </si>
  <si>
    <t>ETIQUETA LACURA X 250 ML</t>
  </si>
  <si>
    <t>MP-145</t>
  </si>
  <si>
    <t>ETIQUETA LACURA X 500 ML</t>
  </si>
  <si>
    <t>MP-143</t>
  </si>
  <si>
    <t>ETIQUETA LACURA X LITRO</t>
  </si>
  <si>
    <t>MP-125</t>
  </si>
  <si>
    <t>ETIQUETA LETAL X 100 ML</t>
  </si>
  <si>
    <t>MP-124</t>
  </si>
  <si>
    <t>ETIQUETA LETAL X 250 ML</t>
  </si>
  <si>
    <t>MP-123</t>
  </si>
  <si>
    <t>ETIQUETA LETAL X 500 ML</t>
  </si>
  <si>
    <t>MP-241</t>
  </si>
  <si>
    <t>ETIQUETA MOSKAFIN X 100 GMS</t>
  </si>
  <si>
    <t>MP-114</t>
  </si>
  <si>
    <t>ETIQUETA ORGANIC POWER X 250 ML</t>
  </si>
  <si>
    <t>MP-248</t>
  </si>
  <si>
    <t>ETIQUETA ORGANIC POWER X 500 ML</t>
  </si>
  <si>
    <t>MP-113</t>
  </si>
  <si>
    <t>ETIQUETA ORGANIC POWER X LITRO</t>
  </si>
  <si>
    <t>MP-318</t>
  </si>
  <si>
    <t>ETIQUETA QUITA PLAGA X 100 ML</t>
  </si>
  <si>
    <t>MP-322</t>
  </si>
  <si>
    <t>ETIQUETA QUITA PLAGA X 250 ML</t>
  </si>
  <si>
    <t>MP-317</t>
  </si>
  <si>
    <t>ETIQUETA QUITA PLAGA X 500 ML</t>
  </si>
  <si>
    <t>MP-320</t>
  </si>
  <si>
    <t>ETIQUETA QUITA PLAGA X LITRO</t>
  </si>
  <si>
    <t>MP-395</t>
  </si>
  <si>
    <t>ETIQUETA RAIZ FORTE G X KILO</t>
  </si>
  <si>
    <t>MP-261</t>
  </si>
  <si>
    <t>ETIQUETA RAIZ FORTE X LITRO</t>
  </si>
  <si>
    <t>MP-135</t>
  </si>
  <si>
    <t>ETIQUETA SCOBA X 100 ML</t>
  </si>
  <si>
    <t>MP-134</t>
  </si>
  <si>
    <t>ETIQUETA SCOBA X 250 ML</t>
  </si>
  <si>
    <t>MP-136</t>
  </si>
  <si>
    <t>ETIQUETA SCOBA X 50 ML</t>
  </si>
  <si>
    <t>MP-133</t>
  </si>
  <si>
    <t>ETIQUETA SCOBA X LITRO</t>
  </si>
  <si>
    <t>MP-254</t>
  </si>
  <si>
    <t>MP-246</t>
  </si>
  <si>
    <t>ETIQUETA SINOPRID X 500 GMS / DELANTERA</t>
  </si>
  <si>
    <t>MP-141</t>
  </si>
  <si>
    <t>ETIQUETA SINOTYL X 500 GRS - DELANTERA</t>
  </si>
  <si>
    <t>MP-140</t>
  </si>
  <si>
    <t>ETIQUETA SINOTYL X KILO</t>
  </si>
  <si>
    <t>MP-122</t>
  </si>
  <si>
    <t>ETIQUETA SINOZOX X 100 ML</t>
  </si>
  <si>
    <t>MP-121</t>
  </si>
  <si>
    <t>ETIQUETA SINOZOX X 500 ML</t>
  </si>
  <si>
    <t>MP-150</t>
  </si>
  <si>
    <t>ETIQUETA SKEKURA X 100 ML</t>
  </si>
  <si>
    <t>MP-279</t>
  </si>
  <si>
    <t>ETIQUETA SKEKURA X 200 GMS</t>
  </si>
  <si>
    <t>MP-363</t>
  </si>
  <si>
    <t>ETIQUETA SKEKURA X 500 ML</t>
  </si>
  <si>
    <t>MP-151</t>
  </si>
  <si>
    <t>ETIQUETA SKEKURA X KILO</t>
  </si>
  <si>
    <t>MP-148</t>
  </si>
  <si>
    <t>ETIQUETA SKEKURA X LITRO</t>
  </si>
  <si>
    <t>MP-149</t>
  </si>
  <si>
    <t>ETIQUETA SKEKURA X250 ML</t>
  </si>
  <si>
    <t>MP-211</t>
  </si>
  <si>
    <t>ETIQUETA SKEMATA X 100 ML</t>
  </si>
  <si>
    <t>MP-212</t>
  </si>
  <si>
    <t>ETIQUETA SKEMATA X 250 ML</t>
  </si>
  <si>
    <t>MP-213</t>
  </si>
  <si>
    <t>ETIQUETA SKEMATA X 500 ML</t>
  </si>
  <si>
    <t>MP-214</t>
  </si>
  <si>
    <t>ETIQUETA SKEMATA X LITRO</t>
  </si>
  <si>
    <t>MP-0176</t>
  </si>
  <si>
    <t>ETIQUETA TOKAL 400 X 100 ML</t>
  </si>
  <si>
    <t>MP-400</t>
  </si>
  <si>
    <t>ETIQUETA TOKAL 400 X 500ML</t>
  </si>
  <si>
    <t>MP-392</t>
  </si>
  <si>
    <t>ETIQUETA UREUM LITRO-GALON-20 L</t>
  </si>
  <si>
    <t>MP-352</t>
  </si>
  <si>
    <t>ETIQUETA VIRAFIN X 250 ML</t>
  </si>
  <si>
    <t>MP-351</t>
  </si>
  <si>
    <t>ETIQUETA VIRAFIN X LITRO</t>
  </si>
  <si>
    <t>MP-255</t>
  </si>
  <si>
    <t>ETIQUETA YOGA X 100 ML</t>
  </si>
  <si>
    <t>MP-251</t>
  </si>
  <si>
    <t>ETIQUETA YOGA X LITRO</t>
  </si>
  <si>
    <t>G-002</t>
  </si>
  <si>
    <t>EZCOBA OR X LITRO</t>
  </si>
  <si>
    <t>PT-005</t>
  </si>
  <si>
    <t>FERTILIFE PLUS X 250 ML</t>
  </si>
  <si>
    <t>PT-007</t>
  </si>
  <si>
    <t>FERTILIFE PLUS X 500 ML</t>
  </si>
  <si>
    <t>PT-003</t>
  </si>
  <si>
    <t>FERTILIFE X LITRO</t>
  </si>
  <si>
    <t>MP-033</t>
  </si>
  <si>
    <t>FOSETYL ALUMINIO 80 % WP 100 GR</t>
  </si>
  <si>
    <t>MP-313</t>
  </si>
  <si>
    <t>FOSETYL ALUMINIO 80% X 25 KILOS</t>
  </si>
  <si>
    <t>MP-015</t>
  </si>
  <si>
    <t>FOSFONATO POTASICO 70 %</t>
  </si>
  <si>
    <t>QUIM-003</t>
  </si>
  <si>
    <t>FULMINANTE X 50 GRMS</t>
  </si>
  <si>
    <t>MP-049</t>
  </si>
  <si>
    <t>GLIFOSATO 48 % SC 20 LT</t>
  </si>
  <si>
    <t>MP-048</t>
  </si>
  <si>
    <t>GLIFOSATO 48 % SC 200 LT</t>
  </si>
  <si>
    <t>IN-066</t>
  </si>
  <si>
    <t>IN-065</t>
  </si>
  <si>
    <t>GLIFOSATO X 200 LITROS</t>
  </si>
  <si>
    <t>IN-045</t>
  </si>
  <si>
    <t>GLIFOSATO X GALON</t>
  </si>
  <si>
    <t>INT-006</t>
  </si>
  <si>
    <t>GLIFOSATO X LITRO</t>
  </si>
  <si>
    <t>MP-023</t>
  </si>
  <si>
    <t>HEXYTHIAZOX 5 % EC</t>
  </si>
  <si>
    <t>MP-075</t>
  </si>
  <si>
    <t>IMIDACLOPRID 25 % WP 100 GR</t>
  </si>
  <si>
    <t>MP-323</t>
  </si>
  <si>
    <t>IMIDACLOPRID 25 % WP 50 GMS</t>
  </si>
  <si>
    <t>MP-074</t>
  </si>
  <si>
    <t>IMIDACLOPRID 25 % WP 500 GR</t>
  </si>
  <si>
    <t>F-011</t>
  </si>
  <si>
    <t>IMPULMAX X 250 ML</t>
  </si>
  <si>
    <t>F-005</t>
  </si>
  <si>
    <t>IMPULMAX X LITRO</t>
  </si>
  <si>
    <t>IN-123</t>
  </si>
  <si>
    <t>KEMADOR X 20 LITROS</t>
  </si>
  <si>
    <t>IN-102</t>
  </si>
  <si>
    <t>KEMADOR X GALON</t>
  </si>
  <si>
    <t>IN-81</t>
  </si>
  <si>
    <t>KEMADOR X LITRO</t>
  </si>
  <si>
    <t>IN-00103</t>
  </si>
  <si>
    <t>IN-0016</t>
  </si>
  <si>
    <t>LACURA X 500 ML</t>
  </si>
  <si>
    <t>01-00102</t>
  </si>
  <si>
    <t>LACURA X LITRO</t>
  </si>
  <si>
    <t>MP-076</t>
  </si>
  <si>
    <t>LAMBDA CYHALOTRINA 2,5 % EC</t>
  </si>
  <si>
    <t>IN-133</t>
  </si>
  <si>
    <t>LAMBDA X 250 ML</t>
  </si>
  <si>
    <t>IN-132</t>
  </si>
  <si>
    <t>LAMBDA X 500 ML</t>
  </si>
  <si>
    <t>IN-131</t>
  </si>
  <si>
    <t>LAMBDA X LITRO</t>
  </si>
  <si>
    <t>MP-374</t>
  </si>
  <si>
    <t>LAMBDACIHALOTRINA 2,5% EC X 100 ML</t>
  </si>
  <si>
    <t>MP-373</t>
  </si>
  <si>
    <t>LAMBDACIHALOTRINA 2,5% EC X 250 ML</t>
  </si>
  <si>
    <t>MP-372</t>
  </si>
  <si>
    <t>LAMBDACIHALOTRINA 2,5% EC X LITRO</t>
  </si>
  <si>
    <t>IN-134</t>
  </si>
  <si>
    <t>LAMBDAX 100 ML</t>
  </si>
  <si>
    <t>QUIM-018</t>
  </si>
  <si>
    <t>LETAL X 100 CC</t>
  </si>
  <si>
    <t>QUIM-002</t>
  </si>
  <si>
    <t>LETAL X 250CC</t>
  </si>
  <si>
    <t>QUIM-001</t>
  </si>
  <si>
    <t>LETAL X 500CC</t>
  </si>
  <si>
    <t>MP-358</t>
  </si>
  <si>
    <t>METSULFURON METYL 60%</t>
  </si>
  <si>
    <t>MP - 063</t>
  </si>
  <si>
    <t>MICROELEMENTOS SOLUBLES + AMINOACIDOS</t>
  </si>
  <si>
    <t>MP - 269</t>
  </si>
  <si>
    <t>MICROELEMENTOS SOLUBLES + AMINOACIDOS X</t>
  </si>
  <si>
    <t>AM-001</t>
  </si>
  <si>
    <t>MOSKAFIN X 100 GRAMOS</t>
  </si>
  <si>
    <t>MP-024</t>
  </si>
  <si>
    <t>MYCLOBUTANYL 12,5 % EC</t>
  </si>
  <si>
    <t>IN-362</t>
  </si>
  <si>
    <t>ORGANIC POWER X 250 ML</t>
  </si>
  <si>
    <t>IN-127</t>
  </si>
  <si>
    <t>ORGANIC POWER X 500 ML</t>
  </si>
  <si>
    <t>IN-55</t>
  </si>
  <si>
    <t>ORGANIC POWER X GALON</t>
  </si>
  <si>
    <t>OT-693</t>
  </si>
  <si>
    <t>ORGANIC POWER X LITRO</t>
  </si>
  <si>
    <t>MP - 064</t>
  </si>
  <si>
    <t>MP-017</t>
  </si>
  <si>
    <t>OXIDO DE POTASIO 40 % QUELATADO</t>
  </si>
  <si>
    <t>IN-0019</t>
  </si>
  <si>
    <t>PARAGUAS X 500 GMS</t>
  </si>
  <si>
    <t>IN-375</t>
  </si>
  <si>
    <t>PARALANCHA BLUE X 250 GRS</t>
  </si>
  <si>
    <t>IN-378</t>
  </si>
  <si>
    <t>PARALANCHA BLUE X 500 GRS</t>
  </si>
  <si>
    <t>QUIM-023</t>
  </si>
  <si>
    <t>PARALANCHA X 250GRMS</t>
  </si>
  <si>
    <t>QUIM-022</t>
  </si>
  <si>
    <t>PARALANCHA X 500GRMS</t>
  </si>
  <si>
    <t>MP-059</t>
  </si>
  <si>
    <t>PARAQUAT 24 % SC 20 LT</t>
  </si>
  <si>
    <t>MP-058</t>
  </si>
  <si>
    <t>PARAQUAT 24 % SC 200 LT</t>
  </si>
  <si>
    <t>G-004</t>
  </si>
  <si>
    <t>PROLIFIC PLUS X LITRO</t>
  </si>
  <si>
    <t>MP-259</t>
  </si>
  <si>
    <t>MP-041</t>
  </si>
  <si>
    <t>PROPINEB 70 % + CIMOXANIL 6 %</t>
  </si>
  <si>
    <t>MP-019</t>
  </si>
  <si>
    <t>QUELATO DE ZN + AZUFRE + AC. HUMICOS</t>
  </si>
  <si>
    <t>PT-268</t>
  </si>
  <si>
    <t>QUITA LATEX X GALON</t>
  </si>
  <si>
    <t>PT-002</t>
  </si>
  <si>
    <t>QUITA PLAGA X 100 ML</t>
  </si>
  <si>
    <t>PT-006</t>
  </si>
  <si>
    <t>QUITA PLAGA X 250 ML</t>
  </si>
  <si>
    <t>PT-001</t>
  </si>
  <si>
    <t>QUITA PLAGA X 500 ML</t>
  </si>
  <si>
    <t>PT-004</t>
  </si>
  <si>
    <t>QUITA PLAGA X LITRO</t>
  </si>
  <si>
    <t>F-018</t>
  </si>
  <si>
    <t>RAIZ FORTE G X KILO</t>
  </si>
  <si>
    <t>PT-019</t>
  </si>
  <si>
    <t>RAIZ FORTE X GALON</t>
  </si>
  <si>
    <t>IN - 127</t>
  </si>
  <si>
    <t>RAIZ FORTE X LITRO</t>
  </si>
  <si>
    <t>INT-009</t>
  </si>
  <si>
    <t>SARGENT X 250 CC</t>
  </si>
  <si>
    <t>INT-011</t>
  </si>
  <si>
    <t>SARGENT X LITRO</t>
  </si>
  <si>
    <t>IN-040</t>
  </si>
  <si>
    <t>SCOBA COEX X LITRO</t>
  </si>
  <si>
    <t>IN-036</t>
  </si>
  <si>
    <t>SCOBA X 100 CC</t>
  </si>
  <si>
    <t>IN-037</t>
  </si>
  <si>
    <t>SCOBA X 250CC</t>
  </si>
  <si>
    <t>IN-035</t>
  </si>
  <si>
    <t>PT-018</t>
  </si>
  <si>
    <t>SCOBA X CANECA 20 LITROS</t>
  </si>
  <si>
    <t>IN-380</t>
  </si>
  <si>
    <t>SCOBA X LITRO</t>
  </si>
  <si>
    <t>QUIM-008</t>
  </si>
  <si>
    <t>SINOPRID X 100 GRMS.</t>
  </si>
  <si>
    <t>PT-012</t>
  </si>
  <si>
    <t>SINOPRID X 50 GMS</t>
  </si>
  <si>
    <t>QUIM-007</t>
  </si>
  <si>
    <t>SINOPRID X 500 GRMS</t>
  </si>
  <si>
    <t>INT-010</t>
  </si>
  <si>
    <t>SINOTYL X 100 GRS</t>
  </si>
  <si>
    <t>QUIM-004</t>
  </si>
  <si>
    <t>SINOTYL X 500 GRS</t>
  </si>
  <si>
    <t>QUIM-005</t>
  </si>
  <si>
    <t>SINOTYL X KILO</t>
  </si>
  <si>
    <t>QUIM-019</t>
  </si>
  <si>
    <t>SINOZOX X 100 ML</t>
  </si>
  <si>
    <t>QUIM-024</t>
  </si>
  <si>
    <t>SINOZOX X 500 ML</t>
  </si>
  <si>
    <t>IN-033</t>
  </si>
  <si>
    <t>SKEKURA WP X 100 GRMS</t>
  </si>
  <si>
    <t>IN-352</t>
  </si>
  <si>
    <t>SKEKURA WP X 200 GRAMOS</t>
  </si>
  <si>
    <t>IN-031</t>
  </si>
  <si>
    <t>SKEKURA WP X KILO</t>
  </si>
  <si>
    <t>IN-128</t>
  </si>
  <si>
    <t>SKEKURA X 100 ML</t>
  </si>
  <si>
    <t>IN-039</t>
  </si>
  <si>
    <t>SKEKURA X 250CC</t>
  </si>
  <si>
    <t>IN-086</t>
  </si>
  <si>
    <t>SKEKURA X 500CC</t>
  </si>
  <si>
    <t>IN-038</t>
  </si>
  <si>
    <t>SKEKURA X LITRO</t>
  </si>
  <si>
    <t>QUIM-016</t>
  </si>
  <si>
    <t>SKEMATA X 100 ML</t>
  </si>
  <si>
    <t>QUIM-015</t>
  </si>
  <si>
    <t>SKEMATA X 250 ML</t>
  </si>
  <si>
    <t>QUIM-014</t>
  </si>
  <si>
    <t>SKEMATA X 500 ML</t>
  </si>
  <si>
    <t>QUIM-013</t>
  </si>
  <si>
    <t>SKEMATA X LITRO</t>
  </si>
  <si>
    <t>MP-047</t>
  </si>
  <si>
    <t>SULFATO DE COBRE 24 %</t>
  </si>
  <si>
    <t>MP-062</t>
  </si>
  <si>
    <t>TENSOACTIVO HUMECTANTE</t>
  </si>
  <si>
    <t>IN-00126</t>
  </si>
  <si>
    <t>TOKAL 400 X 100 ML</t>
  </si>
  <si>
    <t>IN-000127</t>
  </si>
  <si>
    <t>TOKAL 400 X 500 ML</t>
  </si>
  <si>
    <t>INT-002</t>
  </si>
  <si>
    <t>TROMBA X 500 GRS</t>
  </si>
  <si>
    <t>MP-407</t>
  </si>
  <si>
    <t>UREFOL X CANECA 20L</t>
  </si>
  <si>
    <t>MP-408</t>
  </si>
  <si>
    <t>UREFOL X GALON 4L</t>
  </si>
  <si>
    <t>MP-409</t>
  </si>
  <si>
    <t>UREFOL X LITRO</t>
  </si>
  <si>
    <t>F-007</t>
  </si>
  <si>
    <t>UREUM X 20 LITROS</t>
  </si>
  <si>
    <t>F-014</t>
  </si>
  <si>
    <t>UREUM X GALON</t>
  </si>
  <si>
    <t>F-013</t>
  </si>
  <si>
    <t>UREUM X LITRO</t>
  </si>
  <si>
    <t>IN-130</t>
  </si>
  <si>
    <t>YOGA X 100 ML</t>
  </si>
  <si>
    <t>IN-129</t>
  </si>
  <si>
    <t>YOGA X LT</t>
  </si>
  <si>
    <t>IN-358</t>
  </si>
  <si>
    <t>ZULLY 60</t>
  </si>
  <si>
    <t>500 GR</t>
  </si>
  <si>
    <t>KILO</t>
  </si>
  <si>
    <t>500 ML</t>
  </si>
  <si>
    <t>20 LT</t>
  </si>
  <si>
    <t>200 LT</t>
  </si>
  <si>
    <t>LITRO</t>
  </si>
  <si>
    <t>100 ML</t>
  </si>
  <si>
    <t>200L</t>
  </si>
  <si>
    <t>250 ML</t>
  </si>
  <si>
    <t>5 GAL</t>
  </si>
  <si>
    <t>GALON</t>
  </si>
  <si>
    <t>ML</t>
  </si>
  <si>
    <t>GRAMOS</t>
  </si>
  <si>
    <t>LITROS</t>
  </si>
  <si>
    <t>GL.</t>
  </si>
  <si>
    <t>200 GR</t>
  </si>
  <si>
    <t>CANECA</t>
  </si>
  <si>
    <t>20 LIT</t>
  </si>
  <si>
    <t>UNID</t>
  </si>
  <si>
    <t>250 GR</t>
  </si>
  <si>
    <t>25 KIL</t>
  </si>
  <si>
    <t>100 GR</t>
  </si>
  <si>
    <t>300 GR</t>
  </si>
  <si>
    <t>50 GRS</t>
  </si>
  <si>
    <t>50 GR</t>
  </si>
  <si>
    <t>UNIDA</t>
  </si>
  <si>
    <t>1</t>
  </si>
  <si>
    <t/>
  </si>
  <si>
    <t>200LT</t>
  </si>
  <si>
    <t>FUNDA</t>
  </si>
  <si>
    <t>100GR</t>
  </si>
  <si>
    <t>FRASCO</t>
  </si>
  <si>
    <t>15 GRS</t>
  </si>
  <si>
    <t>25 KL</t>
  </si>
  <si>
    <t>UNDAD</t>
  </si>
  <si>
    <t>200 L</t>
  </si>
  <si>
    <t>NUTRICION</t>
  </si>
  <si>
    <t>HERBICIDAS</t>
  </si>
  <si>
    <t>INSECTICIDAS</t>
  </si>
  <si>
    <t>ENVASES</t>
  </si>
  <si>
    <t>INDUSTRIAL</t>
  </si>
  <si>
    <t>FUNGICIDAS</t>
  </si>
  <si>
    <t>INTEROC</t>
  </si>
  <si>
    <t>A</t>
  </si>
  <si>
    <t>AGROCHEM</t>
  </si>
  <si>
    <t>ETIQUETAS</t>
  </si>
  <si>
    <t>MATERIA PRIMA AGROCHEM</t>
  </si>
  <si>
    <t>MATERIA PRIMA</t>
  </si>
  <si>
    <t>SINOCHEM NINGBO LTD.</t>
  </si>
  <si>
    <t>MATERIA PRIMA SINOCHEM</t>
  </si>
  <si>
    <t>ESTADO</t>
  </si>
  <si>
    <t xml:space="preserve">INACTIVO </t>
  </si>
  <si>
    <t xml:space="preserve">ESTADO </t>
  </si>
  <si>
    <t xml:space="preserve">ACTIVO </t>
  </si>
  <si>
    <t>COMPRA</t>
  </si>
  <si>
    <t xml:space="preserve">MATERIA PRIMA </t>
  </si>
  <si>
    <t xml:space="preserve">AGROCHEM </t>
  </si>
  <si>
    <t>TIPO</t>
  </si>
  <si>
    <t>PRODUCTO TERMINADO</t>
  </si>
  <si>
    <t>G-0010</t>
  </si>
  <si>
    <t>VIRAFIN X LITRO</t>
  </si>
  <si>
    <t>GREEN CORP</t>
  </si>
  <si>
    <t>G-0011</t>
  </si>
  <si>
    <t>VIRAFIN X 250 ML</t>
  </si>
  <si>
    <t>250ML</t>
  </si>
  <si>
    <t>G-0013</t>
  </si>
  <si>
    <t>G-0014</t>
  </si>
  <si>
    <t>G-0015</t>
  </si>
  <si>
    <t>BIOBAM X 100ML</t>
  </si>
  <si>
    <t xml:space="preserve">BIOBAM X GALON </t>
  </si>
  <si>
    <t>BIOBAM X 20LT</t>
  </si>
  <si>
    <t>G-008</t>
  </si>
  <si>
    <t>BIOBAM X LITRO</t>
  </si>
  <si>
    <t>100ML</t>
  </si>
  <si>
    <t>20LT</t>
  </si>
  <si>
    <t>G-0012</t>
  </si>
  <si>
    <t>ESTAMPIDA ORG X LITRO</t>
  </si>
  <si>
    <t>CONSUMO TOTAL</t>
  </si>
  <si>
    <t>CONSUMO TOTAL PROPIO</t>
  </si>
  <si>
    <t>CONSUMO PROMEDIO PROPIO</t>
  </si>
  <si>
    <t xml:space="preserve">CONSUMO TOTAL </t>
  </si>
  <si>
    <t>CONSUMO PROMEDIO</t>
  </si>
  <si>
    <t xml:space="preserve">CONSUMO PROMEDIO </t>
  </si>
  <si>
    <t>CONSUMO TOTAL TODAS</t>
  </si>
  <si>
    <t>CONSUMO PROMEDIO TODAS</t>
  </si>
  <si>
    <t>CONSUMO TOTAL TODAS FÓRMULA</t>
  </si>
  <si>
    <t>CONSUMO PROMEDIO TOTAL</t>
  </si>
  <si>
    <t>BUFFER CALCULADO FÓRMULA</t>
  </si>
  <si>
    <t>BUFFER REAL</t>
  </si>
  <si>
    <t>APROBADO</t>
  </si>
  <si>
    <t>MATERIA PRIMA GREEN CORP</t>
  </si>
  <si>
    <t>BIOBAN X 20LT</t>
  </si>
  <si>
    <t xml:space="preserve">BIOBAN X GALON </t>
  </si>
  <si>
    <t>BIOBAN X LITRO</t>
  </si>
  <si>
    <t>BIOBAN  X 100ML</t>
  </si>
  <si>
    <t>G-006</t>
  </si>
  <si>
    <t>ACTIVO</t>
  </si>
  <si>
    <t xml:space="preserve">BUFFER CALCULADO </t>
  </si>
  <si>
    <t>CREDITO PROVEEDOR</t>
  </si>
  <si>
    <t>TRUPUT UNITARIO</t>
  </si>
  <si>
    <t>TUR</t>
  </si>
  <si>
    <t>CONSUMO ESTIMADO</t>
  </si>
  <si>
    <t>TRUPUT TOTAL ESTIMADO ANUAL</t>
  </si>
  <si>
    <t>INVERSION UNIDADES</t>
  </si>
  <si>
    <t>INVERSION USD</t>
  </si>
  <si>
    <t>VUELTAS</t>
  </si>
  <si>
    <t>BUFFERS GLOBALES</t>
  </si>
  <si>
    <t>INVENTARIO FISICO</t>
  </si>
  <si>
    <t>TRANSITO</t>
  </si>
  <si>
    <t>NUEVO PEDIDO</t>
  </si>
  <si>
    <t>CRÉDITO CLIENTE</t>
  </si>
  <si>
    <t>BUFFER AL COSTO</t>
  </si>
  <si>
    <t>TRUPUD UNITARIO PVP</t>
  </si>
  <si>
    <t>TRUPUD UNTITARIO PVD</t>
  </si>
  <si>
    <t>TIEMPO REPOSICION BUFFERS</t>
  </si>
  <si>
    <t>Compra  Minima</t>
  </si>
  <si>
    <t>CAJA COMBO</t>
  </si>
  <si>
    <t>PREIMPRESO</t>
  </si>
  <si>
    <t>CONSUMO TOTAL VALORES</t>
  </si>
  <si>
    <t>CONSUMO TOTAL V</t>
  </si>
  <si>
    <t>CONSUMO TOTAL PRO VALO</t>
  </si>
  <si>
    <t>TRANSFERENCIAS A CENTRAL</t>
  </si>
  <si>
    <t>TRANSFERENCIAS DE CENTRAL</t>
  </si>
  <si>
    <t>C-SD</t>
  </si>
  <si>
    <t>SD-C</t>
  </si>
  <si>
    <t>ETIQUETA SINOPRID X 50 GMS / DELANTERA</t>
  </si>
  <si>
    <t>BSK 100 X 200 LITROS</t>
  </si>
  <si>
    <t>ETIQUETA KEMADOR LT/GL/ 5GL</t>
  </si>
  <si>
    <t>COMPRA MINIMA</t>
  </si>
  <si>
    <t>M.P  A PEDIR</t>
  </si>
  <si>
    <t>Pedido Promedio</t>
  </si>
  <si>
    <t>LOCAL</t>
  </si>
  <si>
    <t>PROVEEDOR</t>
  </si>
  <si>
    <t>NEDERAGRO</t>
  </si>
  <si>
    <t>GLOBAL ORGANIS</t>
  </si>
  <si>
    <t>AGARISMAL</t>
  </si>
  <si>
    <t>VINDELPO</t>
  </si>
  <si>
    <t>GRAFICAS HERNANDEZ</t>
  </si>
  <si>
    <t>LATIENVASES</t>
  </si>
  <si>
    <t>TECNOPLAST</t>
  </si>
  <si>
    <t>DVA</t>
  </si>
  <si>
    <t>NEYPLEX</t>
  </si>
  <si>
    <t>ENDIPACK</t>
  </si>
  <si>
    <t>SINOCHEM</t>
  </si>
  <si>
    <t>TRANSITO LOCAL</t>
  </si>
  <si>
    <t>PROFICOL</t>
  </si>
  <si>
    <t>QUIMASOC</t>
  </si>
  <si>
    <t xml:space="preserve">INVENTARIO FISICO </t>
  </si>
  <si>
    <t>A PEDIR</t>
  </si>
  <si>
    <t>CLIENTES</t>
  </si>
  <si>
    <t>IN-95</t>
  </si>
  <si>
    <t>ENGEO X LITRO</t>
  </si>
  <si>
    <t>AGROMUNDO S. C.</t>
  </si>
  <si>
    <t>BUFFER REAL CONSIGNACIONES</t>
  </si>
  <si>
    <t>INVENTARIO FISICO CONSIGNACIONES</t>
  </si>
  <si>
    <t>MONCAYO LOPEZ MARCIA</t>
  </si>
  <si>
    <t>HELM</t>
  </si>
  <si>
    <t>codigo</t>
  </si>
  <si>
    <t>P-009</t>
  </si>
  <si>
    <t>INVENTARIO EN TRÁNSITO</t>
  </si>
  <si>
    <t>ARILEC</t>
  </si>
  <si>
    <t>GLIFOSATO X 19 LITROS</t>
  </si>
  <si>
    <t>DEL MONTE</t>
  </si>
  <si>
    <t>DIVISION POR TR</t>
  </si>
  <si>
    <t>AGRONUEVO CIA. LTDA.</t>
  </si>
  <si>
    <t>MP-890</t>
  </si>
  <si>
    <t>MP-460</t>
  </si>
  <si>
    <t>N-OO1</t>
  </si>
  <si>
    <t xml:space="preserve">SINOCHEM EN TRANSITO  </t>
  </si>
  <si>
    <t>PEDIDO REAL 05 MARZO</t>
  </si>
  <si>
    <t>INV COMPROMETIDO</t>
  </si>
  <si>
    <t xml:space="preserve">BENALAXYL + MANCOZEB CREMA X 25 KILOS                                                               </t>
  </si>
  <si>
    <t xml:space="preserve">CARTAP 50 % PS 25KG    </t>
  </si>
  <si>
    <t>MP-465</t>
  </si>
  <si>
    <t xml:space="preserve">IMIDACLOPRID 25% WP X 25 KL   </t>
  </si>
  <si>
    <t>ANASILISIS ECONOMICO</t>
  </si>
  <si>
    <t>VTAS ESTIMADAS</t>
  </si>
  <si>
    <t>MP-1262</t>
  </si>
  <si>
    <t>BUFFER ANTERIOR</t>
  </si>
  <si>
    <t>COMPRAS LOCALES 16MARZO</t>
  </si>
  <si>
    <t xml:space="preserve">MP-1266        </t>
  </si>
  <si>
    <t>P-0013</t>
  </si>
  <si>
    <t>AGROHERMANOS LEON S.A.</t>
  </si>
  <si>
    <t xml:space="preserve">16-16-12  + B X LITRO  </t>
  </si>
  <si>
    <t>GRUPO</t>
  </si>
  <si>
    <t>producto</t>
  </si>
  <si>
    <t>presentación</t>
  </si>
  <si>
    <t>buffer</t>
  </si>
  <si>
    <t>LACURA</t>
  </si>
  <si>
    <t>MP AGROCHEM</t>
  </si>
  <si>
    <t>CLOROTALONIL 72%SC</t>
  </si>
  <si>
    <t xml:space="preserve">MP  </t>
  </si>
  <si>
    <t>MP</t>
  </si>
  <si>
    <t>AGROTAZOLE</t>
  </si>
  <si>
    <t>PROPICONAZOL 25% SC</t>
  </si>
  <si>
    <t>ETIQUETA AGROTAZOLE X 100 ML</t>
  </si>
  <si>
    <t xml:space="preserve">FUNGICIDAS </t>
  </si>
  <si>
    <t xml:space="preserve">PROPICONAZOL 25 % EC   </t>
  </si>
  <si>
    <t xml:space="preserve">MATERIA PRIMA AGROCHEM  </t>
  </si>
  <si>
    <t xml:space="preserve">16-16-12+1B X GALON                                                                                 </t>
  </si>
  <si>
    <t>TOTAL TRANSITO LOCAL E IMPORTACIÓNES</t>
  </si>
  <si>
    <t>PEDIDO 30 MARZO IMPORTACIÓN</t>
  </si>
  <si>
    <t>IMPORTACIÓN</t>
  </si>
  <si>
    <t>PEDIDO 05 de abril</t>
  </si>
  <si>
    <t>IN-668</t>
  </si>
  <si>
    <t>IN-667</t>
  </si>
  <si>
    <t>MP-558</t>
  </si>
  <si>
    <t>MP-6610</t>
  </si>
  <si>
    <t>MP-667</t>
  </si>
  <si>
    <t>MP-6614</t>
  </si>
  <si>
    <t>MP-6613</t>
  </si>
  <si>
    <t>MP-6612</t>
  </si>
  <si>
    <t>IN-6610</t>
  </si>
  <si>
    <t>IN-6669</t>
  </si>
  <si>
    <t>IN-6612</t>
  </si>
  <si>
    <t>IN-6613</t>
  </si>
  <si>
    <t>IN-6611</t>
  </si>
  <si>
    <t xml:space="preserve">CAJA COMBO PAPAYA </t>
  </si>
  <si>
    <t>RAICES 500</t>
  </si>
  <si>
    <t>IN-20413</t>
  </si>
  <si>
    <t>IN-20414</t>
  </si>
  <si>
    <t>IN-20415</t>
  </si>
  <si>
    <t>IN-20416</t>
  </si>
  <si>
    <t>IN-20411</t>
  </si>
  <si>
    <t>IN-20412</t>
  </si>
  <si>
    <t>IN-20417</t>
  </si>
  <si>
    <t>IN-2044</t>
  </si>
  <si>
    <t>IN-2045</t>
  </si>
  <si>
    <t>IN-2046</t>
  </si>
  <si>
    <t>IN-2043</t>
  </si>
  <si>
    <t>IN-2048</t>
  </si>
  <si>
    <t>IN-2047</t>
  </si>
  <si>
    <t>IN-2049</t>
  </si>
  <si>
    <t>IN-20410</t>
  </si>
  <si>
    <t>IN-2042</t>
  </si>
  <si>
    <t>IN-2041</t>
  </si>
  <si>
    <t>16-16-12-1B x 500 ml</t>
  </si>
  <si>
    <t>MP-2621</t>
  </si>
  <si>
    <t xml:space="preserve">16-16-12  + B X 200 LTS </t>
  </si>
  <si>
    <t>MATERIA PRIMA AGROCHEN</t>
  </si>
  <si>
    <t>MP791</t>
  </si>
  <si>
    <t>FOSFONATO POTASICO 70 % X 500ML</t>
  </si>
  <si>
    <t>500ML</t>
  </si>
  <si>
    <t>ORTOFOSFATO 20 % + AMINOACIDOS X LITRO</t>
  </si>
  <si>
    <t>ETIQUETA RIDONATE X 250 ML</t>
  </si>
  <si>
    <t>ETIQUETA RIDONATE X 500 ML</t>
  </si>
  <si>
    <t>ETIQUETA RIDONATE X LITRO</t>
  </si>
  <si>
    <t>ETIQUETA PROPILAQ X 100 ML</t>
  </si>
  <si>
    <t>ETIQUETA PROPILAQ X LITRO</t>
  </si>
  <si>
    <t>QUIM-0181</t>
  </si>
  <si>
    <t>MP.0302</t>
  </si>
  <si>
    <t>LETAL X LITRO</t>
  </si>
  <si>
    <t xml:space="preserve">STICKER PARALANCHA BLUE  </t>
  </si>
  <si>
    <t>MP-578</t>
  </si>
  <si>
    <t>IN-768</t>
  </si>
  <si>
    <t xml:space="preserve">IN-035         </t>
  </si>
  <si>
    <t xml:space="preserve">SCOBA X 50CC      </t>
  </si>
  <si>
    <t xml:space="preserve">CAJA COMBO MARACUYA     </t>
  </si>
  <si>
    <t>unidad</t>
  </si>
  <si>
    <t>16-16-12+ 1B X 5 GALO</t>
  </si>
  <si>
    <t>50ML</t>
  </si>
  <si>
    <t>60ML</t>
  </si>
  <si>
    <t>CAJA COMBO FRESA</t>
  </si>
  <si>
    <t>MP-767</t>
  </si>
  <si>
    <t xml:space="preserve">ENVASE CLON X LITRO </t>
  </si>
  <si>
    <t xml:space="preserve">16-16-12  + B X LITRO      </t>
  </si>
  <si>
    <t xml:space="preserve">16-16-12+1B X GALON     </t>
  </si>
  <si>
    <t>16-16-12-1B X 500 ML</t>
  </si>
  <si>
    <t xml:space="preserve">ETIQUETAS   </t>
  </si>
  <si>
    <t>FOSFONATO POTASICO 70 % X 200 LT</t>
  </si>
  <si>
    <t>NATURALEZA</t>
  </si>
  <si>
    <t xml:space="preserve">AGROTAZOLE 25 % EC X 100 CC </t>
  </si>
  <si>
    <t>AGROVERDOL X 5 GAL</t>
  </si>
  <si>
    <t xml:space="preserve">NUTRICION  </t>
  </si>
  <si>
    <t>BENALAXYL + MANCOZEB  SOLINAG X 250 GRS</t>
  </si>
  <si>
    <t>SOLINAG</t>
  </si>
  <si>
    <t>BENALAXYL + MANCOZEB SOLINAG X 500 GRS</t>
  </si>
  <si>
    <t>BIOBAN X 250 ML</t>
  </si>
  <si>
    <t>CARBENDAZIM WP  SOLINAG X 100 GR</t>
  </si>
  <si>
    <t>CARBENDAZIM WP SOLINAG X 200 GRS</t>
  </si>
  <si>
    <t>CARTAP 50% SOLINAG X 100 GRS</t>
  </si>
  <si>
    <t>CARTAP 50% SOLINAG X 300 GRS</t>
  </si>
  <si>
    <t>CIROMAZINA 75% SOLINAG X 50 GRS</t>
  </si>
  <si>
    <t>CITOQMAX X 250 ML</t>
  </si>
  <si>
    <t>FOSETYL SOLINAG X 100 GRS</t>
  </si>
  <si>
    <t>FOSETYL SOLINAG X 500 GRS</t>
  </si>
  <si>
    <t>FOSETYL SOLINAG X KILO</t>
  </si>
  <si>
    <t>IMIDACLOPRID SOLINAG X 100 GR</t>
  </si>
  <si>
    <t xml:space="preserve">LACURA X 250 ML </t>
  </si>
  <si>
    <t xml:space="preserve">LACURA X LITRO </t>
  </si>
  <si>
    <t>LAMBDA SOLINAG  X 250 ML</t>
  </si>
  <si>
    <t>LAMBDA SOLINAG X 100 ML</t>
  </si>
  <si>
    <t>LAMBDA SOLINAG X 500 ML</t>
  </si>
  <si>
    <t>LAMBDA SOLINAG X LITRO</t>
  </si>
  <si>
    <t xml:space="preserve">LETAL X LITRO   </t>
  </si>
  <si>
    <t xml:space="preserve">FUNGICIDAS  </t>
  </si>
  <si>
    <t>MYCLOBUTANIL 12,5 %  EC SOLINAG X 250 ML</t>
  </si>
  <si>
    <t>MYCLOBUTANIL 12,5 % EC SOLINAG  X 100 ML</t>
  </si>
  <si>
    <t>PROPILAQ X 100 ML</t>
  </si>
  <si>
    <t>PROPILAQ X LITRO</t>
  </si>
  <si>
    <t>RIDONATE X  500 ML</t>
  </si>
  <si>
    <t>RIDONATE X 250 ML</t>
  </si>
  <si>
    <t>RIDONATE X LITRO</t>
  </si>
  <si>
    <t>SCOBA 50CC</t>
  </si>
  <si>
    <t>PT</t>
  </si>
  <si>
    <t>Bodega</t>
  </si>
  <si>
    <t>Proveedor</t>
  </si>
  <si>
    <t>Archivo</t>
  </si>
  <si>
    <t>Codigo</t>
  </si>
  <si>
    <t>Descripcion</t>
  </si>
  <si>
    <t>Grupo</t>
  </si>
  <si>
    <t>Linea</t>
  </si>
  <si>
    <t>CTV</t>
  </si>
  <si>
    <t>PV</t>
  </si>
  <si>
    <t>Inv Proveed</t>
  </si>
  <si>
    <t>Buff Act</t>
  </si>
  <si>
    <t>Inv Fís Act</t>
  </si>
  <si>
    <t>Color</t>
  </si>
  <si>
    <t>Tráns Act</t>
  </si>
  <si>
    <t>Comprom</t>
  </si>
  <si>
    <t>Backorders</t>
  </si>
  <si>
    <t>Inv Proy Act</t>
  </si>
  <si>
    <t>PEDIDCalc</t>
  </si>
  <si>
    <t>Consumo</t>
  </si>
  <si>
    <t>Control Buffers 1.xlsm</t>
  </si>
  <si>
    <t>R</t>
  </si>
  <si>
    <t>L</t>
  </si>
  <si>
    <t>V</t>
  </si>
  <si>
    <t>N</t>
  </si>
  <si>
    <t>Control Buffers.xlsm</t>
  </si>
  <si>
    <t>BUFFER CENTRAL</t>
  </si>
  <si>
    <t>INV FIS CENTRAL</t>
  </si>
  <si>
    <t>INV PROY CENTRAL</t>
  </si>
  <si>
    <t>FALTANTE O SOBRANTE CENTRAL</t>
  </si>
  <si>
    <t>FALTANTE O SOBRANTE PROYECTADO CENTRAL</t>
  </si>
  <si>
    <t xml:space="preserve">BUFFER STODOMINGO </t>
  </si>
  <si>
    <t>INV FIS STODOMINGO</t>
  </si>
  <si>
    <t>INV PROY STODOMINGO</t>
  </si>
  <si>
    <t>TRANSFERENCIAS A STODOMINGO</t>
  </si>
  <si>
    <t>TRANSFERENCIAS DE STODOMINGO</t>
  </si>
  <si>
    <t xml:space="preserve">FALTANTE O SOBRANTE STODOMINGO </t>
  </si>
  <si>
    <t>FALTANTE O SOBRANTE PROYECTADO STODOMINGO</t>
  </si>
  <si>
    <t>PEDIDO PROMEDIO</t>
  </si>
  <si>
    <t>BUFFER ML</t>
  </si>
  <si>
    <t>INV FIS ML</t>
  </si>
  <si>
    <t>INV PROY ML</t>
  </si>
  <si>
    <t>TRANSFERENCIAS A ML</t>
  </si>
  <si>
    <t>TRANSFERENCIAS DE ML</t>
  </si>
  <si>
    <t>FALTANTE O SOBRANTE ML</t>
  </si>
  <si>
    <t>FALTANTE O SOBRANTE PROYECTADO ML</t>
  </si>
  <si>
    <t>BUFFER AL</t>
  </si>
  <si>
    <t>INV FIS AL</t>
  </si>
  <si>
    <t>INV PROY AL</t>
  </si>
  <si>
    <t>TRANSFERENCIAS A AL</t>
  </si>
  <si>
    <t>TRANSFERENCIAS DE AL</t>
  </si>
  <si>
    <t>FALTANTE O SOBRANTE AL</t>
  </si>
  <si>
    <t>FALTANTE O SOBRANTE PROYECTADO AL</t>
  </si>
  <si>
    <t>BUFFER AN</t>
  </si>
  <si>
    <t>INV FIS AN</t>
  </si>
  <si>
    <t>INV PROY AN</t>
  </si>
  <si>
    <t>TRANSFERENCIAS A AN</t>
  </si>
  <si>
    <t>TRANSFERENCIAS DE AN</t>
  </si>
  <si>
    <t>FALTANTE O SOBRANTE AN</t>
  </si>
  <si>
    <t>FALTANTE O SOBRANTE PROYECTADO AN</t>
  </si>
  <si>
    <t>BUFFER AS</t>
  </si>
  <si>
    <t>INV FIS AS</t>
  </si>
  <si>
    <t>INV PROY AS</t>
  </si>
  <si>
    <t>TRANSFERENCIAS A AS</t>
  </si>
  <si>
    <t>TRANSFERENCIAS DE AS</t>
  </si>
  <si>
    <t>FALTANTE O SOBRANTE AS</t>
  </si>
  <si>
    <t>FALTANTE O SOBRANTE PROYECTADO AS</t>
  </si>
  <si>
    <t>BUFFER LF</t>
  </si>
  <si>
    <t>INV FIS LF</t>
  </si>
  <si>
    <t>INV PROY LF</t>
  </si>
  <si>
    <t>TRANSFERENCIAS A LF</t>
  </si>
  <si>
    <t>TRANSFERENCIAS DE LF</t>
  </si>
  <si>
    <t>FALTANTE O SOBRANTE LF</t>
  </si>
  <si>
    <t>FALTANTE O SOBRANTE PROYECTADO LF</t>
  </si>
  <si>
    <t>C-ML</t>
  </si>
  <si>
    <t>C-AN</t>
  </si>
  <si>
    <t>C-AS</t>
  </si>
  <si>
    <t>C-AL</t>
  </si>
  <si>
    <t>C-LF</t>
  </si>
  <si>
    <t>SD-ML</t>
  </si>
  <si>
    <t>SD-AL</t>
  </si>
  <si>
    <t>SD-AN</t>
  </si>
  <si>
    <t>SD-AS</t>
  </si>
  <si>
    <t>SD-LF</t>
  </si>
  <si>
    <t>ML-C</t>
  </si>
  <si>
    <t>ML-SD</t>
  </si>
  <si>
    <t>ML-AL</t>
  </si>
  <si>
    <t>ML-AN</t>
  </si>
  <si>
    <t>ML-AS</t>
  </si>
  <si>
    <t>ML-LF</t>
  </si>
  <si>
    <t>AL-C</t>
  </si>
  <si>
    <t>AL-SD</t>
  </si>
  <si>
    <t>AL-ML</t>
  </si>
  <si>
    <t>AL-AN</t>
  </si>
  <si>
    <t>AL-AS</t>
  </si>
  <si>
    <t>AL-LF</t>
  </si>
  <si>
    <t>AN-C</t>
  </si>
  <si>
    <t>AN-SD</t>
  </si>
  <si>
    <t>AN-ML</t>
  </si>
  <si>
    <t>AN-AL</t>
  </si>
  <si>
    <t>AN-AS</t>
  </si>
  <si>
    <t>AN-LF</t>
  </si>
  <si>
    <t>AS-C</t>
  </si>
  <si>
    <t>AS-SD</t>
  </si>
  <si>
    <t>AS-ML</t>
  </si>
  <si>
    <t>AS-AL</t>
  </si>
  <si>
    <t>AS-AN</t>
  </si>
  <si>
    <t>AS-LF</t>
  </si>
  <si>
    <t>LF-C</t>
  </si>
  <si>
    <t>LF-SD</t>
  </si>
  <si>
    <t>LF-ML</t>
  </si>
  <si>
    <t>LF-AL</t>
  </si>
  <si>
    <t>LF-AN</t>
  </si>
  <si>
    <t>LF-AS</t>
  </si>
  <si>
    <t>MP-1945</t>
  </si>
  <si>
    <t>BENALAXYL + METALAXYL BLUE X 500 G</t>
  </si>
  <si>
    <t xml:space="preserve">BENALAXIL 8% + MANCOZEB 65 % WP 500 GR  </t>
  </si>
  <si>
    <t>MP-1946</t>
  </si>
  <si>
    <t>CIROMAZINA 75%WP PREIMPRESA X 50 G</t>
  </si>
  <si>
    <t xml:space="preserve">MATERIA PRIMA SINOCHEM </t>
  </si>
  <si>
    <t xml:space="preserve">INSECTICIDAS     </t>
  </si>
  <si>
    <t>G</t>
  </si>
  <si>
    <t>P-0011</t>
  </si>
  <si>
    <t>CAJA COMBO MONILLA</t>
  </si>
  <si>
    <t>FORMAC</t>
  </si>
  <si>
    <t>P-0012</t>
  </si>
  <si>
    <t>CAJA COMBO CACAO FLORACION</t>
  </si>
  <si>
    <t>BUFFER MATERIA PRIMA</t>
  </si>
  <si>
    <t>INV FIS MATERIA PRIMA</t>
  </si>
  <si>
    <t>INV PROY MATERIA PRIMA</t>
  </si>
  <si>
    <t>TRANSFERENCIAS A MATERIA PRIMA</t>
  </si>
  <si>
    <t>TRANSFERENCIAS DE MATERIA PRIMA</t>
  </si>
  <si>
    <t>FALTANTE O SOBRANTE MATERIA PRIMA</t>
  </si>
  <si>
    <t>FALTANTE O SOBRANTE PROYECTADO MATERIA PRIMA</t>
  </si>
  <si>
    <t>BUFFER PROPIA</t>
  </si>
  <si>
    <t>INV FIS PROPIA</t>
  </si>
  <si>
    <t>INV PROY PROPIA</t>
  </si>
  <si>
    <t>TRANSFERENCIAS A PROPIA</t>
  </si>
  <si>
    <t>TRANSFERENCIAS DE PROPIA</t>
  </si>
  <si>
    <t>FALTANTE O SOBRANTE PROPIA</t>
  </si>
  <si>
    <t>FALTANTE O SOBRANTE PROYECTADO PROPIA</t>
  </si>
  <si>
    <t>BUFFER VL</t>
  </si>
  <si>
    <t>INV FIS VL</t>
  </si>
  <si>
    <t>INV PROY VL</t>
  </si>
  <si>
    <t>TRANSFERENCIAS A VL</t>
  </si>
  <si>
    <t>TRANSFERENCIAS DE VL</t>
  </si>
  <si>
    <t>FALTANTE O SOBRANTE VL</t>
  </si>
  <si>
    <t>FALTANTE O SOBRANTE PROYECTADO VL</t>
  </si>
  <si>
    <t>MP-C</t>
  </si>
  <si>
    <t>MP-P</t>
  </si>
  <si>
    <t>MP-SD</t>
  </si>
  <si>
    <t>MP-ML</t>
  </si>
  <si>
    <t>MP-AL</t>
  </si>
  <si>
    <t>MP-AN</t>
  </si>
  <si>
    <t>MP-AS</t>
  </si>
  <si>
    <t>MP-LF</t>
  </si>
  <si>
    <t>MP-VL</t>
  </si>
  <si>
    <t>C-MP</t>
  </si>
  <si>
    <t>C-P</t>
  </si>
  <si>
    <t>C-VL</t>
  </si>
  <si>
    <t>P-MP</t>
  </si>
  <si>
    <t>P-C</t>
  </si>
  <si>
    <t>P-SD</t>
  </si>
  <si>
    <t>P-ML</t>
  </si>
  <si>
    <t>P-AL</t>
  </si>
  <si>
    <t>P-AN</t>
  </si>
  <si>
    <t>P-AS</t>
  </si>
  <si>
    <t>P-LF</t>
  </si>
  <si>
    <t>P-VL</t>
  </si>
  <si>
    <t>SD-MP</t>
  </si>
  <si>
    <t>SD-P</t>
  </si>
  <si>
    <t>SD-VL</t>
  </si>
  <si>
    <t>ML-MP</t>
  </si>
  <si>
    <t>ML-P</t>
  </si>
  <si>
    <t>ML-VL</t>
  </si>
  <si>
    <t>AL-MP</t>
  </si>
  <si>
    <t>AL-P</t>
  </si>
  <si>
    <t>AL-VL</t>
  </si>
  <si>
    <t>AN-MP</t>
  </si>
  <si>
    <t>AN-P</t>
  </si>
  <si>
    <t>AN-VL</t>
  </si>
  <si>
    <t>AS-MP</t>
  </si>
  <si>
    <t>AS-P</t>
  </si>
  <si>
    <t>AS-VL</t>
  </si>
  <si>
    <t>LF-MP</t>
  </si>
  <si>
    <t>LF-P</t>
  </si>
  <si>
    <t>LF-VL</t>
  </si>
  <si>
    <t>VL-MP</t>
  </si>
  <si>
    <t>VL-C</t>
  </si>
  <si>
    <t>VL-P</t>
  </si>
  <si>
    <t>VL-SD</t>
  </si>
  <si>
    <t>VL-ML</t>
  </si>
  <si>
    <t>VL-AL</t>
  </si>
  <si>
    <t>VL-AN</t>
  </si>
  <si>
    <t>VL-AS</t>
  </si>
  <si>
    <t>VL-LF</t>
  </si>
  <si>
    <t>AGROINSUMOSMATERIAPRIMA</t>
  </si>
  <si>
    <t>MP-790</t>
  </si>
  <si>
    <t xml:space="preserve">TENSOACTIVO HUMECTANTE  X 100ML </t>
  </si>
  <si>
    <t>Control Buffers 3.xlsm</t>
  </si>
  <si>
    <t>AGROINSUMOSCENTRAL</t>
  </si>
  <si>
    <t>IN-1235</t>
  </si>
  <si>
    <t>AGROTAFIX PLUS  X 100 ML</t>
  </si>
  <si>
    <t xml:space="preserve">BENALAXYL + MANCOZEB CREMA X 25 KILOS                                                    </t>
  </si>
  <si>
    <t>CAJA COMBO MARACUYA</t>
  </si>
  <si>
    <t>AGROINSUMOSSTODOMINGO</t>
  </si>
  <si>
    <t>ETIQUETA</t>
  </si>
  <si>
    <t>AGROINSUMOSAGRONUEVO</t>
  </si>
  <si>
    <t>AGROINSUMOSAGROHERMANOSLEON</t>
  </si>
  <si>
    <t>AGROINSUMOSMONCAYOLOPEZ</t>
  </si>
  <si>
    <t>AGROINSUMOSAGROQUIMICOSSUR</t>
  </si>
  <si>
    <t>AGROINSUMOSCENTRALPROPIA</t>
  </si>
  <si>
    <t>AGROINSUMOSLAFINCA</t>
  </si>
  <si>
    <t>AGROINSUMOSVERONICALEDESMA</t>
  </si>
  <si>
    <t xml:space="preserve">ENVASES </t>
  </si>
  <si>
    <t>MATERIA PRMA</t>
  </si>
  <si>
    <t>FALSO</t>
  </si>
  <si>
    <t>IN-0081</t>
  </si>
  <si>
    <t xml:space="preserve">AGROTAFOL FOSFITO X 250 ML                                                                          </t>
  </si>
  <si>
    <t xml:space="preserve">IN-6615        </t>
  </si>
  <si>
    <t xml:space="preserve">PROPILAQ X  250 ML                                                                                  </t>
  </si>
  <si>
    <t xml:space="preserve">FUNGICIDAS                                          </t>
  </si>
  <si>
    <t xml:space="preserve">AGROCHEM                                            </t>
  </si>
  <si>
    <t xml:space="preserve">LAQUINSA ANDINA S.A.                            </t>
  </si>
  <si>
    <t>P-0014</t>
  </si>
  <si>
    <t>CAJA COMBO ARROZ INICIAL</t>
  </si>
  <si>
    <t>RIDONATE X 100 ML</t>
  </si>
  <si>
    <t>BUCANER X 100 ML</t>
  </si>
  <si>
    <t>DELTAMETRINA 2,5 % EC X 100 ML</t>
  </si>
  <si>
    <t>MP-7911</t>
  </si>
  <si>
    <t xml:space="preserve">TENSOACTIVO HUMECTANTE PLUS  X 100ML </t>
  </si>
  <si>
    <t>MP-01245</t>
  </si>
  <si>
    <t>FOSFONATO POTASICO 70 % X 20LITROS</t>
  </si>
  <si>
    <t>IN-6614</t>
  </si>
  <si>
    <t>RIDONATE X 200 ML</t>
  </si>
  <si>
    <t>RIDONATE X 400 ML</t>
  </si>
  <si>
    <t xml:space="preserve">IN-6617   </t>
  </si>
  <si>
    <t>SKEKURA WP X 500 GRAMOS</t>
  </si>
  <si>
    <t>IN-1234</t>
  </si>
  <si>
    <t>IN-00171</t>
  </si>
  <si>
    <t>BUCANER FORTE X 500 ML</t>
  </si>
  <si>
    <t>IN-00172</t>
  </si>
  <si>
    <t>BUCANER FORTE X 250 ML</t>
  </si>
  <si>
    <t>BISPIRIBAC SODIO 40% SC X 100 ML</t>
  </si>
  <si>
    <t>MP-371</t>
  </si>
  <si>
    <t>ENVASE COEX 125g X LITRO</t>
  </si>
  <si>
    <t>MP-800</t>
  </si>
  <si>
    <t>ENVASE COEX 105G X LITRO</t>
  </si>
  <si>
    <t>MP-803</t>
  </si>
  <si>
    <t>ENVASE COEX 20G X 100 ML</t>
  </si>
  <si>
    <t>MP-802</t>
  </si>
  <si>
    <t>MP-801</t>
  </si>
  <si>
    <t>ENVASE COEX 40G X 250 ML</t>
  </si>
  <si>
    <t>ENVASE COEX 60G X 500 ML</t>
  </si>
  <si>
    <t>MP-2681</t>
  </si>
  <si>
    <t>ETIQUETA AGROTAFIX PLUS X 100 ML</t>
  </si>
  <si>
    <t>ETIQUETA RAIZ FORTE X 500 ML</t>
  </si>
  <si>
    <t>MP-2611</t>
  </si>
  <si>
    <t>MP-0471</t>
  </si>
  <si>
    <t>SULFATO DE COBRE + AMINOACIDOS</t>
  </si>
  <si>
    <t>RAIZ FORTE X 500 ML</t>
  </si>
  <si>
    <t>IN - 1271</t>
  </si>
  <si>
    <t>MP-19452</t>
  </si>
  <si>
    <t>ETIQUETA BUCANER FORTE X 250 ML</t>
  </si>
  <si>
    <t>ETIQUETA BUCANER FORTE X 500 ML</t>
  </si>
  <si>
    <t>MP-19456</t>
  </si>
  <si>
    <t>ETIQUETA BUCANER X 100 ML</t>
  </si>
  <si>
    <t xml:space="preserve">ETIQUETA BUCANER FORTE X 100 ML </t>
  </si>
  <si>
    <t>MP-19453</t>
  </si>
  <si>
    <t>MP-19457</t>
  </si>
  <si>
    <t>ETIQUETA RIDONATE X 100 ML</t>
  </si>
  <si>
    <t>ETIQUETA RIDONATE X 400 ML</t>
  </si>
  <si>
    <t>ETIQUETA RIDONATE X 200 ML</t>
  </si>
  <si>
    <t>MP-19454</t>
  </si>
  <si>
    <t>MP-19455</t>
  </si>
  <si>
    <t>MP-19451</t>
  </si>
  <si>
    <t>MP-19458</t>
  </si>
  <si>
    <t>ETIQUETA GREEN GIBB DELANTERA</t>
  </si>
  <si>
    <t>MP-19459</t>
  </si>
  <si>
    <t>ETIQUETA GREEN GIBB POSTERIOR</t>
  </si>
  <si>
    <t>IN-5422</t>
  </si>
  <si>
    <t>P-0010</t>
  </si>
  <si>
    <t>CAJA COMBO ARROZ ENGROSE</t>
  </si>
  <si>
    <t>MP-0641</t>
  </si>
  <si>
    <t>MYCLOBUTANYL 12,5 % EC x 200 LITROS</t>
  </si>
  <si>
    <t>DIFENOCONAZOLE 25 % EC X 200 LITROS</t>
  </si>
  <si>
    <t>DIFENOCONAZOLE 25 % EC X 20 LITROS</t>
  </si>
  <si>
    <t>MP-0241</t>
  </si>
  <si>
    <t>MP-0242</t>
  </si>
  <si>
    <t>MP-0291</t>
  </si>
  <si>
    <t>MP-0292</t>
  </si>
  <si>
    <t>MYCLOBUTANYL 12,5 % EC x 100 ML</t>
  </si>
  <si>
    <t>MYCLOBUTANYL 12,5 % EC x 250 ML</t>
  </si>
  <si>
    <t>DIFENOCONAZOLE 25 % EC X 100 ML</t>
  </si>
  <si>
    <t>DIFENOCONAZOLE 25 % EC X 250 ML</t>
  </si>
  <si>
    <t>MP-0381</t>
  </si>
  <si>
    <t>CARBENDAZIM 50 % WP 500 GRS</t>
  </si>
  <si>
    <t>ETIQUETA BUCANER FORTE X LITRO</t>
  </si>
  <si>
    <t>MP-19460</t>
  </si>
  <si>
    <t>BUCANER FORTE X LITRO</t>
  </si>
  <si>
    <t>IN-00174</t>
  </si>
  <si>
    <t>BUCANER FORTE X 100 ML</t>
  </si>
  <si>
    <t>IN-00173</t>
  </si>
  <si>
    <t>ETIQUETA MOSKAFIN X 100 GMS POSTERIOR</t>
  </si>
  <si>
    <t>MP-856</t>
  </si>
  <si>
    <t>ETIQUETA MOSKAFIN X 100 GMS DELANTERA</t>
  </si>
  <si>
    <t>IN-5421</t>
  </si>
  <si>
    <t>ETIQUETA SKEKURA X 500 GRS DELANTERA</t>
  </si>
  <si>
    <t>ETIQUETA SKEKURA X 500 GRS POSTERIOR</t>
  </si>
  <si>
    <t>MP-1234</t>
  </si>
  <si>
    <t>MP-1323</t>
  </si>
  <si>
    <t>MP-065</t>
  </si>
  <si>
    <t>AMITRAZ 20 % EC</t>
  </si>
  <si>
    <t>AA (No Aplica)</t>
  </si>
  <si>
    <t>MP-1266</t>
  </si>
  <si>
    <t>MP-791</t>
  </si>
  <si>
    <t>16-16-12+1B X GALON</t>
  </si>
  <si>
    <t>NUTRICIONAL</t>
  </si>
  <si>
    <t>FOSFONATO POTASICO 70% X 500 ML</t>
  </si>
  <si>
    <t>MP-3611</t>
  </si>
  <si>
    <t>MP-3612</t>
  </si>
  <si>
    <t>ETIQUETA PARALANCHA 250/500 GRS DELANTERA</t>
  </si>
  <si>
    <t>ETIQUETA PARALANCHA 250/500 GRS POSTERIOR</t>
  </si>
  <si>
    <t>MP-2021</t>
  </si>
  <si>
    <t>FUNDA GREENGIBB</t>
  </si>
  <si>
    <t>PLASTLIT</t>
  </si>
  <si>
    <t>IN-1945</t>
  </si>
  <si>
    <t>GREEN GIBB X 10 GRS</t>
  </si>
  <si>
    <t>MP-194589</t>
  </si>
  <si>
    <t>MP-2022</t>
  </si>
  <si>
    <t>MP-2023</t>
  </si>
  <si>
    <t>FUNDA ALUMINIZADA 250/500 GRS</t>
  </si>
  <si>
    <t>FUNDA ALUMINIZADA 300 GRS</t>
  </si>
  <si>
    <t>MP-060</t>
  </si>
  <si>
    <t>PARAQUAT X LITRO</t>
  </si>
  <si>
    <t>PARAQUAT X GALON</t>
  </si>
  <si>
    <t>G-0041</t>
  </si>
  <si>
    <t>PROLIFIC TIPO BIOZYME X 200 LITROS</t>
  </si>
  <si>
    <t>MERCALIMSA</t>
  </si>
  <si>
    <t xml:space="preserve">COMBO CACAO FLORACION </t>
  </si>
  <si>
    <t>COMBO CACAO MONILIA</t>
  </si>
  <si>
    <t>CO-006</t>
  </si>
  <si>
    <t>CO-005</t>
  </si>
  <si>
    <t>COMBO</t>
  </si>
  <si>
    <t>TERMINADO</t>
  </si>
  <si>
    <t>MP-543</t>
  </si>
  <si>
    <t>P-0016</t>
  </si>
  <si>
    <t>CAJA COMBO CACAO INICIO</t>
  </si>
  <si>
    <t>CO-0010</t>
  </si>
  <si>
    <t>COMBO CACAO INICIO</t>
  </si>
  <si>
    <t>MP - 0631</t>
  </si>
  <si>
    <t>MICROELEMENTOS SOLUBLES + AMINOACIDOS X KILO</t>
  </si>
  <si>
    <t>MP-6687</t>
  </si>
  <si>
    <t>ETIQUETA BIOBAN X 250 ML</t>
  </si>
  <si>
    <t>ACIDO GIBERELICO X KILO</t>
  </si>
  <si>
    <t>MP-01945</t>
  </si>
  <si>
    <t>CAJA GREEN GIBB X 20 UNID</t>
  </si>
  <si>
    <t>GRAFISUM</t>
  </si>
  <si>
    <t>MP-01130</t>
  </si>
  <si>
    <t>MP-01131</t>
  </si>
  <si>
    <t>ETIQUETA SUPER VIVERO X KILO</t>
  </si>
  <si>
    <t>ETIQUETA PROFESIONAL THICKER X KILO</t>
  </si>
  <si>
    <t>MP-000100</t>
  </si>
  <si>
    <t>ETIQUETA AGROTAFOL FOSFITO X 250 ML</t>
  </si>
  <si>
    <t>IN-1130</t>
  </si>
  <si>
    <t>SUPER VIVERO</t>
  </si>
  <si>
    <t>IN-1131</t>
  </si>
  <si>
    <t>AGROTAFOL TICKER X KILO</t>
  </si>
  <si>
    <t>MP-1130</t>
  </si>
  <si>
    <t>0-20-50 TIPO K-FOL X KILO</t>
  </si>
  <si>
    <t>JA-001</t>
  </si>
  <si>
    <t>JARRITA DOSIFICADORA X 250 cc</t>
  </si>
  <si>
    <t>JARRA</t>
  </si>
  <si>
    <t>VALDIS</t>
  </si>
  <si>
    <t>PT-J001</t>
  </si>
  <si>
    <t xml:space="preserve">JARRITA DOSIFICADORA COMBO X 250 cc </t>
  </si>
  <si>
    <t>MP-281</t>
  </si>
  <si>
    <t>MP-282</t>
  </si>
  <si>
    <t>ETIQUETA AGROTAFIX X 500 ML</t>
  </si>
  <si>
    <t>ETIQUETA IMPULMAX X 100 ML</t>
  </si>
  <si>
    <t>MP-0221</t>
  </si>
  <si>
    <t>ACIDOS HUMICOS, FULVICOS + AMINOACIDOS X 20 LITROS</t>
  </si>
  <si>
    <t>MP-101</t>
  </si>
  <si>
    <t>ETIQUETA AGROTAFOL K PLUS X 500 ML</t>
  </si>
  <si>
    <t>TENSOACTIVO HUMECTANTE X 500ML</t>
  </si>
  <si>
    <t>MP-280</t>
  </si>
  <si>
    <t>IN-0029</t>
  </si>
  <si>
    <t>AGROTAFIX X 500 ML</t>
  </si>
  <si>
    <t>MP-7092</t>
  </si>
  <si>
    <t>ETIQUETA FEGADAZIM X 250 ML</t>
  </si>
  <si>
    <t>MP-09877</t>
  </si>
  <si>
    <t>ETIQUETA FEGADAZIM X 500 ML</t>
  </si>
  <si>
    <t>MP-7091</t>
  </si>
  <si>
    <t>ETIQUETA FEGADAZIM X LITRO</t>
  </si>
  <si>
    <t>IN-0976</t>
  </si>
  <si>
    <t>FEGADAZIM X 250 ML</t>
  </si>
  <si>
    <t>IN-0977</t>
  </si>
  <si>
    <t>FEGADAZIM X 500 ML</t>
  </si>
  <si>
    <t>IN-0987</t>
  </si>
  <si>
    <t>FEGADAZIM X LITRO</t>
  </si>
  <si>
    <t>PRODUCCION</t>
  </si>
  <si>
    <t xml:space="preserve">TERMINADO </t>
  </si>
  <si>
    <t>IMPORTACIÓN-LOCAL</t>
  </si>
  <si>
    <t>MP-376</t>
  </si>
  <si>
    <t>DIFENOCONAZOLE 25% EC X 250ML</t>
  </si>
  <si>
    <t xml:space="preserve">FU-003  </t>
  </si>
  <si>
    <t>FUNDA ALUMINIZADA DE 500</t>
  </si>
  <si>
    <t>MP-0841</t>
  </si>
  <si>
    <t>MP-832</t>
  </si>
  <si>
    <t>ETIQUETA AGROTAFOL CRECIMIENTO KILO/500</t>
  </si>
  <si>
    <t>ETIQUETA AGROTAFOL PRODUCCION KILO/500</t>
  </si>
  <si>
    <t>MP-788</t>
  </si>
  <si>
    <t>MP-789</t>
  </si>
  <si>
    <t>ETIQUETA ABAMECTIN X 100ML</t>
  </si>
  <si>
    <t>ETIQUETA ABAMECTIN X LITRO</t>
  </si>
  <si>
    <t>MP-252</t>
  </si>
  <si>
    <t>MP-253</t>
  </si>
  <si>
    <t>MP-277</t>
  </si>
  <si>
    <t>MP-8021</t>
  </si>
  <si>
    <t>MP-8031</t>
  </si>
  <si>
    <t>ENVASE COEX DE 100ML CHINO</t>
  </si>
  <si>
    <t>ENVASE DE 250 ML CHINO</t>
  </si>
  <si>
    <t>MP-310 ENVASE SINOTYL X 100 GMS PREIMPRESO</t>
  </si>
  <si>
    <t>ENVASE PREIMPRESO SINOPRID X 100 GMS</t>
  </si>
  <si>
    <t>ENVASE PREIMPRESO SKEKURA X 200 GMS</t>
  </si>
  <si>
    <t>INS-001</t>
  </si>
  <si>
    <t>MPETI002</t>
  </si>
  <si>
    <t>KARONTE X 120ML</t>
  </si>
  <si>
    <t>ETIQUETA KARONTE X 120ML</t>
  </si>
</sst>
</file>

<file path=xl/styles.xml><?xml version="1.0" encoding="utf-8"?>
<styleSheet xmlns="http://schemas.openxmlformats.org/spreadsheetml/2006/main">
  <numFmts count="3">
    <numFmt numFmtId="164" formatCode="_(* #,##0.00_);_(* \(#,##0.00\);_(* &quot;-&quot;??_);_(@_)"/>
    <numFmt numFmtId="165" formatCode="0;[Red]0"/>
    <numFmt numFmtId="166" formatCode="0_);\(0\)"/>
  </numFmts>
  <fonts count="33">
    <font>
      <sz val="11"/>
      <color theme="1"/>
      <name val="Calibri"/>
      <family val="2"/>
      <scheme val="minor"/>
    </font>
    <font>
      <b/>
      <sz val="10"/>
      <name val="Calibri"/>
      <family val="2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/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/>
      </right>
      <top/>
      <bottom/>
      <diagonal/>
    </border>
  </borders>
  <cellStyleXfs count="3">
    <xf numFmtId="0" fontId="0" fillId="0" borderId="0"/>
    <xf numFmtId="0" fontId="11" fillId="0" borderId="0"/>
    <xf numFmtId="164" fontId="18" fillId="0" borderId="0" applyFont="0" applyFill="0" applyBorder="0" applyAlignment="0" applyProtection="0"/>
  </cellStyleXfs>
  <cellXfs count="192"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1" fillId="2" borderId="0" xfId="0" applyFont="1" applyFill="1" applyAlignment="1">
      <alignment horizontal="center" vertical="center" wrapText="1"/>
    </xf>
    <xf numFmtId="0" fontId="0" fillId="0" borderId="0" xfId="0" applyFill="1"/>
    <xf numFmtId="0" fontId="1" fillId="2" borderId="3" xfId="0" applyFont="1" applyFill="1" applyBorder="1" applyAlignment="1">
      <alignment horizontal="center" vertical="center" wrapText="1"/>
    </xf>
    <xf numFmtId="2" fontId="0" fillId="0" borderId="0" xfId="0" applyNumberFormat="1"/>
    <xf numFmtId="0" fontId="0" fillId="0" borderId="0" xfId="0" applyBorder="1"/>
    <xf numFmtId="2" fontId="0" fillId="0" borderId="0" xfId="0" applyNumberFormat="1" applyBorder="1"/>
    <xf numFmtId="0" fontId="2" fillId="2" borderId="2" xfId="0" applyFont="1" applyFill="1" applyBorder="1" applyAlignment="1">
      <alignment horizontal="center" vertical="center" wrapText="1"/>
    </xf>
    <xf numFmtId="2" fontId="0" fillId="0" borderId="0" xfId="0" applyNumberFormat="1" applyFill="1"/>
    <xf numFmtId="0" fontId="2" fillId="0" borderId="0" xfId="0" applyFont="1" applyFill="1" applyAlignment="1">
      <alignment horizontal="center" vertical="center" wrapText="1"/>
    </xf>
    <xf numFmtId="4" fontId="2" fillId="0" borderId="0" xfId="0" applyNumberFormat="1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6" fillId="0" borderId="0" xfId="0" applyFont="1" applyFill="1"/>
    <xf numFmtId="0" fontId="0" fillId="0" borderId="0" xfId="0" applyNumberFormat="1" applyFill="1"/>
    <xf numFmtId="0" fontId="0" fillId="0" borderId="0" xfId="0" applyFill="1" applyBorder="1"/>
    <xf numFmtId="2" fontId="0" fillId="0" borderId="0" xfId="0" applyNumberFormat="1" applyFill="1" applyBorder="1"/>
    <xf numFmtId="4" fontId="2" fillId="2" borderId="2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4" fontId="0" fillId="0" borderId="0" xfId="0" applyNumberFormat="1"/>
    <xf numFmtId="2" fontId="0" fillId="0" borderId="0" xfId="0" applyNumberFormat="1" applyFill="1" applyAlignment="1"/>
    <xf numFmtId="1" fontId="0" fillId="0" borderId="0" xfId="0" applyNumberFormat="1" applyFill="1" applyAlignment="1"/>
    <xf numFmtId="0" fontId="0" fillId="0" borderId="0" xfId="0" applyFill="1" applyAlignment="1"/>
    <xf numFmtId="2" fontId="0" fillId="0" borderId="0" xfId="0" applyNumberFormat="1" applyFill="1" applyBorder="1" applyAlignment="1">
      <alignment vertical="top"/>
    </xf>
    <xf numFmtId="2" fontId="0" fillId="0" borderId="0" xfId="0" applyNumberFormat="1" applyFill="1" applyBorder="1" applyAlignment="1"/>
    <xf numFmtId="0" fontId="0" fillId="0" borderId="0" xfId="0" applyFill="1" applyBorder="1" applyAlignment="1"/>
    <xf numFmtId="1" fontId="0" fillId="0" borderId="0" xfId="0" applyNumberFormat="1" applyFill="1"/>
    <xf numFmtId="1" fontId="2" fillId="0" borderId="0" xfId="0" applyNumberFormat="1" applyFont="1" applyFill="1" applyAlignment="1">
      <alignment horizontal="center" vertical="center" wrapText="1"/>
    </xf>
    <xf numFmtId="1" fontId="0" fillId="0" borderId="0" xfId="0" applyNumberFormat="1" applyFill="1" applyBorder="1" applyAlignment="1"/>
    <xf numFmtId="0" fontId="2" fillId="2" borderId="4" xfId="0" applyFont="1" applyFill="1" applyBorder="1"/>
    <xf numFmtId="3" fontId="1" fillId="2" borderId="0" xfId="0" applyNumberFormat="1" applyFont="1" applyFill="1" applyAlignment="1">
      <alignment horizontal="center" vertical="center" wrapText="1"/>
    </xf>
    <xf numFmtId="3" fontId="0" fillId="0" borderId="0" xfId="0" applyNumberFormat="1"/>
    <xf numFmtId="3" fontId="2" fillId="2" borderId="4" xfId="0" applyNumberFormat="1" applyFont="1" applyFill="1" applyBorder="1"/>
    <xf numFmtId="0" fontId="7" fillId="2" borderId="0" xfId="0" applyFont="1" applyFill="1" applyAlignment="1">
      <alignment horizontal="center" vertical="center" wrapText="1"/>
    </xf>
    <xf numFmtId="0" fontId="8" fillId="2" borderId="4" xfId="0" applyFont="1" applyFill="1" applyBorder="1"/>
    <xf numFmtId="2" fontId="0" fillId="0" borderId="0" xfId="0" applyNumberFormat="1" applyFill="1" applyAlignment="1">
      <alignment vertical="top"/>
    </xf>
    <xf numFmtId="0" fontId="0" fillId="0" borderId="7" xfId="0" applyFill="1" applyBorder="1"/>
    <xf numFmtId="0" fontId="0" fillId="3" borderId="0" xfId="0" applyFont="1" applyFill="1"/>
    <xf numFmtId="0" fontId="0" fillId="0" borderId="5" xfId="0" applyFill="1" applyBorder="1"/>
    <xf numFmtId="0" fontId="0" fillId="0" borderId="0" xfId="0" applyFont="1" applyFill="1"/>
    <xf numFmtId="0" fontId="0" fillId="0" borderId="8" xfId="0" applyFill="1" applyBorder="1"/>
    <xf numFmtId="0" fontId="0" fillId="0" borderId="6" xfId="0" applyFill="1" applyBorder="1"/>
    <xf numFmtId="2" fontId="0" fillId="0" borderId="8" xfId="0" applyNumberFormat="1" applyFill="1" applyBorder="1"/>
    <xf numFmtId="2" fontId="0" fillId="3" borderId="0" xfId="0" applyNumberFormat="1" applyFont="1" applyFill="1"/>
    <xf numFmtId="2" fontId="0" fillId="0" borderId="6" xfId="0" applyNumberFormat="1" applyFill="1" applyBorder="1"/>
    <xf numFmtId="2" fontId="0" fillId="0" borderId="0" xfId="0" applyNumberFormat="1" applyFont="1" applyFill="1"/>
    <xf numFmtId="2" fontId="0" fillId="0" borderId="0" xfId="0" applyNumberFormat="1" applyFont="1" applyFill="1" applyAlignment="1"/>
    <xf numFmtId="1" fontId="0" fillId="0" borderId="8" xfId="0" applyNumberFormat="1" applyFill="1" applyBorder="1" applyAlignment="1"/>
    <xf numFmtId="1" fontId="0" fillId="0" borderId="6" xfId="0" applyNumberFormat="1" applyFill="1" applyBorder="1" applyAlignment="1"/>
    <xf numFmtId="0" fontId="0" fillId="0" borderId="8" xfId="0" applyFill="1" applyBorder="1" applyAlignment="1"/>
    <xf numFmtId="0" fontId="0" fillId="0" borderId="6" xfId="0" applyFill="1" applyBorder="1" applyAlignment="1"/>
    <xf numFmtId="0" fontId="0" fillId="0" borderId="7" xfId="0" applyBorder="1"/>
    <xf numFmtId="0" fontId="0" fillId="0" borderId="8" xfId="0" applyBorder="1"/>
    <xf numFmtId="0" fontId="0" fillId="0" borderId="6" xfId="0" applyBorder="1"/>
    <xf numFmtId="1" fontId="0" fillId="0" borderId="8" xfId="0" applyNumberFormat="1" applyFill="1" applyBorder="1"/>
    <xf numFmtId="1" fontId="0" fillId="0" borderId="6" xfId="0" applyNumberFormat="1" applyFill="1" applyBorder="1"/>
    <xf numFmtId="1" fontId="0" fillId="0" borderId="0" xfId="0" applyNumberFormat="1" applyFill="1" applyBorder="1"/>
    <xf numFmtId="0" fontId="2" fillId="0" borderId="0" xfId="0" applyFont="1" applyFill="1" applyAlignment="1">
      <alignment vertical="center" wrapText="1"/>
    </xf>
    <xf numFmtId="4" fontId="9" fillId="0" borderId="0" xfId="0" applyNumberFormat="1" applyFont="1" applyFill="1" applyAlignment="1">
      <alignment vertical="center" wrapText="1"/>
    </xf>
    <xf numFmtId="4" fontId="9" fillId="0" borderId="0" xfId="0" applyNumberFormat="1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4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0" fontId="0" fillId="0" borderId="0" xfId="0" applyNumberFormat="1" applyFill="1" applyAlignment="1"/>
    <xf numFmtId="4" fontId="0" fillId="0" borderId="0" xfId="0" applyNumberFormat="1" applyFill="1" applyAlignment="1"/>
    <xf numFmtId="4" fontId="0" fillId="0" borderId="0" xfId="0" applyNumberFormat="1" applyFill="1" applyBorder="1" applyAlignment="1"/>
    <xf numFmtId="0" fontId="0" fillId="0" borderId="0" xfId="0" applyNumberFormat="1" applyFill="1" applyAlignment="1">
      <alignment vertical="top"/>
    </xf>
    <xf numFmtId="2" fontId="8" fillId="0" borderId="0" xfId="0" applyNumberFormat="1" applyFont="1" applyFill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0" xfId="0" applyNumberFormat="1"/>
    <xf numFmtId="0" fontId="6" fillId="4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165" fontId="0" fillId="0" borderId="0" xfId="0" applyNumberFormat="1" applyFill="1" applyAlignment="1"/>
    <xf numFmtId="2" fontId="0" fillId="0" borderId="0" xfId="0" applyNumberFormat="1" applyFont="1" applyFill="1" applyBorder="1"/>
    <xf numFmtId="1" fontId="0" fillId="0" borderId="0" xfId="0" applyNumberFormat="1" applyFont="1" applyFill="1" applyAlignment="1"/>
    <xf numFmtId="165" fontId="0" fillId="0" borderId="0" xfId="0" applyNumberFormat="1"/>
    <xf numFmtId="2" fontId="0" fillId="6" borderId="0" xfId="0" applyNumberFormat="1" applyFill="1"/>
    <xf numFmtId="2" fontId="0" fillId="6" borderId="0" xfId="0" applyNumberFormat="1" applyFill="1" applyBorder="1"/>
    <xf numFmtId="0" fontId="10" fillId="0" borderId="0" xfId="0" applyFont="1" applyFill="1"/>
    <xf numFmtId="2" fontId="10" fillId="0" borderId="0" xfId="0" applyNumberFormat="1" applyFont="1" applyFill="1"/>
    <xf numFmtId="2" fontId="10" fillId="0" borderId="0" xfId="0" applyNumberFormat="1" applyFont="1" applyFill="1" applyAlignment="1"/>
    <xf numFmtId="1" fontId="10" fillId="0" borderId="0" xfId="0" applyNumberFormat="1" applyFont="1" applyFill="1" applyAlignment="1"/>
    <xf numFmtId="165" fontId="10" fillId="0" borderId="0" xfId="0" applyNumberFormat="1" applyFont="1"/>
    <xf numFmtId="0" fontId="10" fillId="0" borderId="0" xfId="0" applyFont="1" applyFill="1" applyAlignment="1"/>
    <xf numFmtId="2" fontId="6" fillId="0" borderId="0" xfId="0" applyNumberFormat="1" applyFont="1" applyFill="1"/>
    <xf numFmtId="165" fontId="0" fillId="0" borderId="0" xfId="0" applyNumberFormat="1" applyFill="1"/>
    <xf numFmtId="0" fontId="0" fillId="0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0" fillId="0" borderId="11" xfId="0" applyFont="1" applyFill="1" applyBorder="1"/>
    <xf numFmtId="0" fontId="0" fillId="0" borderId="0" xfId="0" applyFont="1" applyFill="1" applyBorder="1"/>
    <xf numFmtId="0" fontId="0" fillId="4" borderId="0" xfId="0" applyFill="1"/>
    <xf numFmtId="0" fontId="0" fillId="4" borderId="0" xfId="0" applyFill="1" applyBorder="1"/>
    <xf numFmtId="0" fontId="0" fillId="4" borderId="0" xfId="0" applyFont="1" applyFill="1" applyBorder="1"/>
    <xf numFmtId="0" fontId="0" fillId="4" borderId="11" xfId="0" applyFont="1" applyFill="1" applyBorder="1"/>
    <xf numFmtId="0" fontId="0" fillId="7" borderId="0" xfId="0" applyFill="1"/>
    <xf numFmtId="0" fontId="0" fillId="7" borderId="0" xfId="0" applyFill="1" applyBorder="1"/>
    <xf numFmtId="0" fontId="0" fillId="7" borderId="0" xfId="0" applyFont="1" applyFill="1" applyBorder="1"/>
    <xf numFmtId="0" fontId="0" fillId="7" borderId="11" xfId="0" applyFont="1" applyFill="1" applyBorder="1"/>
    <xf numFmtId="1" fontId="2" fillId="8" borderId="0" xfId="0" applyNumberFormat="1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0" fillId="0" borderId="0" xfId="0" applyNumberFormat="1" applyFill="1" applyBorder="1" applyAlignment="1"/>
    <xf numFmtId="165" fontId="0" fillId="0" borderId="0" xfId="0" applyNumberFormat="1" applyFill="1" applyBorder="1" applyAlignment="1"/>
    <xf numFmtId="0" fontId="0" fillId="0" borderId="0" xfId="0" applyNumberFormat="1" applyFill="1" applyBorder="1"/>
    <xf numFmtId="0" fontId="0" fillId="0" borderId="0" xfId="0" applyNumberFormat="1" applyFill="1" applyBorder="1" applyAlignment="1">
      <alignment vertical="top"/>
    </xf>
    <xf numFmtId="4" fontId="0" fillId="0" borderId="0" xfId="0" applyNumberFormat="1" applyFill="1"/>
    <xf numFmtId="4" fontId="0" fillId="0" borderId="0" xfId="0" applyNumberFormat="1" applyFill="1" applyBorder="1"/>
    <xf numFmtId="3" fontId="0" fillId="0" borderId="0" xfId="0" applyNumberFormat="1" applyBorder="1"/>
    <xf numFmtId="0" fontId="0" fillId="0" borderId="0" xfId="0" applyNumberFormat="1" applyBorder="1"/>
    <xf numFmtId="165" fontId="0" fillId="0" borderId="0" xfId="0" applyNumberFormat="1" applyBorder="1"/>
    <xf numFmtId="165" fontId="5" fillId="0" borderId="0" xfId="0" applyNumberFormat="1" applyFont="1"/>
    <xf numFmtId="2" fontId="0" fillId="0" borderId="6" xfId="0" applyNumberFormat="1" applyFill="1" applyBorder="1" applyAlignment="1"/>
    <xf numFmtId="165" fontId="5" fillId="0" borderId="0" xfId="0" applyNumberFormat="1" applyFont="1" applyFill="1"/>
    <xf numFmtId="165" fontId="0" fillId="0" borderId="0" xfId="0" applyNumberFormat="1" applyFont="1"/>
    <xf numFmtId="0" fontId="10" fillId="0" borderId="0" xfId="0" applyFont="1"/>
    <xf numFmtId="0" fontId="10" fillId="0" borderId="0" xfId="0" applyNumberFormat="1" applyFont="1"/>
    <xf numFmtId="166" fontId="0" fillId="0" borderId="0" xfId="0" applyNumberFormat="1"/>
    <xf numFmtId="0" fontId="0" fillId="0" borderId="0" xfId="0" applyFill="1" applyAlignment="1" applyProtection="1">
      <alignment horizontal="right"/>
    </xf>
    <xf numFmtId="165" fontId="10" fillId="0" borderId="0" xfId="0" applyNumberFormat="1" applyFont="1" applyFill="1" applyAlignment="1"/>
    <xf numFmtId="0" fontId="12" fillId="0" borderId="0" xfId="0" applyFont="1" applyFill="1" applyAlignment="1">
      <alignment horizontal="center" vertical="center" wrapText="1"/>
    </xf>
    <xf numFmtId="165" fontId="6" fillId="0" borderId="0" xfId="0" applyNumberFormat="1" applyFont="1"/>
    <xf numFmtId="0" fontId="6" fillId="0" borderId="0" xfId="0" applyFont="1" applyFill="1" applyProtection="1"/>
    <xf numFmtId="0" fontId="6" fillId="0" borderId="0" xfId="0" applyFont="1" applyFill="1" applyBorder="1"/>
    <xf numFmtId="0" fontId="6" fillId="0" borderId="5" xfId="0" applyFont="1" applyFill="1" applyBorder="1"/>
    <xf numFmtId="0" fontId="6" fillId="0" borderId="6" xfId="0" applyFont="1" applyFill="1" applyBorder="1"/>
    <xf numFmtId="0" fontId="0" fillId="0" borderId="0" xfId="0"/>
    <xf numFmtId="1" fontId="0" fillId="0" borderId="0" xfId="0" applyNumberFormat="1" applyFill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13" fillId="6" borderId="12" xfId="0" applyFont="1" applyFill="1" applyBorder="1"/>
    <xf numFmtId="0" fontId="13" fillId="6" borderId="13" xfId="0" applyFont="1" applyFill="1" applyBorder="1"/>
    <xf numFmtId="0" fontId="13" fillId="0" borderId="14" xfId="0" applyFont="1" applyBorder="1"/>
    <xf numFmtId="0" fontId="13" fillId="0" borderId="15" xfId="0" applyFont="1" applyBorder="1"/>
    <xf numFmtId="0" fontId="13" fillId="0" borderId="15" xfId="0" applyFont="1" applyBorder="1" applyAlignment="1">
      <alignment horizontal="right"/>
    </xf>
    <xf numFmtId="0" fontId="13" fillId="0" borderId="0" xfId="0" applyFont="1" applyBorder="1"/>
    <xf numFmtId="166" fontId="0" fillId="0" borderId="0" xfId="0" applyNumberFormat="1" applyBorder="1"/>
    <xf numFmtId="165" fontId="6" fillId="0" borderId="0" xfId="0" applyNumberFormat="1" applyFont="1" applyFill="1" applyAlignment="1"/>
    <xf numFmtId="0" fontId="14" fillId="0" borderId="0" xfId="0" applyFont="1" applyFill="1" applyBorder="1" applyAlignment="1" applyProtection="1">
      <alignment horizontal="center"/>
    </xf>
    <xf numFmtId="0" fontId="14" fillId="0" borderId="0" xfId="0" applyFont="1" applyFill="1" applyBorder="1"/>
    <xf numFmtId="0" fontId="0" fillId="0" borderId="0" xfId="0" applyFill="1" applyProtection="1"/>
    <xf numFmtId="0" fontId="15" fillId="0" borderId="0" xfId="0" applyFont="1" applyFill="1" applyBorder="1" applyProtection="1"/>
    <xf numFmtId="0" fontId="15" fillId="0" borderId="0" xfId="0" applyFont="1" applyFill="1" applyBorder="1"/>
    <xf numFmtId="0" fontId="0" fillId="0" borderId="0" xfId="0" applyFill="1" applyAlignment="1" applyProtection="1">
      <alignment horizontal="center"/>
    </xf>
    <xf numFmtId="0" fontId="16" fillId="0" borderId="0" xfId="0" applyFont="1" applyFill="1" applyBorder="1"/>
    <xf numFmtId="1" fontId="11" fillId="0" borderId="8" xfId="0" applyNumberFormat="1" applyFont="1" applyFill="1" applyBorder="1" applyAlignment="1" applyProtection="1">
      <alignment horizontal="center"/>
    </xf>
    <xf numFmtId="1" fontId="0" fillId="0" borderId="8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9" fontId="0" fillId="0" borderId="0" xfId="0" applyNumberFormat="1" applyBorder="1"/>
    <xf numFmtId="9" fontId="0" fillId="0" borderId="0" xfId="0" applyNumberFormat="1"/>
    <xf numFmtId="0" fontId="0" fillId="0" borderId="0" xfId="0" applyNumberFormat="1" applyFont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 vertical="center"/>
    </xf>
    <xf numFmtId="0" fontId="0" fillId="0" borderId="0" xfId="0" applyFill="1" applyBorder="1" applyProtection="1"/>
    <xf numFmtId="0" fontId="0" fillId="0" borderId="0" xfId="0" applyNumberFormat="1" applyFont="1" applyFill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Protection="1"/>
    <xf numFmtId="0" fontId="11" fillId="0" borderId="16" xfId="0" applyNumberFormat="1" applyFont="1" applyFill="1" applyBorder="1" applyAlignment="1" applyProtection="1">
      <alignment horizontal="center"/>
    </xf>
    <xf numFmtId="0" fontId="18" fillId="0" borderId="0" xfId="0" applyNumberFormat="1" applyFont="1" applyFill="1" applyBorder="1" applyAlignment="1" applyProtection="1">
      <alignment horizontal="center"/>
    </xf>
    <xf numFmtId="0" fontId="19" fillId="0" borderId="0" xfId="0" applyFont="1" applyFill="1" applyBorder="1"/>
    <xf numFmtId="0" fontId="2" fillId="12" borderId="0" xfId="0" applyFont="1" applyFill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 wrapText="1"/>
    </xf>
    <xf numFmtId="0" fontId="6" fillId="7" borderId="0" xfId="0" applyFont="1" applyFill="1" applyAlignment="1">
      <alignment horizontal="center" vertical="center" wrapText="1"/>
    </xf>
    <xf numFmtId="0" fontId="6" fillId="13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 vertical="center" wrapText="1"/>
    </xf>
    <xf numFmtId="0" fontId="20" fillId="0" borderId="0" xfId="0" applyNumberFormat="1" applyFont="1" applyFill="1" applyBorder="1" applyAlignment="1" applyProtection="1">
      <alignment horizontal="center"/>
    </xf>
    <xf numFmtId="0" fontId="21" fillId="0" borderId="0" xfId="0" applyNumberFormat="1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22" fillId="0" borderId="0" xfId="0" applyNumberFormat="1" applyFont="1" applyFill="1" applyBorder="1" applyAlignment="1" applyProtection="1">
      <alignment horizontal="center"/>
    </xf>
    <xf numFmtId="0" fontId="23" fillId="0" borderId="0" xfId="0" applyNumberFormat="1" applyFont="1" applyFill="1" applyBorder="1" applyAlignment="1" applyProtection="1">
      <alignment horizontal="center"/>
    </xf>
    <xf numFmtId="0" fontId="24" fillId="0" borderId="0" xfId="0" applyNumberFormat="1" applyFont="1" applyFill="1" applyAlignment="1" applyProtection="1">
      <alignment horizontal="center"/>
    </xf>
    <xf numFmtId="0" fontId="24" fillId="0" borderId="0" xfId="0" applyNumberFormat="1" applyFont="1" applyFill="1" applyBorder="1" applyAlignment="1" applyProtection="1">
      <alignment horizontal="center"/>
    </xf>
    <xf numFmtId="0" fontId="25" fillId="0" borderId="0" xfId="0" applyNumberFormat="1" applyFont="1" applyFill="1" applyAlignment="1" applyProtection="1">
      <alignment horizontal="center"/>
    </xf>
    <xf numFmtId="0" fontId="25" fillId="0" borderId="0" xfId="0" applyNumberFormat="1" applyFont="1" applyFill="1" applyBorder="1" applyAlignment="1" applyProtection="1">
      <alignment horizontal="center"/>
    </xf>
    <xf numFmtId="0" fontId="25" fillId="0" borderId="0" xfId="0" applyNumberFormat="1" applyFont="1" applyAlignment="1" applyProtection="1">
      <alignment horizontal="center"/>
    </xf>
    <xf numFmtId="0" fontId="26" fillId="0" borderId="0" xfId="0" applyNumberFormat="1" applyFont="1" applyFill="1" applyBorder="1" applyAlignment="1" applyProtection="1">
      <alignment horizontal="center"/>
    </xf>
    <xf numFmtId="0" fontId="27" fillId="0" borderId="0" xfId="0" applyNumberFormat="1" applyFont="1" applyFill="1" applyBorder="1" applyAlignment="1" applyProtection="1">
      <alignment horizontal="center"/>
    </xf>
    <xf numFmtId="0" fontId="28" fillId="0" borderId="0" xfId="0" applyNumberFormat="1" applyFont="1" applyFill="1" applyBorder="1" applyAlignment="1" applyProtection="1">
      <alignment horizontal="center"/>
    </xf>
    <xf numFmtId="0" fontId="29" fillId="0" borderId="0" xfId="0" applyNumberFormat="1" applyFont="1" applyFill="1" applyBorder="1" applyAlignment="1" applyProtection="1">
      <alignment horizontal="center"/>
    </xf>
    <xf numFmtId="0" fontId="30" fillId="0" borderId="0" xfId="0" applyNumberFormat="1" applyFont="1" applyFill="1" applyBorder="1" applyAlignment="1" applyProtection="1">
      <alignment horizontal="center"/>
    </xf>
    <xf numFmtId="0" fontId="31" fillId="0" borderId="0" xfId="0" applyNumberFormat="1" applyFont="1" applyFill="1" applyBorder="1" applyAlignment="1" applyProtection="1">
      <alignment horizontal="center"/>
    </xf>
    <xf numFmtId="0" fontId="32" fillId="0" borderId="0" xfId="0" applyNumberFormat="1" applyFont="1" applyFill="1" applyBorder="1" applyAlignment="1" applyProtection="1">
      <alignment horizontal="center"/>
    </xf>
  </cellXfs>
  <cellStyles count="3">
    <cellStyle name="Millares 2" xfId="2"/>
    <cellStyle name="Normal" xfId="0" builtinId="0"/>
    <cellStyle name="Normal 2" xfId="1"/>
  </cellStyles>
  <dxfs count="36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1" tint="0.499984740745262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1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</dxf>
    <dxf>
      <numFmt numFmtId="3" formatCode="#,##0"/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rgb="FF0070C0"/>
        </patternFill>
      </fill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numFmt numFmtId="2" formatCode="0.00"/>
      <fill>
        <patternFill patternType="none">
          <fgColor indexed="64"/>
          <bgColor indexed="65"/>
        </patternFill>
      </fill>
    </dxf>
    <dxf>
      <numFmt numFmtId="3" formatCode="#,##0"/>
    </dxf>
    <dxf>
      <numFmt numFmtId="4" formatCode="#,##0.00"/>
      <fill>
        <patternFill patternType="none">
          <fgColor indexed="64"/>
          <bgColor indexed="65"/>
        </patternFill>
      </fill>
    </dxf>
    <dxf>
      <numFmt numFmtId="2" formatCode="0.00"/>
    </dxf>
    <dxf>
      <numFmt numFmtId="2" formatCode="0.00"/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solid">
          <fgColor indexed="64"/>
          <bgColor rgb="FF0070C0"/>
        </patternFill>
      </fill>
      <alignment horizontal="center" vertical="center" textRotation="0" wrapText="1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relativeIndent="255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</dxf>
    <dxf>
      <numFmt numFmtId="4" formatCode="#,##0.00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/>
        <right/>
        <top/>
        <bottom style="thin">
          <color theme="8" tint="0.39997558519241921"/>
        </bottom>
      </border>
    </dxf>
    <dxf>
      <numFmt numFmtId="2" formatCode="0.00"/>
      <fill>
        <patternFill patternType="none">
          <fgColor indexed="64"/>
          <bgColor indexed="65"/>
        </patternFill>
      </fill>
      <alignment horizontal="general" vertical="top" textRotation="0" wrapText="0" indent="0" relativeIndent="255" justifyLastLine="0" shrinkToFit="0" mergeCell="0" readingOrder="0"/>
    </dxf>
    <dxf>
      <numFmt numFmtId="2" formatCode="0.0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numFmt numFmtId="165" formatCode="0;[Red]0"/>
    </dxf>
    <dxf>
      <numFmt numFmtId="165" formatCode="0;[Red]0"/>
    </dxf>
    <dxf>
      <numFmt numFmtId="166" formatCode="0_);\(0\)"/>
    </dxf>
    <dxf>
      <numFmt numFmtId="165" formatCode="0;[Red]0"/>
    </dxf>
    <dxf>
      <numFmt numFmtId="165" formatCode="0;[Red]0"/>
    </dxf>
    <dxf>
      <numFmt numFmtId="165" formatCode="0;[Red]0"/>
    </dxf>
    <dxf>
      <numFmt numFmtId="165" formatCode="0;[Red]0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</dxf>
    <dxf>
      <numFmt numFmtId="165" formatCode="0;[Red]0"/>
    </dxf>
    <dxf>
      <numFmt numFmtId="0" formatCode="General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top" textRotation="0" wrapText="0" indent="0" relativeIndent="255" justifyLastLine="0" shrinkToFit="0" mergeCell="0" readingOrder="0"/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textRotation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8A3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 tint="4.9989318521683403E-2"/>
        </patternFill>
      </fill>
    </dxf>
    <dxf>
      <numFmt numFmtId="13" formatCode="0%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rgb="FF000000"/>
          <bgColor rgb="FFFFFFFF"/>
        </patternFill>
      </fill>
      <alignment horizontal="center" vertical="bottom" textRotation="0" wrapText="0" indent="0" relativeIndent="255" justifyLastLine="0" shrinkToFit="0" mergeCell="0" readingOrder="0"/>
    </dxf>
    <dxf>
      <numFmt numFmtId="1" formatCode="0"/>
      <fill>
        <patternFill patternType="none">
          <fgColor rgb="FF000000"/>
          <bgColor rgb="FFFFFFFF"/>
        </patternFill>
      </fill>
      <alignment horizontal="center" vertical="bottom" textRotation="0" wrapText="0" indent="0" relativeIndent="255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0" formatCode="General"/>
      <fill>
        <patternFill patternType="none">
          <fgColor rgb="FF000000"/>
          <bgColor rgb="FFFFFFFF"/>
        </patternFill>
      </fill>
      <alignment horizontal="center" vertical="bottom" textRotation="0" wrapText="0" indent="0" relativeIndent="255" justifyLastLine="0" shrinkToFit="0" mergeCell="0" readingOrder="0"/>
    </dxf>
    <dxf>
      <numFmt numFmtId="0" formatCode="General"/>
      <fill>
        <patternFill patternType="none">
          <fgColor rgb="FF000000"/>
          <bgColor rgb="FFFFFFFF"/>
        </patternFill>
      </fill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rgb="FF000000"/>
          <bgColor rgb="FFFFFFFF"/>
        </patternFill>
      </fill>
      <alignment horizontal="center" vertical="bottom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0" formatCode="General"/>
      <fill>
        <patternFill patternType="none">
          <fgColor rgb="FF000000"/>
          <bgColor rgb="FFFFFFFF"/>
        </patternFill>
      </fill>
      <alignment horizontal="center" vertical="bottom" textRotation="0" wrapText="0" indent="0" relativeIndent="255" justifyLastLine="0" shrinkToFit="0" mergeCell="0" readingOrder="0"/>
    </dxf>
    <dxf>
      <numFmt numFmtId="0" formatCode="General"/>
      <fill>
        <patternFill patternType="none">
          <fgColor rgb="FF000000"/>
          <bgColor rgb="FFFFFFFF"/>
        </patternFill>
      </fill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relativeIndent="0" justifyLastLine="0" shrinkToFit="0" mergeCell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8" tint="0.39997558519241921"/>
        </bottom>
      </border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165" formatCode="0;[Red]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  <alignment textRotation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1" tint="0.499984740745262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0" tint="-0.499984740745262"/>
        </patternFill>
      </fill>
    </dxf>
    <dxf>
      <font>
        <color theme="0"/>
      </font>
      <fill>
        <patternFill>
          <bgColor theme="1" tint="4.9989318521683403E-2"/>
        </patternFill>
      </fill>
    </dxf>
  </dxfs>
  <tableStyles count="0" defaultTableStyle="TableStyleMedium9" defaultPivotStyle="PivotStyleLight16"/>
  <colors>
    <mruColors>
      <color rgb="FF006600"/>
      <color rgb="FF008A3E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ables/table1.xml><?xml version="1.0" encoding="utf-8"?>
<table xmlns="http://schemas.openxmlformats.org/spreadsheetml/2006/main" id="8" name="Tabla_Buffers_Agroinsumos" displayName="Tabla_Buffers_Agroinsumos" ref="A1:FP457" totalsRowShown="0" headerRowDxfId="356" dataDxfId="355">
  <autoFilter ref="A1:FP457">
    <filterColumn colId="0"/>
    <filterColumn colId="4"/>
    <filterColumn colId="6"/>
    <filterColumn colId="12"/>
    <filterColumn colId="13"/>
    <filterColumn colId="14"/>
    <filterColumn colId="15"/>
    <filterColumn colId="16"/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42"/>
    <filterColumn colId="43"/>
    <filterColumn colId="44"/>
    <filterColumn colId="45"/>
    <filterColumn colId="46"/>
    <filterColumn colId="47"/>
    <filterColumn colId="48"/>
    <filterColumn colId="49"/>
    <filterColumn colId="50"/>
    <filterColumn colId="51"/>
    <filterColumn colId="52"/>
    <filterColumn colId="53"/>
    <filterColumn colId="54"/>
    <filterColumn colId="55"/>
    <filterColumn colId="56"/>
    <filterColumn colId="57"/>
    <filterColumn colId="58"/>
    <filterColumn colId="59"/>
    <filterColumn colId="60"/>
    <filterColumn colId="61"/>
    <filterColumn colId="74"/>
    <filterColumn colId="75"/>
    <filterColumn colId="90"/>
    <filterColumn colId="91"/>
    <filterColumn colId="105"/>
    <filterColumn colId="106"/>
    <filterColumn colId="107"/>
    <filterColumn colId="121"/>
    <filterColumn colId="122"/>
    <filterColumn colId="123"/>
    <filterColumn colId="138"/>
    <filterColumn colId="139"/>
    <filterColumn colId="154"/>
    <filterColumn colId="155"/>
    <filterColumn colId="156"/>
    <filterColumn colId="157"/>
    <filterColumn colId="158"/>
    <filterColumn colId="159"/>
    <filterColumn colId="160"/>
    <filterColumn colId="161"/>
    <filterColumn colId="162"/>
    <filterColumn colId="163"/>
    <filterColumn colId="164"/>
    <filterColumn colId="165"/>
    <filterColumn colId="166"/>
    <filterColumn colId="167"/>
    <filterColumn colId="168"/>
    <filterColumn colId="169"/>
    <filterColumn colId="170"/>
    <filterColumn colId="171"/>
  </autoFilter>
  <tableColumns count="172">
    <tableColumn id="1" name="CODIGO " dataDxfId="354"/>
    <tableColumn id="2" name="DESCRIPCION" dataDxfId="353"/>
    <tableColumn id="66" name="GRUPO " dataDxfId="352"/>
    <tableColumn id="67" name="LINEA" dataDxfId="351"/>
    <tableColumn id="3" name="NATURALEZA" dataDxfId="350"/>
    <tableColumn id="23" name="PROVEEDOR" dataDxfId="349"/>
    <tableColumn id="81" name="COMPRA" dataDxfId="348"/>
    <tableColumn id="11" name="PVP" dataDxfId="347">
      <calculatedColumnFormula>VLOOKUP(Tabla_Buffers_Agroinsumos[[#This Row],[CODIGO ]],TABLACONSOLIDADA[[Codigo]:[PV]],6,0)</calculatedColumnFormula>
    </tableColumn>
    <tableColumn id="12" name="CTV" dataDxfId="346">
      <calculatedColumnFormula>VLOOKUP(Tabla_Buffers_Agroinsumos[[#This Row],[CODIGO ]],TABLACONSOLIDADA[[Codigo]:[PV]],5,0)</calculatedColumnFormula>
    </tableColumn>
    <tableColumn id="13" name="FRECUENCIA" dataDxfId="345"/>
    <tableColumn id="22" name="TIEMPO REPOSICION " dataDxfId="344"/>
    <tableColumn id="24" name="PEDIDO PROMEDIO" dataDxfId="343">
      <calculatedColumnFormula>IFERROR(Tabla_Buffers_Agroinsumos[[#This Row],[BUFFER CENTRAL]]/((Tabla_Buffers_Agroinsumos[[#This Row],[TIEMPO REPOSICION ]]/Tabla_Buffers_Agroinsumos[[#This Row],[FRECUENCIA]])+1),0)</calculatedColumnFormula>
    </tableColumn>
    <tableColumn id="25" name="BUFFER MATERIA PRIMA" dataDxfId="342">
      <calculatedColumnFormula array="1">IFERROR(INDEX(TABLACONSOLIDADA[Buff Act],MATCH("AGROINSUMOSMATERIAPRIMA"&amp;Tabla_Buffers_Agroinsumos[[#This Row],[CODIGO ]],TABLACONSOLIDADA[Bodega]&amp;TABLACONSOLIDADA[Codigo],0)),"")</calculatedColumnFormula>
    </tableColumn>
    <tableColumn id="26" name="INV FIS MATERIA PRIMA" dataDxfId="341">
      <calculatedColumnFormula array="1">IFERROR(INDEX(TABLACONSOLIDADA[Inv Fís Act],MATCH("AGROINSUMOSMATERIAPRIMA"&amp;Tabla_Buffers_Agroinsumos[[#This Row],[CODIGO ]],TABLACONSOLIDADA[Bodega]&amp;TABLACONSOLIDADA[Codigo],0)),"")</calculatedColumnFormula>
    </tableColumn>
    <tableColumn id="27" name="INV PROY MATERIA PRIMA" dataDxfId="340">
      <calculatedColumnFormula array="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calculatedColumnFormula>
    </tableColumn>
    <tableColumn id="28" name="TRANSFERENCIAS A MATERIA PRIMA" dataDxfId="339">
      <calculatedColumnFormula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calculatedColumnFormula>
    </tableColumn>
    <tableColumn id="29" name="TRANSFERENCIAS DE MATERIA PRIMA" dataDxfId="338">
      <calculatedColumnFormula>IFERROR(SUM(Tabla_Buffers_Agroinsumos[[#This Row],[MP-C]:[MP-VL]]),"")</calculatedColumnFormula>
    </tableColumn>
    <tableColumn id="30" name="FALTANTE O SOBRANTE MATERIA PRIMA" dataDxfId="337">
      <calculatedColumnFormula>IFERROR(Tabla_Buffers_Agroinsumos[[#This Row],[INV FIS MATERIA PRIMA]]-Tabla_Buffers_Agroinsumos[[#This Row],[BUFFER MATERIA PRIMA]],"")</calculatedColumnFormula>
    </tableColumn>
    <tableColumn id="31" name="FALTANTE O SOBRANTE PROYECTADO MATERIA PRIMA" dataDxfId="336">
      <calculatedColumnFormula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calculatedColumnFormula>
    </tableColumn>
    <tableColumn id="32" name="MP-C" dataDxfId="335"/>
    <tableColumn id="39" name="MP-P" dataDxfId="334"/>
    <tableColumn id="41" name="MP-SD" dataDxfId="333"/>
    <tableColumn id="74" name="MP-ML" dataDxfId="332"/>
    <tableColumn id="91" name="MP-AL" dataDxfId="331"/>
    <tableColumn id="103" name="MP-AN" dataDxfId="330"/>
    <tableColumn id="163" name="MP-AS" dataDxfId="329"/>
    <tableColumn id="164" name="MP-LF" dataDxfId="328"/>
    <tableColumn id="165" name="MP-VL" dataDxfId="327"/>
    <tableColumn id="72" name="BUFFER CENTRAL" dataDxfId="326">
      <calculatedColumnFormula array="1">IFERROR(INDEX(TABLACONSOLIDADA[Buff Act],MATCH("AGROINSUMOSCENTRAL"&amp;Tabla_Buffers_Agroinsumos[[#This Row],[CODIGO ]],TABLACONSOLIDADA[Bodega]&amp;TABLACONSOLIDADA[Codigo],0)),"")</calculatedColumnFormula>
    </tableColumn>
    <tableColumn id="4" name="INV FIS CENTRAL" dataDxfId="325">
      <calculatedColumnFormula array="1">IFERROR(INDEX(TABLACONSOLIDADA[Inv Fís Act],MATCH("AGROINSUMOSCENTRAL"&amp;Tabla_Buffers_Agroinsumos[[#This Row],[CODIGO ]],TABLACONSOLIDADA[Bodega]&amp;TABLACONSOLIDADA[Codigo],0)),"")</calculatedColumnFormula>
    </tableColumn>
    <tableColumn id="71" name="INV PROY CENTRAL" dataDxfId="324">
      <calculatedColumnFormula array="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calculatedColumnFormula>
    </tableColumn>
    <tableColumn id="5" name="TRANSFERENCIAS A CENTRAL" dataDxfId="323">
      <calculatedColumnFormula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calculatedColumnFormula>
    </tableColumn>
    <tableColumn id="6" name="TRANSFERENCIAS DE CENTRAL" dataDxfId="322">
      <calculatedColumnFormula>IFERROR(SUM(Tabla_Buffers_Agroinsumos[[#This Row],[C-MP]:[C-VL]]),"")</calculatedColumnFormula>
    </tableColumn>
    <tableColumn id="7" name="FALTANTE O SOBRANTE CENTRAL" dataDxfId="321">
      <calculatedColumnFormula>IFERROR(Tabla_Buffers_Agroinsumos[[#This Row],[INV FIS CENTRAL]]-Tabla_Buffers_Agroinsumos[[#This Row],[BUFFER CENTRAL]],"")</calculatedColumnFormula>
    </tableColumn>
    <tableColumn id="8" name="FALTANTE O SOBRANTE PROYECTADO CENTRAL" dataDxfId="320">
      <calculatedColumnFormula>IFERROR(Tabla_Buffers_Agroinsumos[[#This Row],[INV FIS CENTRAL]]+Tabla_Buffers_Agroinsumos[[#This Row],[TRANSFERENCIAS A CENTRAL]]-Tabla_Buffers_Agroinsumos[[#This Row],[BUFFER CENTRAL]]-Tabla_Buffers_Agroinsumos[[#This Row],[TRANSFERENCIAS DE CENTRAL]],"")</calculatedColumnFormula>
    </tableColumn>
    <tableColumn id="9" name="C-MP" dataDxfId="319"/>
    <tableColumn id="10" name="C-P" dataDxfId="318"/>
    <tableColumn id="76" name="C-SD" dataDxfId="317"/>
    <tableColumn id="92" name="C-ML" dataDxfId="316"/>
    <tableColumn id="88" name="C-AL" dataDxfId="315"/>
    <tableColumn id="89" name="C-AN" dataDxfId="314"/>
    <tableColumn id="90" name="C-AS" dataDxfId="313"/>
    <tableColumn id="166" name="C-LF" dataDxfId="312"/>
    <tableColumn id="167" name="C-VL" dataDxfId="311"/>
    <tableColumn id="104" name="BUFFER PROPIA" dataDxfId="310">
      <calculatedColumnFormula array="1">IFERROR(INDEX(TABLACONSOLIDADA[Buff Act],MATCH("AGROINSUMOScentralPROPIA"&amp;Tabla_Buffers_Agroinsumos[[#This Row],[CODIGO ]],TABLACONSOLIDADA[Bodega]&amp;TABLACONSOLIDADA[Codigo],0)),"")</calculatedColumnFormula>
    </tableColumn>
    <tableColumn id="105" name="INV FIS PROPIA" dataDxfId="309">
      <calculatedColumnFormula array="1">IFERROR(INDEX(TABLACONSOLIDADA[Inv Fís Act],MATCH("AGROINSUMOScentralPROPIA"&amp;Tabla_Buffers_Agroinsumos[[#This Row],[CODIGO ]],TABLACONSOLIDADA[Bodega]&amp;TABLACONSOLIDADA[Codigo],0)),"")</calculatedColumnFormula>
    </tableColumn>
    <tableColumn id="106" name="INV PROY PROPIA" dataDxfId="308">
      <calculatedColumnFormula array="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calculatedColumnFormula>
    </tableColumn>
    <tableColumn id="107" name="TRANSFERENCIAS A PROPIA" dataDxfId="307">
      <calculatedColumnFormula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calculatedColumnFormula>
    </tableColumn>
    <tableColumn id="117" name="TRANSFERENCIAS DE PROPIA" dataDxfId="306">
      <calculatedColumnFormula>IFERROR(SUM(Tabla_Buffers_Agroinsumos[[#This Row],[P-MP]:[P-VL]]),"")</calculatedColumnFormula>
    </tableColumn>
    <tableColumn id="124" name="FALTANTE O SOBRANTE PROPIA" dataDxfId="305">
      <calculatedColumnFormula>IFERROR(Tabla_Buffers_Agroinsumos[[#This Row],[INV FIS PROPIA]]-Tabla_Buffers_Agroinsumos[[#This Row],[BUFFER PROPIA]],"")</calculatedColumnFormula>
    </tableColumn>
    <tableColumn id="143" name="FALTANTE O SOBRANTE PROYECTADO PROPIA" dataDxfId="304">
      <calculatedColumnFormula>IFERROR(Tabla_Buffers_Agroinsumos[[#This Row],[INV FIS PROPIA]]+Tabla_Buffers_Agroinsumos[[#This Row],[TRANSFERENCIAS A PROPIA]]-Tabla_Buffers_Agroinsumos[[#This Row],[BUFFER PROPIA]]-Tabla_Buffers_Agroinsumos[[#This Row],[TRANSFERENCIAS DE PROPIA]],"")</calculatedColumnFormula>
    </tableColumn>
    <tableColumn id="144" name="P-MP" dataDxfId="303"/>
    <tableColumn id="145" name="P-C" dataDxfId="302"/>
    <tableColumn id="146" name="P-SD" dataDxfId="301"/>
    <tableColumn id="147" name="P-ML" dataDxfId="300"/>
    <tableColumn id="148" name="P-AL" dataDxfId="299"/>
    <tableColumn id="149" name="P-AN" dataDxfId="298"/>
    <tableColumn id="150" name="P-AS" dataDxfId="297"/>
    <tableColumn id="168" name="P-LF" dataDxfId="296"/>
    <tableColumn id="169" name="P-VL" dataDxfId="295"/>
    <tableColumn id="14" name="BUFFER STODOMINGO " dataDxfId="294">
      <calculatedColumnFormula array="1">IFERROR(INDEX(TABLACONSOLIDADA[Buff Act],MATCH("AGROINSUMOSSTODOMINGO"&amp;Tabla_Buffers_Agroinsumos[[#This Row],[CODIGO ]],TABLACONSOLIDADA[Bodega]&amp;TABLACONSOLIDADA[Codigo],0)),"")</calculatedColumnFormula>
    </tableColumn>
    <tableColumn id="15" name="INV FIS STODOMINGO" dataDxfId="293">
      <calculatedColumnFormula array="1">IFERROR(INDEX(TABLACONSOLIDADA[Inv Fís Act],MATCH("AGROINSUMOSSTODOMINGO"&amp;Tabla_Buffers_Agroinsumos[[#This Row],[CODIGO ]],TABLACONSOLIDADA[Bodega]&amp;TABLACONSOLIDADA[Codigo],0)),"")</calculatedColumnFormula>
    </tableColumn>
    <tableColumn id="73" name="INV PROY STODOMINGO" dataDxfId="292">
      <calculatedColumnFormula array="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calculatedColumnFormula>
    </tableColumn>
    <tableColumn id="16" name="TRANSFERENCIAS A STODOMINGO" dataDxfId="291">
      <calculatedColumnFormula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calculatedColumnFormula>
    </tableColumn>
    <tableColumn id="17" name="TRANSFERENCIAS DE STODOMINGO" dataDxfId="290">
      <calculatedColumnFormula>IFERROR(SUM(Tabla_Buffers_Agroinsumos[[#This Row],[SD-MP]:[SD-VL]]),"")</calculatedColumnFormula>
    </tableColumn>
    <tableColumn id="18" name="FALTANTE O SOBRANTE STODOMINGO " dataDxfId="289"/>
    <tableColumn id="19" name="FALTANTE O SOBRANTE PROYECTADO STODOMINGO" dataDxfId="288"/>
    <tableColumn id="20" name="SD-MP" dataDxfId="287"/>
    <tableColumn id="21" name="SD-C" dataDxfId="286"/>
    <tableColumn id="93" name="SD-P" dataDxfId="285"/>
    <tableColumn id="96" name="SD-ML" dataDxfId="284"/>
    <tableColumn id="100" name="SD-AL" dataDxfId="283"/>
    <tableColumn id="101" name="SD-AN" dataDxfId="282"/>
    <tableColumn id="102" name="SD-AS" dataDxfId="281"/>
    <tableColumn id="170" name="SD-LF" dataDxfId="280"/>
    <tableColumn id="171" name="SD-VL" dataDxfId="279"/>
    <tableColumn id="33" name="BUFFER ML" dataDxfId="278">
      <calculatedColumnFormula array="1">IFERROR(INDEX(TABLACONSOLIDADA[Buff Act],MATCH("AGROINSUMOSMONCAYOLOPEZ"&amp;Tabla_Buffers_Agroinsumos[[#This Row],[CODIGO ]],TABLACONSOLIDADA[Bodega]&amp;TABLACONSOLIDADA[Codigo],0)),"")</calculatedColumnFormula>
    </tableColumn>
    <tableColumn id="34" name="INV FIS ML" dataDxfId="277">
      <calculatedColumnFormula array="1">IFERROR(INDEX(TABLACONSOLIDADA[Inv Fís Act],MATCH("AGROINSUMOSMONCAYOLOPEZ"&amp;Tabla_Buffers_Agroinsumos[[#This Row],[CODIGO ]],TABLACONSOLIDADA[Bodega]&amp;TABLACONSOLIDADA[Codigo],0)),"")</calculatedColumnFormula>
    </tableColumn>
    <tableColumn id="35" name="INV PROY ML" dataDxfId="276">
      <calculatedColumnFormula array="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calculatedColumnFormula>
    </tableColumn>
    <tableColumn id="36" name="TRANSFERENCIAS A ML" dataDxfId="275">
      <calculatedColumnFormula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calculatedColumnFormula>
    </tableColumn>
    <tableColumn id="37" name="TRANSFERENCIAS DE ML" dataDxfId="274">
      <calculatedColumnFormula>IFERROR(SUM(Tabla_Buffers_Agroinsumos[[#This Row],[ML-MP]:[ML-VL]]),"")</calculatedColumnFormula>
    </tableColumn>
    <tableColumn id="38" name="FALTANTE O SOBRANTE ML" dataDxfId="273">
      <calculatedColumnFormula>IFERROR(Tabla_Buffers_Agroinsumos[[#This Row],[INV FIS ML]]-Tabla_Buffers_Agroinsumos[[#This Row],[BUFFER ML]],"")</calculatedColumnFormula>
    </tableColumn>
    <tableColumn id="40" name="FALTANTE O SOBRANTE PROYECTADO ML" dataDxfId="272">
      <calculatedColumnFormula>IFERROR(Tabla_Buffers_Agroinsumos[[#This Row],[INV FIS ML]]+Tabla_Buffers_Agroinsumos[[#This Row],[TRANSFERENCIAS A ML]]-Tabla_Buffers_Agroinsumos[[#This Row],[BUFFER ML]]-Tabla_Buffers_Agroinsumos[[#This Row],[TRANSFERENCIAS DE ML]],"")</calculatedColumnFormula>
    </tableColumn>
    <tableColumn id="108" name="ML-MP" dataDxfId="271"/>
    <tableColumn id="109" name="ML-C" dataDxfId="270"/>
    <tableColumn id="110" name="ML-P" dataDxfId="269"/>
    <tableColumn id="111" name="ML-SD" dataDxfId="268"/>
    <tableColumn id="112" name="ML-AL" dataDxfId="267"/>
    <tableColumn id="113" name="ML-AN" dataDxfId="266"/>
    <tableColumn id="114" name="ML-AS" dataDxfId="265"/>
    <tableColumn id="172" name="ML-LF" dataDxfId="264"/>
    <tableColumn id="173" name="ML-VL" dataDxfId="263"/>
    <tableColumn id="42" name="BUFFER AL" dataDxfId="262">
      <calculatedColumnFormula array="1">IFERROR(INDEX(TABLACONSOLIDADA[Buff Act],MATCH("AGROINSUMOSAGROHERMANOSLEON"&amp;Tabla_Buffers_Agroinsumos[[#This Row],[CODIGO ]],TABLACONSOLIDADA[Bodega]&amp;TABLACONSOLIDADA[Codigo],0)),"")</calculatedColumnFormula>
    </tableColumn>
    <tableColumn id="43" name="INV FIS AL" dataDxfId="261">
      <calculatedColumnFormula array="1">IFERROR(INDEX(TABLACONSOLIDADA[Inv Fís Act],MATCH("AGROINSUMOSAGROHERMANOSLEON"&amp;Tabla_Buffers_Agroinsumos[[#This Row],[CODIGO ]],TABLACONSOLIDADA[Bodega]&amp;TABLACONSOLIDADA[Codigo],0)),"")</calculatedColumnFormula>
    </tableColumn>
    <tableColumn id="44" name="INV PROY AL" dataDxfId="260">
      <calculatedColumnFormula array="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calculatedColumnFormula>
    </tableColumn>
    <tableColumn id="45" name="TRANSFERENCIAS A AL" dataDxfId="259">
      <calculatedColumnFormula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calculatedColumnFormula>
    </tableColumn>
    <tableColumn id="46" name="TRANSFERENCIAS DE AL" dataDxfId="258">
      <calculatedColumnFormula>IFERROR(SUM(Tabla_Buffers_Agroinsumos[[#This Row],[AL-MP]:[AL-VL]]),"")</calculatedColumnFormula>
    </tableColumn>
    <tableColumn id="47" name="FALTANTE O SOBRANTE AL" dataDxfId="257">
      <calculatedColumnFormula>IFERROR(Tabla_Buffers_Agroinsumos[[#This Row],[INV FIS AL]]-Tabla_Buffers_Agroinsumos[[#This Row],[BUFFER AL]],"")</calculatedColumnFormula>
    </tableColumn>
    <tableColumn id="48" name="FALTANTE O SOBRANTE PROYECTADO AL" dataDxfId="256">
      <calculatedColumnFormula>IFERROR(Tabla_Buffers_Agroinsumos[[#This Row],[INV FIS AL]]+Tabla_Buffers_Agroinsumos[[#This Row],[TRANSFERENCIAS A AL]]-Tabla_Buffers_Agroinsumos[[#This Row],[BUFFER AL]]-Tabla_Buffers_Agroinsumos[[#This Row],[TRANSFERENCIAS DE AL]],"")</calculatedColumnFormula>
    </tableColumn>
    <tableColumn id="115" name="AL-MP" dataDxfId="255"/>
    <tableColumn id="116" name="AL-C" dataDxfId="254"/>
    <tableColumn id="118" name="AL-P" dataDxfId="253"/>
    <tableColumn id="119" name="AL-SD" dataDxfId="252"/>
    <tableColumn id="120" name="AL-ML" dataDxfId="251"/>
    <tableColumn id="121" name="AL-AN" dataDxfId="250"/>
    <tableColumn id="174" name="AL-AS" dataDxfId="249"/>
    <tableColumn id="175" name="AL-LF" dataDxfId="248"/>
    <tableColumn id="176" name="AL-VL" dataDxfId="247"/>
    <tableColumn id="49" name="BUFFER AN" dataDxfId="246">
      <calculatedColumnFormula array="1">IFERROR(INDEX(TABLACONSOLIDADA[Buff Act],MATCH("AGROINSUMOSAGRONUEVO"&amp;Tabla_Buffers_Agroinsumos[[#This Row],[CODIGO ]],TABLACONSOLIDADA[Bodega]&amp;TABLACONSOLIDADA[Codigo],0)),"")</calculatedColumnFormula>
    </tableColumn>
    <tableColumn id="50" name="INV FIS AN" dataDxfId="245">
      <calculatedColumnFormula array="1">IFERROR(INDEX(TABLACONSOLIDADA[Inv Fís Act],MATCH("AGROINSUMOSAGRONUEVO"&amp;Tabla_Buffers_Agroinsumos[[#This Row],[CODIGO ]],TABLACONSOLIDADA[Bodega]&amp;TABLACONSOLIDADA[Codigo],0)),"")</calculatedColumnFormula>
    </tableColumn>
    <tableColumn id="51" name="INV PROY AN" dataDxfId="244">
      <calculatedColumnFormula array="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calculatedColumnFormula>
    </tableColumn>
    <tableColumn id="52" name="TRANSFERENCIAS A AN" dataDxfId="243">
      <calculatedColumnFormula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calculatedColumnFormula>
    </tableColumn>
    <tableColumn id="53" name="TRANSFERENCIAS DE AN" dataDxfId="242">
      <calculatedColumnFormula>IFERROR(SUM(Tabla_Buffers_Agroinsumos[[#This Row],[AN-MP]:[AN-VL]]),"")</calculatedColumnFormula>
    </tableColumn>
    <tableColumn id="54" name="FALTANTE O SOBRANTE AN" dataDxfId="241">
      <calculatedColumnFormula>IFERROR(Tabla_Buffers_Agroinsumos[[#This Row],[INV FIS AN]]-Tabla_Buffers_Agroinsumos[[#This Row],[BUFFER AN]],"")</calculatedColumnFormula>
    </tableColumn>
    <tableColumn id="55" name="FALTANTE O SOBRANTE PROYECTADO AN" dataDxfId="240">
      <calculatedColumnFormula>IFERROR(Tabla_Buffers_Agroinsumos[[#This Row],[INV FIS AN]]+Tabla_Buffers_Agroinsumos[[#This Row],[TRANSFERENCIAS A AN]]-Tabla_Buffers_Agroinsumos[[#This Row],[BUFFER AN]]-Tabla_Buffers_Agroinsumos[[#This Row],[TRANSFERENCIAS DE AN]],"")</calculatedColumnFormula>
    </tableColumn>
    <tableColumn id="122" name="AN-MP" dataDxfId="239"/>
    <tableColumn id="123" name="AN-C" dataDxfId="238"/>
    <tableColumn id="125" name="AN-P" dataDxfId="237"/>
    <tableColumn id="126" name="AN-SD" dataDxfId="236"/>
    <tableColumn id="127" name="AN-ML" dataDxfId="235"/>
    <tableColumn id="128" name="AN-AL" dataDxfId="234"/>
    <tableColumn id="177" name="AN-AS" dataDxfId="233"/>
    <tableColumn id="178" name="AN-LF" dataDxfId="232"/>
    <tableColumn id="179" name="AN-VL" dataDxfId="231"/>
    <tableColumn id="56" name="BUFFER AS" dataDxfId="230">
      <calculatedColumnFormula array="1">IFERROR(INDEX(TABLACONSOLIDADA[Buff Act],MATCH("AGROINSUMOSAGROQUIMICOSSUR"&amp;Tabla_Buffers_Agroinsumos[[#This Row],[CODIGO ]],TABLACONSOLIDADA[Bodega]&amp;TABLACONSOLIDADA[Codigo],0)),"")</calculatedColumnFormula>
    </tableColumn>
    <tableColumn id="57" name="INV FIS AS" dataDxfId="229">
      <calculatedColumnFormula array="1">IFERROR(INDEX(TABLACONSOLIDADA[Inv Fís Act],MATCH("AGROINSUMOSAGROQUIMICOSSUR"&amp;Tabla_Buffers_Agroinsumos[[#This Row],[CODIGO ]],TABLACONSOLIDADA[Bodega]&amp;TABLACONSOLIDADA[Codigo],0)),"")</calculatedColumnFormula>
    </tableColumn>
    <tableColumn id="58" name="INV PROY AS" dataDxfId="228">
      <calculatedColumnFormula array="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calculatedColumnFormula>
    </tableColumn>
    <tableColumn id="59" name="TRANSFERENCIAS A AS" dataDxfId="227">
      <calculatedColumnFormula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calculatedColumnFormula>
    </tableColumn>
    <tableColumn id="60" name="TRANSFERENCIAS DE AS" dataDxfId="226">
      <calculatedColumnFormula>IFERROR(SUM(Tabla_Buffers_Agroinsumos[[#This Row],[AS-MP]:[AS-VL]]),"")</calculatedColumnFormula>
    </tableColumn>
    <tableColumn id="61" name="FALTANTE O SOBRANTE AS" dataDxfId="225">
      <calculatedColumnFormula>IFERROR(Tabla_Buffers_Agroinsumos[[#This Row],[INV FIS AS]]-Tabla_Buffers_Agroinsumos[[#This Row],[BUFFER AS]],"")</calculatedColumnFormula>
    </tableColumn>
    <tableColumn id="62" name="FALTANTE O SOBRANTE PROYECTADO AS" dataDxfId="224">
      <calculatedColumnFormula>IFERROR(Tabla_Buffers_Agroinsumos[[#This Row],[INV FIS AS]]+Tabla_Buffers_Agroinsumos[[#This Row],[TRANSFERENCIAS A AS]]-Tabla_Buffers_Agroinsumos[[#This Row],[BUFFER AS]]-Tabla_Buffers_Agroinsumos[[#This Row],[TRANSFERENCIAS DE AS]],"")</calculatedColumnFormula>
    </tableColumn>
    <tableColumn id="129" name="AS-MP" dataDxfId="223"/>
    <tableColumn id="130" name="AS-C" dataDxfId="222"/>
    <tableColumn id="131" name="AS-P" dataDxfId="221"/>
    <tableColumn id="132" name="AS-SD" dataDxfId="220"/>
    <tableColumn id="133" name="AS-ML" dataDxfId="219"/>
    <tableColumn id="134" name="AS-AL" dataDxfId="218"/>
    <tableColumn id="135" name="AS-AN" dataDxfId="217"/>
    <tableColumn id="180" name="AS-LF" dataDxfId="216"/>
    <tableColumn id="181" name="AS-VL" dataDxfId="215"/>
    <tableColumn id="63" name="BUFFER LF" dataDxfId="214">
      <calculatedColumnFormula array="1">IFERROR(INDEX(TABLACONSOLIDADA[Buff Act],MATCH("AGROINSUMOSLAFINCA"&amp;Tabla_Buffers_Agroinsumos[[#This Row],[CODIGO ]],TABLACONSOLIDADA[Bodega]&amp;TABLACONSOLIDADA[Codigo],0)),"")</calculatedColumnFormula>
    </tableColumn>
    <tableColumn id="64" name="INV FIS LF" dataDxfId="213">
      <calculatedColumnFormula array="1">IFERROR(INDEX(TABLACONSOLIDADA[Inv Fís Act],MATCH("AGROINSUMOSLAFINCA"&amp;Tabla_Buffers_Agroinsumos[[#This Row],[CODIGO ]],TABLACONSOLIDADA[Bodega]&amp;TABLACONSOLIDADA[Codigo],0)),"")</calculatedColumnFormula>
    </tableColumn>
    <tableColumn id="65" name="INV PROY LF" dataDxfId="212">
      <calculatedColumnFormula array="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calculatedColumnFormula>
    </tableColumn>
    <tableColumn id="68" name="TRANSFERENCIAS A LF" dataDxfId="211">
      <calculatedColumnFormula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calculatedColumnFormula>
    </tableColumn>
    <tableColumn id="69" name="TRANSFERENCIAS DE LF" dataDxfId="210">
      <calculatedColumnFormula>IFERROR(SUM(Tabla_Buffers_Agroinsumos[[#This Row],[LF-MP]:[LF-VL]]),"")</calculatedColumnFormula>
    </tableColumn>
    <tableColumn id="70" name="FALTANTE O SOBRANTE LF" dataDxfId="209">
      <calculatedColumnFormula>IFERROR(Tabla_Buffers_Agroinsumos[[#This Row],[INV FIS LF]]-Tabla_Buffers_Agroinsumos[[#This Row],[BUFFER LF]],"")</calculatedColumnFormula>
    </tableColumn>
    <tableColumn id="75" name="FALTANTE O SOBRANTE PROYECTADO LF" dataDxfId="208">
      <calculatedColumnFormula>IFERROR(Tabla_Buffers_Agroinsumos[[#This Row],[INV FIS LF]]+Tabla_Buffers_Agroinsumos[[#This Row],[TRANSFERENCIAS A LF]]-Tabla_Buffers_Agroinsumos[[#This Row],[BUFFER LF]]-Tabla_Buffers_Agroinsumos[[#This Row],[TRANSFERENCIAS DE LF]],"")</calculatedColumnFormula>
    </tableColumn>
    <tableColumn id="136" name="LF-MP" dataDxfId="207"/>
    <tableColumn id="137" name="LF-C" dataDxfId="206"/>
    <tableColumn id="138" name="LF-P" dataDxfId="205"/>
    <tableColumn id="139" name="LF-SD" dataDxfId="204"/>
    <tableColumn id="140" name="LF-ML" dataDxfId="203"/>
    <tableColumn id="141" name="LF-AL" dataDxfId="202"/>
    <tableColumn id="142" name="LF-AN" dataDxfId="201"/>
    <tableColumn id="182" name="LF-AS" dataDxfId="200"/>
    <tableColumn id="183" name="LF-VL" dataDxfId="199"/>
    <tableColumn id="151" name="BUFFER VL" dataDxfId="198">
      <calculatedColumnFormula array="1">IFERROR(INDEX(TABLACONSOLIDADA[Buff Act],MATCH("AGROINSUMOSVERONICALEDESMA"&amp;Tabla_Buffers_Agroinsumos[[#This Row],[CODIGO ]],TABLACONSOLIDADA[Bodega]&amp;TABLACONSOLIDADA[Codigo],0)),"")</calculatedColumnFormula>
    </tableColumn>
    <tableColumn id="152" name="INV FIS VL" dataDxfId="197">
      <calculatedColumnFormula array="1">IFERROR(INDEX(TABLACONSOLIDADA[Inv Fís Act],MATCH("AGROINSUMOSVERONICALEDESMA"&amp;Tabla_Buffers_Agroinsumos[[#This Row],[CODIGO ]],TABLACONSOLIDADA[Bodega]&amp;TABLACONSOLIDADA[Codigo],0)),"")</calculatedColumnFormula>
    </tableColumn>
    <tableColumn id="153" name="INV PROY VL" dataDxfId="196">
      <calculatedColumnFormula array="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calculatedColumnFormula>
    </tableColumn>
    <tableColumn id="154" name="TRANSFERENCIAS A VL" dataDxfId="195">
      <calculatedColumnFormula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calculatedColumnFormula>
    </tableColumn>
    <tableColumn id="155" name="TRANSFERENCIAS DE VL" dataDxfId="194">
      <calculatedColumnFormula>IFERROR(SUM(Tabla_Buffers_Agroinsumos[[#This Row],[VL-MP]:[VL-LF]]),"")</calculatedColumnFormula>
    </tableColumn>
    <tableColumn id="156" name="FALTANTE O SOBRANTE VL" dataDxfId="193">
      <calculatedColumnFormula>IFERROR(Tabla_Buffers_Agroinsumos[[#This Row],[INV FIS VL]]-Tabla_Buffers_Agroinsumos[[#This Row],[BUFFER VL]],"")</calculatedColumnFormula>
    </tableColumn>
    <tableColumn id="157" name="FALTANTE O SOBRANTE PROYECTADO VL" dataDxfId="192">
      <calculatedColumnFormula>IFERROR(Tabla_Buffers_Agroinsumos[[#This Row],[INV FIS VL]]+Tabla_Buffers_Agroinsumos[[#This Row],[TRANSFERENCIAS A VL]]-Tabla_Buffers_Agroinsumos[[#This Row],[BUFFER VL]]-Tabla_Buffers_Agroinsumos[[#This Row],[TRANSFERENCIAS DE VL]],"")</calculatedColumnFormula>
    </tableColumn>
    <tableColumn id="158" name="VL-MP" dataDxfId="191"/>
    <tableColumn id="159" name="VL-C" dataDxfId="190"/>
    <tableColumn id="160" name="VL-P" dataDxfId="189"/>
    <tableColumn id="161" name="VL-SD" dataDxfId="188"/>
    <tableColumn id="162" name="VL-ML" dataDxfId="187"/>
    <tableColumn id="184" name="VL-AL" dataDxfId="186"/>
    <tableColumn id="185" name="VL-AN" dataDxfId="185"/>
    <tableColumn id="186" name="VL-AS" dataDxfId="184"/>
    <tableColumn id="187" name="VL-LF" dataDxfId="183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id="10" name="TABLACONSOLIDADA" displayName="TABLACONSOLIDADA" ref="A1:S1793" totalsRowShown="0">
  <autoFilter ref="A1:S1793">
    <filterColumn colId="0"/>
    <filterColumn colId="3"/>
    <filterColumn colId="16"/>
  </autoFilter>
  <tableColumns count="19">
    <tableColumn id="18" name="Bodega"/>
    <tableColumn id="2" name="Proveedor"/>
    <tableColumn id="19" name="Archivo"/>
    <tableColumn id="3" name="Codigo"/>
    <tableColumn id="4" name="Descripcion"/>
    <tableColumn id="5" name="Grupo"/>
    <tableColumn id="6" name="Linea"/>
    <tableColumn id="28" name="CTV"/>
    <tableColumn id="29" name="PV"/>
    <tableColumn id="25" name="Inv Proveed"/>
    <tableColumn id="7" name="Buff Act"/>
    <tableColumn id="8" name="Inv Fís Act"/>
    <tableColumn id="30" name="Color"/>
    <tableColumn id="10" name="Tráns Act"/>
    <tableColumn id="11" name="Comprom"/>
    <tableColumn id="12" name="Backorders"/>
    <tableColumn id="1" name="Inv Proy Act"/>
    <tableColumn id="14" name="PEDIDCalc"/>
    <tableColumn id="20" name="Consumo" dataDxfId="18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6" name="Tabla17" displayName="Tabla17" ref="A1:AR209" totalsRowShown="0" headerRowDxfId="176" dataDxfId="175">
  <autoFilter ref="A1:AR209">
    <filterColumn colId="4"/>
    <filterColumn colId="5"/>
    <filterColumn colId="6"/>
    <filterColumn colId="7"/>
    <filterColumn colId="8"/>
    <filterColumn colId="13"/>
    <filterColumn colId="15"/>
    <filterColumn colId="16"/>
    <filterColumn colId="19"/>
    <filterColumn colId="28"/>
    <filterColumn colId="31"/>
    <filterColumn colId="33"/>
    <filterColumn colId="34"/>
    <filterColumn colId="35"/>
    <filterColumn colId="36"/>
    <filterColumn colId="37"/>
    <filterColumn colId="38"/>
    <filterColumn colId="41"/>
    <filterColumn colId="42"/>
    <filterColumn colId="43"/>
  </autoFilter>
  <sortState ref="A2:AR197">
    <sortCondition ref="B2:B197"/>
  </sortState>
  <tableColumns count="44">
    <tableColumn id="1" name="CODIGO " dataDxfId="174"/>
    <tableColumn id="2" name="DESCRIPCION" dataDxfId="173"/>
    <tableColumn id="3" name="UNIDAD" dataDxfId="172"/>
    <tableColumn id="66" name="GRUPO " dataDxfId="171"/>
    <tableColumn id="14" name="ANASILISIS ECONOMICO" dataDxfId="170"/>
    <tableColumn id="15" name="CREDITO PROVEEDOR" dataDxfId="169"/>
    <tableColumn id="16" name="CRÉDITO CLIENTE" dataDxfId="168"/>
    <tableColumn id="67" name="LINEA" dataDxfId="167"/>
    <tableColumn id="7" name="ESTADO " dataDxfId="166"/>
    <tableColumn id="8" name="TIPO" dataDxfId="165"/>
    <tableColumn id="4" name="PVP" dataDxfId="164"/>
    <tableColumn id="5" name="PVD" dataDxfId="163">
      <calculatedColumnFormula>+K2*75%</calculatedColumnFormula>
    </tableColumn>
    <tableColumn id="6" name="COSTOS" dataDxfId="162"/>
    <tableColumn id="17" name="VTAS ESTIMADAS" dataDxfId="161"/>
    <tableColumn id="75" name="Compra  Minima" dataDxfId="160"/>
    <tableColumn id="87" name="PROVEEDOR" dataDxfId="159"/>
    <tableColumn id="77" name="COMPRA" dataDxfId="158"/>
    <tableColumn id="9" name="FRECUENCIA" dataDxfId="157"/>
    <tableColumn id="10" name="TIEMPO REPOSICION " dataDxfId="156"/>
    <tableColumn id="80" name="DIVISION POR TR" dataDxfId="155"/>
    <tableColumn id="64" name="CONSUMO TOTAL PROPIO" dataDxfId="154"/>
    <tableColumn id="76" name="CONSUMO TOTAL PRO VALO" dataDxfId="153"/>
    <tableColumn id="11" name="CONSUMO PROMEDIO PROPIO" dataDxfId="152">
      <calculatedColumnFormula>Tabla17[[#This Row],[CONSUMO TOTAL PRO VALO]]/52</calculatedColumnFormula>
    </tableColumn>
    <tableColumn id="65" name="CONSUMO TOTAL TODAS FÓRMULA" dataDxfId="151">
      <calculatedColumnFormula>Tabla2[[#This Row],[CONSUMO TOTAL ]]+Tabla3[[#This Row],[CONSUMO TOTAL]]+#REF!+#REF!</calculatedColumnFormula>
    </tableColumn>
    <tableColumn id="70" name="CONSUMO TOTAL TODAS" dataDxfId="150"/>
    <tableColumn id="68" name="CONSUMO PROMEDIO TODAS" dataDxfId="149">
      <calculatedColumnFormula>Tabla17[[#This Row],[CONSUMO TOTAL TODAS]]/52</calculatedColumnFormula>
    </tableColumn>
    <tableColumn id="69" name="CONSUMO PROMEDIO TOTAL" dataDxfId="148">
      <calculatedColumnFormula>Tabla17[[#This Row],[CONSUMO PROMEDIO PROPIO]]+Tabla17[[#This Row],[CONSUMO PROMEDIO TODAS]]</calculatedColumnFormula>
    </tableColumn>
    <tableColumn id="71" name="BUFFER CALCULADO FÓRMULA" dataDxfId="147">
      <calculatedColumnFormula>Tabla17[[#This Row],[CONSUMO PROMEDIO TOTAL]]*(Tabla17[[#This Row],[FRECUENCIA]]+Tabla17[[#This Row],[TIEMPO REPOSICION ]])*1.7</calculatedColumnFormula>
    </tableColumn>
    <tableColumn id="18" name="BUFFER ANTERIOR" dataDxfId="146"/>
    <tableColumn id="72" name="BUFFER REAL" dataDxfId="145"/>
    <tableColumn id="81" name="INVENTARIO FISICO " dataDxfId="144">
      <calculatedColumnFormula>VLOOKUP(Tabla17[[#This Row],[CODIGO ]],#REF!,2,0)</calculatedColumnFormula>
    </tableColumn>
    <tableColumn id="78" name="INVENTARIO EN TRÁNSITO" dataDxfId="143">
      <calculatedColumnFormula>IFERROR(VLOOKUP(Tabla17[[#This Row],[CODIGO ]],#REF!,2,0),0)</calculatedColumnFormula>
    </tableColumn>
    <tableColumn id="83" name="M.P  A PEDIR" dataDxfId="142">
      <calculatedColumnFormula>Tabla17[[#This Row],[INVENTARIO FISICO ]]-Tabla17[[#This Row],[BUFFER REAL]]</calculatedColumnFormula>
    </tableColumn>
    <tableColumn id="84" name="SINOCHEM EN TRANSITO  " dataDxfId="141"/>
    <tableColumn id="90" name="TRANSITO LOCAL" dataDxfId="140"/>
    <tableColumn id="12" name="TOTAL TRANSITO LOCAL E IMPORTACIÓNES" dataDxfId="139">
      <calculatedColumnFormula>Tabla17[[#This Row],[SINOCHEM EN TRANSITO  ]]+Tabla17[[#This Row],[TRANSITO LOCAL]]</calculatedColumnFormula>
    </tableColumn>
    <tableColumn id="91" name="COMPRA MINIMA" dataDxfId="138"/>
    <tableColumn id="13" name="INV COMPROMETIDO" dataDxfId="137"/>
    <tableColumn id="93" name="A PEDIR" dataDxfId="136">
      <calculatedColumnFormula>Tabla17[[#This Row],[INVENTARIO FISICO ]]-Tabla17[[#This Row],[BUFFER REAL]]+Tabla17[[#This Row],[SINOCHEM EN TRANSITO  ]]+Tabla17[[#This Row],[TRANSITO LOCAL]]</calculatedColumnFormula>
    </tableColumn>
    <tableColumn id="73" name="Pedido Promedio" dataDxfId="135">
      <calculatedColumnFormula>Tabla17[[#This Row],[BUFFER REAL]]/((Tabla17[[#This Row],[TIEMPO REPOSICION ]]/Tabla17[[#This Row],[FRECUENCIA]])+1)</calculatedColumnFormula>
    </tableColumn>
    <tableColumn id="74" name="PEDIDO REAL 05 MARZO" dataDxfId="134"/>
    <tableColumn id="19" name="COMPRAS LOCALES 16MARZO" dataDxfId="133"/>
    <tableColumn id="20" name="PEDIDO 30 MARZO IMPORTACIÓN" dataDxfId="132"/>
    <tableColumn id="21" name="PEDIDO 05 de abril" dataDxfId="131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A1:CK121" totalsRowShown="0" headerRowDxfId="130" dataDxfId="129">
  <autoFilter ref="A1:CK121">
    <filterColumn colId="1"/>
    <filterColumn colId="3"/>
    <filterColumn colId="4"/>
    <filterColumn colId="5"/>
    <filterColumn colId="6"/>
    <filterColumn colId="65"/>
    <filterColumn colId="66"/>
    <filterColumn colId="67"/>
    <filterColumn colId="68"/>
    <filterColumn colId="69"/>
    <filterColumn colId="70"/>
    <filterColumn colId="71"/>
    <filterColumn colId="72"/>
    <filterColumn colId="73"/>
    <filterColumn colId="74"/>
    <filterColumn colId="75"/>
    <filterColumn colId="76"/>
    <filterColumn colId="77"/>
    <filterColumn colId="78"/>
    <filterColumn colId="79"/>
    <filterColumn colId="80"/>
    <filterColumn colId="81"/>
    <filterColumn colId="82"/>
    <filterColumn colId="83"/>
    <filterColumn colId="84"/>
    <filterColumn colId="85"/>
    <filterColumn colId="86"/>
    <filterColumn colId="87"/>
    <filterColumn colId="88"/>
  </autoFilter>
  <sortState ref="A2:CK119">
    <sortCondition ref="B2:B119"/>
  </sortState>
  <tableColumns count="89">
    <tableColumn id="1" name="CODIGO " dataDxfId="128"/>
    <tableColumn id="2" name="DESCRIPCION" dataDxfId="127"/>
    <tableColumn id="3" name="UNIDAD" dataDxfId="126"/>
    <tableColumn id="66" name="GRUPO " dataDxfId="125"/>
    <tableColumn id="67" name="LINEA" dataDxfId="124"/>
    <tableColumn id="7" name="ESTADO " dataDxfId="123"/>
    <tableColumn id="8" name="TIPO" dataDxfId="122"/>
    <tableColumn id="4" name="PVP" dataDxfId="121"/>
    <tableColumn id="5" name="PVD" dataDxfId="120">
      <calculatedColumnFormula>+H2*75%</calculatedColumnFormula>
    </tableColumn>
    <tableColumn id="6" name="COSTOS" dataDxfId="119"/>
    <tableColumn id="9" name="FRECUENCIA" dataDxfId="118"/>
    <tableColumn id="10" name="TIEMPO REPOSICION BUFFERS" dataDxfId="117"/>
    <tableColumn id="12" name="SEM.1" dataDxfId="116"/>
    <tableColumn id="13" name="SEM.2" dataDxfId="115"/>
    <tableColumn id="14" name="SEM.3" dataDxfId="114"/>
    <tableColumn id="15" name="SEM.4" dataDxfId="113"/>
    <tableColumn id="16" name="SEM.5" dataDxfId="112"/>
    <tableColumn id="17" name="SEM.6" dataDxfId="111"/>
    <tableColumn id="18" name="SEM.7" dataDxfId="110"/>
    <tableColumn id="19" name="SEM.8" dataDxfId="109"/>
    <tableColumn id="20" name="SEM.9" dataDxfId="108"/>
    <tableColumn id="21" name="SEM.10" dataDxfId="107"/>
    <tableColumn id="22" name="SEM.11" dataDxfId="106"/>
    <tableColumn id="23" name="SEM.12" dataDxfId="105"/>
    <tableColumn id="24" name="SEM.13" dataDxfId="104"/>
    <tableColumn id="25" name="SEM.14" dataDxfId="103"/>
    <tableColumn id="26" name="SEM.15" dataDxfId="102"/>
    <tableColumn id="27" name="SEM.16" dataDxfId="101"/>
    <tableColumn id="28" name="SEM.17" dataDxfId="100"/>
    <tableColumn id="29" name="SEM.18" dataDxfId="99"/>
    <tableColumn id="30" name="SEM.19" dataDxfId="98"/>
    <tableColumn id="31" name="SEM.20" dataDxfId="97"/>
    <tableColumn id="32" name="SEM.21" dataDxfId="96"/>
    <tableColumn id="33" name="SEM.22" dataDxfId="95"/>
    <tableColumn id="34" name="SEM.23" dataDxfId="94"/>
    <tableColumn id="35" name="SEM.24" dataDxfId="93"/>
    <tableColumn id="36" name="SEM.25" dataDxfId="92"/>
    <tableColumn id="37" name="SEM.26" dataDxfId="91"/>
    <tableColumn id="38" name="SEM.27" dataDxfId="90"/>
    <tableColumn id="39" name="SEM.28" dataDxfId="89"/>
    <tableColumn id="40" name="SEM.29" dataDxfId="88"/>
    <tableColumn id="41" name="SEM.30" dataDxfId="87"/>
    <tableColumn id="42" name="SEM.31" dataDxfId="86"/>
    <tableColumn id="43" name="SEM.32" dataDxfId="85"/>
    <tableColumn id="44" name="SEM.33" dataDxfId="84"/>
    <tableColumn id="45" name="SEM.34" dataDxfId="83"/>
    <tableColumn id="46" name="SEM.35" dataDxfId="82"/>
    <tableColumn id="47" name="SEM.36" dataDxfId="81"/>
    <tableColumn id="48" name="SEM.37" dataDxfId="80"/>
    <tableColumn id="49" name="SEM.38" dataDxfId="79"/>
    <tableColumn id="50" name="SEM.39" dataDxfId="78"/>
    <tableColumn id="51" name="SEM.40" dataDxfId="77"/>
    <tableColumn id="52" name="SEM.41" dataDxfId="76"/>
    <tableColumn id="53" name="SEM.42" dataDxfId="75"/>
    <tableColumn id="54" name="SEM.43" dataDxfId="74"/>
    <tableColumn id="55" name="SEM.44" dataDxfId="73"/>
    <tableColumn id="56" name="SEM.45" dataDxfId="72"/>
    <tableColumn id="57" name="SEM.46" dataDxfId="71"/>
    <tableColumn id="58" name="SEM.47" dataDxfId="70"/>
    <tableColumn id="59" name="SEM.48" dataDxfId="69"/>
    <tableColumn id="60" name="SEM.49" dataDxfId="68"/>
    <tableColumn id="61" name="SEM.50" dataDxfId="67"/>
    <tableColumn id="62" name="SEM.51" dataDxfId="66"/>
    <tableColumn id="63" name="SEM.52" dataDxfId="65"/>
    <tableColumn id="64" name="CONSUMO TOTAL PROPIO" dataDxfId="64"/>
    <tableColumn id="11" name="CONSUMO PROMEDIO PROPIO" dataDxfId="63">
      <calculatedColumnFormula>Tabla1[[#This Row],[CONSUMO TOTAL PROPIO]]/52</calculatedColumnFormula>
    </tableColumn>
    <tableColumn id="65" name="CONSUMO TOTAL TODAS FÓRMULA" dataDxfId="62">
      <calculatedColumnFormula>SUM(Tabla3[[#This Row],[CONSUMO TOTAL V]]+Tabla2[[#This Row],[CONSUMO TOTAL VALORES]]+#REF!+#REF!)</calculatedColumnFormula>
    </tableColumn>
    <tableColumn id="70" name="CONSUMO TOTAL TODAS" dataDxfId="61"/>
    <tableColumn id="68" name="CONSUMO PROMEDIO TODAS" dataDxfId="60">
      <calculatedColumnFormula>Tabla1[[#This Row],[CONSUMO TOTAL TODAS]]/52</calculatedColumnFormula>
    </tableColumn>
    <tableColumn id="69" name="CONSUMO PROMEDIO TOTAL" dataDxfId="59">
      <calculatedColumnFormula>Tabla1[[#This Row],[CONSUMO PROMEDIO PROPIO]]+Tabla1[[#This Row],[CONSUMO PROMEDIO TODAS]]</calculatedColumnFormula>
    </tableColumn>
    <tableColumn id="71" name="BUFFER CALCULADO FÓRMULA" dataDxfId="58">
      <calculatedColumnFormula>Tabla1[[#This Row],[CONSUMO PROMEDIO TOTAL]]*(Tabla1[[#This Row],[FRECUENCIA]]+Tabla1[[#This Row],[TIEMPO REPOSICION BUFFERS]])</calculatedColumnFormula>
    </tableColumn>
    <tableColumn id="72" name="BUFFER REAL" dataDxfId="57"/>
    <tableColumn id="73" name="APROBADO" dataDxfId="56"/>
    <tableColumn id="74" name="CREDITO PROVEEDOR" dataDxfId="55"/>
    <tableColumn id="87" name="CRÉDITO CLIENTE" dataDxfId="54"/>
    <tableColumn id="86" name="BUFFER AL COSTO" dataDxfId="53">
      <calculatedColumnFormula>Tabla1[[#This Row],[BUFFER REAL]]*Tabla1[[#This Row],[COSTOS]]</calculatedColumnFormula>
    </tableColumn>
    <tableColumn id="88" name="TRUPUD UNITARIO PVP" dataDxfId="52">
      <calculatedColumnFormula>Tabla1[[#This Row],[PVP]]-Tabla1[[#This Row],[COSTOS]]</calculatedColumnFormula>
    </tableColumn>
    <tableColumn id="89" name="TRUPUD UNTITARIO PVD" dataDxfId="51">
      <calculatedColumnFormula>Tabla1[[#This Row],[PVD]]-Tabla1[[#This Row],[COSTOS]]</calculatedColumnFormula>
    </tableColumn>
    <tableColumn id="76" name="TRUPUT UNITARIO" dataDxfId="50"/>
    <tableColumn id="75" name="TUR" dataDxfId="49">
      <calculatedColumnFormula>Tabla1[[#This Row],[TRUPUT UNITARIO]]/Tabla1[[#This Row],[COSTOS]]</calculatedColumnFormula>
    </tableColumn>
    <tableColumn id="78" name="CONSUMO ESTIMADO" dataDxfId="48">
      <calculatedColumnFormula>Tabla1[[#This Row],[BUFFER REAL]]/((Tabla1[[#This Row],[TIEMPO REPOSICION BUFFERS]])/1.5)</calculatedColumnFormula>
    </tableColumn>
    <tableColumn id="77" name="TRUPUT TOTAL ESTIMADO ANUAL" dataDxfId="47">
      <calculatedColumnFormula>Tabla1[[#This Row],[CONSUMO ESTIMADO]]*52*Tabla1[[#This Row],[TRUPUT UNITARIO]]</calculatedColumnFormula>
    </tableColumn>
    <tableColumn id="79" name="INVERSION UNIDADES" dataDxfId="46">
      <calculatedColumnFormula>Tabla1[[#This Row],[CONSUMO ESTIMADO]]*(Tabla1[[#This Row],[TIEMPO REPOSICION BUFFERS]]*1.5)+( Tabla1[[#This Row],[TRUPUT TOTAL ESTIMADO ANUAL]]*(Tabla1[[#This Row],[CRÉDITO CLIENTE]]-Tabla1[[#This Row],[CREDITO PROVEEDOR]]))</calculatedColumnFormula>
    </tableColumn>
    <tableColumn id="80" name="INVERSION USD" dataDxfId="45">
      <calculatedColumnFormula>Tabla1[[#This Row],[INVERSION UNIDADES]]*Tabla1[[#This Row],[COSTOS]]</calculatedColumnFormula>
    </tableColumn>
    <tableColumn id="81" name="VUELTAS" dataDxfId="44">
      <calculatedColumnFormula>Tabla1[[#This Row],[TRUPUT TOTAL ESTIMADO ANUAL]]/Tabla1[[#This Row],[INVERSION USD]]</calculatedColumnFormula>
    </tableColumn>
    <tableColumn id="82" name="BUFFERS GLOBALES" dataDxfId="43"/>
    <tableColumn id="83" name="INVENTARIO FISICO" dataDxfId="42"/>
    <tableColumn id="84" name="TRANSITO" dataDxfId="41"/>
    <tableColumn id="85" name="NUEVO PEDIDO" dataDxfId="4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3" name="Tabla3" displayName="Tabla3" ref="A1:BR119" totalsRowShown="0" headerRowDxfId="39">
  <autoFilter ref="A1:BR119">
    <filterColumn colId="3"/>
    <filterColumn colId="4"/>
    <filterColumn colId="5"/>
    <filterColumn colId="6"/>
    <filterColumn colId="65"/>
    <filterColumn colId="66"/>
    <filterColumn colId="67"/>
    <filterColumn colId="68"/>
    <filterColumn colId="69"/>
  </autoFilter>
  <tableColumns count="70">
    <tableColumn id="1" name="CODIGO "/>
    <tableColumn id="2" name="DESCRIPCION"/>
    <tableColumn id="3" name="UNIDAD"/>
    <tableColumn id="66" name="GRUPO "/>
    <tableColumn id="67" name="LINEA" dataDxfId="38"/>
    <tableColumn id="7" name="ESTADO" dataDxfId="37"/>
    <tableColumn id="8" name="TIPO" dataDxfId="36"/>
    <tableColumn id="4" name="PVP" dataDxfId="35"/>
    <tableColumn id="5" name="PVD" dataDxfId="34"/>
    <tableColumn id="6" name="COSTOS" dataDxfId="33"/>
    <tableColumn id="9" name="FRECUENCIA"/>
    <tableColumn id="10" name="TIEMPO REPOSICION "/>
    <tableColumn id="12" name="SEM.1"/>
    <tableColumn id="13" name="SEM.2"/>
    <tableColumn id="14" name="SEM.3"/>
    <tableColumn id="15" name="SEM.4"/>
    <tableColumn id="16" name="SEM.5"/>
    <tableColumn id="17" name="SEM.6"/>
    <tableColumn id="18" name="SEM.7"/>
    <tableColumn id="19" name="SEM.8"/>
    <tableColumn id="20" name="SEM.9"/>
    <tableColumn id="21" name="SEM.10"/>
    <tableColumn id="22" name="SEM.11"/>
    <tableColumn id="23" name="SEM.12"/>
    <tableColumn id="24" name="SEM.13"/>
    <tableColumn id="25" name="SEM.14"/>
    <tableColumn id="26" name="SEM.15"/>
    <tableColumn id="27" name="SEM.16"/>
    <tableColumn id="28" name="SEM.17"/>
    <tableColumn id="29" name="SEM.18"/>
    <tableColumn id="30" name="SEM.19"/>
    <tableColumn id="31" name="SEM.20"/>
    <tableColumn id="32" name="SEM.21"/>
    <tableColumn id="33" name="SEM.22"/>
    <tableColumn id="34" name="SEM.23"/>
    <tableColumn id="35" name="SEM.24"/>
    <tableColumn id="36" name="SEM.25"/>
    <tableColumn id="37" name="SEM.26"/>
    <tableColumn id="38" name="SEM.27"/>
    <tableColumn id="39" name="SEM.28"/>
    <tableColumn id="40" name="SEM.29"/>
    <tableColumn id="41" name="SEM.30"/>
    <tableColumn id="42" name="SEM.31"/>
    <tableColumn id="43" name="SEM.32"/>
    <tableColumn id="44" name="SEM.33"/>
    <tableColumn id="45" name="SEM.34"/>
    <tableColumn id="46" name="SEM.35"/>
    <tableColumn id="47" name="SEM.36"/>
    <tableColumn id="48" name="SEM.37"/>
    <tableColumn id="49" name="SEM.38"/>
    <tableColumn id="50" name="SEM.39"/>
    <tableColumn id="51" name="SEM.40"/>
    <tableColumn id="52" name="SEM.41"/>
    <tableColumn id="53" name="SEM.42"/>
    <tableColumn id="54" name="SEM.43"/>
    <tableColumn id="55" name="SEM.44"/>
    <tableColumn id="56" name="SEM.45"/>
    <tableColumn id="57" name="SEM.46"/>
    <tableColumn id="58" name="SEM.47"/>
    <tableColumn id="59" name="SEM.48"/>
    <tableColumn id="60" name="SEM.49"/>
    <tableColumn id="61" name="SEM.50"/>
    <tableColumn id="62" name="SEM.51"/>
    <tableColumn id="63" name="SEM.52"/>
    <tableColumn id="64" name="CONSUMO TOTAL" dataDxfId="32">
      <calculatedColumnFormula>SUM(Tabla3[[#This Row],[SEM.1]:[SEM.52]])</calculatedColumnFormula>
    </tableColumn>
    <tableColumn id="75" name="CONSUMO TOTAL V" dataDxfId="31"/>
    <tableColumn id="11" name="CONSUMO PROMEDIO " dataDxfId="30">
      <calculatedColumnFormula>Tabla3[[#This Row],[CONSUMO TOTAL V]]/52</calculatedColumnFormula>
    </tableColumn>
    <tableColumn id="65" name="BUFFER CALCULADO " dataDxfId="29">
      <calculatedColumnFormula>Tabla3[[#This Row],[CONSUMO PROMEDIO ]]*Tabla3[[#This Row],[FRECUENCIA]]*Tabla3[[#This Row],[TIEMPO REPOSICION ]]*1.5*2.4</calculatedColumnFormula>
    </tableColumn>
    <tableColumn id="68" name="BUFFER REAL"/>
    <tableColumn id="69" name="APROBADO" dataDxfId="28">
      <calculatedColumnFormula>Tabla17[[#This Row],[CONSUMO TOTAL TODAS]]/52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la2" displayName="Tabla2" ref="A1:BR119" totalsRowShown="0" headerRowDxfId="27">
  <autoFilter ref="A1:BR119">
    <filterColumn colId="5"/>
    <filterColumn colId="6"/>
    <filterColumn colId="65"/>
    <filterColumn colId="67"/>
    <filterColumn colId="68"/>
    <filterColumn colId="69"/>
  </autoFilter>
  <tableColumns count="70">
    <tableColumn id="1" name="CODIGO "/>
    <tableColumn id="2" name="DESCRIPCION"/>
    <tableColumn id="3" name="UNIDAD"/>
    <tableColumn id="66" name="GRUPO "/>
    <tableColumn id="67" name="LINEA" dataDxfId="26"/>
    <tableColumn id="7" name="ESTADO" dataDxfId="25"/>
    <tableColumn id="8" name="TIPO" dataDxfId="24"/>
    <tableColumn id="4" name="PVP" dataDxfId="23"/>
    <tableColumn id="5" name="PVD" dataDxfId="22"/>
    <tableColumn id="6" name="COSTOS" dataDxfId="21"/>
    <tableColumn id="9" name="FRECUENCIA"/>
    <tableColumn id="10" name="TIEMPO REPOSICION "/>
    <tableColumn id="12" name="SEM.1"/>
    <tableColumn id="13" name="SEM.2"/>
    <tableColumn id="14" name="SEM.3"/>
    <tableColumn id="15" name="SEM.4"/>
    <tableColumn id="16" name="SEM.5"/>
    <tableColumn id="17" name="SEM.6"/>
    <tableColumn id="18" name="SEM.7"/>
    <tableColumn id="19" name="SEM.8"/>
    <tableColumn id="20" name="SEM.9"/>
    <tableColumn id="21" name="SEM.10"/>
    <tableColumn id="22" name="SEM.11"/>
    <tableColumn id="23" name="SEM.12"/>
    <tableColumn id="24" name="SEM.13"/>
    <tableColumn id="25" name="SEM.14"/>
    <tableColumn id="26" name="SEM.15"/>
    <tableColumn id="27" name="SEM.16"/>
    <tableColumn id="28" name="SEM.17"/>
    <tableColumn id="29" name="SEM.18"/>
    <tableColumn id="30" name="SEM.19"/>
    <tableColumn id="31" name="SEM.20"/>
    <tableColumn id="32" name="SEM.21"/>
    <tableColumn id="33" name="SEM.22"/>
    <tableColumn id="34" name="SEM.23"/>
    <tableColumn id="35" name="SEM.24"/>
    <tableColumn id="36" name="SEM.25"/>
    <tableColumn id="37" name="SEM.26"/>
    <tableColumn id="38" name="SEM.27"/>
    <tableColumn id="39" name="SEM.28"/>
    <tableColumn id="40" name="SEM.29"/>
    <tableColumn id="41" name="SEM.30"/>
    <tableColumn id="42" name="SEM.31"/>
    <tableColumn id="43" name="SEM.32"/>
    <tableColumn id="44" name="SEM.33"/>
    <tableColumn id="45" name="SEM.34"/>
    <tableColumn id="46" name="SEM.35"/>
    <tableColumn id="47" name="SEM.36"/>
    <tableColumn id="48" name="SEM.37"/>
    <tableColumn id="49" name="SEM.38"/>
    <tableColumn id="50" name="SEM.39"/>
    <tableColumn id="51" name="SEM.40"/>
    <tableColumn id="52" name="SEM.41"/>
    <tableColumn id="53" name="SEM.42"/>
    <tableColumn id="54" name="SEM.43"/>
    <tableColumn id="55" name="SEM.44"/>
    <tableColumn id="56" name="SEM.45"/>
    <tableColumn id="57" name="SEM.46"/>
    <tableColumn id="58" name="SEM.47"/>
    <tableColumn id="59" name="SEM.48"/>
    <tableColumn id="60" name="SEM.49"/>
    <tableColumn id="61" name="SEM.50"/>
    <tableColumn id="62" name="SEM.51"/>
    <tableColumn id="63" name="SEM.52"/>
    <tableColumn id="64" name="CONSUMO TOTAL ">
      <calculatedColumnFormula>SUM(M2:BL2)</calculatedColumnFormula>
    </tableColumn>
    <tableColumn id="75" name="CONSUMO TOTAL VALORES"/>
    <tableColumn id="11" name="CONSUMO PROMEDIO" dataDxfId="20">
      <calculatedColumnFormula>Tabla2[[#This Row],[CONSUMO TOTAL VALORES]]/52</calculatedColumnFormula>
    </tableColumn>
    <tableColumn id="65" name="BUFFER CALCULADO " dataDxfId="19">
      <calculatedColumnFormula>Tabla2[[#This Row],[CONSUMO PROMEDIO]]*Tabla2[[#This Row],[FRECUENCIA]]*Tabla2[[#This Row],[TIEMPO REPOSICION ]]*1.5*2.4</calculatedColumnFormula>
    </tableColumn>
    <tableColumn id="68" name="BUFFER REAL"/>
    <tableColumn id="69" name="APROBADO" dataDxfId="1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1:H80" totalsRowShown="0" headerRowDxfId="17">
  <autoFilter ref="A1:H80">
    <filterColumn colId="3"/>
  </autoFilter>
  <tableColumns count="8">
    <tableColumn id="1" name="CODIGO " dataDxfId="16"/>
    <tableColumn id="2" name="DESCRIPCION" dataDxfId="15"/>
    <tableColumn id="3" name="UNIDAD" dataDxfId="14"/>
    <tableColumn id="4" name="CLIENTES"/>
    <tableColumn id="5" name="FRECUENCIA" dataDxfId="13"/>
    <tableColumn id="6" name="TIEMPO REPOSICION " dataDxfId="12"/>
    <tableColumn id="7" name="BUFFER REAL CONSIGNACIONES"/>
    <tableColumn id="8" name="INVENTARIO FISICO CONSIGNACIONES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>
    <tabColor rgb="FFFF0000"/>
  </sheetPr>
  <dimension ref="A1:FP457"/>
  <sheetViews>
    <sheetView showGridLines="0" tabSelected="1" zoomScaleNormal="100" workbookViewId="0">
      <pane xSplit="2" ySplit="1" topLeftCell="F435" activePane="bottomRight" state="frozen"/>
      <selection pane="topRight" activeCell="C1" sqref="C1"/>
      <selection pane="bottomLeft" activeCell="A2" sqref="A2"/>
      <selection pane="bottomRight" activeCell="K457" sqref="K457"/>
    </sheetView>
  </sheetViews>
  <sheetFormatPr baseColWidth="10" defaultRowHeight="15"/>
  <cols>
    <col min="1" max="1" width="11.42578125" style="7"/>
    <col min="2" max="2" width="43.42578125" style="7" customWidth="1"/>
    <col min="3" max="3" width="21.140625" style="7" customWidth="1"/>
    <col min="4" max="4" width="20.140625" style="7" customWidth="1"/>
    <col min="5" max="6" width="12.28515625" style="7" customWidth="1"/>
    <col min="7" max="12" width="17.28515625" style="7" customWidth="1"/>
    <col min="13" max="19" width="10.7109375" style="7" customWidth="1"/>
    <col min="20" max="28" width="6.85546875" style="7" customWidth="1"/>
    <col min="29" max="29" width="10.7109375" style="31" customWidth="1"/>
    <col min="30" max="35" width="10.7109375" style="7" customWidth="1"/>
    <col min="36" max="44" width="6.85546875" style="7" customWidth="1"/>
    <col min="45" max="51" width="10.7109375" style="7" customWidth="1"/>
    <col min="52" max="60" width="6.85546875" style="7" customWidth="1"/>
    <col min="61" max="67" width="10.7109375" style="7" customWidth="1"/>
    <col min="68" max="76" width="6.85546875" style="7" customWidth="1"/>
    <col min="77" max="83" width="10.7109375" style="7" customWidth="1"/>
    <col min="84" max="92" width="6.85546875" style="7" customWidth="1"/>
    <col min="93" max="99" width="10.7109375" style="7" customWidth="1"/>
    <col min="100" max="108" width="6.85546875" style="7" customWidth="1"/>
    <col min="109" max="115" width="10.7109375" style="7" customWidth="1"/>
    <col min="116" max="124" width="6.85546875" style="7" customWidth="1"/>
    <col min="125" max="131" width="10.7109375" style="7" customWidth="1"/>
    <col min="132" max="140" width="6.85546875" style="7" customWidth="1"/>
    <col min="141" max="147" width="10.7109375" style="7" customWidth="1"/>
    <col min="148" max="156" width="6.85546875" style="7" customWidth="1"/>
    <col min="157" max="163" width="10.7109375" style="7" customWidth="1"/>
    <col min="164" max="172" width="7" style="7" customWidth="1"/>
    <col min="173" max="16384" width="11.42578125" style="7"/>
  </cols>
  <sheetData>
    <row r="1" spans="1:172" ht="43.5" customHeight="1">
      <c r="A1" s="14" t="s">
        <v>0</v>
      </c>
      <c r="B1" s="14" t="s">
        <v>1</v>
      </c>
      <c r="C1" s="14" t="s">
        <v>6</v>
      </c>
      <c r="D1" s="14" t="s">
        <v>7</v>
      </c>
      <c r="E1" s="14" t="s">
        <v>941</v>
      </c>
      <c r="F1" s="14" t="s">
        <v>803</v>
      </c>
      <c r="G1" s="14" t="s">
        <v>725</v>
      </c>
      <c r="H1" s="14" t="s">
        <v>3</v>
      </c>
      <c r="I1" s="14" t="s">
        <v>983</v>
      </c>
      <c r="J1" s="14" t="s">
        <v>8</v>
      </c>
      <c r="K1" s="14" t="s">
        <v>9</v>
      </c>
      <c r="L1" s="14" t="s">
        <v>1013</v>
      </c>
      <c r="M1" s="167" t="s">
        <v>1102</v>
      </c>
      <c r="N1" s="167" t="s">
        <v>1103</v>
      </c>
      <c r="O1" s="167" t="s">
        <v>1104</v>
      </c>
      <c r="P1" s="167" t="s">
        <v>1105</v>
      </c>
      <c r="Q1" s="167" t="s">
        <v>1106</v>
      </c>
      <c r="R1" s="167" t="s">
        <v>1107</v>
      </c>
      <c r="S1" s="167" t="s">
        <v>1108</v>
      </c>
      <c r="T1" s="167" t="s">
        <v>1123</v>
      </c>
      <c r="U1" s="167" t="s">
        <v>1124</v>
      </c>
      <c r="V1" s="167" t="s">
        <v>1125</v>
      </c>
      <c r="W1" s="167" t="s">
        <v>1126</v>
      </c>
      <c r="X1" s="167" t="s">
        <v>1127</v>
      </c>
      <c r="Y1" s="167" t="s">
        <v>1128</v>
      </c>
      <c r="Z1" s="167" t="s">
        <v>1129</v>
      </c>
      <c r="AA1" s="167" t="s">
        <v>1130</v>
      </c>
      <c r="AB1" s="167" t="s">
        <v>1131</v>
      </c>
      <c r="AC1" s="75" t="s">
        <v>1001</v>
      </c>
      <c r="AD1" s="75" t="s">
        <v>1002</v>
      </c>
      <c r="AE1" s="75" t="s">
        <v>1003</v>
      </c>
      <c r="AF1" s="75" t="s">
        <v>792</v>
      </c>
      <c r="AG1" s="75" t="s">
        <v>793</v>
      </c>
      <c r="AH1" s="75" t="s">
        <v>1004</v>
      </c>
      <c r="AI1" s="75" t="s">
        <v>1005</v>
      </c>
      <c r="AJ1" s="75" t="s">
        <v>1132</v>
      </c>
      <c r="AK1" s="75" t="s">
        <v>1133</v>
      </c>
      <c r="AL1" s="75" t="s">
        <v>794</v>
      </c>
      <c r="AM1" s="75" t="s">
        <v>1049</v>
      </c>
      <c r="AN1" s="75" t="s">
        <v>1052</v>
      </c>
      <c r="AO1" s="75" t="s">
        <v>1050</v>
      </c>
      <c r="AP1" s="75" t="s">
        <v>1051</v>
      </c>
      <c r="AQ1" s="75" t="s">
        <v>1053</v>
      </c>
      <c r="AR1" s="75" t="s">
        <v>1134</v>
      </c>
      <c r="AS1" s="171" t="s">
        <v>1109</v>
      </c>
      <c r="AT1" s="171" t="s">
        <v>1110</v>
      </c>
      <c r="AU1" s="171" t="s">
        <v>1111</v>
      </c>
      <c r="AV1" s="171" t="s">
        <v>1112</v>
      </c>
      <c r="AW1" s="171" t="s">
        <v>1113</v>
      </c>
      <c r="AX1" s="171" t="s">
        <v>1114</v>
      </c>
      <c r="AY1" s="171" t="s">
        <v>1115</v>
      </c>
      <c r="AZ1" s="171" t="s">
        <v>1135</v>
      </c>
      <c r="BA1" s="171" t="s">
        <v>1136</v>
      </c>
      <c r="BB1" s="171" t="s">
        <v>1137</v>
      </c>
      <c r="BC1" s="171" t="s">
        <v>1138</v>
      </c>
      <c r="BD1" s="171" t="s">
        <v>1139</v>
      </c>
      <c r="BE1" s="171" t="s">
        <v>1140</v>
      </c>
      <c r="BF1" s="171" t="s">
        <v>1141</v>
      </c>
      <c r="BG1" s="171" t="s">
        <v>1142</v>
      </c>
      <c r="BH1" s="171" t="s">
        <v>1143</v>
      </c>
      <c r="BI1" s="76" t="s">
        <v>1006</v>
      </c>
      <c r="BJ1" s="76" t="s">
        <v>1007</v>
      </c>
      <c r="BK1" s="76" t="s">
        <v>1008</v>
      </c>
      <c r="BL1" s="76" t="s">
        <v>1009</v>
      </c>
      <c r="BM1" s="76" t="s">
        <v>1010</v>
      </c>
      <c r="BN1" s="76" t="s">
        <v>1011</v>
      </c>
      <c r="BO1" s="76" t="s">
        <v>1012</v>
      </c>
      <c r="BP1" s="76" t="s">
        <v>1144</v>
      </c>
      <c r="BQ1" s="76" t="s">
        <v>795</v>
      </c>
      <c r="BR1" s="76" t="s">
        <v>1145</v>
      </c>
      <c r="BS1" s="76" t="s">
        <v>1054</v>
      </c>
      <c r="BT1" s="76" t="s">
        <v>1055</v>
      </c>
      <c r="BU1" s="76" t="s">
        <v>1056</v>
      </c>
      <c r="BV1" s="76" t="s">
        <v>1057</v>
      </c>
      <c r="BW1" s="76" t="s">
        <v>1058</v>
      </c>
      <c r="BX1" s="76" t="s">
        <v>1146</v>
      </c>
      <c r="BY1" s="170" t="s">
        <v>1014</v>
      </c>
      <c r="BZ1" s="170" t="s">
        <v>1015</v>
      </c>
      <c r="CA1" s="170" t="s">
        <v>1016</v>
      </c>
      <c r="CB1" s="170" t="s">
        <v>1017</v>
      </c>
      <c r="CC1" s="170" t="s">
        <v>1018</v>
      </c>
      <c r="CD1" s="170" t="s">
        <v>1019</v>
      </c>
      <c r="CE1" s="170" t="s">
        <v>1020</v>
      </c>
      <c r="CF1" s="170" t="s">
        <v>1147</v>
      </c>
      <c r="CG1" s="170" t="s">
        <v>1059</v>
      </c>
      <c r="CH1" s="170" t="s">
        <v>1148</v>
      </c>
      <c r="CI1" s="170" t="s">
        <v>1060</v>
      </c>
      <c r="CJ1" s="170" t="s">
        <v>1061</v>
      </c>
      <c r="CK1" s="170" t="s">
        <v>1062</v>
      </c>
      <c r="CL1" s="170" t="s">
        <v>1063</v>
      </c>
      <c r="CM1" s="170" t="s">
        <v>1064</v>
      </c>
      <c r="CN1" s="170" t="s">
        <v>1149</v>
      </c>
      <c r="CO1" s="168" t="s">
        <v>1021</v>
      </c>
      <c r="CP1" s="168" t="s">
        <v>1022</v>
      </c>
      <c r="CQ1" s="168" t="s">
        <v>1023</v>
      </c>
      <c r="CR1" s="168" t="s">
        <v>1024</v>
      </c>
      <c r="CS1" s="168" t="s">
        <v>1025</v>
      </c>
      <c r="CT1" s="168" t="s">
        <v>1026</v>
      </c>
      <c r="CU1" s="168" t="s">
        <v>1027</v>
      </c>
      <c r="CV1" s="168" t="s">
        <v>1150</v>
      </c>
      <c r="CW1" s="168" t="s">
        <v>1065</v>
      </c>
      <c r="CX1" s="168" t="s">
        <v>1151</v>
      </c>
      <c r="CY1" s="168" t="s">
        <v>1066</v>
      </c>
      <c r="CZ1" s="168" t="s">
        <v>1067</v>
      </c>
      <c r="DA1" s="168" t="s">
        <v>1068</v>
      </c>
      <c r="DB1" s="168" t="s">
        <v>1069</v>
      </c>
      <c r="DC1" s="168" t="s">
        <v>1070</v>
      </c>
      <c r="DD1" s="168" t="s">
        <v>1152</v>
      </c>
      <c r="DE1" s="173" t="s">
        <v>1028</v>
      </c>
      <c r="DF1" s="173" t="s">
        <v>1029</v>
      </c>
      <c r="DG1" s="173" t="s">
        <v>1030</v>
      </c>
      <c r="DH1" s="173" t="s">
        <v>1031</v>
      </c>
      <c r="DI1" s="173" t="s">
        <v>1032</v>
      </c>
      <c r="DJ1" s="173" t="s">
        <v>1033</v>
      </c>
      <c r="DK1" s="173" t="s">
        <v>1034</v>
      </c>
      <c r="DL1" s="173" t="s">
        <v>1153</v>
      </c>
      <c r="DM1" s="173" t="s">
        <v>1071</v>
      </c>
      <c r="DN1" s="173" t="s">
        <v>1154</v>
      </c>
      <c r="DO1" s="173" t="s">
        <v>1072</v>
      </c>
      <c r="DP1" s="173" t="s">
        <v>1073</v>
      </c>
      <c r="DQ1" s="173" t="s">
        <v>1074</v>
      </c>
      <c r="DR1" s="173" t="s">
        <v>1075</v>
      </c>
      <c r="DS1" s="173" t="s">
        <v>1076</v>
      </c>
      <c r="DT1" s="173" t="s">
        <v>1155</v>
      </c>
      <c r="DU1" s="169" t="s">
        <v>1035</v>
      </c>
      <c r="DV1" s="169" t="s">
        <v>1036</v>
      </c>
      <c r="DW1" s="169" t="s">
        <v>1037</v>
      </c>
      <c r="DX1" s="169" t="s">
        <v>1038</v>
      </c>
      <c r="DY1" s="169" t="s">
        <v>1039</v>
      </c>
      <c r="DZ1" s="169" t="s">
        <v>1040</v>
      </c>
      <c r="EA1" s="169" t="s">
        <v>1041</v>
      </c>
      <c r="EB1" s="169" t="s">
        <v>1156</v>
      </c>
      <c r="EC1" s="169" t="s">
        <v>1077</v>
      </c>
      <c r="ED1" s="169" t="s">
        <v>1157</v>
      </c>
      <c r="EE1" s="169" t="s">
        <v>1078</v>
      </c>
      <c r="EF1" s="169" t="s">
        <v>1079</v>
      </c>
      <c r="EG1" s="169" t="s">
        <v>1080</v>
      </c>
      <c r="EH1" s="169" t="s">
        <v>1081</v>
      </c>
      <c r="EI1" s="169" t="s">
        <v>1082</v>
      </c>
      <c r="EJ1" s="169" t="s">
        <v>1158</v>
      </c>
      <c r="EK1" s="174" t="s">
        <v>1042</v>
      </c>
      <c r="EL1" s="174" t="s">
        <v>1043</v>
      </c>
      <c r="EM1" s="174" t="s">
        <v>1044</v>
      </c>
      <c r="EN1" s="174" t="s">
        <v>1045</v>
      </c>
      <c r="EO1" s="174" t="s">
        <v>1046</v>
      </c>
      <c r="EP1" s="174" t="s">
        <v>1047</v>
      </c>
      <c r="EQ1" s="174" t="s">
        <v>1048</v>
      </c>
      <c r="ER1" s="174" t="s">
        <v>1159</v>
      </c>
      <c r="ES1" s="174" t="s">
        <v>1083</v>
      </c>
      <c r="ET1" s="174" t="s">
        <v>1160</v>
      </c>
      <c r="EU1" s="174" t="s">
        <v>1084</v>
      </c>
      <c r="EV1" s="174" t="s">
        <v>1085</v>
      </c>
      <c r="EW1" s="174" t="s">
        <v>1086</v>
      </c>
      <c r="EX1" s="174" t="s">
        <v>1087</v>
      </c>
      <c r="EY1" s="174" t="s">
        <v>1088</v>
      </c>
      <c r="EZ1" s="174" t="s">
        <v>1161</v>
      </c>
      <c r="FA1" s="172" t="s">
        <v>1116</v>
      </c>
      <c r="FB1" s="172" t="s">
        <v>1117</v>
      </c>
      <c r="FC1" s="172" t="s">
        <v>1118</v>
      </c>
      <c r="FD1" s="172" t="s">
        <v>1119</v>
      </c>
      <c r="FE1" s="172" t="s">
        <v>1120</v>
      </c>
      <c r="FF1" s="172" t="s">
        <v>1121</v>
      </c>
      <c r="FG1" s="172" t="s">
        <v>1122</v>
      </c>
      <c r="FH1" s="172" t="s">
        <v>1162</v>
      </c>
      <c r="FI1" s="172" t="s">
        <v>1163</v>
      </c>
      <c r="FJ1" s="172" t="s">
        <v>1164</v>
      </c>
      <c r="FK1" s="172" t="s">
        <v>1165</v>
      </c>
      <c r="FL1" s="172" t="s">
        <v>1166</v>
      </c>
      <c r="FM1" s="172" t="s">
        <v>1167</v>
      </c>
      <c r="FN1" s="172" t="s">
        <v>1168</v>
      </c>
      <c r="FO1" s="172" t="s">
        <v>1169</v>
      </c>
      <c r="FP1" s="172" t="s">
        <v>1170</v>
      </c>
    </row>
    <row r="2" spans="1:172">
      <c r="A2" s="7" t="s">
        <v>62</v>
      </c>
      <c r="B2" s="7" t="s">
        <v>63</v>
      </c>
      <c r="C2" s="7" t="s">
        <v>707</v>
      </c>
      <c r="D2" s="7" t="s">
        <v>717</v>
      </c>
      <c r="E2" s="7" t="s">
        <v>863</v>
      </c>
      <c r="F2" s="19" t="s">
        <v>804</v>
      </c>
      <c r="G2" s="19" t="s">
        <v>802</v>
      </c>
      <c r="H2" s="19">
        <f>VLOOKUP(Tabla_Buffers_Agroinsumos[[#This Row],[CODIGO ]],TABLACONSOLIDADA[[Codigo]:[PV]],6,0)</f>
        <v>0</v>
      </c>
      <c r="I2" s="19">
        <f>VLOOKUP(Tabla_Buffers_Agroinsumos[[#This Row],[CODIGO ]],TABLACONSOLIDADA[[Codigo]:[PV]],5,0)</f>
        <v>1.57</v>
      </c>
      <c r="J2" s="19">
        <v>4</v>
      </c>
      <c r="K2" s="19">
        <v>4</v>
      </c>
      <c r="L2" s="19">
        <f>IFERROR(Tabla_Buffers_Agroinsumos[[#This Row],[BUFFER CENTRAL]]/((Tabla_Buffers_Agroinsumos[[#This Row],[TIEMPO REPOSICION ]]/Tabla_Buffers_Agroinsumos[[#This Row],[FRECUENCIA]])+1),0)</f>
        <v>0</v>
      </c>
      <c r="M2" s="19">
        <f t="array" ref="M2">IFERROR(INDEX(TABLACONSOLIDADA[Buff Act],MATCH("AGROINSUMOSMATERIAPRIMA"&amp;Tabla_Buffers_Agroinsumos[[#This Row],[CODIGO ]],TABLACONSOLIDADA[Bodega]&amp;TABLACONSOLIDADA[Codigo],0)),"")</f>
        <v>0</v>
      </c>
      <c r="N2" s="157">
        <f t="array" ref="N2">IFERROR(INDEX(TABLACONSOLIDADA[Inv Fís Act],MATCH("AGROINSUMOSMATERIAPRIMA"&amp;Tabla_Buffers_Agroinsumos[[#This Row],[CODIGO ]],TABLACONSOLIDADA[Bodega]&amp;TABLACONSOLIDADA[Codigo],0)),"")</f>
        <v>17</v>
      </c>
      <c r="O2" s="157">
        <f t="array" ref="O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17</v>
      </c>
      <c r="P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" s="19">
        <f>IFERROR(SUM(Tabla_Buffers_Agroinsumos[[#This Row],[MP-C]:[MP-VL]]),"")</f>
        <v>0</v>
      </c>
      <c r="R2" s="92">
        <f>IFERROR(Tabla_Buffers_Agroinsumos[[#This Row],[INV FIS MATERIA PRIMA]]-Tabla_Buffers_Agroinsumos[[#This Row],[BUFFER MATERIA PRIMA]],"")</f>
        <v>17</v>
      </c>
      <c r="S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17</v>
      </c>
      <c r="T2" s="19"/>
      <c r="U2" s="19"/>
      <c r="V2" s="19"/>
      <c r="W2" s="19"/>
      <c r="X2" s="19"/>
      <c r="Y2" s="19"/>
      <c r="Z2" s="19"/>
      <c r="AA2" s="19"/>
      <c r="AB2" s="19"/>
      <c r="AC2" s="151" t="str">
        <f t="array" ref="AC2">IFERROR(INDEX(TABLACONSOLIDADA[Buff Act],MATCH("AGROINSUMOSCENTRAL"&amp;Tabla_Buffers_Agroinsumos[[#This Row],[CODIGO ]],TABLACONSOLIDADA[Bodega]&amp;TABLACONSOLIDADA[Codigo],0)),"")</f>
        <v/>
      </c>
      <c r="AD2" s="157" t="str">
        <f t="array" ref="AD2">IFERROR(INDEX(TABLACONSOLIDADA[Inv Fís Act],MATCH("AGROINSUMOSCENTRAL"&amp;Tabla_Buffers_Agroinsumos[[#This Row],[CODIGO ]],TABLACONSOLIDADA[Bodega]&amp;TABLACONSOLIDADA[Codigo],0)),"")</f>
        <v/>
      </c>
      <c r="AE2" s="157" t="str">
        <f t="array" ref="AE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" s="91">
        <f>IFERROR(SUM(Tabla_Buffers_Agroinsumos[[#This Row],[C-MP]:[C-VL]]),"")</f>
        <v>0</v>
      </c>
      <c r="AH2" s="92" t="str">
        <f>IFERROR(Tabla_Buffers_Agroinsumos[[#This Row],[INV FIS CENTRAL]]-Tabla_Buffers_Agroinsumos[[#This Row],[BUFFER CENTRAL]],"")</f>
        <v/>
      </c>
      <c r="AI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" s="134"/>
      <c r="AK2" s="134"/>
      <c r="AL2" s="134"/>
      <c r="AM2" s="134"/>
      <c r="AN2" s="134"/>
      <c r="AO2" s="134"/>
      <c r="AP2" s="134"/>
      <c r="AQ2" s="134"/>
      <c r="AR2" s="134"/>
      <c r="AS2" s="134" t="str">
        <f t="array" ref="AS2">IFERROR(INDEX(TABLACONSOLIDADA[Buff Act],MATCH("AGROINSUMOScentralPROPIA"&amp;Tabla_Buffers_Agroinsumos[[#This Row],[CODIGO ]],TABLACONSOLIDADA[Bodega]&amp;TABLACONSOLIDADA[Codigo],0)),"")</f>
        <v/>
      </c>
      <c r="AT2" s="157" t="str">
        <f t="array" ref="AT2">IFERROR(INDEX(TABLACONSOLIDADA[Inv Fís Act],MATCH("AGROINSUMOScentralPROPIA"&amp;Tabla_Buffers_Agroinsumos[[#This Row],[CODIGO ]],TABLACONSOLIDADA[Bodega]&amp;TABLACONSOLIDADA[Codigo],0)),"")</f>
        <v/>
      </c>
      <c r="AU2" s="157" t="str">
        <f t="array" ref="AU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" s="134">
        <f>IFERROR(SUM(Tabla_Buffers_Agroinsumos[[#This Row],[P-MP]:[P-VL]]),"")</f>
        <v>0</v>
      </c>
      <c r="AX2" s="92" t="str">
        <f>IFERROR(Tabla_Buffers_Agroinsumos[[#This Row],[INV FIS PROPIA]]-Tabla_Buffers_Agroinsumos[[#This Row],[BUFFER PROPIA]],"")</f>
        <v/>
      </c>
      <c r="AY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" s="134"/>
      <c r="BA2" s="134"/>
      <c r="BB2" s="134"/>
      <c r="BC2" s="134"/>
      <c r="BD2" s="134"/>
      <c r="BE2" s="134"/>
      <c r="BF2" s="134"/>
      <c r="BG2" s="134"/>
      <c r="BH2" s="134"/>
      <c r="BI2" s="153" t="str">
        <f t="array" ref="BI2">IFERROR(INDEX(TABLACONSOLIDADA[Buff Act],MATCH("AGROINSUMOSSTODOMINGO"&amp;Tabla_Buffers_Agroinsumos[[#This Row],[CODIGO ]],TABLACONSOLIDADA[Bodega]&amp;TABLACONSOLIDADA[Codigo],0)),"")</f>
        <v/>
      </c>
      <c r="BJ2" s="157" t="str">
        <f t="array" ref="BJ2">IFERROR(INDEX(TABLACONSOLIDADA[Inv Fís Act],MATCH("AGROINSUMOSSTODOMINGO"&amp;Tabla_Buffers_Agroinsumos[[#This Row],[CODIGO ]],TABLACONSOLIDADA[Bodega]&amp;TABLACONSOLIDADA[Codigo],0)),"")</f>
        <v/>
      </c>
      <c r="BK2" s="157" t="str">
        <f t="array" ref="BK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" s="91">
        <f>IFERROR(SUM(Tabla_Buffers_Agroinsumos[[#This Row],[SD-MP]:[SD-VL]]),"")</f>
        <v>0</v>
      </c>
      <c r="BN2" s="92"/>
      <c r="BO2" s="92"/>
      <c r="BP2" s="134"/>
      <c r="BQ2" s="134"/>
      <c r="BR2" s="134"/>
      <c r="BS2" s="134"/>
      <c r="BT2" s="134"/>
      <c r="BU2" s="134"/>
      <c r="BV2" s="134"/>
      <c r="BW2" s="134"/>
      <c r="BX2" s="134"/>
      <c r="BY2" s="134" t="str">
        <f t="array" ref="BY2">IFERROR(INDEX(TABLACONSOLIDADA[Buff Act],MATCH("AGROINSUMOSMONCAYOLOPEZ"&amp;Tabla_Buffers_Agroinsumos[[#This Row],[CODIGO ]],TABLACONSOLIDADA[Bodega]&amp;TABLACONSOLIDADA[Codigo],0)),"")</f>
        <v/>
      </c>
      <c r="BZ2" s="157" t="str">
        <f t="array" ref="BZ2">IFERROR(INDEX(TABLACONSOLIDADA[Inv Fís Act],MATCH("AGROINSUMOSMONCAYOLOPEZ"&amp;Tabla_Buffers_Agroinsumos[[#This Row],[CODIGO ]],TABLACONSOLIDADA[Bodega]&amp;TABLACONSOLIDADA[Codigo],0)),"")</f>
        <v/>
      </c>
      <c r="CA2" s="157" t="str">
        <f t="array" ref="CA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" s="134">
        <f>IFERROR(SUM(Tabla_Buffers_Agroinsumos[[#This Row],[ML-MP]:[ML-VL]]),"")</f>
        <v>0</v>
      </c>
      <c r="CD2" s="92" t="str">
        <f>IFERROR(Tabla_Buffers_Agroinsumos[[#This Row],[INV FIS ML]]-Tabla_Buffers_Agroinsumos[[#This Row],[BUFFER ML]],"")</f>
        <v/>
      </c>
      <c r="CE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" s="134"/>
      <c r="CG2" s="134"/>
      <c r="CH2" s="134"/>
      <c r="CI2" s="134"/>
      <c r="CJ2" s="134"/>
      <c r="CK2" s="134"/>
      <c r="CL2" s="134"/>
      <c r="CM2" s="134"/>
      <c r="CN2" s="134"/>
      <c r="CO2" s="134" t="str">
        <f t="array" ref="CO2">IFERROR(INDEX(TABLACONSOLIDADA[Buff Act],MATCH("AGROINSUMOSAGROHERMANOSLEON"&amp;Tabla_Buffers_Agroinsumos[[#This Row],[CODIGO ]],TABLACONSOLIDADA[Bodega]&amp;TABLACONSOLIDADA[Codigo],0)),"")</f>
        <v/>
      </c>
      <c r="CP2" s="157" t="str">
        <f t="array" ref="CP2">IFERROR(INDEX(TABLACONSOLIDADA[Inv Fís Act],MATCH("AGROINSUMOSAGROHERMANOSLEON"&amp;Tabla_Buffers_Agroinsumos[[#This Row],[CODIGO ]],TABLACONSOLIDADA[Bodega]&amp;TABLACONSOLIDADA[Codigo],0)),"")</f>
        <v/>
      </c>
      <c r="CQ2" s="157" t="str">
        <f t="array" ref="CQ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" s="134">
        <f>IFERROR(SUM(Tabla_Buffers_Agroinsumos[[#This Row],[AL-MP]:[AL-VL]]),"")</f>
        <v>0</v>
      </c>
      <c r="CT2" s="92" t="str">
        <f>IFERROR(Tabla_Buffers_Agroinsumos[[#This Row],[INV FIS AL]]-Tabla_Buffers_Agroinsumos[[#This Row],[BUFFER AL]],"")</f>
        <v/>
      </c>
      <c r="CU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" s="134"/>
      <c r="CW2" s="134"/>
      <c r="CX2" s="134"/>
      <c r="CY2" s="134"/>
      <c r="CZ2" s="134"/>
      <c r="DA2" s="134"/>
      <c r="DB2" s="134"/>
      <c r="DC2" s="134"/>
      <c r="DD2" s="134"/>
      <c r="DE2" s="134" t="str">
        <f t="array" ref="DE2">IFERROR(INDEX(TABLACONSOLIDADA[Buff Act],MATCH("AGROINSUMOSAGRONUEVO"&amp;Tabla_Buffers_Agroinsumos[[#This Row],[CODIGO ]],TABLACONSOLIDADA[Bodega]&amp;TABLACONSOLIDADA[Codigo],0)),"")</f>
        <v/>
      </c>
      <c r="DF2" s="157" t="str">
        <f t="array" ref="DF2">IFERROR(INDEX(TABLACONSOLIDADA[Inv Fís Act],MATCH("AGROINSUMOSAGRONUEVO"&amp;Tabla_Buffers_Agroinsumos[[#This Row],[CODIGO ]],TABLACONSOLIDADA[Bodega]&amp;TABLACONSOLIDADA[Codigo],0)),"")</f>
        <v/>
      </c>
      <c r="DG2" s="157" t="str">
        <f t="array" ref="DG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" s="134">
        <f>IFERROR(SUM(Tabla_Buffers_Agroinsumos[[#This Row],[AN-MP]:[AN-VL]]),"")</f>
        <v>0</v>
      </c>
      <c r="DJ2" s="92" t="str">
        <f>IFERROR(Tabla_Buffers_Agroinsumos[[#This Row],[INV FIS AN]]-Tabla_Buffers_Agroinsumos[[#This Row],[BUFFER AN]],"")</f>
        <v/>
      </c>
      <c r="DK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" s="134"/>
      <c r="DM2" s="134"/>
      <c r="DN2" s="134"/>
      <c r="DO2" s="134"/>
      <c r="DP2" s="134"/>
      <c r="DQ2" s="134"/>
      <c r="DR2" s="134"/>
      <c r="DS2" s="134"/>
      <c r="DT2" s="134"/>
      <c r="DU2" s="134" t="str">
        <f t="array" ref="DU2">IFERROR(INDEX(TABLACONSOLIDADA[Buff Act],MATCH("AGROINSUMOSAGROQUIMICOSSUR"&amp;Tabla_Buffers_Agroinsumos[[#This Row],[CODIGO ]],TABLACONSOLIDADA[Bodega]&amp;TABLACONSOLIDADA[Codigo],0)),"")</f>
        <v/>
      </c>
      <c r="DV2" s="157" t="str">
        <f t="array" ref="DV2">IFERROR(INDEX(TABLACONSOLIDADA[Inv Fís Act],MATCH("AGROINSUMOSAGROQUIMICOSSUR"&amp;Tabla_Buffers_Agroinsumos[[#This Row],[CODIGO ]],TABLACONSOLIDADA[Bodega]&amp;TABLACONSOLIDADA[Codigo],0)),"")</f>
        <v/>
      </c>
      <c r="DW2" s="157" t="str">
        <f t="array" ref="DW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" s="134">
        <f>IFERROR(SUM(Tabla_Buffers_Agroinsumos[[#This Row],[AS-MP]:[AS-VL]]),"")</f>
        <v>0</v>
      </c>
      <c r="DZ2" s="92" t="str">
        <f>IFERROR(Tabla_Buffers_Agroinsumos[[#This Row],[INV FIS AS]]-Tabla_Buffers_Agroinsumos[[#This Row],[BUFFER AS]],"")</f>
        <v/>
      </c>
      <c r="EA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" s="134"/>
      <c r="EC2" s="134"/>
      <c r="ED2" s="134"/>
      <c r="EE2" s="134"/>
      <c r="EF2" s="134"/>
      <c r="EG2" s="134"/>
      <c r="EH2" s="134"/>
      <c r="EI2" s="134"/>
      <c r="EJ2" s="134"/>
      <c r="EK2" s="134" t="str">
        <f t="array" ref="EK2">IFERROR(INDEX(TABLACONSOLIDADA[Buff Act],MATCH("AGROINSUMOSLAFINCA"&amp;Tabla_Buffers_Agroinsumos[[#This Row],[CODIGO ]],TABLACONSOLIDADA[Bodega]&amp;TABLACONSOLIDADA[Codigo],0)),"")</f>
        <v/>
      </c>
      <c r="EL2" s="157" t="str">
        <f t="array" ref="EL2">IFERROR(INDEX(TABLACONSOLIDADA[Inv Fís Act],MATCH("AGROINSUMOSLAFINCA"&amp;Tabla_Buffers_Agroinsumos[[#This Row],[CODIGO ]],TABLACONSOLIDADA[Bodega]&amp;TABLACONSOLIDADA[Codigo],0)),"")</f>
        <v/>
      </c>
      <c r="EM2" s="157" t="str">
        <f t="array" ref="EM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" s="134">
        <f>IFERROR(SUM(Tabla_Buffers_Agroinsumos[[#This Row],[LF-MP]:[LF-VL]]),"")</f>
        <v>0</v>
      </c>
      <c r="EP2" s="92" t="str">
        <f>IFERROR(Tabla_Buffers_Agroinsumos[[#This Row],[INV FIS LF]]-Tabla_Buffers_Agroinsumos[[#This Row],[BUFFER LF]],"")</f>
        <v/>
      </c>
      <c r="EQ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" s="134"/>
      <c r="ES2" s="134"/>
      <c r="ET2" s="134"/>
      <c r="EU2" s="134"/>
      <c r="EV2" s="134"/>
      <c r="EW2" s="134"/>
      <c r="EX2" s="134"/>
      <c r="EY2" s="134"/>
      <c r="EZ2" s="134"/>
      <c r="FA2" s="134" t="str">
        <f t="array" ref="FA2">IFERROR(INDEX(TABLACONSOLIDADA[Buff Act],MATCH("AGROINSUMOSVERONICALEDESMA"&amp;Tabla_Buffers_Agroinsumos[[#This Row],[CODIGO ]],TABLACONSOLIDADA[Bodega]&amp;TABLACONSOLIDADA[Codigo],0)),"")</f>
        <v/>
      </c>
      <c r="FB2" s="157" t="str">
        <f t="array" ref="FB2">IFERROR(INDEX(TABLACONSOLIDADA[Inv Fís Act],MATCH("AGROINSUMOSVERONICALEDESMA"&amp;Tabla_Buffers_Agroinsumos[[#This Row],[CODIGO ]],TABLACONSOLIDADA[Bodega]&amp;TABLACONSOLIDADA[Codigo],0)),"")</f>
        <v/>
      </c>
      <c r="FC2" s="157" t="str">
        <f t="array" ref="FC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" s="134">
        <f>IFERROR(SUM(Tabla_Buffers_Agroinsumos[[#This Row],[VL-MP]:[VL-LF]]),"")</f>
        <v>0</v>
      </c>
      <c r="FF2" s="92" t="str">
        <f>IFERROR(Tabla_Buffers_Agroinsumos[[#This Row],[INV FIS VL]]-Tabla_Buffers_Agroinsumos[[#This Row],[BUFFER VL]],"")</f>
        <v/>
      </c>
      <c r="FG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" s="134"/>
      <c r="FI2" s="134"/>
      <c r="FJ2" s="134"/>
      <c r="FK2" s="134"/>
      <c r="FL2" s="134"/>
      <c r="FM2" s="134"/>
      <c r="FN2" s="134"/>
      <c r="FO2" s="134"/>
      <c r="FP2" s="134"/>
    </row>
    <row r="3" spans="1:172">
      <c r="A3" s="7" t="s">
        <v>64</v>
      </c>
      <c r="B3" s="7" t="s">
        <v>65</v>
      </c>
      <c r="C3" s="7" t="s">
        <v>707</v>
      </c>
      <c r="D3" s="7" t="s">
        <v>717</v>
      </c>
      <c r="E3" s="7" t="s">
        <v>863</v>
      </c>
      <c r="F3" s="19" t="s">
        <v>804</v>
      </c>
      <c r="G3" s="19" t="s">
        <v>802</v>
      </c>
      <c r="H3" s="19">
        <f>VLOOKUP(Tabla_Buffers_Agroinsumos[[#This Row],[CODIGO ]],TABLACONSOLIDADA[[Codigo]:[PV]],6,0)</f>
        <v>0</v>
      </c>
      <c r="I3" s="19">
        <f>VLOOKUP(Tabla_Buffers_Agroinsumos[[#This Row],[CODIGO ]],TABLACONSOLIDADA[[Codigo]:[PV]],5,0)</f>
        <v>1.49</v>
      </c>
      <c r="J3" s="19">
        <v>4</v>
      </c>
      <c r="K3" s="19">
        <v>4</v>
      </c>
      <c r="L3" s="19">
        <f>IFERROR(Tabla_Buffers_Agroinsumos[[#This Row],[BUFFER CENTRAL]]/((Tabla_Buffers_Agroinsumos[[#This Row],[TIEMPO REPOSICION ]]/Tabla_Buffers_Agroinsumos[[#This Row],[FRECUENCIA]])+1),0)</f>
        <v>0</v>
      </c>
      <c r="M3" s="19">
        <f t="array" ref="M3">IFERROR(INDEX(TABLACONSOLIDADA[Buff Act],MATCH("AGROINSUMOSMATERIAPRIMA"&amp;Tabla_Buffers_Agroinsumos[[#This Row],[CODIGO ]],TABLACONSOLIDADA[Bodega]&amp;TABLACONSOLIDADA[Codigo],0)),"")</f>
        <v>500</v>
      </c>
      <c r="N3" s="157">
        <f t="array" ref="N3">IFERROR(INDEX(TABLACONSOLIDADA[Inv Fís Act],MATCH("AGROINSUMOSMATERIAPRIMA"&amp;Tabla_Buffers_Agroinsumos[[#This Row],[CODIGO ]],TABLACONSOLIDADA[Bodega]&amp;TABLACONSOLIDADA[Codigo],0)),"")</f>
        <v>500</v>
      </c>
      <c r="O3" s="157">
        <f t="array" ref="O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500</v>
      </c>
      <c r="P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" s="19">
        <f>IFERROR(SUM(Tabla_Buffers_Agroinsumos[[#This Row],[MP-C]:[MP-VL]]),"")</f>
        <v>0</v>
      </c>
      <c r="R3" s="92">
        <f>IFERROR(Tabla_Buffers_Agroinsumos[[#This Row],[INV FIS MATERIA PRIMA]]-Tabla_Buffers_Agroinsumos[[#This Row],[BUFFER MATERIA PRIMA]],"")</f>
        <v>0</v>
      </c>
      <c r="S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3" s="19"/>
      <c r="U3" s="19"/>
      <c r="V3" s="19"/>
      <c r="W3" s="19"/>
      <c r="X3" s="19"/>
      <c r="Y3" s="19"/>
      <c r="Z3" s="19"/>
      <c r="AA3" s="19"/>
      <c r="AB3" s="19"/>
      <c r="AC3" s="152" t="str">
        <f t="array" ref="AC3">IFERROR(INDEX(TABLACONSOLIDADA[Buff Act],MATCH("AGROINSUMOSCENTRAL"&amp;Tabla_Buffers_Agroinsumos[[#This Row],[CODIGO ]],TABLACONSOLIDADA[Bodega]&amp;TABLACONSOLIDADA[Codigo],0)),"")</f>
        <v/>
      </c>
      <c r="AD3" s="157" t="str">
        <f t="array" ref="AD3">IFERROR(INDEX(TABLACONSOLIDADA[Inv Fís Act],MATCH("AGROINSUMOSCENTRAL"&amp;Tabla_Buffers_Agroinsumos[[#This Row],[CODIGO ]],TABLACONSOLIDADA[Bodega]&amp;TABLACONSOLIDADA[Codigo],0)),"")</f>
        <v/>
      </c>
      <c r="AE3" s="157" t="str">
        <f t="array" ref="AE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" s="91">
        <f>IFERROR(SUM(Tabla_Buffers_Agroinsumos[[#This Row],[C-MP]:[C-VL]]),"")</f>
        <v>0</v>
      </c>
      <c r="AH3" s="92" t="str">
        <f>IFERROR(Tabla_Buffers_Agroinsumos[[#This Row],[INV FIS CENTRAL]]-Tabla_Buffers_Agroinsumos[[#This Row],[BUFFER CENTRAL]],"")</f>
        <v/>
      </c>
      <c r="AI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" s="134"/>
      <c r="AK3" s="134"/>
      <c r="AL3" s="134"/>
      <c r="AM3" s="134"/>
      <c r="AN3" s="134"/>
      <c r="AO3" s="134"/>
      <c r="AP3" s="134"/>
      <c r="AQ3" s="134"/>
      <c r="AR3" s="134"/>
      <c r="AS3" s="134" t="str">
        <f t="array" ref="AS3">IFERROR(INDEX(TABLACONSOLIDADA[Buff Act],MATCH("AGROINSUMOScentralPROPIA"&amp;Tabla_Buffers_Agroinsumos[[#This Row],[CODIGO ]],TABLACONSOLIDADA[Bodega]&amp;TABLACONSOLIDADA[Codigo],0)),"")</f>
        <v/>
      </c>
      <c r="AT3" s="157" t="str">
        <f t="array" ref="AT3">IFERROR(INDEX(TABLACONSOLIDADA[Inv Fís Act],MATCH("AGROINSUMOScentralPROPIA"&amp;Tabla_Buffers_Agroinsumos[[#This Row],[CODIGO ]],TABLACONSOLIDADA[Bodega]&amp;TABLACONSOLIDADA[Codigo],0)),"")</f>
        <v/>
      </c>
      <c r="AU3" s="157" t="str">
        <f t="array" ref="AU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" s="134">
        <f>IFERROR(SUM(Tabla_Buffers_Agroinsumos[[#This Row],[P-MP]:[P-VL]]),"")</f>
        <v>0</v>
      </c>
      <c r="AX3" s="92" t="str">
        <f>IFERROR(Tabla_Buffers_Agroinsumos[[#This Row],[INV FIS PROPIA]]-Tabla_Buffers_Agroinsumos[[#This Row],[BUFFER PROPIA]],"")</f>
        <v/>
      </c>
      <c r="AY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" s="134"/>
      <c r="BA3" s="134"/>
      <c r="BB3" s="134"/>
      <c r="BC3" s="134"/>
      <c r="BD3" s="134"/>
      <c r="BE3" s="134"/>
      <c r="BF3" s="134"/>
      <c r="BG3" s="134"/>
      <c r="BH3" s="134"/>
      <c r="BI3" s="91" t="str">
        <f t="array" ref="BI3">IFERROR(INDEX(TABLACONSOLIDADA[Buff Act],MATCH("AGROINSUMOSSTODOMINGO"&amp;Tabla_Buffers_Agroinsumos[[#This Row],[CODIGO ]],TABLACONSOLIDADA[Bodega]&amp;TABLACONSOLIDADA[Codigo],0)),"")</f>
        <v/>
      </c>
      <c r="BJ3" s="157" t="str">
        <f t="array" ref="BJ3">IFERROR(INDEX(TABLACONSOLIDADA[Inv Fís Act],MATCH("AGROINSUMOSSTODOMINGO"&amp;Tabla_Buffers_Agroinsumos[[#This Row],[CODIGO ]],TABLACONSOLIDADA[Bodega]&amp;TABLACONSOLIDADA[Codigo],0)),"")</f>
        <v/>
      </c>
      <c r="BK3" s="157" t="str">
        <f t="array" ref="BK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" s="91">
        <f>IFERROR(SUM(Tabla_Buffers_Agroinsumos[[#This Row],[SD-MP]:[SD-VL]]),"")</f>
        <v>0</v>
      </c>
      <c r="BN3" s="92"/>
      <c r="BO3" s="92"/>
      <c r="BP3" s="134"/>
      <c r="BQ3" s="134"/>
      <c r="BR3" s="134"/>
      <c r="BS3" s="134"/>
      <c r="BT3" s="134"/>
      <c r="BU3" s="134"/>
      <c r="BV3" s="134"/>
      <c r="BW3" s="134"/>
      <c r="BX3" s="134"/>
      <c r="BY3" s="134" t="str">
        <f t="array" ref="BY3">IFERROR(INDEX(TABLACONSOLIDADA[Buff Act],MATCH("AGROINSUMOSMONCAYOLOPEZ"&amp;Tabla_Buffers_Agroinsumos[[#This Row],[CODIGO ]],TABLACONSOLIDADA[Bodega]&amp;TABLACONSOLIDADA[Codigo],0)),"")</f>
        <v/>
      </c>
      <c r="BZ3" s="157" t="str">
        <f t="array" ref="BZ3">IFERROR(INDEX(TABLACONSOLIDADA[Inv Fís Act],MATCH("AGROINSUMOSMONCAYOLOPEZ"&amp;Tabla_Buffers_Agroinsumos[[#This Row],[CODIGO ]],TABLACONSOLIDADA[Bodega]&amp;TABLACONSOLIDADA[Codigo],0)),"")</f>
        <v/>
      </c>
      <c r="CA3" s="157" t="str">
        <f t="array" ref="CA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" s="134">
        <f>IFERROR(SUM(Tabla_Buffers_Agroinsumos[[#This Row],[ML-MP]:[ML-VL]]),"")</f>
        <v>0</v>
      </c>
      <c r="CD3" s="92" t="str">
        <f>IFERROR(Tabla_Buffers_Agroinsumos[[#This Row],[INV FIS ML]]-Tabla_Buffers_Agroinsumos[[#This Row],[BUFFER ML]],"")</f>
        <v/>
      </c>
      <c r="CE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" s="134"/>
      <c r="CG3" s="134"/>
      <c r="CH3" s="134"/>
      <c r="CI3" s="134"/>
      <c r="CJ3" s="134"/>
      <c r="CK3" s="134"/>
      <c r="CL3" s="134"/>
      <c r="CM3" s="134"/>
      <c r="CN3" s="134"/>
      <c r="CO3" s="134" t="str">
        <f t="array" ref="CO3">IFERROR(INDEX(TABLACONSOLIDADA[Buff Act],MATCH("AGROINSUMOSAGROHERMANOSLEON"&amp;Tabla_Buffers_Agroinsumos[[#This Row],[CODIGO ]],TABLACONSOLIDADA[Bodega]&amp;TABLACONSOLIDADA[Codigo],0)),"")</f>
        <v/>
      </c>
      <c r="CP3" s="157" t="str">
        <f t="array" ref="CP3">IFERROR(INDEX(TABLACONSOLIDADA[Inv Fís Act],MATCH("AGROINSUMOSAGROHERMANOSLEON"&amp;Tabla_Buffers_Agroinsumos[[#This Row],[CODIGO ]],TABLACONSOLIDADA[Bodega]&amp;TABLACONSOLIDADA[Codigo],0)),"")</f>
        <v/>
      </c>
      <c r="CQ3" s="157" t="str">
        <f t="array" ref="CQ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" s="134">
        <f>IFERROR(SUM(Tabla_Buffers_Agroinsumos[[#This Row],[AL-MP]:[AL-VL]]),"")</f>
        <v>0</v>
      </c>
      <c r="CT3" s="92" t="str">
        <f>IFERROR(Tabla_Buffers_Agroinsumos[[#This Row],[INV FIS AL]]-Tabla_Buffers_Agroinsumos[[#This Row],[BUFFER AL]],"")</f>
        <v/>
      </c>
      <c r="CU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" s="134"/>
      <c r="CW3" s="134"/>
      <c r="CX3" s="134"/>
      <c r="CY3" s="134"/>
      <c r="CZ3" s="134"/>
      <c r="DA3" s="134"/>
      <c r="DB3" s="134"/>
      <c r="DC3" s="134"/>
      <c r="DD3" s="134"/>
      <c r="DE3" s="134" t="str">
        <f t="array" ref="DE3">IFERROR(INDEX(TABLACONSOLIDADA[Buff Act],MATCH("AGROINSUMOSAGRONUEVO"&amp;Tabla_Buffers_Agroinsumos[[#This Row],[CODIGO ]],TABLACONSOLIDADA[Bodega]&amp;TABLACONSOLIDADA[Codigo],0)),"")</f>
        <v/>
      </c>
      <c r="DF3" s="157" t="str">
        <f t="array" ref="DF3">IFERROR(INDEX(TABLACONSOLIDADA[Inv Fís Act],MATCH("AGROINSUMOSAGRONUEVO"&amp;Tabla_Buffers_Agroinsumos[[#This Row],[CODIGO ]],TABLACONSOLIDADA[Bodega]&amp;TABLACONSOLIDADA[Codigo],0)),"")</f>
        <v/>
      </c>
      <c r="DG3" s="157" t="str">
        <f t="array" ref="DG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" s="134">
        <f>IFERROR(SUM(Tabla_Buffers_Agroinsumos[[#This Row],[AN-MP]:[AN-VL]]),"")</f>
        <v>0</v>
      </c>
      <c r="DJ3" s="92" t="str">
        <f>IFERROR(Tabla_Buffers_Agroinsumos[[#This Row],[INV FIS AN]]-Tabla_Buffers_Agroinsumos[[#This Row],[BUFFER AN]],"")</f>
        <v/>
      </c>
      <c r="DK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" s="134"/>
      <c r="DM3" s="134"/>
      <c r="DN3" s="134"/>
      <c r="DO3" s="134"/>
      <c r="DP3" s="134"/>
      <c r="DQ3" s="134"/>
      <c r="DR3" s="134"/>
      <c r="DS3" s="134"/>
      <c r="DT3" s="134"/>
      <c r="DU3" s="134" t="str">
        <f t="array" ref="DU3">IFERROR(INDEX(TABLACONSOLIDADA[Buff Act],MATCH("AGROINSUMOSAGROQUIMICOSSUR"&amp;Tabla_Buffers_Agroinsumos[[#This Row],[CODIGO ]],TABLACONSOLIDADA[Bodega]&amp;TABLACONSOLIDADA[Codigo],0)),"")</f>
        <v/>
      </c>
      <c r="DV3" s="157" t="str">
        <f t="array" ref="DV3">IFERROR(INDEX(TABLACONSOLIDADA[Inv Fís Act],MATCH("AGROINSUMOSAGROQUIMICOSSUR"&amp;Tabla_Buffers_Agroinsumos[[#This Row],[CODIGO ]],TABLACONSOLIDADA[Bodega]&amp;TABLACONSOLIDADA[Codigo],0)),"")</f>
        <v/>
      </c>
      <c r="DW3" s="157" t="str">
        <f t="array" ref="DW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" s="134">
        <f>IFERROR(SUM(Tabla_Buffers_Agroinsumos[[#This Row],[AS-MP]:[AS-VL]]),"")</f>
        <v>0</v>
      </c>
      <c r="DZ3" s="92" t="str">
        <f>IFERROR(Tabla_Buffers_Agroinsumos[[#This Row],[INV FIS AS]]-Tabla_Buffers_Agroinsumos[[#This Row],[BUFFER AS]],"")</f>
        <v/>
      </c>
      <c r="EA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" s="134"/>
      <c r="EC3" s="134"/>
      <c r="ED3" s="134"/>
      <c r="EE3" s="134"/>
      <c r="EF3" s="134"/>
      <c r="EG3" s="134"/>
      <c r="EH3" s="134"/>
      <c r="EI3" s="134"/>
      <c r="EJ3" s="134"/>
      <c r="EK3" s="134" t="str">
        <f t="array" ref="EK3">IFERROR(INDEX(TABLACONSOLIDADA[Buff Act],MATCH("AGROINSUMOSLAFINCA"&amp;Tabla_Buffers_Agroinsumos[[#This Row],[CODIGO ]],TABLACONSOLIDADA[Bodega]&amp;TABLACONSOLIDADA[Codigo],0)),"")</f>
        <v/>
      </c>
      <c r="EL3" s="157" t="str">
        <f t="array" ref="EL3">IFERROR(INDEX(TABLACONSOLIDADA[Inv Fís Act],MATCH("AGROINSUMOSLAFINCA"&amp;Tabla_Buffers_Agroinsumos[[#This Row],[CODIGO ]],TABLACONSOLIDADA[Bodega]&amp;TABLACONSOLIDADA[Codigo],0)),"")</f>
        <v/>
      </c>
      <c r="EM3" s="157" t="str">
        <f t="array" ref="EM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" s="134">
        <f>IFERROR(SUM(Tabla_Buffers_Agroinsumos[[#This Row],[LF-MP]:[LF-VL]]),"")</f>
        <v>0</v>
      </c>
      <c r="EP3" s="92" t="str">
        <f>IFERROR(Tabla_Buffers_Agroinsumos[[#This Row],[INV FIS LF]]-Tabla_Buffers_Agroinsumos[[#This Row],[BUFFER LF]],"")</f>
        <v/>
      </c>
      <c r="EQ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" s="134"/>
      <c r="ES3" s="134"/>
      <c r="ET3" s="134"/>
      <c r="EU3" s="134"/>
      <c r="EV3" s="134"/>
      <c r="EW3" s="134"/>
      <c r="EX3" s="134"/>
      <c r="EY3" s="134"/>
      <c r="EZ3" s="134"/>
      <c r="FA3" s="134" t="str">
        <f t="array" ref="FA3">IFERROR(INDEX(TABLACONSOLIDADA[Buff Act],MATCH("AGROINSUMOSVERONICALEDESMA"&amp;Tabla_Buffers_Agroinsumos[[#This Row],[CODIGO ]],TABLACONSOLIDADA[Bodega]&amp;TABLACONSOLIDADA[Codigo],0)),"")</f>
        <v/>
      </c>
      <c r="FB3" s="157" t="str">
        <f t="array" ref="FB3">IFERROR(INDEX(TABLACONSOLIDADA[Inv Fís Act],MATCH("AGROINSUMOSVERONICALEDESMA"&amp;Tabla_Buffers_Agroinsumos[[#This Row],[CODIGO ]],TABLACONSOLIDADA[Bodega]&amp;TABLACONSOLIDADA[Codigo],0)),"")</f>
        <v/>
      </c>
      <c r="FC3" s="157" t="str">
        <f t="array" ref="FC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" s="134">
        <f>IFERROR(SUM(Tabla_Buffers_Agroinsumos[[#This Row],[VL-MP]:[VL-LF]]),"")</f>
        <v>0</v>
      </c>
      <c r="FF3" s="92" t="str">
        <f>IFERROR(Tabla_Buffers_Agroinsumos[[#This Row],[INV FIS VL]]-Tabla_Buffers_Agroinsumos[[#This Row],[BUFFER VL]],"")</f>
        <v/>
      </c>
      <c r="FG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" s="134"/>
      <c r="FI3" s="134"/>
      <c r="FJ3" s="134"/>
      <c r="FK3" s="134"/>
      <c r="FL3" s="134"/>
      <c r="FM3" s="134"/>
      <c r="FN3" s="134"/>
      <c r="FO3" s="134"/>
      <c r="FP3" s="134"/>
    </row>
    <row r="4" spans="1:172">
      <c r="A4" s="7" t="s">
        <v>66</v>
      </c>
      <c r="B4" s="7" t="s">
        <v>67</v>
      </c>
      <c r="C4" s="7" t="s">
        <v>707</v>
      </c>
      <c r="D4" s="7" t="s">
        <v>717</v>
      </c>
      <c r="E4" s="7" t="s">
        <v>863</v>
      </c>
      <c r="F4" s="19" t="s">
        <v>804</v>
      </c>
      <c r="G4" s="19" t="s">
        <v>802</v>
      </c>
      <c r="H4" s="19">
        <f>VLOOKUP(Tabla_Buffers_Agroinsumos[[#This Row],[CODIGO ]],TABLACONSOLIDADA[[Codigo]:[PV]],6,0)</f>
        <v>0</v>
      </c>
      <c r="I4" s="19">
        <f>VLOOKUP(Tabla_Buffers_Agroinsumos[[#This Row],[CODIGO ]],TABLACONSOLIDADA[[Codigo]:[PV]],5,0)</f>
        <v>1.55</v>
      </c>
      <c r="J4" s="19">
        <v>4</v>
      </c>
      <c r="K4" s="19">
        <v>4</v>
      </c>
      <c r="L4" s="19">
        <f>IFERROR(Tabla_Buffers_Agroinsumos[[#This Row],[BUFFER CENTRAL]]/((Tabla_Buffers_Agroinsumos[[#This Row],[TIEMPO REPOSICION ]]/Tabla_Buffers_Agroinsumos[[#This Row],[FRECUENCIA]])+1),0)</f>
        <v>0</v>
      </c>
      <c r="M4" s="19">
        <f t="array" ref="M4">IFERROR(INDEX(TABLACONSOLIDADA[Buff Act],MATCH("AGROINSUMOSMATERIAPRIMA"&amp;Tabla_Buffers_Agroinsumos[[#This Row],[CODIGO ]],TABLACONSOLIDADA[Bodega]&amp;TABLACONSOLIDADA[Codigo],0)),"")</f>
        <v>500</v>
      </c>
      <c r="N4" s="157">
        <f t="array" ref="N4">IFERROR(INDEX(TABLACONSOLIDADA[Inv Fís Act],MATCH("AGROINSUMOSMATERIAPRIMA"&amp;Tabla_Buffers_Agroinsumos[[#This Row],[CODIGO ]],TABLACONSOLIDADA[Bodega]&amp;TABLACONSOLIDADA[Codigo],0)),"")</f>
        <v>618</v>
      </c>
      <c r="O4" s="157">
        <f t="array" ref="O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618</v>
      </c>
      <c r="P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" s="19">
        <f>IFERROR(SUM(Tabla_Buffers_Agroinsumos[[#This Row],[MP-C]:[MP-VL]]),"")</f>
        <v>0</v>
      </c>
      <c r="R4" s="92">
        <f>IFERROR(Tabla_Buffers_Agroinsumos[[#This Row],[INV FIS MATERIA PRIMA]]-Tabla_Buffers_Agroinsumos[[#This Row],[BUFFER MATERIA PRIMA]],"")</f>
        <v>118</v>
      </c>
      <c r="S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118</v>
      </c>
      <c r="T4" s="19"/>
      <c r="U4" s="19"/>
      <c r="V4" s="19"/>
      <c r="W4" s="19"/>
      <c r="X4" s="19"/>
      <c r="Y4" s="19"/>
      <c r="Z4" s="19"/>
      <c r="AA4" s="19"/>
      <c r="AB4" s="19"/>
      <c r="AC4" s="152" t="str">
        <f t="array" ref="AC4">IFERROR(INDEX(TABLACONSOLIDADA[Buff Act],MATCH("AGROINSUMOSCENTRAL"&amp;Tabla_Buffers_Agroinsumos[[#This Row],[CODIGO ]],TABLACONSOLIDADA[Bodega]&amp;TABLACONSOLIDADA[Codigo],0)),"")</f>
        <v/>
      </c>
      <c r="AD4" s="157" t="str">
        <f t="array" ref="AD4">IFERROR(INDEX(TABLACONSOLIDADA[Inv Fís Act],MATCH("AGROINSUMOSCENTRAL"&amp;Tabla_Buffers_Agroinsumos[[#This Row],[CODIGO ]],TABLACONSOLIDADA[Bodega]&amp;TABLACONSOLIDADA[Codigo],0)),"")</f>
        <v/>
      </c>
      <c r="AE4" s="157" t="str">
        <f t="array" ref="AE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" s="91">
        <f>IFERROR(SUM(Tabla_Buffers_Agroinsumos[[#This Row],[C-MP]:[C-VL]]),"")</f>
        <v>0</v>
      </c>
      <c r="AH4" s="92" t="str">
        <f>IFERROR(Tabla_Buffers_Agroinsumos[[#This Row],[INV FIS CENTRAL]]-Tabla_Buffers_Agroinsumos[[#This Row],[BUFFER CENTRAL]],"")</f>
        <v/>
      </c>
      <c r="AI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" s="134"/>
      <c r="AK4" s="134"/>
      <c r="AL4" s="134"/>
      <c r="AM4" s="134"/>
      <c r="AN4" s="134"/>
      <c r="AO4" s="134"/>
      <c r="AP4" s="134"/>
      <c r="AQ4" s="134"/>
      <c r="AR4" s="134"/>
      <c r="AS4" s="134" t="str">
        <f t="array" ref="AS4">IFERROR(INDEX(TABLACONSOLIDADA[Buff Act],MATCH("AGROINSUMOScentralPROPIA"&amp;Tabla_Buffers_Agroinsumos[[#This Row],[CODIGO ]],TABLACONSOLIDADA[Bodega]&amp;TABLACONSOLIDADA[Codigo],0)),"")</f>
        <v/>
      </c>
      <c r="AT4" s="157" t="str">
        <f t="array" ref="AT4">IFERROR(INDEX(TABLACONSOLIDADA[Inv Fís Act],MATCH("AGROINSUMOScentralPROPIA"&amp;Tabla_Buffers_Agroinsumos[[#This Row],[CODIGO ]],TABLACONSOLIDADA[Bodega]&amp;TABLACONSOLIDADA[Codigo],0)),"")</f>
        <v/>
      </c>
      <c r="AU4" s="157" t="str">
        <f t="array" ref="AU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" s="134">
        <f>IFERROR(SUM(Tabla_Buffers_Agroinsumos[[#This Row],[P-MP]:[P-VL]]),"")</f>
        <v>0</v>
      </c>
      <c r="AX4" s="92" t="str">
        <f>IFERROR(Tabla_Buffers_Agroinsumos[[#This Row],[INV FIS PROPIA]]-Tabla_Buffers_Agroinsumos[[#This Row],[BUFFER PROPIA]],"")</f>
        <v/>
      </c>
      <c r="AY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" s="134"/>
      <c r="BA4" s="134"/>
      <c r="BB4" s="134"/>
      <c r="BC4" s="134"/>
      <c r="BD4" s="134"/>
      <c r="BE4" s="134"/>
      <c r="BF4" s="134"/>
      <c r="BG4" s="134"/>
      <c r="BH4" s="134"/>
      <c r="BI4" s="91" t="str">
        <f t="array" ref="BI4">IFERROR(INDEX(TABLACONSOLIDADA[Buff Act],MATCH("AGROINSUMOSSTODOMINGO"&amp;Tabla_Buffers_Agroinsumos[[#This Row],[CODIGO ]],TABLACONSOLIDADA[Bodega]&amp;TABLACONSOLIDADA[Codigo],0)),"")</f>
        <v/>
      </c>
      <c r="BJ4" s="157" t="str">
        <f t="array" ref="BJ4">IFERROR(INDEX(TABLACONSOLIDADA[Inv Fís Act],MATCH("AGROINSUMOSSTODOMINGO"&amp;Tabla_Buffers_Agroinsumos[[#This Row],[CODIGO ]],TABLACONSOLIDADA[Bodega]&amp;TABLACONSOLIDADA[Codigo],0)),"")</f>
        <v/>
      </c>
      <c r="BK4" s="157" t="str">
        <f t="array" ref="BK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" s="91">
        <f>IFERROR(SUM(Tabla_Buffers_Agroinsumos[[#This Row],[SD-MP]:[SD-VL]]),"")</f>
        <v>0</v>
      </c>
      <c r="BN4" s="92"/>
      <c r="BO4" s="92"/>
      <c r="BP4" s="134"/>
      <c r="BQ4" s="134"/>
      <c r="BR4" s="134"/>
      <c r="BS4" s="134"/>
      <c r="BT4" s="134"/>
      <c r="BU4" s="134"/>
      <c r="BV4" s="134"/>
      <c r="BW4" s="134"/>
      <c r="BX4" s="134"/>
      <c r="BY4" s="134" t="str">
        <f t="array" ref="BY4">IFERROR(INDEX(TABLACONSOLIDADA[Buff Act],MATCH("AGROINSUMOSMONCAYOLOPEZ"&amp;Tabla_Buffers_Agroinsumos[[#This Row],[CODIGO ]],TABLACONSOLIDADA[Bodega]&amp;TABLACONSOLIDADA[Codigo],0)),"")</f>
        <v/>
      </c>
      <c r="BZ4" s="157" t="str">
        <f t="array" ref="BZ4">IFERROR(INDEX(TABLACONSOLIDADA[Inv Fís Act],MATCH("AGROINSUMOSMONCAYOLOPEZ"&amp;Tabla_Buffers_Agroinsumos[[#This Row],[CODIGO ]],TABLACONSOLIDADA[Bodega]&amp;TABLACONSOLIDADA[Codigo],0)),"")</f>
        <v/>
      </c>
      <c r="CA4" s="157" t="str">
        <f t="array" ref="CA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" s="134">
        <f>IFERROR(SUM(Tabla_Buffers_Agroinsumos[[#This Row],[ML-MP]:[ML-VL]]),"")</f>
        <v>0</v>
      </c>
      <c r="CD4" s="92" t="str">
        <f>IFERROR(Tabla_Buffers_Agroinsumos[[#This Row],[INV FIS ML]]-Tabla_Buffers_Agroinsumos[[#This Row],[BUFFER ML]],"")</f>
        <v/>
      </c>
      <c r="CE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" s="134"/>
      <c r="CG4" s="134"/>
      <c r="CH4" s="134"/>
      <c r="CI4" s="134"/>
      <c r="CJ4" s="134"/>
      <c r="CK4" s="134"/>
      <c r="CL4" s="134"/>
      <c r="CM4" s="134"/>
      <c r="CN4" s="134"/>
      <c r="CO4" s="134" t="str">
        <f t="array" ref="CO4">IFERROR(INDEX(TABLACONSOLIDADA[Buff Act],MATCH("AGROINSUMOSAGROHERMANOSLEON"&amp;Tabla_Buffers_Agroinsumos[[#This Row],[CODIGO ]],TABLACONSOLIDADA[Bodega]&amp;TABLACONSOLIDADA[Codigo],0)),"")</f>
        <v/>
      </c>
      <c r="CP4" s="157" t="str">
        <f t="array" ref="CP4">IFERROR(INDEX(TABLACONSOLIDADA[Inv Fís Act],MATCH("AGROINSUMOSAGROHERMANOSLEON"&amp;Tabla_Buffers_Agroinsumos[[#This Row],[CODIGO ]],TABLACONSOLIDADA[Bodega]&amp;TABLACONSOLIDADA[Codigo],0)),"")</f>
        <v/>
      </c>
      <c r="CQ4" s="157" t="str">
        <f t="array" ref="CQ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" s="134">
        <f>IFERROR(SUM(Tabla_Buffers_Agroinsumos[[#This Row],[AL-MP]:[AL-VL]]),"")</f>
        <v>0</v>
      </c>
      <c r="CT4" s="92" t="str">
        <f>IFERROR(Tabla_Buffers_Agroinsumos[[#This Row],[INV FIS AL]]-Tabla_Buffers_Agroinsumos[[#This Row],[BUFFER AL]],"")</f>
        <v/>
      </c>
      <c r="CU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" s="134"/>
      <c r="CW4" s="134"/>
      <c r="CX4" s="134"/>
      <c r="CY4" s="134"/>
      <c r="CZ4" s="134"/>
      <c r="DA4" s="134"/>
      <c r="DB4" s="134"/>
      <c r="DC4" s="134"/>
      <c r="DD4" s="134"/>
      <c r="DE4" s="134" t="str">
        <f t="array" ref="DE4">IFERROR(INDEX(TABLACONSOLIDADA[Buff Act],MATCH("AGROINSUMOSAGRONUEVO"&amp;Tabla_Buffers_Agroinsumos[[#This Row],[CODIGO ]],TABLACONSOLIDADA[Bodega]&amp;TABLACONSOLIDADA[Codigo],0)),"")</f>
        <v/>
      </c>
      <c r="DF4" s="157" t="str">
        <f t="array" ref="DF4">IFERROR(INDEX(TABLACONSOLIDADA[Inv Fís Act],MATCH("AGROINSUMOSAGRONUEVO"&amp;Tabla_Buffers_Agroinsumos[[#This Row],[CODIGO ]],TABLACONSOLIDADA[Bodega]&amp;TABLACONSOLIDADA[Codigo],0)),"")</f>
        <v/>
      </c>
      <c r="DG4" s="157" t="str">
        <f t="array" ref="DG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" s="134">
        <f>IFERROR(SUM(Tabla_Buffers_Agroinsumos[[#This Row],[AN-MP]:[AN-VL]]),"")</f>
        <v>0</v>
      </c>
      <c r="DJ4" s="92" t="str">
        <f>IFERROR(Tabla_Buffers_Agroinsumos[[#This Row],[INV FIS AN]]-Tabla_Buffers_Agroinsumos[[#This Row],[BUFFER AN]],"")</f>
        <v/>
      </c>
      <c r="DK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" s="134"/>
      <c r="DM4" s="134"/>
      <c r="DN4" s="134"/>
      <c r="DO4" s="134"/>
      <c r="DP4" s="134"/>
      <c r="DQ4" s="134"/>
      <c r="DR4" s="134"/>
      <c r="DS4" s="134"/>
      <c r="DT4" s="134"/>
      <c r="DU4" s="134" t="str">
        <f t="array" ref="DU4">IFERROR(INDEX(TABLACONSOLIDADA[Buff Act],MATCH("AGROINSUMOSAGROQUIMICOSSUR"&amp;Tabla_Buffers_Agroinsumos[[#This Row],[CODIGO ]],TABLACONSOLIDADA[Bodega]&amp;TABLACONSOLIDADA[Codigo],0)),"")</f>
        <v/>
      </c>
      <c r="DV4" s="157" t="str">
        <f t="array" ref="DV4">IFERROR(INDEX(TABLACONSOLIDADA[Inv Fís Act],MATCH("AGROINSUMOSAGROQUIMICOSSUR"&amp;Tabla_Buffers_Agroinsumos[[#This Row],[CODIGO ]],TABLACONSOLIDADA[Bodega]&amp;TABLACONSOLIDADA[Codigo],0)),"")</f>
        <v/>
      </c>
      <c r="DW4" s="157" t="str">
        <f t="array" ref="DW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" s="134">
        <f>IFERROR(SUM(Tabla_Buffers_Agroinsumos[[#This Row],[AS-MP]:[AS-VL]]),"")</f>
        <v>0</v>
      </c>
      <c r="DZ4" s="92" t="str">
        <f>IFERROR(Tabla_Buffers_Agroinsumos[[#This Row],[INV FIS AS]]-Tabla_Buffers_Agroinsumos[[#This Row],[BUFFER AS]],"")</f>
        <v/>
      </c>
      <c r="EA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" s="134"/>
      <c r="EC4" s="134"/>
      <c r="ED4" s="134"/>
      <c r="EE4" s="134"/>
      <c r="EF4" s="134"/>
      <c r="EG4" s="134"/>
      <c r="EH4" s="134"/>
      <c r="EI4" s="134"/>
      <c r="EJ4" s="134"/>
      <c r="EK4" s="134" t="str">
        <f t="array" ref="EK4">IFERROR(INDEX(TABLACONSOLIDADA[Buff Act],MATCH("AGROINSUMOSLAFINCA"&amp;Tabla_Buffers_Agroinsumos[[#This Row],[CODIGO ]],TABLACONSOLIDADA[Bodega]&amp;TABLACONSOLIDADA[Codigo],0)),"")</f>
        <v/>
      </c>
      <c r="EL4" s="157" t="str">
        <f t="array" ref="EL4">IFERROR(INDEX(TABLACONSOLIDADA[Inv Fís Act],MATCH("AGROINSUMOSLAFINCA"&amp;Tabla_Buffers_Agroinsumos[[#This Row],[CODIGO ]],TABLACONSOLIDADA[Bodega]&amp;TABLACONSOLIDADA[Codigo],0)),"")</f>
        <v/>
      </c>
      <c r="EM4" s="157" t="str">
        <f t="array" ref="EM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" s="134">
        <f>IFERROR(SUM(Tabla_Buffers_Agroinsumos[[#This Row],[LF-MP]:[LF-VL]]),"")</f>
        <v>0</v>
      </c>
      <c r="EP4" s="92" t="str">
        <f>IFERROR(Tabla_Buffers_Agroinsumos[[#This Row],[INV FIS LF]]-Tabla_Buffers_Agroinsumos[[#This Row],[BUFFER LF]],"")</f>
        <v/>
      </c>
      <c r="EQ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" s="134"/>
      <c r="ES4" s="134"/>
      <c r="ET4" s="134"/>
      <c r="EU4" s="134"/>
      <c r="EV4" s="134"/>
      <c r="EW4" s="134"/>
      <c r="EX4" s="134"/>
      <c r="EY4" s="134"/>
      <c r="EZ4" s="134"/>
      <c r="FA4" s="134" t="str">
        <f t="array" ref="FA4">IFERROR(INDEX(TABLACONSOLIDADA[Buff Act],MATCH("AGROINSUMOSVERONICALEDESMA"&amp;Tabla_Buffers_Agroinsumos[[#This Row],[CODIGO ]],TABLACONSOLIDADA[Bodega]&amp;TABLACONSOLIDADA[Codigo],0)),"")</f>
        <v/>
      </c>
      <c r="FB4" s="157" t="str">
        <f t="array" ref="FB4">IFERROR(INDEX(TABLACONSOLIDADA[Inv Fís Act],MATCH("AGROINSUMOSVERONICALEDESMA"&amp;Tabla_Buffers_Agroinsumos[[#This Row],[CODIGO ]],TABLACONSOLIDADA[Bodega]&amp;TABLACONSOLIDADA[Codigo],0)),"")</f>
        <v/>
      </c>
      <c r="FC4" s="157" t="str">
        <f t="array" ref="FC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" s="134">
        <f>IFERROR(SUM(Tabla_Buffers_Agroinsumos[[#This Row],[VL-MP]:[VL-LF]]),"")</f>
        <v>0</v>
      </c>
      <c r="FF4" s="92" t="str">
        <f>IFERROR(Tabla_Buffers_Agroinsumos[[#This Row],[INV FIS VL]]-Tabla_Buffers_Agroinsumos[[#This Row],[BUFFER VL]],"")</f>
        <v/>
      </c>
      <c r="FG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" s="134"/>
      <c r="FI4" s="134"/>
      <c r="FJ4" s="134"/>
      <c r="FK4" s="134"/>
      <c r="FL4" s="134"/>
      <c r="FM4" s="134"/>
      <c r="FN4" s="134"/>
      <c r="FO4" s="134"/>
      <c r="FP4" s="134"/>
    </row>
    <row r="5" spans="1:172">
      <c r="A5" s="7" t="s">
        <v>908</v>
      </c>
      <c r="B5" s="7" t="s">
        <v>909</v>
      </c>
      <c r="C5" s="7" t="s">
        <v>707</v>
      </c>
      <c r="D5" s="7" t="s">
        <v>717</v>
      </c>
      <c r="E5" s="7" t="s">
        <v>863</v>
      </c>
      <c r="F5" s="19"/>
      <c r="G5" s="19" t="s">
        <v>802</v>
      </c>
      <c r="H5" s="19">
        <f>VLOOKUP(Tabla_Buffers_Agroinsumos[[#This Row],[CODIGO ]],TABLACONSOLIDADA[[Codigo]:[PV]],6,0)</f>
        <v>0</v>
      </c>
      <c r="I5" s="19">
        <f>VLOOKUP(Tabla_Buffers_Agroinsumos[[#This Row],[CODIGO ]],TABLACONSOLIDADA[[Codigo]:[PV]],5,0)</f>
        <v>560</v>
      </c>
      <c r="J5" s="19">
        <v>4</v>
      </c>
      <c r="K5" s="19">
        <v>4</v>
      </c>
      <c r="L5" s="19">
        <f>IFERROR(Tabla_Buffers_Agroinsumos[[#This Row],[BUFFER CENTRAL]]/((Tabla_Buffers_Agroinsumos[[#This Row],[TIEMPO REPOSICION ]]/Tabla_Buffers_Agroinsumos[[#This Row],[FRECUENCIA]])+1),0)</f>
        <v>0</v>
      </c>
      <c r="M5" s="19">
        <f t="array" ref="M5">IFERROR(INDEX(TABLACONSOLIDADA[Buff Act],MATCH("AGROINSUMOSMATERIAPRIMA"&amp;Tabla_Buffers_Agroinsumos[[#This Row],[CODIGO ]],TABLACONSOLIDADA[Bodega]&amp;TABLACONSOLIDADA[Codigo],0)),"")</f>
        <v>0</v>
      </c>
      <c r="N5" s="157">
        <f t="array" ref="N5">IFERROR(INDEX(TABLACONSOLIDADA[Inv Fís Act],MATCH("AGROINSUMOSMATERIAPRIMA"&amp;Tabla_Buffers_Agroinsumos[[#This Row],[CODIGO ]],TABLACONSOLIDADA[Bodega]&amp;TABLACONSOLIDADA[Codigo],0)),"")</f>
        <v>1.1425000000000001</v>
      </c>
      <c r="O5" s="157">
        <f t="array" ref="O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1.1425000000000001</v>
      </c>
      <c r="P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5" s="19">
        <f>IFERROR(SUM(Tabla_Buffers_Agroinsumos[[#This Row],[MP-C]:[MP-VL]]),"")</f>
        <v>0</v>
      </c>
      <c r="R5" s="92">
        <f>IFERROR(Tabla_Buffers_Agroinsumos[[#This Row],[INV FIS MATERIA PRIMA]]-Tabla_Buffers_Agroinsumos[[#This Row],[BUFFER MATERIA PRIMA]],"")</f>
        <v>1.1425000000000001</v>
      </c>
      <c r="S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1.1425000000000001</v>
      </c>
      <c r="T5" s="19"/>
      <c r="U5" s="19"/>
      <c r="V5" s="19"/>
      <c r="W5" s="19"/>
      <c r="X5" s="19"/>
      <c r="Y5" s="19"/>
      <c r="Z5" s="19"/>
      <c r="AA5" s="19"/>
      <c r="AB5" s="19"/>
      <c r="AC5" s="152" t="str">
        <f t="array" ref="AC5">IFERROR(INDEX(TABLACONSOLIDADA[Buff Act],MATCH("AGROINSUMOSCENTRAL"&amp;Tabla_Buffers_Agroinsumos[[#This Row],[CODIGO ]],TABLACONSOLIDADA[Bodega]&amp;TABLACONSOLIDADA[Codigo],0)),"")</f>
        <v/>
      </c>
      <c r="AD5" s="157" t="str">
        <f t="array" ref="AD5">IFERROR(INDEX(TABLACONSOLIDADA[Inv Fís Act],MATCH("AGROINSUMOSCENTRAL"&amp;Tabla_Buffers_Agroinsumos[[#This Row],[CODIGO ]],TABLACONSOLIDADA[Bodega]&amp;TABLACONSOLIDADA[Codigo],0)),"")</f>
        <v/>
      </c>
      <c r="AE5" s="157" t="str">
        <f t="array" ref="AE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5" s="91">
        <f>IFERROR(SUM(Tabla_Buffers_Agroinsumos[[#This Row],[C-MP]:[C-VL]]),"")</f>
        <v>0</v>
      </c>
      <c r="AH5" s="92" t="str">
        <f>IFERROR(Tabla_Buffers_Agroinsumos[[#This Row],[INV FIS CENTRAL]]-Tabla_Buffers_Agroinsumos[[#This Row],[BUFFER CENTRAL]],"")</f>
        <v/>
      </c>
      <c r="AI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5" s="134"/>
      <c r="AK5" s="134"/>
      <c r="AL5" s="134"/>
      <c r="AM5" s="134"/>
      <c r="AN5" s="134"/>
      <c r="AO5" s="134"/>
      <c r="AP5" s="134"/>
      <c r="AQ5" s="134"/>
      <c r="AR5" s="134"/>
      <c r="AS5" s="134" t="str">
        <f t="array" ref="AS5">IFERROR(INDEX(TABLACONSOLIDADA[Buff Act],MATCH("AGROINSUMOScentralPROPIA"&amp;Tabla_Buffers_Agroinsumos[[#This Row],[CODIGO ]],TABLACONSOLIDADA[Bodega]&amp;TABLACONSOLIDADA[Codigo],0)),"")</f>
        <v/>
      </c>
      <c r="AT5" s="157" t="str">
        <f t="array" ref="AT5">IFERROR(INDEX(TABLACONSOLIDADA[Inv Fís Act],MATCH("AGROINSUMOScentralPROPIA"&amp;Tabla_Buffers_Agroinsumos[[#This Row],[CODIGO ]],TABLACONSOLIDADA[Bodega]&amp;TABLACONSOLIDADA[Codigo],0)),"")</f>
        <v/>
      </c>
      <c r="AU5" s="157" t="str">
        <f t="array" ref="AU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5" s="134">
        <f>IFERROR(SUM(Tabla_Buffers_Agroinsumos[[#This Row],[P-MP]:[P-VL]]),"")</f>
        <v>0</v>
      </c>
      <c r="AX5" s="92" t="str">
        <f>IFERROR(Tabla_Buffers_Agroinsumos[[#This Row],[INV FIS PROPIA]]-Tabla_Buffers_Agroinsumos[[#This Row],[BUFFER PROPIA]],"")</f>
        <v/>
      </c>
      <c r="AY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5" s="134"/>
      <c r="BA5" s="134"/>
      <c r="BB5" s="134"/>
      <c r="BC5" s="134"/>
      <c r="BD5" s="134"/>
      <c r="BE5" s="134"/>
      <c r="BF5" s="134"/>
      <c r="BG5" s="134"/>
      <c r="BH5" s="134"/>
      <c r="BI5" s="91" t="str">
        <f t="array" ref="BI5">IFERROR(INDEX(TABLACONSOLIDADA[Buff Act],MATCH("AGROINSUMOSSTODOMINGO"&amp;Tabla_Buffers_Agroinsumos[[#This Row],[CODIGO ]],TABLACONSOLIDADA[Bodega]&amp;TABLACONSOLIDADA[Codigo],0)),"")</f>
        <v/>
      </c>
      <c r="BJ5" s="157" t="str">
        <f t="array" ref="BJ5">IFERROR(INDEX(TABLACONSOLIDADA[Inv Fís Act],MATCH("AGROINSUMOSSTODOMINGO"&amp;Tabla_Buffers_Agroinsumos[[#This Row],[CODIGO ]],TABLACONSOLIDADA[Bodega]&amp;TABLACONSOLIDADA[Codigo],0)),"")</f>
        <v/>
      </c>
      <c r="BK5" s="157" t="str">
        <f t="array" ref="BK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5" s="91">
        <f>IFERROR(SUM(Tabla_Buffers_Agroinsumos[[#This Row],[SD-MP]:[SD-VL]]),"")</f>
        <v>0</v>
      </c>
      <c r="BN5" s="92"/>
      <c r="BO5" s="92"/>
      <c r="BP5" s="134"/>
      <c r="BQ5" s="134"/>
      <c r="BR5" s="134"/>
      <c r="BS5" s="134"/>
      <c r="BT5" s="134"/>
      <c r="BU5" s="134"/>
      <c r="BV5" s="134"/>
      <c r="BW5" s="134"/>
      <c r="BX5" s="134"/>
      <c r="BY5" s="134" t="str">
        <f t="array" ref="BY5">IFERROR(INDEX(TABLACONSOLIDADA[Buff Act],MATCH("AGROINSUMOSMONCAYOLOPEZ"&amp;Tabla_Buffers_Agroinsumos[[#This Row],[CODIGO ]],TABLACONSOLIDADA[Bodega]&amp;TABLACONSOLIDADA[Codigo],0)),"")</f>
        <v/>
      </c>
      <c r="BZ5" s="157" t="str">
        <f t="array" ref="BZ5">IFERROR(INDEX(TABLACONSOLIDADA[Inv Fís Act],MATCH("AGROINSUMOSMONCAYOLOPEZ"&amp;Tabla_Buffers_Agroinsumos[[#This Row],[CODIGO ]],TABLACONSOLIDADA[Bodega]&amp;TABLACONSOLIDADA[Codigo],0)),"")</f>
        <v/>
      </c>
      <c r="CA5" s="157" t="str">
        <f t="array" ref="CA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5" s="134">
        <f>IFERROR(SUM(Tabla_Buffers_Agroinsumos[[#This Row],[ML-MP]:[ML-VL]]),"")</f>
        <v>0</v>
      </c>
      <c r="CD5" s="92" t="str">
        <f>IFERROR(Tabla_Buffers_Agroinsumos[[#This Row],[INV FIS ML]]-Tabla_Buffers_Agroinsumos[[#This Row],[BUFFER ML]],"")</f>
        <v/>
      </c>
      <c r="CE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5" s="134"/>
      <c r="CG5" s="134"/>
      <c r="CH5" s="134"/>
      <c r="CI5" s="134"/>
      <c r="CJ5" s="134"/>
      <c r="CK5" s="134"/>
      <c r="CL5" s="134"/>
      <c r="CM5" s="134"/>
      <c r="CN5" s="134"/>
      <c r="CO5" s="134" t="str">
        <f t="array" ref="CO5">IFERROR(INDEX(TABLACONSOLIDADA[Buff Act],MATCH("AGROINSUMOSAGROHERMANOSLEON"&amp;Tabla_Buffers_Agroinsumos[[#This Row],[CODIGO ]],TABLACONSOLIDADA[Bodega]&amp;TABLACONSOLIDADA[Codigo],0)),"")</f>
        <v/>
      </c>
      <c r="CP5" s="157" t="str">
        <f t="array" ref="CP5">IFERROR(INDEX(TABLACONSOLIDADA[Inv Fís Act],MATCH("AGROINSUMOSAGROHERMANOSLEON"&amp;Tabla_Buffers_Agroinsumos[[#This Row],[CODIGO ]],TABLACONSOLIDADA[Bodega]&amp;TABLACONSOLIDADA[Codigo],0)),"")</f>
        <v/>
      </c>
      <c r="CQ5" s="157" t="str">
        <f t="array" ref="CQ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5" s="134">
        <f>IFERROR(SUM(Tabla_Buffers_Agroinsumos[[#This Row],[AL-MP]:[AL-VL]]),"")</f>
        <v>0</v>
      </c>
      <c r="CT5" s="92" t="str">
        <f>IFERROR(Tabla_Buffers_Agroinsumos[[#This Row],[INV FIS AL]]-Tabla_Buffers_Agroinsumos[[#This Row],[BUFFER AL]],"")</f>
        <v/>
      </c>
      <c r="CU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5" s="134"/>
      <c r="CW5" s="134"/>
      <c r="CX5" s="134"/>
      <c r="CY5" s="134"/>
      <c r="CZ5" s="134"/>
      <c r="DA5" s="134"/>
      <c r="DB5" s="134"/>
      <c r="DC5" s="134"/>
      <c r="DD5" s="134"/>
      <c r="DE5" s="134" t="str">
        <f t="array" ref="DE5">IFERROR(INDEX(TABLACONSOLIDADA[Buff Act],MATCH("AGROINSUMOSAGRONUEVO"&amp;Tabla_Buffers_Agroinsumos[[#This Row],[CODIGO ]],TABLACONSOLIDADA[Bodega]&amp;TABLACONSOLIDADA[Codigo],0)),"")</f>
        <v/>
      </c>
      <c r="DF5" s="157" t="str">
        <f t="array" ref="DF5">IFERROR(INDEX(TABLACONSOLIDADA[Inv Fís Act],MATCH("AGROINSUMOSAGRONUEVO"&amp;Tabla_Buffers_Agroinsumos[[#This Row],[CODIGO ]],TABLACONSOLIDADA[Bodega]&amp;TABLACONSOLIDADA[Codigo],0)),"")</f>
        <v/>
      </c>
      <c r="DG5" s="157" t="str">
        <f t="array" ref="DG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5" s="134">
        <f>IFERROR(SUM(Tabla_Buffers_Agroinsumos[[#This Row],[AN-MP]:[AN-VL]]),"")</f>
        <v>0</v>
      </c>
      <c r="DJ5" s="92" t="str">
        <f>IFERROR(Tabla_Buffers_Agroinsumos[[#This Row],[INV FIS AN]]-Tabla_Buffers_Agroinsumos[[#This Row],[BUFFER AN]],"")</f>
        <v/>
      </c>
      <c r="DK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5" s="134"/>
      <c r="DM5" s="134"/>
      <c r="DN5" s="134"/>
      <c r="DO5" s="134"/>
      <c r="DP5" s="134"/>
      <c r="DQ5" s="134"/>
      <c r="DR5" s="134"/>
      <c r="DS5" s="134"/>
      <c r="DT5" s="134"/>
      <c r="DU5" s="134" t="str">
        <f t="array" ref="DU5">IFERROR(INDEX(TABLACONSOLIDADA[Buff Act],MATCH("AGROINSUMOSAGROQUIMICOSSUR"&amp;Tabla_Buffers_Agroinsumos[[#This Row],[CODIGO ]],TABLACONSOLIDADA[Bodega]&amp;TABLACONSOLIDADA[Codigo],0)),"")</f>
        <v/>
      </c>
      <c r="DV5" s="157" t="str">
        <f t="array" ref="DV5">IFERROR(INDEX(TABLACONSOLIDADA[Inv Fís Act],MATCH("AGROINSUMOSAGROQUIMICOSSUR"&amp;Tabla_Buffers_Agroinsumos[[#This Row],[CODIGO ]],TABLACONSOLIDADA[Bodega]&amp;TABLACONSOLIDADA[Codigo],0)),"")</f>
        <v/>
      </c>
      <c r="DW5" s="157" t="str">
        <f t="array" ref="DW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5" s="134">
        <f>IFERROR(SUM(Tabla_Buffers_Agroinsumos[[#This Row],[AS-MP]:[AS-VL]]),"")</f>
        <v>0</v>
      </c>
      <c r="DZ5" s="92" t="str">
        <f>IFERROR(Tabla_Buffers_Agroinsumos[[#This Row],[INV FIS AS]]-Tabla_Buffers_Agroinsumos[[#This Row],[BUFFER AS]],"")</f>
        <v/>
      </c>
      <c r="EA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5" s="134"/>
      <c r="EC5" s="134"/>
      <c r="ED5" s="134"/>
      <c r="EE5" s="134"/>
      <c r="EF5" s="134"/>
      <c r="EG5" s="134"/>
      <c r="EH5" s="134"/>
      <c r="EI5" s="134"/>
      <c r="EJ5" s="134"/>
      <c r="EK5" s="134" t="str">
        <f t="array" ref="EK5">IFERROR(INDEX(TABLACONSOLIDADA[Buff Act],MATCH("AGROINSUMOSLAFINCA"&amp;Tabla_Buffers_Agroinsumos[[#This Row],[CODIGO ]],TABLACONSOLIDADA[Bodega]&amp;TABLACONSOLIDADA[Codigo],0)),"")</f>
        <v/>
      </c>
      <c r="EL5" s="157" t="str">
        <f t="array" ref="EL5">IFERROR(INDEX(TABLACONSOLIDADA[Inv Fís Act],MATCH("AGROINSUMOSLAFINCA"&amp;Tabla_Buffers_Agroinsumos[[#This Row],[CODIGO ]],TABLACONSOLIDADA[Bodega]&amp;TABLACONSOLIDADA[Codigo],0)),"")</f>
        <v/>
      </c>
      <c r="EM5" s="157" t="str">
        <f t="array" ref="EM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5" s="134">
        <f>IFERROR(SUM(Tabla_Buffers_Agroinsumos[[#This Row],[LF-MP]:[LF-VL]]),"")</f>
        <v>0</v>
      </c>
      <c r="EP5" s="92" t="str">
        <f>IFERROR(Tabla_Buffers_Agroinsumos[[#This Row],[INV FIS LF]]-Tabla_Buffers_Agroinsumos[[#This Row],[BUFFER LF]],"")</f>
        <v/>
      </c>
      <c r="EQ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5" s="134"/>
      <c r="ES5" s="134"/>
      <c r="ET5" s="134"/>
      <c r="EU5" s="134"/>
      <c r="EV5" s="134"/>
      <c r="EW5" s="134"/>
      <c r="EX5" s="134"/>
      <c r="EY5" s="134"/>
      <c r="EZ5" s="134"/>
      <c r="FA5" s="134" t="str">
        <f t="array" ref="FA5">IFERROR(INDEX(TABLACONSOLIDADA[Buff Act],MATCH("AGROINSUMOSVERONICALEDESMA"&amp;Tabla_Buffers_Agroinsumos[[#This Row],[CODIGO ]],TABLACONSOLIDADA[Bodega]&amp;TABLACONSOLIDADA[Codigo],0)),"")</f>
        <v/>
      </c>
      <c r="FB5" s="157" t="str">
        <f t="array" ref="FB5">IFERROR(INDEX(TABLACONSOLIDADA[Inv Fís Act],MATCH("AGROINSUMOSVERONICALEDESMA"&amp;Tabla_Buffers_Agroinsumos[[#This Row],[CODIGO ]],TABLACONSOLIDADA[Bodega]&amp;TABLACONSOLIDADA[Codigo],0)),"")</f>
        <v/>
      </c>
      <c r="FC5" s="157" t="str">
        <f t="array" ref="FC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5" s="134">
        <f>IFERROR(SUM(Tabla_Buffers_Agroinsumos[[#This Row],[VL-MP]:[VL-LF]]),"")</f>
        <v>0</v>
      </c>
      <c r="FF5" s="92" t="str">
        <f>IFERROR(Tabla_Buffers_Agroinsumos[[#This Row],[INV FIS VL]]-Tabla_Buffers_Agroinsumos[[#This Row],[BUFFER VL]],"")</f>
        <v/>
      </c>
      <c r="FG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5" s="134"/>
      <c r="FI5" s="134"/>
      <c r="FJ5" s="134"/>
      <c r="FK5" s="134"/>
      <c r="FL5" s="134"/>
      <c r="FM5" s="134"/>
      <c r="FN5" s="134"/>
      <c r="FO5" s="134"/>
      <c r="FP5" s="134"/>
    </row>
    <row r="6" spans="1:172">
      <c r="A6" s="7" t="s">
        <v>848</v>
      </c>
      <c r="B6" s="7" t="s">
        <v>936</v>
      </c>
      <c r="C6" s="7" t="s">
        <v>707</v>
      </c>
      <c r="D6" s="7" t="s">
        <v>717</v>
      </c>
      <c r="E6" s="7" t="s">
        <v>863</v>
      </c>
      <c r="F6" s="19" t="s">
        <v>804</v>
      </c>
      <c r="G6" s="19" t="s">
        <v>802</v>
      </c>
      <c r="H6" s="19">
        <f>VLOOKUP(Tabla_Buffers_Agroinsumos[[#This Row],[CODIGO ]],TABLACONSOLIDADA[[Codigo]:[PV]],6,0)</f>
        <v>0</v>
      </c>
      <c r="I6" s="19">
        <f>VLOOKUP(Tabla_Buffers_Agroinsumos[[#This Row],[CODIGO ]],TABLACONSOLIDADA[[Codigo]:[PV]],5,0)</f>
        <v>3.28</v>
      </c>
      <c r="J6" s="19">
        <v>4</v>
      </c>
      <c r="K6" s="19">
        <v>4</v>
      </c>
      <c r="L6" s="19">
        <f>IFERROR(Tabla_Buffers_Agroinsumos[[#This Row],[BUFFER CENTRAL]]/((Tabla_Buffers_Agroinsumos[[#This Row],[TIEMPO REPOSICION ]]/Tabla_Buffers_Agroinsumos[[#This Row],[FRECUENCIA]])+1),0)</f>
        <v>0</v>
      </c>
      <c r="M6" s="19">
        <f t="array" ref="M6">IFERROR(INDEX(TABLACONSOLIDADA[Buff Act],MATCH("AGROINSUMOSMATERIAPRIMA"&amp;Tabla_Buffers_Agroinsumos[[#This Row],[CODIGO ]],TABLACONSOLIDADA[Bodega]&amp;TABLACONSOLIDADA[Codigo],0)),"")</f>
        <v>500</v>
      </c>
      <c r="N6" s="157">
        <f t="array" ref="N6">IFERROR(INDEX(TABLACONSOLIDADA[Inv Fís Act],MATCH("AGROINSUMOSMATERIAPRIMA"&amp;Tabla_Buffers_Agroinsumos[[#This Row],[CODIGO ]],TABLACONSOLIDADA[Bodega]&amp;TABLACONSOLIDADA[Codigo],0)),"")</f>
        <v>514</v>
      </c>
      <c r="O6" s="157">
        <f t="array" ref="O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514</v>
      </c>
      <c r="P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6" s="19">
        <f>IFERROR(SUM(Tabla_Buffers_Agroinsumos[[#This Row],[MP-C]:[MP-VL]]),"")</f>
        <v>0</v>
      </c>
      <c r="R6" s="92">
        <f>IFERROR(Tabla_Buffers_Agroinsumos[[#This Row],[INV FIS MATERIA PRIMA]]-Tabla_Buffers_Agroinsumos[[#This Row],[BUFFER MATERIA PRIMA]],"")</f>
        <v>14</v>
      </c>
      <c r="S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14</v>
      </c>
      <c r="T6" s="19"/>
      <c r="U6" s="19"/>
      <c r="V6" s="19"/>
      <c r="W6" s="19"/>
      <c r="X6" s="19"/>
      <c r="Y6" s="19"/>
      <c r="Z6" s="19"/>
      <c r="AA6" s="19"/>
      <c r="AB6" s="19"/>
      <c r="AC6" s="152" t="str">
        <f t="array" ref="AC6">IFERROR(INDEX(TABLACONSOLIDADA[Buff Act],MATCH("AGROINSUMOSCENTRAL"&amp;Tabla_Buffers_Agroinsumos[[#This Row],[CODIGO ]],TABLACONSOLIDADA[Bodega]&amp;TABLACONSOLIDADA[Codigo],0)),"")</f>
        <v/>
      </c>
      <c r="AD6" s="157" t="str">
        <f t="array" ref="AD6">IFERROR(INDEX(TABLACONSOLIDADA[Inv Fís Act],MATCH("AGROINSUMOSCENTRAL"&amp;Tabla_Buffers_Agroinsumos[[#This Row],[CODIGO ]],TABLACONSOLIDADA[Bodega]&amp;TABLACONSOLIDADA[Codigo],0)),"")</f>
        <v/>
      </c>
      <c r="AE6" s="157" t="str">
        <f t="array" ref="AE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6" s="91">
        <f>IFERROR(SUM(Tabla_Buffers_Agroinsumos[[#This Row],[C-MP]:[C-VL]]),"")</f>
        <v>0</v>
      </c>
      <c r="AH6" s="92" t="str">
        <f>IFERROR(Tabla_Buffers_Agroinsumos[[#This Row],[INV FIS CENTRAL]]-Tabla_Buffers_Agroinsumos[[#This Row],[BUFFER CENTRAL]],"")</f>
        <v/>
      </c>
      <c r="AI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6" s="134"/>
      <c r="AK6" s="134"/>
      <c r="AL6" s="134"/>
      <c r="AM6" s="134"/>
      <c r="AN6" s="134"/>
      <c r="AO6" s="134"/>
      <c r="AP6" s="134"/>
      <c r="AQ6" s="134"/>
      <c r="AR6" s="134"/>
      <c r="AS6" s="134" t="str">
        <f t="array" ref="AS6">IFERROR(INDEX(TABLACONSOLIDADA[Buff Act],MATCH("AGROINSUMOScentralPROPIA"&amp;Tabla_Buffers_Agroinsumos[[#This Row],[CODIGO ]],TABLACONSOLIDADA[Bodega]&amp;TABLACONSOLIDADA[Codigo],0)),"")</f>
        <v/>
      </c>
      <c r="AT6" s="157" t="str">
        <f t="array" ref="AT6">IFERROR(INDEX(TABLACONSOLIDADA[Inv Fís Act],MATCH("AGROINSUMOScentralPROPIA"&amp;Tabla_Buffers_Agroinsumos[[#This Row],[CODIGO ]],TABLACONSOLIDADA[Bodega]&amp;TABLACONSOLIDADA[Codigo],0)),"")</f>
        <v/>
      </c>
      <c r="AU6" s="157" t="str">
        <f t="array" ref="AU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6" s="134">
        <f>IFERROR(SUM(Tabla_Buffers_Agroinsumos[[#This Row],[P-MP]:[P-VL]]),"")</f>
        <v>0</v>
      </c>
      <c r="AX6" s="92" t="str">
        <f>IFERROR(Tabla_Buffers_Agroinsumos[[#This Row],[INV FIS PROPIA]]-Tabla_Buffers_Agroinsumos[[#This Row],[BUFFER PROPIA]],"")</f>
        <v/>
      </c>
      <c r="AY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6" s="134"/>
      <c r="BA6" s="134"/>
      <c r="BB6" s="134"/>
      <c r="BC6" s="134"/>
      <c r="BD6" s="134"/>
      <c r="BE6" s="134"/>
      <c r="BF6" s="134"/>
      <c r="BG6" s="134"/>
      <c r="BH6" s="134"/>
      <c r="BI6" s="91" t="str">
        <f t="array" ref="BI6">IFERROR(INDEX(TABLACONSOLIDADA[Buff Act],MATCH("AGROINSUMOSSTODOMINGO"&amp;Tabla_Buffers_Agroinsumos[[#This Row],[CODIGO ]],TABLACONSOLIDADA[Bodega]&amp;TABLACONSOLIDADA[Codigo],0)),"")</f>
        <v/>
      </c>
      <c r="BJ6" s="157" t="str">
        <f t="array" ref="BJ6">IFERROR(INDEX(TABLACONSOLIDADA[Inv Fís Act],MATCH("AGROINSUMOSSTODOMINGO"&amp;Tabla_Buffers_Agroinsumos[[#This Row],[CODIGO ]],TABLACONSOLIDADA[Bodega]&amp;TABLACONSOLIDADA[Codigo],0)),"")</f>
        <v/>
      </c>
      <c r="BK6" s="157" t="str">
        <f t="array" ref="BK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6" s="91">
        <f>IFERROR(SUM(Tabla_Buffers_Agroinsumos[[#This Row],[SD-MP]:[SD-VL]]),"")</f>
        <v>0</v>
      </c>
      <c r="BN6" s="92"/>
      <c r="BO6" s="92"/>
      <c r="BP6" s="134"/>
      <c r="BQ6" s="134"/>
      <c r="BR6" s="134"/>
      <c r="BS6" s="134"/>
      <c r="BT6" s="134"/>
      <c r="BU6" s="134"/>
      <c r="BV6" s="134"/>
      <c r="BW6" s="134"/>
      <c r="BX6" s="134"/>
      <c r="BY6" s="134" t="str">
        <f t="array" ref="BY6">IFERROR(INDEX(TABLACONSOLIDADA[Buff Act],MATCH("AGROINSUMOSMONCAYOLOPEZ"&amp;Tabla_Buffers_Agroinsumos[[#This Row],[CODIGO ]],TABLACONSOLIDADA[Bodega]&amp;TABLACONSOLIDADA[Codigo],0)),"")</f>
        <v/>
      </c>
      <c r="BZ6" s="157" t="str">
        <f t="array" ref="BZ6">IFERROR(INDEX(TABLACONSOLIDADA[Inv Fís Act],MATCH("AGROINSUMOSMONCAYOLOPEZ"&amp;Tabla_Buffers_Agroinsumos[[#This Row],[CODIGO ]],TABLACONSOLIDADA[Bodega]&amp;TABLACONSOLIDADA[Codigo],0)),"")</f>
        <v/>
      </c>
      <c r="CA6" s="157" t="str">
        <f t="array" ref="CA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6" s="134">
        <f>IFERROR(SUM(Tabla_Buffers_Agroinsumos[[#This Row],[ML-MP]:[ML-VL]]),"")</f>
        <v>0</v>
      </c>
      <c r="CD6" s="92" t="str">
        <f>IFERROR(Tabla_Buffers_Agroinsumos[[#This Row],[INV FIS ML]]-Tabla_Buffers_Agroinsumos[[#This Row],[BUFFER ML]],"")</f>
        <v/>
      </c>
      <c r="CE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6" s="134"/>
      <c r="CG6" s="134"/>
      <c r="CH6" s="134"/>
      <c r="CI6" s="134"/>
      <c r="CJ6" s="134"/>
      <c r="CK6" s="134"/>
      <c r="CL6" s="134"/>
      <c r="CM6" s="134"/>
      <c r="CN6" s="134"/>
      <c r="CO6" s="134" t="str">
        <f t="array" ref="CO6">IFERROR(INDEX(TABLACONSOLIDADA[Buff Act],MATCH("AGROINSUMOSAGROHERMANOSLEON"&amp;Tabla_Buffers_Agroinsumos[[#This Row],[CODIGO ]],TABLACONSOLIDADA[Bodega]&amp;TABLACONSOLIDADA[Codigo],0)),"")</f>
        <v/>
      </c>
      <c r="CP6" s="157" t="str">
        <f t="array" ref="CP6">IFERROR(INDEX(TABLACONSOLIDADA[Inv Fís Act],MATCH("AGROINSUMOSAGROHERMANOSLEON"&amp;Tabla_Buffers_Agroinsumos[[#This Row],[CODIGO ]],TABLACONSOLIDADA[Bodega]&amp;TABLACONSOLIDADA[Codigo],0)),"")</f>
        <v/>
      </c>
      <c r="CQ6" s="157" t="str">
        <f t="array" ref="CQ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6" s="134">
        <f>IFERROR(SUM(Tabla_Buffers_Agroinsumos[[#This Row],[AL-MP]:[AL-VL]]),"")</f>
        <v>0</v>
      </c>
      <c r="CT6" s="92" t="str">
        <f>IFERROR(Tabla_Buffers_Agroinsumos[[#This Row],[INV FIS AL]]-Tabla_Buffers_Agroinsumos[[#This Row],[BUFFER AL]],"")</f>
        <v/>
      </c>
      <c r="CU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6" s="134"/>
      <c r="CW6" s="134"/>
      <c r="CX6" s="134"/>
      <c r="CY6" s="134"/>
      <c r="CZ6" s="134"/>
      <c r="DA6" s="134"/>
      <c r="DB6" s="134"/>
      <c r="DC6" s="134"/>
      <c r="DD6" s="134"/>
      <c r="DE6" s="134" t="str">
        <f t="array" ref="DE6">IFERROR(INDEX(TABLACONSOLIDADA[Buff Act],MATCH("AGROINSUMOSAGRONUEVO"&amp;Tabla_Buffers_Agroinsumos[[#This Row],[CODIGO ]],TABLACONSOLIDADA[Bodega]&amp;TABLACONSOLIDADA[Codigo],0)),"")</f>
        <v/>
      </c>
      <c r="DF6" s="157" t="str">
        <f t="array" ref="DF6">IFERROR(INDEX(TABLACONSOLIDADA[Inv Fís Act],MATCH("AGROINSUMOSAGRONUEVO"&amp;Tabla_Buffers_Agroinsumos[[#This Row],[CODIGO ]],TABLACONSOLIDADA[Bodega]&amp;TABLACONSOLIDADA[Codigo],0)),"")</f>
        <v/>
      </c>
      <c r="DG6" s="157" t="str">
        <f t="array" ref="DG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6" s="134">
        <f>IFERROR(SUM(Tabla_Buffers_Agroinsumos[[#This Row],[AN-MP]:[AN-VL]]),"")</f>
        <v>0</v>
      </c>
      <c r="DJ6" s="92" t="str">
        <f>IFERROR(Tabla_Buffers_Agroinsumos[[#This Row],[INV FIS AN]]-Tabla_Buffers_Agroinsumos[[#This Row],[BUFFER AN]],"")</f>
        <v/>
      </c>
      <c r="DK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6" s="134"/>
      <c r="DM6" s="134"/>
      <c r="DN6" s="134"/>
      <c r="DO6" s="134"/>
      <c r="DP6" s="134"/>
      <c r="DQ6" s="134"/>
      <c r="DR6" s="134"/>
      <c r="DS6" s="134"/>
      <c r="DT6" s="134"/>
      <c r="DU6" s="134" t="str">
        <f t="array" ref="DU6">IFERROR(INDEX(TABLACONSOLIDADA[Buff Act],MATCH("AGROINSUMOSAGROQUIMICOSSUR"&amp;Tabla_Buffers_Agroinsumos[[#This Row],[CODIGO ]],TABLACONSOLIDADA[Bodega]&amp;TABLACONSOLIDADA[Codigo],0)),"")</f>
        <v/>
      </c>
      <c r="DV6" s="157" t="str">
        <f t="array" ref="DV6">IFERROR(INDEX(TABLACONSOLIDADA[Inv Fís Act],MATCH("AGROINSUMOSAGROQUIMICOSSUR"&amp;Tabla_Buffers_Agroinsumos[[#This Row],[CODIGO ]],TABLACONSOLIDADA[Bodega]&amp;TABLACONSOLIDADA[Codigo],0)),"")</f>
        <v/>
      </c>
      <c r="DW6" s="157" t="str">
        <f t="array" ref="DW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6" s="134">
        <f>IFERROR(SUM(Tabla_Buffers_Agroinsumos[[#This Row],[AS-MP]:[AS-VL]]),"")</f>
        <v>0</v>
      </c>
      <c r="DZ6" s="92" t="str">
        <f>IFERROR(Tabla_Buffers_Agroinsumos[[#This Row],[INV FIS AS]]-Tabla_Buffers_Agroinsumos[[#This Row],[BUFFER AS]],"")</f>
        <v/>
      </c>
      <c r="EA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6" s="134"/>
      <c r="EC6" s="134"/>
      <c r="ED6" s="134"/>
      <c r="EE6" s="134"/>
      <c r="EF6" s="134"/>
      <c r="EG6" s="134"/>
      <c r="EH6" s="134"/>
      <c r="EI6" s="134"/>
      <c r="EJ6" s="134"/>
      <c r="EK6" s="134" t="str">
        <f t="array" ref="EK6">IFERROR(INDEX(TABLACONSOLIDADA[Buff Act],MATCH("AGROINSUMOSLAFINCA"&amp;Tabla_Buffers_Agroinsumos[[#This Row],[CODIGO ]],TABLACONSOLIDADA[Bodega]&amp;TABLACONSOLIDADA[Codigo],0)),"")</f>
        <v/>
      </c>
      <c r="EL6" s="157" t="str">
        <f t="array" ref="EL6">IFERROR(INDEX(TABLACONSOLIDADA[Inv Fís Act],MATCH("AGROINSUMOSLAFINCA"&amp;Tabla_Buffers_Agroinsumos[[#This Row],[CODIGO ]],TABLACONSOLIDADA[Bodega]&amp;TABLACONSOLIDADA[Codigo],0)),"")</f>
        <v/>
      </c>
      <c r="EM6" s="157" t="str">
        <f t="array" ref="EM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6" s="134">
        <f>IFERROR(SUM(Tabla_Buffers_Agroinsumos[[#This Row],[LF-MP]:[LF-VL]]),"")</f>
        <v>0</v>
      </c>
      <c r="EP6" s="92" t="str">
        <f>IFERROR(Tabla_Buffers_Agroinsumos[[#This Row],[INV FIS LF]]-Tabla_Buffers_Agroinsumos[[#This Row],[BUFFER LF]],"")</f>
        <v/>
      </c>
      <c r="EQ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6" s="134"/>
      <c r="ES6" s="134"/>
      <c r="ET6" s="134"/>
      <c r="EU6" s="134"/>
      <c r="EV6" s="134"/>
      <c r="EW6" s="134"/>
      <c r="EX6" s="134"/>
      <c r="EY6" s="134"/>
      <c r="EZ6" s="134"/>
      <c r="FA6" s="134" t="str">
        <f t="array" ref="FA6">IFERROR(INDEX(TABLACONSOLIDADA[Buff Act],MATCH("AGROINSUMOSVERONICALEDESMA"&amp;Tabla_Buffers_Agroinsumos[[#This Row],[CODIGO ]],TABLACONSOLIDADA[Bodega]&amp;TABLACONSOLIDADA[Codigo],0)),"")</f>
        <v/>
      </c>
      <c r="FB6" s="157" t="str">
        <f t="array" ref="FB6">IFERROR(INDEX(TABLACONSOLIDADA[Inv Fís Act],MATCH("AGROINSUMOSVERONICALEDESMA"&amp;Tabla_Buffers_Agroinsumos[[#This Row],[CODIGO ]],TABLACONSOLIDADA[Bodega]&amp;TABLACONSOLIDADA[Codigo],0)),"")</f>
        <v/>
      </c>
      <c r="FC6" s="157" t="str">
        <f t="array" ref="FC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6" s="134">
        <f>IFERROR(SUM(Tabla_Buffers_Agroinsumos[[#This Row],[VL-MP]:[VL-LF]]),"")</f>
        <v>0</v>
      </c>
      <c r="FF6" s="92" t="str">
        <f>IFERROR(Tabla_Buffers_Agroinsumos[[#This Row],[INV FIS VL]]-Tabla_Buffers_Agroinsumos[[#This Row],[BUFFER VL]],"")</f>
        <v/>
      </c>
      <c r="FG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6" s="134"/>
      <c r="FI6" s="134"/>
      <c r="FJ6" s="134"/>
      <c r="FK6" s="134"/>
      <c r="FL6" s="134"/>
      <c r="FM6" s="134"/>
      <c r="FN6" s="134"/>
      <c r="FO6" s="134"/>
      <c r="FP6" s="134"/>
    </row>
    <row r="7" spans="1:172">
      <c r="A7" s="7" t="s">
        <v>924</v>
      </c>
      <c r="B7" s="7" t="s">
        <v>930</v>
      </c>
      <c r="C7" s="7" t="s">
        <v>707</v>
      </c>
      <c r="D7" s="7" t="s">
        <v>717</v>
      </c>
      <c r="E7" s="7" t="s">
        <v>863</v>
      </c>
      <c r="F7" s="19"/>
      <c r="G7" s="19" t="s">
        <v>802</v>
      </c>
      <c r="H7" s="19">
        <f>VLOOKUP(Tabla_Buffers_Agroinsumos[[#This Row],[CODIGO ]],TABLACONSOLIDADA[[Codigo]:[PV]],6,0)</f>
        <v>0</v>
      </c>
      <c r="I7" s="19">
        <f>VLOOKUP(Tabla_Buffers_Agroinsumos[[#This Row],[CODIGO ]],TABLACONSOLIDADA[[Codigo]:[PV]],5,0)</f>
        <v>60.31</v>
      </c>
      <c r="J7" s="19">
        <v>4</v>
      </c>
      <c r="K7" s="19">
        <v>4</v>
      </c>
      <c r="L7" s="19">
        <f>IFERROR(Tabla_Buffers_Agroinsumos[[#This Row],[BUFFER CENTRAL]]/((Tabla_Buffers_Agroinsumos[[#This Row],[TIEMPO REPOSICION ]]/Tabla_Buffers_Agroinsumos[[#This Row],[FRECUENCIA]])+1),0)</f>
        <v>0</v>
      </c>
      <c r="M7" s="19">
        <f t="array" ref="M7">IFERROR(INDEX(TABLACONSOLIDADA[Buff Act],MATCH("AGROINSUMOSMATERIAPRIMA"&amp;Tabla_Buffers_Agroinsumos[[#This Row],[CODIGO ]],TABLACONSOLIDADA[Bodega]&amp;TABLACONSOLIDADA[Codigo],0)),"")</f>
        <v>1</v>
      </c>
      <c r="N7" s="157">
        <f t="array" ref="N7">IFERROR(INDEX(TABLACONSOLIDADA[Inv Fís Act],MATCH("AGROINSUMOSMATERIAPRIMA"&amp;Tabla_Buffers_Agroinsumos[[#This Row],[CODIGO ]],TABLACONSOLIDADA[Bodega]&amp;TABLACONSOLIDADA[Codigo],0)),"")</f>
        <v>5</v>
      </c>
      <c r="O7" s="157">
        <f t="array" ref="O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</v>
      </c>
      <c r="P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7" s="19">
        <f>IFERROR(SUM(Tabla_Buffers_Agroinsumos[[#This Row],[MP-C]:[MP-VL]]),"")</f>
        <v>0</v>
      </c>
      <c r="R7" s="92">
        <f>IFERROR(Tabla_Buffers_Agroinsumos[[#This Row],[INV FIS MATERIA PRIMA]]-Tabla_Buffers_Agroinsumos[[#This Row],[BUFFER MATERIA PRIMA]],"")</f>
        <v>4</v>
      </c>
      <c r="S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4</v>
      </c>
      <c r="T7" s="19"/>
      <c r="U7" s="19"/>
      <c r="V7" s="19"/>
      <c r="W7" s="19"/>
      <c r="X7" s="19"/>
      <c r="Y7" s="19"/>
      <c r="Z7" s="19"/>
      <c r="AA7" s="19"/>
      <c r="AB7" s="19"/>
      <c r="AC7" s="152" t="str">
        <f t="array" ref="AC7">IFERROR(INDEX(TABLACONSOLIDADA[Buff Act],MATCH("AGROINSUMOSCENTRAL"&amp;Tabla_Buffers_Agroinsumos[[#This Row],[CODIGO ]],TABLACONSOLIDADA[Bodega]&amp;TABLACONSOLIDADA[Codigo],0)),"")</f>
        <v/>
      </c>
      <c r="AD7" s="157" t="str">
        <f t="array" ref="AD7">IFERROR(INDEX(TABLACONSOLIDADA[Inv Fís Act],MATCH("AGROINSUMOSCENTRAL"&amp;Tabla_Buffers_Agroinsumos[[#This Row],[CODIGO ]],TABLACONSOLIDADA[Bodega]&amp;TABLACONSOLIDADA[Codigo],0)),"")</f>
        <v/>
      </c>
      <c r="AE7" s="157" t="str">
        <f t="array" ref="AE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7" s="91">
        <f>IFERROR(SUM(Tabla_Buffers_Agroinsumos[[#This Row],[C-MP]:[C-VL]]),"")</f>
        <v>0</v>
      </c>
      <c r="AH7" s="92" t="str">
        <f>IFERROR(Tabla_Buffers_Agroinsumos[[#This Row],[INV FIS CENTRAL]]-Tabla_Buffers_Agroinsumos[[#This Row],[BUFFER CENTRAL]],"")</f>
        <v/>
      </c>
      <c r="AI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7" s="134"/>
      <c r="AK7" s="134"/>
      <c r="AL7" s="134"/>
      <c r="AM7" s="134"/>
      <c r="AN7" s="134"/>
      <c r="AO7" s="134"/>
      <c r="AP7" s="134"/>
      <c r="AQ7" s="134"/>
      <c r="AR7" s="134"/>
      <c r="AS7" s="134" t="str">
        <f t="array" ref="AS7">IFERROR(INDEX(TABLACONSOLIDADA[Buff Act],MATCH("AGROINSUMOScentralPROPIA"&amp;Tabla_Buffers_Agroinsumos[[#This Row],[CODIGO ]],TABLACONSOLIDADA[Bodega]&amp;TABLACONSOLIDADA[Codigo],0)),"")</f>
        <v/>
      </c>
      <c r="AT7" s="157" t="str">
        <f t="array" ref="AT7">IFERROR(INDEX(TABLACONSOLIDADA[Inv Fís Act],MATCH("AGROINSUMOScentralPROPIA"&amp;Tabla_Buffers_Agroinsumos[[#This Row],[CODIGO ]],TABLACONSOLIDADA[Bodega]&amp;TABLACONSOLIDADA[Codigo],0)),"")</f>
        <v/>
      </c>
      <c r="AU7" s="157" t="str">
        <f t="array" ref="AU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7" s="134">
        <f>IFERROR(SUM(Tabla_Buffers_Agroinsumos[[#This Row],[P-MP]:[P-VL]]),"")</f>
        <v>0</v>
      </c>
      <c r="AX7" s="92" t="str">
        <f>IFERROR(Tabla_Buffers_Agroinsumos[[#This Row],[INV FIS PROPIA]]-Tabla_Buffers_Agroinsumos[[#This Row],[BUFFER PROPIA]],"")</f>
        <v/>
      </c>
      <c r="AY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7" s="134"/>
      <c r="BA7" s="134"/>
      <c r="BB7" s="134"/>
      <c r="BC7" s="134"/>
      <c r="BD7" s="134"/>
      <c r="BE7" s="134"/>
      <c r="BF7" s="134"/>
      <c r="BG7" s="134"/>
      <c r="BH7" s="134"/>
      <c r="BI7" s="91" t="str">
        <f t="array" ref="BI7">IFERROR(INDEX(TABLACONSOLIDADA[Buff Act],MATCH("AGROINSUMOSSTODOMINGO"&amp;Tabla_Buffers_Agroinsumos[[#This Row],[CODIGO ]],TABLACONSOLIDADA[Bodega]&amp;TABLACONSOLIDADA[Codigo],0)),"")</f>
        <v/>
      </c>
      <c r="BJ7" s="157" t="str">
        <f t="array" ref="BJ7">IFERROR(INDEX(TABLACONSOLIDADA[Inv Fís Act],MATCH("AGROINSUMOSSTODOMINGO"&amp;Tabla_Buffers_Agroinsumos[[#This Row],[CODIGO ]],TABLACONSOLIDADA[Bodega]&amp;TABLACONSOLIDADA[Codigo],0)),"")</f>
        <v/>
      </c>
      <c r="BK7" s="157" t="str">
        <f t="array" ref="BK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7" s="91">
        <f>IFERROR(SUM(Tabla_Buffers_Agroinsumos[[#This Row],[SD-MP]:[SD-VL]]),"")</f>
        <v>0</v>
      </c>
      <c r="BN7" s="92"/>
      <c r="BO7" s="92"/>
      <c r="BP7" s="134"/>
      <c r="BQ7" s="134"/>
      <c r="BR7" s="134"/>
      <c r="BS7" s="134"/>
      <c r="BT7" s="134"/>
      <c r="BU7" s="134"/>
      <c r="BV7" s="134"/>
      <c r="BW7" s="134"/>
      <c r="BX7" s="134"/>
      <c r="BY7" s="134" t="str">
        <f t="array" ref="BY7">IFERROR(INDEX(TABLACONSOLIDADA[Buff Act],MATCH("AGROINSUMOSMONCAYOLOPEZ"&amp;Tabla_Buffers_Agroinsumos[[#This Row],[CODIGO ]],TABLACONSOLIDADA[Bodega]&amp;TABLACONSOLIDADA[Codigo],0)),"")</f>
        <v/>
      </c>
      <c r="BZ7" s="157" t="str">
        <f t="array" ref="BZ7">IFERROR(INDEX(TABLACONSOLIDADA[Inv Fís Act],MATCH("AGROINSUMOSMONCAYOLOPEZ"&amp;Tabla_Buffers_Agroinsumos[[#This Row],[CODIGO ]],TABLACONSOLIDADA[Bodega]&amp;TABLACONSOLIDADA[Codigo],0)),"")</f>
        <v/>
      </c>
      <c r="CA7" s="157" t="str">
        <f t="array" ref="CA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7" s="134">
        <f>IFERROR(SUM(Tabla_Buffers_Agroinsumos[[#This Row],[ML-MP]:[ML-VL]]),"")</f>
        <v>0</v>
      </c>
      <c r="CD7" s="92" t="str">
        <f>IFERROR(Tabla_Buffers_Agroinsumos[[#This Row],[INV FIS ML]]-Tabla_Buffers_Agroinsumos[[#This Row],[BUFFER ML]],"")</f>
        <v/>
      </c>
      <c r="CE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7" s="134"/>
      <c r="CG7" s="134"/>
      <c r="CH7" s="134"/>
      <c r="CI7" s="134"/>
      <c r="CJ7" s="134"/>
      <c r="CK7" s="134"/>
      <c r="CL7" s="134"/>
      <c r="CM7" s="134"/>
      <c r="CN7" s="134"/>
      <c r="CO7" s="134" t="str">
        <f t="array" ref="CO7">IFERROR(INDEX(TABLACONSOLIDADA[Buff Act],MATCH("AGROINSUMOSAGROHERMANOSLEON"&amp;Tabla_Buffers_Agroinsumos[[#This Row],[CODIGO ]],TABLACONSOLIDADA[Bodega]&amp;TABLACONSOLIDADA[Codigo],0)),"")</f>
        <v/>
      </c>
      <c r="CP7" s="157" t="str">
        <f t="array" ref="CP7">IFERROR(INDEX(TABLACONSOLIDADA[Inv Fís Act],MATCH("AGROINSUMOSAGROHERMANOSLEON"&amp;Tabla_Buffers_Agroinsumos[[#This Row],[CODIGO ]],TABLACONSOLIDADA[Bodega]&amp;TABLACONSOLIDADA[Codigo],0)),"")</f>
        <v/>
      </c>
      <c r="CQ7" s="157" t="str">
        <f t="array" ref="CQ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7" s="134">
        <f>IFERROR(SUM(Tabla_Buffers_Agroinsumos[[#This Row],[AL-MP]:[AL-VL]]),"")</f>
        <v>0</v>
      </c>
      <c r="CT7" s="92" t="str">
        <f>IFERROR(Tabla_Buffers_Agroinsumos[[#This Row],[INV FIS AL]]-Tabla_Buffers_Agroinsumos[[#This Row],[BUFFER AL]],"")</f>
        <v/>
      </c>
      <c r="CU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7" s="134"/>
      <c r="CW7" s="134"/>
      <c r="CX7" s="134"/>
      <c r="CY7" s="134"/>
      <c r="CZ7" s="134"/>
      <c r="DA7" s="134"/>
      <c r="DB7" s="134"/>
      <c r="DC7" s="134"/>
      <c r="DD7" s="134"/>
      <c r="DE7" s="134" t="str">
        <f t="array" ref="DE7">IFERROR(INDEX(TABLACONSOLIDADA[Buff Act],MATCH("AGROINSUMOSAGRONUEVO"&amp;Tabla_Buffers_Agroinsumos[[#This Row],[CODIGO ]],TABLACONSOLIDADA[Bodega]&amp;TABLACONSOLIDADA[Codigo],0)),"")</f>
        <v/>
      </c>
      <c r="DF7" s="157" t="str">
        <f t="array" ref="DF7">IFERROR(INDEX(TABLACONSOLIDADA[Inv Fís Act],MATCH("AGROINSUMOSAGRONUEVO"&amp;Tabla_Buffers_Agroinsumos[[#This Row],[CODIGO ]],TABLACONSOLIDADA[Bodega]&amp;TABLACONSOLIDADA[Codigo],0)),"")</f>
        <v/>
      </c>
      <c r="DG7" s="157" t="str">
        <f t="array" ref="DG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7" s="134">
        <f>IFERROR(SUM(Tabla_Buffers_Agroinsumos[[#This Row],[AN-MP]:[AN-VL]]),"")</f>
        <v>0</v>
      </c>
      <c r="DJ7" s="92" t="str">
        <f>IFERROR(Tabla_Buffers_Agroinsumos[[#This Row],[INV FIS AN]]-Tabla_Buffers_Agroinsumos[[#This Row],[BUFFER AN]],"")</f>
        <v/>
      </c>
      <c r="DK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7" s="134"/>
      <c r="DM7" s="134"/>
      <c r="DN7" s="134"/>
      <c r="DO7" s="134"/>
      <c r="DP7" s="134"/>
      <c r="DQ7" s="134"/>
      <c r="DR7" s="134"/>
      <c r="DS7" s="134"/>
      <c r="DT7" s="134"/>
      <c r="DU7" s="134" t="str">
        <f t="array" ref="DU7">IFERROR(INDEX(TABLACONSOLIDADA[Buff Act],MATCH("AGROINSUMOSAGROQUIMICOSSUR"&amp;Tabla_Buffers_Agroinsumos[[#This Row],[CODIGO ]],TABLACONSOLIDADA[Bodega]&amp;TABLACONSOLIDADA[Codigo],0)),"")</f>
        <v/>
      </c>
      <c r="DV7" s="157" t="str">
        <f t="array" ref="DV7">IFERROR(INDEX(TABLACONSOLIDADA[Inv Fís Act],MATCH("AGROINSUMOSAGROQUIMICOSSUR"&amp;Tabla_Buffers_Agroinsumos[[#This Row],[CODIGO ]],TABLACONSOLIDADA[Bodega]&amp;TABLACONSOLIDADA[Codigo],0)),"")</f>
        <v/>
      </c>
      <c r="DW7" s="157" t="str">
        <f t="array" ref="DW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7" s="134">
        <f>IFERROR(SUM(Tabla_Buffers_Agroinsumos[[#This Row],[AS-MP]:[AS-VL]]),"")</f>
        <v>0</v>
      </c>
      <c r="DZ7" s="92" t="str">
        <f>IFERROR(Tabla_Buffers_Agroinsumos[[#This Row],[INV FIS AS]]-Tabla_Buffers_Agroinsumos[[#This Row],[BUFFER AS]],"")</f>
        <v/>
      </c>
      <c r="EA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7" s="134"/>
      <c r="EC7" s="134"/>
      <c r="ED7" s="134"/>
      <c r="EE7" s="134"/>
      <c r="EF7" s="134"/>
      <c r="EG7" s="134"/>
      <c r="EH7" s="134"/>
      <c r="EI7" s="134"/>
      <c r="EJ7" s="134"/>
      <c r="EK7" s="134" t="str">
        <f t="array" ref="EK7">IFERROR(INDEX(TABLACONSOLIDADA[Buff Act],MATCH("AGROINSUMOSLAFINCA"&amp;Tabla_Buffers_Agroinsumos[[#This Row],[CODIGO ]],TABLACONSOLIDADA[Bodega]&amp;TABLACONSOLIDADA[Codigo],0)),"")</f>
        <v/>
      </c>
      <c r="EL7" s="157" t="str">
        <f t="array" ref="EL7">IFERROR(INDEX(TABLACONSOLIDADA[Inv Fís Act],MATCH("AGROINSUMOSLAFINCA"&amp;Tabla_Buffers_Agroinsumos[[#This Row],[CODIGO ]],TABLACONSOLIDADA[Bodega]&amp;TABLACONSOLIDADA[Codigo],0)),"")</f>
        <v/>
      </c>
      <c r="EM7" s="157" t="str">
        <f t="array" ref="EM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7" s="134">
        <f>IFERROR(SUM(Tabla_Buffers_Agroinsumos[[#This Row],[LF-MP]:[LF-VL]]),"")</f>
        <v>0</v>
      </c>
      <c r="EP7" s="92" t="str">
        <f>IFERROR(Tabla_Buffers_Agroinsumos[[#This Row],[INV FIS LF]]-Tabla_Buffers_Agroinsumos[[#This Row],[BUFFER LF]],"")</f>
        <v/>
      </c>
      <c r="EQ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7" s="134"/>
      <c r="ES7" s="134"/>
      <c r="ET7" s="134"/>
      <c r="EU7" s="134"/>
      <c r="EV7" s="134"/>
      <c r="EW7" s="134"/>
      <c r="EX7" s="134"/>
      <c r="EY7" s="134"/>
      <c r="EZ7" s="134"/>
      <c r="FA7" s="134" t="str">
        <f t="array" ref="FA7">IFERROR(INDEX(TABLACONSOLIDADA[Buff Act],MATCH("AGROINSUMOSVERONICALEDESMA"&amp;Tabla_Buffers_Agroinsumos[[#This Row],[CODIGO ]],TABLACONSOLIDADA[Bodega]&amp;TABLACONSOLIDADA[Codigo],0)),"")</f>
        <v/>
      </c>
      <c r="FB7" s="157" t="str">
        <f t="array" ref="FB7">IFERROR(INDEX(TABLACONSOLIDADA[Inv Fís Act],MATCH("AGROINSUMOSVERONICALEDESMA"&amp;Tabla_Buffers_Agroinsumos[[#This Row],[CODIGO ]],TABLACONSOLIDADA[Bodega]&amp;TABLACONSOLIDADA[Codigo],0)),"")</f>
        <v/>
      </c>
      <c r="FC7" s="157" t="str">
        <f t="array" ref="FC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7" s="134">
        <f>IFERROR(SUM(Tabla_Buffers_Agroinsumos[[#This Row],[VL-MP]:[VL-LF]]),"")</f>
        <v>0</v>
      </c>
      <c r="FF7" s="92" t="str">
        <f>IFERROR(Tabla_Buffers_Agroinsumos[[#This Row],[INV FIS VL]]-Tabla_Buffers_Agroinsumos[[#This Row],[BUFFER VL]],"")</f>
        <v/>
      </c>
      <c r="FG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7" s="134"/>
      <c r="FI7" s="134"/>
      <c r="FJ7" s="134"/>
      <c r="FK7" s="134"/>
      <c r="FL7" s="134"/>
      <c r="FM7" s="134"/>
      <c r="FN7" s="134"/>
      <c r="FO7" s="134"/>
      <c r="FP7" s="134"/>
    </row>
    <row r="8" spans="1:172">
      <c r="A8" s="7" t="s">
        <v>851</v>
      </c>
      <c r="B8" s="7" t="s">
        <v>937</v>
      </c>
      <c r="C8" s="7" t="s">
        <v>707</v>
      </c>
      <c r="D8" s="7" t="s">
        <v>717</v>
      </c>
      <c r="E8" s="7" t="s">
        <v>863</v>
      </c>
      <c r="F8" s="19" t="s">
        <v>804</v>
      </c>
      <c r="G8" s="19" t="s">
        <v>802</v>
      </c>
      <c r="H8" s="19">
        <f>VLOOKUP(Tabla_Buffers_Agroinsumos[[#This Row],[CODIGO ]],TABLACONSOLIDADA[[Codigo]:[PV]],6,0)</f>
        <v>0</v>
      </c>
      <c r="I8" s="19">
        <f>VLOOKUP(Tabla_Buffers_Agroinsumos[[#This Row],[CODIGO ]],TABLACONSOLIDADA[[Codigo]:[PV]],5,0)</f>
        <v>0</v>
      </c>
      <c r="J8" s="19">
        <v>4</v>
      </c>
      <c r="K8" s="19">
        <v>4</v>
      </c>
      <c r="L8" s="19">
        <f>IFERROR(Tabla_Buffers_Agroinsumos[[#This Row],[BUFFER CENTRAL]]/((Tabla_Buffers_Agroinsumos[[#This Row],[TIEMPO REPOSICION ]]/Tabla_Buffers_Agroinsumos[[#This Row],[FRECUENCIA]])+1),0)</f>
        <v>0</v>
      </c>
      <c r="M8" s="19">
        <f t="array" ref="M8">IFERROR(INDEX(TABLACONSOLIDADA[Buff Act],MATCH("AGROINSUMOSMATERIAPRIMA"&amp;Tabla_Buffers_Agroinsumos[[#This Row],[CODIGO ]],TABLACONSOLIDADA[Bodega]&amp;TABLACONSOLIDADA[Codigo],0)),"")</f>
        <v>40</v>
      </c>
      <c r="N8" s="157">
        <f t="array" ref="N8">IFERROR(INDEX(TABLACONSOLIDADA[Inv Fís Act],MATCH("AGROINSUMOSMATERIAPRIMA"&amp;Tabla_Buffers_Agroinsumos[[#This Row],[CODIGO ]],TABLACONSOLIDADA[Bodega]&amp;TABLACONSOLIDADA[Codigo],0)),"")</f>
        <v>0</v>
      </c>
      <c r="O8" s="157">
        <f t="array" ref="O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8" s="19">
        <f>IFERROR(SUM(Tabla_Buffers_Agroinsumos[[#This Row],[MP-C]:[MP-VL]]),"")</f>
        <v>0</v>
      </c>
      <c r="R8" s="92">
        <f>IFERROR(Tabla_Buffers_Agroinsumos[[#This Row],[INV FIS MATERIA PRIMA]]-Tabla_Buffers_Agroinsumos[[#This Row],[BUFFER MATERIA PRIMA]],"")</f>
        <v>-40</v>
      </c>
      <c r="S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-40</v>
      </c>
      <c r="T8" s="19"/>
      <c r="U8" s="19"/>
      <c r="V8" s="19"/>
      <c r="W8" s="19"/>
      <c r="X8" s="19"/>
      <c r="Y8" s="19"/>
      <c r="Z8" s="19"/>
      <c r="AA8" s="19"/>
      <c r="AB8" s="19"/>
      <c r="AC8" s="152" t="str">
        <f t="array" ref="AC8">IFERROR(INDEX(TABLACONSOLIDADA[Buff Act],MATCH("AGROINSUMOSCENTRAL"&amp;Tabla_Buffers_Agroinsumos[[#This Row],[CODIGO ]],TABLACONSOLIDADA[Bodega]&amp;TABLACONSOLIDADA[Codigo],0)),"")</f>
        <v/>
      </c>
      <c r="AD8" s="157" t="str">
        <f t="array" ref="AD8">IFERROR(INDEX(TABLACONSOLIDADA[Inv Fís Act],MATCH("AGROINSUMOSCENTRAL"&amp;Tabla_Buffers_Agroinsumos[[#This Row],[CODIGO ]],TABLACONSOLIDADA[Bodega]&amp;TABLACONSOLIDADA[Codigo],0)),"")</f>
        <v/>
      </c>
      <c r="AE8" s="157" t="str">
        <f t="array" ref="AE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8" s="91">
        <f>IFERROR(SUM(Tabla_Buffers_Agroinsumos[[#This Row],[C-MP]:[C-VL]]),"")</f>
        <v>0</v>
      </c>
      <c r="AH8" s="92" t="str">
        <f>IFERROR(Tabla_Buffers_Agroinsumos[[#This Row],[INV FIS CENTRAL]]-Tabla_Buffers_Agroinsumos[[#This Row],[BUFFER CENTRAL]],"")</f>
        <v/>
      </c>
      <c r="AI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8" s="134"/>
      <c r="AK8" s="134"/>
      <c r="AL8" s="134"/>
      <c r="AM8" s="134"/>
      <c r="AN8" s="134"/>
      <c r="AO8" s="134"/>
      <c r="AP8" s="134"/>
      <c r="AQ8" s="134"/>
      <c r="AR8" s="134"/>
      <c r="AS8" s="134" t="str">
        <f t="array" ref="AS8">IFERROR(INDEX(TABLACONSOLIDADA[Buff Act],MATCH("AGROINSUMOScentralPROPIA"&amp;Tabla_Buffers_Agroinsumos[[#This Row],[CODIGO ]],TABLACONSOLIDADA[Bodega]&amp;TABLACONSOLIDADA[Codigo],0)),"")</f>
        <v/>
      </c>
      <c r="AT8" s="157" t="str">
        <f t="array" ref="AT8">IFERROR(INDEX(TABLACONSOLIDADA[Inv Fís Act],MATCH("AGROINSUMOScentralPROPIA"&amp;Tabla_Buffers_Agroinsumos[[#This Row],[CODIGO ]],TABLACONSOLIDADA[Bodega]&amp;TABLACONSOLIDADA[Codigo],0)),"")</f>
        <v/>
      </c>
      <c r="AU8" s="157" t="str">
        <f t="array" ref="AU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8" s="134">
        <f>IFERROR(SUM(Tabla_Buffers_Agroinsumos[[#This Row],[P-MP]:[P-VL]]),"")</f>
        <v>0</v>
      </c>
      <c r="AX8" s="92" t="str">
        <f>IFERROR(Tabla_Buffers_Agroinsumos[[#This Row],[INV FIS PROPIA]]-Tabla_Buffers_Agroinsumos[[#This Row],[BUFFER PROPIA]],"")</f>
        <v/>
      </c>
      <c r="AY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8" s="134"/>
      <c r="BA8" s="134"/>
      <c r="BB8" s="134"/>
      <c r="BC8" s="134"/>
      <c r="BD8" s="134"/>
      <c r="BE8" s="134"/>
      <c r="BF8" s="134"/>
      <c r="BG8" s="134"/>
      <c r="BH8" s="134"/>
      <c r="BI8" s="91" t="str">
        <f t="array" ref="BI8">IFERROR(INDEX(TABLACONSOLIDADA[Buff Act],MATCH("AGROINSUMOSSTODOMINGO"&amp;Tabla_Buffers_Agroinsumos[[#This Row],[CODIGO ]],TABLACONSOLIDADA[Bodega]&amp;TABLACONSOLIDADA[Codigo],0)),"")</f>
        <v/>
      </c>
      <c r="BJ8" s="157" t="str">
        <f t="array" ref="BJ8">IFERROR(INDEX(TABLACONSOLIDADA[Inv Fís Act],MATCH("AGROINSUMOSSTODOMINGO"&amp;Tabla_Buffers_Agroinsumos[[#This Row],[CODIGO ]],TABLACONSOLIDADA[Bodega]&amp;TABLACONSOLIDADA[Codigo],0)),"")</f>
        <v/>
      </c>
      <c r="BK8" s="157" t="str">
        <f t="array" ref="BK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8" s="91">
        <f>IFERROR(SUM(Tabla_Buffers_Agroinsumos[[#This Row],[SD-MP]:[SD-VL]]),"")</f>
        <v>0</v>
      </c>
      <c r="BN8" s="92"/>
      <c r="BO8" s="92"/>
      <c r="BP8" s="134"/>
      <c r="BQ8" s="134"/>
      <c r="BR8" s="134"/>
      <c r="BS8" s="134"/>
      <c r="BT8" s="134"/>
      <c r="BU8" s="134"/>
      <c r="BV8" s="134"/>
      <c r="BW8" s="134"/>
      <c r="BX8" s="134"/>
      <c r="BY8" s="134" t="str">
        <f t="array" ref="BY8">IFERROR(INDEX(TABLACONSOLIDADA[Buff Act],MATCH("AGROINSUMOSMONCAYOLOPEZ"&amp;Tabla_Buffers_Agroinsumos[[#This Row],[CODIGO ]],TABLACONSOLIDADA[Bodega]&amp;TABLACONSOLIDADA[Codigo],0)),"")</f>
        <v/>
      </c>
      <c r="BZ8" s="157" t="str">
        <f t="array" ref="BZ8">IFERROR(INDEX(TABLACONSOLIDADA[Inv Fís Act],MATCH("AGROINSUMOSMONCAYOLOPEZ"&amp;Tabla_Buffers_Agroinsumos[[#This Row],[CODIGO ]],TABLACONSOLIDADA[Bodega]&amp;TABLACONSOLIDADA[Codigo],0)),"")</f>
        <v/>
      </c>
      <c r="CA8" s="157" t="str">
        <f t="array" ref="CA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8" s="134">
        <f>IFERROR(SUM(Tabla_Buffers_Agroinsumos[[#This Row],[ML-MP]:[ML-VL]]),"")</f>
        <v>0</v>
      </c>
      <c r="CD8" s="92" t="str">
        <f>IFERROR(Tabla_Buffers_Agroinsumos[[#This Row],[INV FIS ML]]-Tabla_Buffers_Agroinsumos[[#This Row],[BUFFER ML]],"")</f>
        <v/>
      </c>
      <c r="CE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8" s="134"/>
      <c r="CG8" s="134"/>
      <c r="CH8" s="134"/>
      <c r="CI8" s="134"/>
      <c r="CJ8" s="134"/>
      <c r="CK8" s="134"/>
      <c r="CL8" s="134"/>
      <c r="CM8" s="134"/>
      <c r="CN8" s="134"/>
      <c r="CO8" s="134" t="str">
        <f t="array" ref="CO8">IFERROR(INDEX(TABLACONSOLIDADA[Buff Act],MATCH("AGROINSUMOSAGROHERMANOSLEON"&amp;Tabla_Buffers_Agroinsumos[[#This Row],[CODIGO ]],TABLACONSOLIDADA[Bodega]&amp;TABLACONSOLIDADA[Codigo],0)),"")</f>
        <v/>
      </c>
      <c r="CP8" s="157" t="str">
        <f t="array" ref="CP8">IFERROR(INDEX(TABLACONSOLIDADA[Inv Fís Act],MATCH("AGROINSUMOSAGROHERMANOSLEON"&amp;Tabla_Buffers_Agroinsumos[[#This Row],[CODIGO ]],TABLACONSOLIDADA[Bodega]&amp;TABLACONSOLIDADA[Codigo],0)),"")</f>
        <v/>
      </c>
      <c r="CQ8" s="157" t="str">
        <f t="array" ref="CQ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8" s="134">
        <f>IFERROR(SUM(Tabla_Buffers_Agroinsumos[[#This Row],[AL-MP]:[AL-VL]]),"")</f>
        <v>0</v>
      </c>
      <c r="CT8" s="92" t="str">
        <f>IFERROR(Tabla_Buffers_Agroinsumos[[#This Row],[INV FIS AL]]-Tabla_Buffers_Agroinsumos[[#This Row],[BUFFER AL]],"")</f>
        <v/>
      </c>
      <c r="CU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8" s="134"/>
      <c r="CW8" s="134"/>
      <c r="CX8" s="134"/>
      <c r="CY8" s="134"/>
      <c r="CZ8" s="134"/>
      <c r="DA8" s="134"/>
      <c r="DB8" s="134"/>
      <c r="DC8" s="134"/>
      <c r="DD8" s="134"/>
      <c r="DE8" s="134" t="str">
        <f t="array" ref="DE8">IFERROR(INDEX(TABLACONSOLIDADA[Buff Act],MATCH("AGROINSUMOSAGRONUEVO"&amp;Tabla_Buffers_Agroinsumos[[#This Row],[CODIGO ]],TABLACONSOLIDADA[Bodega]&amp;TABLACONSOLIDADA[Codigo],0)),"")</f>
        <v/>
      </c>
      <c r="DF8" s="157" t="str">
        <f t="array" ref="DF8">IFERROR(INDEX(TABLACONSOLIDADA[Inv Fís Act],MATCH("AGROINSUMOSAGRONUEVO"&amp;Tabla_Buffers_Agroinsumos[[#This Row],[CODIGO ]],TABLACONSOLIDADA[Bodega]&amp;TABLACONSOLIDADA[Codigo],0)),"")</f>
        <v/>
      </c>
      <c r="DG8" s="157" t="str">
        <f t="array" ref="DG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8" s="134">
        <f>IFERROR(SUM(Tabla_Buffers_Agroinsumos[[#This Row],[AN-MP]:[AN-VL]]),"")</f>
        <v>0</v>
      </c>
      <c r="DJ8" s="92" t="str">
        <f>IFERROR(Tabla_Buffers_Agroinsumos[[#This Row],[INV FIS AN]]-Tabla_Buffers_Agroinsumos[[#This Row],[BUFFER AN]],"")</f>
        <v/>
      </c>
      <c r="DK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8" s="134"/>
      <c r="DM8" s="134"/>
      <c r="DN8" s="134"/>
      <c r="DO8" s="134"/>
      <c r="DP8" s="134"/>
      <c r="DQ8" s="134"/>
      <c r="DR8" s="134"/>
      <c r="DS8" s="134"/>
      <c r="DT8" s="134"/>
      <c r="DU8" s="134" t="str">
        <f t="array" ref="DU8">IFERROR(INDEX(TABLACONSOLIDADA[Buff Act],MATCH("AGROINSUMOSAGROQUIMICOSSUR"&amp;Tabla_Buffers_Agroinsumos[[#This Row],[CODIGO ]],TABLACONSOLIDADA[Bodega]&amp;TABLACONSOLIDADA[Codigo],0)),"")</f>
        <v/>
      </c>
      <c r="DV8" s="157" t="str">
        <f t="array" ref="DV8">IFERROR(INDEX(TABLACONSOLIDADA[Inv Fís Act],MATCH("AGROINSUMOSAGROQUIMICOSSUR"&amp;Tabla_Buffers_Agroinsumos[[#This Row],[CODIGO ]],TABLACONSOLIDADA[Bodega]&amp;TABLACONSOLIDADA[Codigo],0)),"")</f>
        <v/>
      </c>
      <c r="DW8" s="157" t="str">
        <f t="array" ref="DW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8" s="134">
        <f>IFERROR(SUM(Tabla_Buffers_Agroinsumos[[#This Row],[AS-MP]:[AS-VL]]),"")</f>
        <v>0</v>
      </c>
      <c r="DZ8" s="92" t="str">
        <f>IFERROR(Tabla_Buffers_Agroinsumos[[#This Row],[INV FIS AS]]-Tabla_Buffers_Agroinsumos[[#This Row],[BUFFER AS]],"")</f>
        <v/>
      </c>
      <c r="EA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8" s="134"/>
      <c r="EC8" s="134"/>
      <c r="ED8" s="134"/>
      <c r="EE8" s="134"/>
      <c r="EF8" s="134"/>
      <c r="EG8" s="134"/>
      <c r="EH8" s="134"/>
      <c r="EI8" s="134"/>
      <c r="EJ8" s="134"/>
      <c r="EK8" s="134" t="str">
        <f t="array" ref="EK8">IFERROR(INDEX(TABLACONSOLIDADA[Buff Act],MATCH("AGROINSUMOSLAFINCA"&amp;Tabla_Buffers_Agroinsumos[[#This Row],[CODIGO ]],TABLACONSOLIDADA[Bodega]&amp;TABLACONSOLIDADA[Codigo],0)),"")</f>
        <v/>
      </c>
      <c r="EL8" s="157" t="str">
        <f t="array" ref="EL8">IFERROR(INDEX(TABLACONSOLIDADA[Inv Fís Act],MATCH("AGROINSUMOSLAFINCA"&amp;Tabla_Buffers_Agroinsumos[[#This Row],[CODIGO ]],TABLACONSOLIDADA[Bodega]&amp;TABLACONSOLIDADA[Codigo],0)),"")</f>
        <v/>
      </c>
      <c r="EM8" s="157" t="str">
        <f t="array" ref="EM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8" s="134">
        <f>IFERROR(SUM(Tabla_Buffers_Agroinsumos[[#This Row],[LF-MP]:[LF-VL]]),"")</f>
        <v>0</v>
      </c>
      <c r="EP8" s="92" t="str">
        <f>IFERROR(Tabla_Buffers_Agroinsumos[[#This Row],[INV FIS LF]]-Tabla_Buffers_Agroinsumos[[#This Row],[BUFFER LF]],"")</f>
        <v/>
      </c>
      <c r="EQ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8" s="134"/>
      <c r="ES8" s="134"/>
      <c r="ET8" s="134"/>
      <c r="EU8" s="134"/>
      <c r="EV8" s="134"/>
      <c r="EW8" s="134"/>
      <c r="EX8" s="134"/>
      <c r="EY8" s="134"/>
      <c r="EZ8" s="134"/>
      <c r="FA8" s="134" t="str">
        <f t="array" ref="FA8">IFERROR(INDEX(TABLACONSOLIDADA[Buff Act],MATCH("AGROINSUMOSVERONICALEDESMA"&amp;Tabla_Buffers_Agroinsumos[[#This Row],[CODIGO ]],TABLACONSOLIDADA[Bodega]&amp;TABLACONSOLIDADA[Codigo],0)),"")</f>
        <v/>
      </c>
      <c r="FB8" s="157" t="str">
        <f t="array" ref="FB8">IFERROR(INDEX(TABLACONSOLIDADA[Inv Fís Act],MATCH("AGROINSUMOSVERONICALEDESMA"&amp;Tabla_Buffers_Agroinsumos[[#This Row],[CODIGO ]],TABLACONSOLIDADA[Bodega]&amp;TABLACONSOLIDADA[Codigo],0)),"")</f>
        <v/>
      </c>
      <c r="FC8" s="157" t="str">
        <f t="array" ref="FC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8" s="134">
        <f>IFERROR(SUM(Tabla_Buffers_Agroinsumos[[#This Row],[VL-MP]:[VL-LF]]),"")</f>
        <v>0</v>
      </c>
      <c r="FF8" s="92" t="str">
        <f>IFERROR(Tabla_Buffers_Agroinsumos[[#This Row],[INV FIS VL]]-Tabla_Buffers_Agroinsumos[[#This Row],[BUFFER VL]],"")</f>
        <v/>
      </c>
      <c r="FG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8" s="134"/>
      <c r="FI8" s="134"/>
      <c r="FJ8" s="134"/>
      <c r="FK8" s="134"/>
      <c r="FL8" s="134"/>
      <c r="FM8" s="134"/>
      <c r="FN8" s="134"/>
      <c r="FO8" s="134"/>
      <c r="FP8" s="134"/>
    </row>
    <row r="9" spans="1:172">
      <c r="A9" s="7" t="s">
        <v>68</v>
      </c>
      <c r="B9" s="7" t="s">
        <v>938</v>
      </c>
      <c r="C9" s="7" t="s">
        <v>707</v>
      </c>
      <c r="D9" s="7" t="s">
        <v>717</v>
      </c>
      <c r="E9" s="7" t="s">
        <v>863</v>
      </c>
      <c r="F9" s="19" t="s">
        <v>804</v>
      </c>
      <c r="G9" s="19" t="s">
        <v>802</v>
      </c>
      <c r="H9" s="19">
        <f>VLOOKUP(Tabla_Buffers_Agroinsumos[[#This Row],[CODIGO ]],TABLACONSOLIDADA[[Codigo]:[PV]],6,0)</f>
        <v>0</v>
      </c>
      <c r="I9" s="19">
        <f>VLOOKUP(Tabla_Buffers_Agroinsumos[[#This Row],[CODIGO ]],TABLACONSOLIDADA[[Codigo]:[PV]],5,0)</f>
        <v>1.79</v>
      </c>
      <c r="J9" s="19">
        <v>4</v>
      </c>
      <c r="K9" s="19">
        <v>4</v>
      </c>
      <c r="L9" s="19">
        <f>IFERROR(Tabla_Buffers_Agroinsumos[[#This Row],[BUFFER CENTRAL]]/((Tabla_Buffers_Agroinsumos[[#This Row],[TIEMPO REPOSICION ]]/Tabla_Buffers_Agroinsumos[[#This Row],[FRECUENCIA]])+1),0)</f>
        <v>0</v>
      </c>
      <c r="M9" s="19">
        <f t="array" ref="M9">IFERROR(INDEX(TABLACONSOLIDADA[Buff Act],MATCH("AGROINSUMOSMATERIAPRIMA"&amp;Tabla_Buffers_Agroinsumos[[#This Row],[CODIGO ]],TABLACONSOLIDADA[Bodega]&amp;TABLACONSOLIDADA[Codigo],0)),"")</f>
        <v>800</v>
      </c>
      <c r="N9" s="157">
        <f t="array" ref="N9">IFERROR(INDEX(TABLACONSOLIDADA[Inv Fís Act],MATCH("AGROINSUMOSMATERIAPRIMA"&amp;Tabla_Buffers_Agroinsumos[[#This Row],[CODIGO ]],TABLACONSOLIDADA[Bodega]&amp;TABLACONSOLIDADA[Codigo],0)),"")</f>
        <v>176</v>
      </c>
      <c r="O9" s="157">
        <f t="array" ref="O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576</v>
      </c>
      <c r="P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9" s="19">
        <f>IFERROR(SUM(Tabla_Buffers_Agroinsumos[[#This Row],[MP-C]:[MP-VL]]),"")</f>
        <v>0</v>
      </c>
      <c r="R9" s="92">
        <f>IFERROR(Tabla_Buffers_Agroinsumos[[#This Row],[INV FIS MATERIA PRIMA]]-Tabla_Buffers_Agroinsumos[[#This Row],[BUFFER MATERIA PRIMA]],"")</f>
        <v>-624</v>
      </c>
      <c r="S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-624</v>
      </c>
      <c r="T9" s="19"/>
      <c r="U9" s="19"/>
      <c r="V9" s="19"/>
      <c r="W9" s="19"/>
      <c r="X9" s="19"/>
      <c r="Y9" s="19"/>
      <c r="Z9" s="19"/>
      <c r="AA9" s="19"/>
      <c r="AB9" s="19"/>
      <c r="AC9" s="152" t="str">
        <f t="array" ref="AC9">IFERROR(INDEX(TABLACONSOLIDADA[Buff Act],MATCH("AGROINSUMOSCENTRAL"&amp;Tabla_Buffers_Agroinsumos[[#This Row],[CODIGO ]],TABLACONSOLIDADA[Bodega]&amp;TABLACONSOLIDADA[Codigo],0)),"")</f>
        <v/>
      </c>
      <c r="AD9" s="157" t="str">
        <f t="array" ref="AD9">IFERROR(INDEX(TABLACONSOLIDADA[Inv Fís Act],MATCH("AGROINSUMOSCENTRAL"&amp;Tabla_Buffers_Agroinsumos[[#This Row],[CODIGO ]],TABLACONSOLIDADA[Bodega]&amp;TABLACONSOLIDADA[Codigo],0)),"")</f>
        <v/>
      </c>
      <c r="AE9" s="157" t="str">
        <f t="array" ref="AE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9" s="91">
        <f>IFERROR(SUM(Tabla_Buffers_Agroinsumos[[#This Row],[C-MP]:[C-VL]]),"")</f>
        <v>0</v>
      </c>
      <c r="AH9" s="92" t="str">
        <f>IFERROR(Tabla_Buffers_Agroinsumos[[#This Row],[INV FIS CENTRAL]]-Tabla_Buffers_Agroinsumos[[#This Row],[BUFFER CENTRAL]],"")</f>
        <v/>
      </c>
      <c r="AI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9" s="134"/>
      <c r="AK9" s="134"/>
      <c r="AL9" s="134"/>
      <c r="AM9" s="134"/>
      <c r="AN9" s="134"/>
      <c r="AO9" s="134"/>
      <c r="AP9" s="134"/>
      <c r="AQ9" s="134"/>
      <c r="AR9" s="134"/>
      <c r="AS9" s="134" t="str">
        <f t="array" ref="AS9">IFERROR(INDEX(TABLACONSOLIDADA[Buff Act],MATCH("AGROINSUMOScentralPROPIA"&amp;Tabla_Buffers_Agroinsumos[[#This Row],[CODIGO ]],TABLACONSOLIDADA[Bodega]&amp;TABLACONSOLIDADA[Codigo],0)),"")</f>
        <v/>
      </c>
      <c r="AT9" s="157" t="str">
        <f t="array" ref="AT9">IFERROR(INDEX(TABLACONSOLIDADA[Inv Fís Act],MATCH("AGROINSUMOScentralPROPIA"&amp;Tabla_Buffers_Agroinsumos[[#This Row],[CODIGO ]],TABLACONSOLIDADA[Bodega]&amp;TABLACONSOLIDADA[Codigo],0)),"")</f>
        <v/>
      </c>
      <c r="AU9" s="157" t="str">
        <f t="array" ref="AU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9" s="134">
        <f>IFERROR(SUM(Tabla_Buffers_Agroinsumos[[#This Row],[P-MP]:[P-VL]]),"")</f>
        <v>0</v>
      </c>
      <c r="AX9" s="92" t="str">
        <f>IFERROR(Tabla_Buffers_Agroinsumos[[#This Row],[INV FIS PROPIA]]-Tabla_Buffers_Agroinsumos[[#This Row],[BUFFER PROPIA]],"")</f>
        <v/>
      </c>
      <c r="AY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9" s="134"/>
      <c r="BA9" s="134"/>
      <c r="BB9" s="134"/>
      <c r="BC9" s="134"/>
      <c r="BD9" s="134"/>
      <c r="BE9" s="134"/>
      <c r="BF9" s="134"/>
      <c r="BG9" s="134"/>
      <c r="BH9" s="134"/>
      <c r="BI9" s="91" t="str">
        <f t="array" ref="BI9">IFERROR(INDEX(TABLACONSOLIDADA[Buff Act],MATCH("AGROINSUMOSSTODOMINGO"&amp;Tabla_Buffers_Agroinsumos[[#This Row],[CODIGO ]],TABLACONSOLIDADA[Bodega]&amp;TABLACONSOLIDADA[Codigo],0)),"")</f>
        <v/>
      </c>
      <c r="BJ9" s="157" t="str">
        <f t="array" ref="BJ9">IFERROR(INDEX(TABLACONSOLIDADA[Inv Fís Act],MATCH("AGROINSUMOSSTODOMINGO"&amp;Tabla_Buffers_Agroinsumos[[#This Row],[CODIGO ]],TABLACONSOLIDADA[Bodega]&amp;TABLACONSOLIDADA[Codigo],0)),"")</f>
        <v/>
      </c>
      <c r="BK9" s="157" t="str">
        <f t="array" ref="BK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9" s="91">
        <f>IFERROR(SUM(Tabla_Buffers_Agroinsumos[[#This Row],[SD-MP]:[SD-VL]]),"")</f>
        <v>0</v>
      </c>
      <c r="BN9" s="92"/>
      <c r="BO9" s="92"/>
      <c r="BP9" s="134"/>
      <c r="BQ9" s="134"/>
      <c r="BR9" s="134"/>
      <c r="BS9" s="134"/>
      <c r="BT9" s="134"/>
      <c r="BU9" s="134"/>
      <c r="BV9" s="134"/>
      <c r="BW9" s="134"/>
      <c r="BX9" s="134"/>
      <c r="BY9" s="134" t="str">
        <f t="array" ref="BY9">IFERROR(INDEX(TABLACONSOLIDADA[Buff Act],MATCH("AGROINSUMOSMONCAYOLOPEZ"&amp;Tabla_Buffers_Agroinsumos[[#This Row],[CODIGO ]],TABLACONSOLIDADA[Bodega]&amp;TABLACONSOLIDADA[Codigo],0)),"")</f>
        <v/>
      </c>
      <c r="BZ9" s="157" t="str">
        <f t="array" ref="BZ9">IFERROR(INDEX(TABLACONSOLIDADA[Inv Fís Act],MATCH("AGROINSUMOSMONCAYOLOPEZ"&amp;Tabla_Buffers_Agroinsumos[[#This Row],[CODIGO ]],TABLACONSOLIDADA[Bodega]&amp;TABLACONSOLIDADA[Codigo],0)),"")</f>
        <v/>
      </c>
      <c r="CA9" s="157" t="str">
        <f t="array" ref="CA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9" s="134">
        <f>IFERROR(SUM(Tabla_Buffers_Agroinsumos[[#This Row],[ML-MP]:[ML-VL]]),"")</f>
        <v>0</v>
      </c>
      <c r="CD9" s="92" t="str">
        <f>IFERROR(Tabla_Buffers_Agroinsumos[[#This Row],[INV FIS ML]]-Tabla_Buffers_Agroinsumos[[#This Row],[BUFFER ML]],"")</f>
        <v/>
      </c>
      <c r="CE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9" s="134"/>
      <c r="CG9" s="134"/>
      <c r="CH9" s="134"/>
      <c r="CI9" s="134"/>
      <c r="CJ9" s="134"/>
      <c r="CK9" s="134"/>
      <c r="CL9" s="134"/>
      <c r="CM9" s="134"/>
      <c r="CN9" s="134"/>
      <c r="CO9" s="134" t="str">
        <f t="array" ref="CO9">IFERROR(INDEX(TABLACONSOLIDADA[Buff Act],MATCH("AGROINSUMOSAGROHERMANOSLEON"&amp;Tabla_Buffers_Agroinsumos[[#This Row],[CODIGO ]],TABLACONSOLIDADA[Bodega]&amp;TABLACONSOLIDADA[Codigo],0)),"")</f>
        <v/>
      </c>
      <c r="CP9" s="157" t="str">
        <f t="array" ref="CP9">IFERROR(INDEX(TABLACONSOLIDADA[Inv Fís Act],MATCH("AGROINSUMOSAGROHERMANOSLEON"&amp;Tabla_Buffers_Agroinsumos[[#This Row],[CODIGO ]],TABLACONSOLIDADA[Bodega]&amp;TABLACONSOLIDADA[Codigo],0)),"")</f>
        <v/>
      </c>
      <c r="CQ9" s="157" t="str">
        <f t="array" ref="CQ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9" s="134">
        <f>IFERROR(SUM(Tabla_Buffers_Agroinsumos[[#This Row],[AL-MP]:[AL-VL]]),"")</f>
        <v>0</v>
      </c>
      <c r="CT9" s="92" t="str">
        <f>IFERROR(Tabla_Buffers_Agroinsumos[[#This Row],[INV FIS AL]]-Tabla_Buffers_Agroinsumos[[#This Row],[BUFFER AL]],"")</f>
        <v/>
      </c>
      <c r="CU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9" s="134"/>
      <c r="CW9" s="134"/>
      <c r="CX9" s="134"/>
      <c r="CY9" s="134"/>
      <c r="CZ9" s="134"/>
      <c r="DA9" s="134"/>
      <c r="DB9" s="134"/>
      <c r="DC9" s="134"/>
      <c r="DD9" s="134"/>
      <c r="DE9" s="134" t="str">
        <f t="array" ref="DE9">IFERROR(INDEX(TABLACONSOLIDADA[Buff Act],MATCH("AGROINSUMOSAGRONUEVO"&amp;Tabla_Buffers_Agroinsumos[[#This Row],[CODIGO ]],TABLACONSOLIDADA[Bodega]&amp;TABLACONSOLIDADA[Codigo],0)),"")</f>
        <v/>
      </c>
      <c r="DF9" s="157" t="str">
        <f t="array" ref="DF9">IFERROR(INDEX(TABLACONSOLIDADA[Inv Fís Act],MATCH("AGROINSUMOSAGRONUEVO"&amp;Tabla_Buffers_Agroinsumos[[#This Row],[CODIGO ]],TABLACONSOLIDADA[Bodega]&amp;TABLACONSOLIDADA[Codigo],0)),"")</f>
        <v/>
      </c>
      <c r="DG9" s="157" t="str">
        <f t="array" ref="DG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9" s="134">
        <f>IFERROR(SUM(Tabla_Buffers_Agroinsumos[[#This Row],[AN-MP]:[AN-VL]]),"")</f>
        <v>0</v>
      </c>
      <c r="DJ9" s="92" t="str">
        <f>IFERROR(Tabla_Buffers_Agroinsumos[[#This Row],[INV FIS AN]]-Tabla_Buffers_Agroinsumos[[#This Row],[BUFFER AN]],"")</f>
        <v/>
      </c>
      <c r="DK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9" s="134"/>
      <c r="DM9" s="134"/>
      <c r="DN9" s="134"/>
      <c r="DO9" s="134"/>
      <c r="DP9" s="134"/>
      <c r="DQ9" s="134"/>
      <c r="DR9" s="134"/>
      <c r="DS9" s="134"/>
      <c r="DT9" s="134"/>
      <c r="DU9" s="134" t="str">
        <f t="array" ref="DU9">IFERROR(INDEX(TABLACONSOLIDADA[Buff Act],MATCH("AGROINSUMOSAGROQUIMICOSSUR"&amp;Tabla_Buffers_Agroinsumos[[#This Row],[CODIGO ]],TABLACONSOLIDADA[Bodega]&amp;TABLACONSOLIDADA[Codigo],0)),"")</f>
        <v/>
      </c>
      <c r="DV9" s="157" t="str">
        <f t="array" ref="DV9">IFERROR(INDEX(TABLACONSOLIDADA[Inv Fís Act],MATCH("AGROINSUMOSAGROQUIMICOSSUR"&amp;Tabla_Buffers_Agroinsumos[[#This Row],[CODIGO ]],TABLACONSOLIDADA[Bodega]&amp;TABLACONSOLIDADA[Codigo],0)),"")</f>
        <v/>
      </c>
      <c r="DW9" s="157" t="str">
        <f t="array" ref="DW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9" s="134">
        <f>IFERROR(SUM(Tabla_Buffers_Agroinsumos[[#This Row],[AS-MP]:[AS-VL]]),"")</f>
        <v>0</v>
      </c>
      <c r="DZ9" s="92" t="str">
        <f>IFERROR(Tabla_Buffers_Agroinsumos[[#This Row],[INV FIS AS]]-Tabla_Buffers_Agroinsumos[[#This Row],[BUFFER AS]],"")</f>
        <v/>
      </c>
      <c r="EA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9" s="134"/>
      <c r="EC9" s="134"/>
      <c r="ED9" s="134"/>
      <c r="EE9" s="134"/>
      <c r="EF9" s="134"/>
      <c r="EG9" s="134"/>
      <c r="EH9" s="134"/>
      <c r="EI9" s="134"/>
      <c r="EJ9" s="134"/>
      <c r="EK9" s="134" t="str">
        <f t="array" ref="EK9">IFERROR(INDEX(TABLACONSOLIDADA[Buff Act],MATCH("AGROINSUMOSLAFINCA"&amp;Tabla_Buffers_Agroinsumos[[#This Row],[CODIGO ]],TABLACONSOLIDADA[Bodega]&amp;TABLACONSOLIDADA[Codigo],0)),"")</f>
        <v/>
      </c>
      <c r="EL9" s="157" t="str">
        <f t="array" ref="EL9">IFERROR(INDEX(TABLACONSOLIDADA[Inv Fís Act],MATCH("AGROINSUMOSLAFINCA"&amp;Tabla_Buffers_Agroinsumos[[#This Row],[CODIGO ]],TABLACONSOLIDADA[Bodega]&amp;TABLACONSOLIDADA[Codigo],0)),"")</f>
        <v/>
      </c>
      <c r="EM9" s="157" t="str">
        <f t="array" ref="EM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9" s="134">
        <f>IFERROR(SUM(Tabla_Buffers_Agroinsumos[[#This Row],[LF-MP]:[LF-VL]]),"")</f>
        <v>0</v>
      </c>
      <c r="EP9" s="92" t="str">
        <f>IFERROR(Tabla_Buffers_Agroinsumos[[#This Row],[INV FIS LF]]-Tabla_Buffers_Agroinsumos[[#This Row],[BUFFER LF]],"")</f>
        <v/>
      </c>
      <c r="EQ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9" s="134"/>
      <c r="ES9" s="134"/>
      <c r="ET9" s="134"/>
      <c r="EU9" s="134"/>
      <c r="EV9" s="134"/>
      <c r="EW9" s="134"/>
      <c r="EX9" s="134"/>
      <c r="EY9" s="134"/>
      <c r="EZ9" s="134"/>
      <c r="FA9" s="134" t="str">
        <f t="array" ref="FA9">IFERROR(INDEX(TABLACONSOLIDADA[Buff Act],MATCH("AGROINSUMOSVERONICALEDESMA"&amp;Tabla_Buffers_Agroinsumos[[#This Row],[CODIGO ]],TABLACONSOLIDADA[Bodega]&amp;TABLACONSOLIDADA[Codigo],0)),"")</f>
        <v/>
      </c>
      <c r="FB9" s="157" t="str">
        <f t="array" ref="FB9">IFERROR(INDEX(TABLACONSOLIDADA[Inv Fís Act],MATCH("AGROINSUMOSVERONICALEDESMA"&amp;Tabla_Buffers_Agroinsumos[[#This Row],[CODIGO ]],TABLACONSOLIDADA[Bodega]&amp;TABLACONSOLIDADA[Codigo],0)),"")</f>
        <v/>
      </c>
      <c r="FC9" s="157" t="str">
        <f t="array" ref="FC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9" s="134">
        <f>IFERROR(SUM(Tabla_Buffers_Agroinsumos[[#This Row],[VL-MP]:[VL-LF]]),"")</f>
        <v>0</v>
      </c>
      <c r="FF9" s="92" t="str">
        <f>IFERROR(Tabla_Buffers_Agroinsumos[[#This Row],[INV FIS VL]]-Tabla_Buffers_Agroinsumos[[#This Row],[BUFFER VL]],"")</f>
        <v/>
      </c>
      <c r="FG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9" s="134"/>
      <c r="FI9" s="134"/>
      <c r="FJ9" s="134"/>
      <c r="FK9" s="134"/>
      <c r="FL9" s="134"/>
      <c r="FM9" s="134"/>
      <c r="FN9" s="134"/>
      <c r="FO9" s="134"/>
      <c r="FP9" s="134"/>
    </row>
    <row r="10" spans="1:172">
      <c r="A10" s="7" t="s">
        <v>69</v>
      </c>
      <c r="B10" s="44" t="s">
        <v>70</v>
      </c>
      <c r="C10" s="7" t="s">
        <v>707</v>
      </c>
      <c r="D10" s="7" t="s">
        <v>717</v>
      </c>
      <c r="E10" s="7" t="s">
        <v>863</v>
      </c>
      <c r="F10" s="19" t="s">
        <v>804</v>
      </c>
      <c r="G10" s="19" t="s">
        <v>802</v>
      </c>
      <c r="H10" s="19">
        <f>VLOOKUP(Tabla_Buffers_Agroinsumos[[#This Row],[CODIGO ]],TABLACONSOLIDADA[[Codigo]:[PV]],6,0)</f>
        <v>0</v>
      </c>
      <c r="I10" s="19">
        <f>VLOOKUP(Tabla_Buffers_Agroinsumos[[#This Row],[CODIGO ]],TABLACONSOLIDADA[[Codigo]:[PV]],5,0)</f>
        <v>1.55</v>
      </c>
      <c r="J10" s="19">
        <v>4</v>
      </c>
      <c r="K10" s="19">
        <v>4</v>
      </c>
      <c r="L10" s="19">
        <f>IFERROR(Tabla_Buffers_Agroinsumos[[#This Row],[BUFFER CENTRAL]]/((Tabla_Buffers_Agroinsumos[[#This Row],[TIEMPO REPOSICION ]]/Tabla_Buffers_Agroinsumos[[#This Row],[FRECUENCIA]])+1),0)</f>
        <v>0</v>
      </c>
      <c r="M10" s="19">
        <f t="array" ref="M10">IFERROR(INDEX(TABLACONSOLIDADA[Buff Act],MATCH("AGROINSUMOSMATERIAPRIMA"&amp;Tabla_Buffers_Agroinsumos[[#This Row],[CODIGO ]],TABLACONSOLIDADA[Bodega]&amp;TABLACONSOLIDADA[Codigo],0)),"")</f>
        <v>600</v>
      </c>
      <c r="N10" s="157">
        <f t="array" ref="N10">IFERROR(INDEX(TABLACONSOLIDADA[Inv Fís Act],MATCH("AGROINSUMOSMATERIAPRIMA"&amp;Tabla_Buffers_Agroinsumos[[#This Row],[CODIGO ]],TABLACONSOLIDADA[Bodega]&amp;TABLACONSOLIDADA[Codigo],0)),"")</f>
        <v>240</v>
      </c>
      <c r="O10" s="157">
        <f t="array" ref="O1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540</v>
      </c>
      <c r="P1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0" s="19">
        <f>IFERROR(SUM(Tabla_Buffers_Agroinsumos[[#This Row],[MP-C]:[MP-VL]]),"")</f>
        <v>0</v>
      </c>
      <c r="R10" s="92">
        <f>IFERROR(Tabla_Buffers_Agroinsumos[[#This Row],[INV FIS MATERIA PRIMA]]-Tabla_Buffers_Agroinsumos[[#This Row],[BUFFER MATERIA PRIMA]],"")</f>
        <v>-360</v>
      </c>
      <c r="S1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-360</v>
      </c>
      <c r="T10" s="19"/>
      <c r="U10" s="19"/>
      <c r="V10" s="19"/>
      <c r="W10" s="19"/>
      <c r="X10" s="19"/>
      <c r="Y10" s="19"/>
      <c r="Z10" s="19"/>
      <c r="AA10" s="19"/>
      <c r="AB10" s="19"/>
      <c r="AC10" s="152" t="str">
        <f t="array" ref="AC10">IFERROR(INDEX(TABLACONSOLIDADA[Buff Act],MATCH("AGROINSUMOSCENTRAL"&amp;Tabla_Buffers_Agroinsumos[[#This Row],[CODIGO ]],TABLACONSOLIDADA[Bodega]&amp;TABLACONSOLIDADA[Codigo],0)),"")</f>
        <v/>
      </c>
      <c r="AD10" s="157" t="str">
        <f t="array" ref="AD10">IFERROR(INDEX(TABLACONSOLIDADA[Inv Fís Act],MATCH("AGROINSUMOSCENTRAL"&amp;Tabla_Buffers_Agroinsumos[[#This Row],[CODIGO ]],TABLACONSOLIDADA[Bodega]&amp;TABLACONSOLIDADA[Codigo],0)),"")</f>
        <v/>
      </c>
      <c r="AE10" s="157" t="str">
        <f t="array" ref="AE1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0" s="91">
        <f>IFERROR(SUM(Tabla_Buffers_Agroinsumos[[#This Row],[C-MP]:[C-VL]]),"")</f>
        <v>0</v>
      </c>
      <c r="AH10" s="92" t="str">
        <f>IFERROR(Tabla_Buffers_Agroinsumos[[#This Row],[INV FIS CENTRAL]]-Tabla_Buffers_Agroinsumos[[#This Row],[BUFFER CENTRAL]],"")</f>
        <v/>
      </c>
      <c r="AI1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0" s="134"/>
      <c r="AK10" s="134"/>
      <c r="AL10" s="134"/>
      <c r="AM10" s="134"/>
      <c r="AN10" s="134"/>
      <c r="AO10" s="134"/>
      <c r="AP10" s="134"/>
      <c r="AQ10" s="134"/>
      <c r="AR10" s="134"/>
      <c r="AS10" s="134" t="str">
        <f t="array" ref="AS10">IFERROR(INDEX(TABLACONSOLIDADA[Buff Act],MATCH("AGROINSUMOScentralPROPIA"&amp;Tabla_Buffers_Agroinsumos[[#This Row],[CODIGO ]],TABLACONSOLIDADA[Bodega]&amp;TABLACONSOLIDADA[Codigo],0)),"")</f>
        <v/>
      </c>
      <c r="AT10" s="157" t="str">
        <f t="array" ref="AT10">IFERROR(INDEX(TABLACONSOLIDADA[Inv Fís Act],MATCH("AGROINSUMOScentralPROPIA"&amp;Tabla_Buffers_Agroinsumos[[#This Row],[CODIGO ]],TABLACONSOLIDADA[Bodega]&amp;TABLACONSOLIDADA[Codigo],0)),"")</f>
        <v/>
      </c>
      <c r="AU10" s="157" t="str">
        <f t="array" ref="AU1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0" s="134">
        <f>IFERROR(SUM(Tabla_Buffers_Agroinsumos[[#This Row],[P-MP]:[P-VL]]),"")</f>
        <v>0</v>
      </c>
      <c r="AX10" s="92" t="str">
        <f>IFERROR(Tabla_Buffers_Agroinsumos[[#This Row],[INV FIS PROPIA]]-Tabla_Buffers_Agroinsumos[[#This Row],[BUFFER PROPIA]],"")</f>
        <v/>
      </c>
      <c r="AY1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0" s="134"/>
      <c r="BA10" s="134"/>
      <c r="BB10" s="134"/>
      <c r="BC10" s="134"/>
      <c r="BD10" s="134"/>
      <c r="BE10" s="134"/>
      <c r="BF10" s="134"/>
      <c r="BG10" s="134"/>
      <c r="BH10" s="134"/>
      <c r="BI10" s="91" t="str">
        <f t="array" ref="BI10">IFERROR(INDEX(TABLACONSOLIDADA[Buff Act],MATCH("AGROINSUMOSSTODOMINGO"&amp;Tabla_Buffers_Agroinsumos[[#This Row],[CODIGO ]],TABLACONSOLIDADA[Bodega]&amp;TABLACONSOLIDADA[Codigo],0)),"")</f>
        <v/>
      </c>
      <c r="BJ10" s="157" t="str">
        <f t="array" ref="BJ10">IFERROR(INDEX(TABLACONSOLIDADA[Inv Fís Act],MATCH("AGROINSUMOSSTODOMINGO"&amp;Tabla_Buffers_Agroinsumos[[#This Row],[CODIGO ]],TABLACONSOLIDADA[Bodega]&amp;TABLACONSOLIDADA[Codigo],0)),"")</f>
        <v/>
      </c>
      <c r="BK10" s="157" t="str">
        <f t="array" ref="BK1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0" s="91">
        <f>IFERROR(SUM(Tabla_Buffers_Agroinsumos[[#This Row],[SD-MP]:[SD-VL]]),"")</f>
        <v>0</v>
      </c>
      <c r="BN10" s="92"/>
      <c r="BO10" s="92"/>
      <c r="BP10" s="134"/>
      <c r="BQ10" s="134"/>
      <c r="BR10" s="134"/>
      <c r="BS10" s="134"/>
      <c r="BT10" s="134"/>
      <c r="BU10" s="134"/>
      <c r="BV10" s="134"/>
      <c r="BW10" s="134"/>
      <c r="BX10" s="134"/>
      <c r="BY10" s="134" t="str">
        <f t="array" ref="BY10">IFERROR(INDEX(TABLACONSOLIDADA[Buff Act],MATCH("AGROINSUMOSMONCAYOLOPEZ"&amp;Tabla_Buffers_Agroinsumos[[#This Row],[CODIGO ]],TABLACONSOLIDADA[Bodega]&amp;TABLACONSOLIDADA[Codigo],0)),"")</f>
        <v/>
      </c>
      <c r="BZ10" s="157" t="str">
        <f t="array" ref="BZ10">IFERROR(INDEX(TABLACONSOLIDADA[Inv Fís Act],MATCH("AGROINSUMOSMONCAYOLOPEZ"&amp;Tabla_Buffers_Agroinsumos[[#This Row],[CODIGO ]],TABLACONSOLIDADA[Bodega]&amp;TABLACONSOLIDADA[Codigo],0)),"")</f>
        <v/>
      </c>
      <c r="CA10" s="157" t="str">
        <f t="array" ref="CA1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0" s="134">
        <f>IFERROR(SUM(Tabla_Buffers_Agroinsumos[[#This Row],[ML-MP]:[ML-VL]]),"")</f>
        <v>0</v>
      </c>
      <c r="CD10" s="92" t="str">
        <f>IFERROR(Tabla_Buffers_Agroinsumos[[#This Row],[INV FIS ML]]-Tabla_Buffers_Agroinsumos[[#This Row],[BUFFER ML]],"")</f>
        <v/>
      </c>
      <c r="CE1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0" s="134"/>
      <c r="CG10" s="134"/>
      <c r="CH10" s="134"/>
      <c r="CI10" s="134"/>
      <c r="CJ10" s="134"/>
      <c r="CK10" s="134"/>
      <c r="CL10" s="134"/>
      <c r="CM10" s="134"/>
      <c r="CN10" s="134"/>
      <c r="CO10" s="134" t="str">
        <f t="array" ref="CO10">IFERROR(INDEX(TABLACONSOLIDADA[Buff Act],MATCH("AGROINSUMOSAGROHERMANOSLEON"&amp;Tabla_Buffers_Agroinsumos[[#This Row],[CODIGO ]],TABLACONSOLIDADA[Bodega]&amp;TABLACONSOLIDADA[Codigo],0)),"")</f>
        <v/>
      </c>
      <c r="CP10" s="157" t="str">
        <f t="array" ref="CP10">IFERROR(INDEX(TABLACONSOLIDADA[Inv Fís Act],MATCH("AGROINSUMOSAGROHERMANOSLEON"&amp;Tabla_Buffers_Agroinsumos[[#This Row],[CODIGO ]],TABLACONSOLIDADA[Bodega]&amp;TABLACONSOLIDADA[Codigo],0)),"")</f>
        <v/>
      </c>
      <c r="CQ10" s="157" t="str">
        <f t="array" ref="CQ1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0" s="134">
        <f>IFERROR(SUM(Tabla_Buffers_Agroinsumos[[#This Row],[AL-MP]:[AL-VL]]),"")</f>
        <v>0</v>
      </c>
      <c r="CT10" s="92" t="str">
        <f>IFERROR(Tabla_Buffers_Agroinsumos[[#This Row],[INV FIS AL]]-Tabla_Buffers_Agroinsumos[[#This Row],[BUFFER AL]],"")</f>
        <v/>
      </c>
      <c r="CU1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0" s="134"/>
      <c r="CW10" s="134"/>
      <c r="CX10" s="134"/>
      <c r="CY10" s="134"/>
      <c r="CZ10" s="134"/>
      <c r="DA10" s="134"/>
      <c r="DB10" s="134"/>
      <c r="DC10" s="134"/>
      <c r="DD10" s="134"/>
      <c r="DE10" s="134" t="str">
        <f t="array" ref="DE10">IFERROR(INDEX(TABLACONSOLIDADA[Buff Act],MATCH("AGROINSUMOSAGRONUEVO"&amp;Tabla_Buffers_Agroinsumos[[#This Row],[CODIGO ]],TABLACONSOLIDADA[Bodega]&amp;TABLACONSOLIDADA[Codigo],0)),"")</f>
        <v/>
      </c>
      <c r="DF10" s="157" t="str">
        <f t="array" ref="DF10">IFERROR(INDEX(TABLACONSOLIDADA[Inv Fís Act],MATCH("AGROINSUMOSAGRONUEVO"&amp;Tabla_Buffers_Agroinsumos[[#This Row],[CODIGO ]],TABLACONSOLIDADA[Bodega]&amp;TABLACONSOLIDADA[Codigo],0)),"")</f>
        <v/>
      </c>
      <c r="DG10" s="157" t="str">
        <f t="array" ref="DG1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0" s="134">
        <f>IFERROR(SUM(Tabla_Buffers_Agroinsumos[[#This Row],[AN-MP]:[AN-VL]]),"")</f>
        <v>0</v>
      </c>
      <c r="DJ10" s="92" t="str">
        <f>IFERROR(Tabla_Buffers_Agroinsumos[[#This Row],[INV FIS AN]]-Tabla_Buffers_Agroinsumos[[#This Row],[BUFFER AN]],"")</f>
        <v/>
      </c>
      <c r="DK1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0" s="134"/>
      <c r="DM10" s="134"/>
      <c r="DN10" s="134"/>
      <c r="DO10" s="134"/>
      <c r="DP10" s="134"/>
      <c r="DQ10" s="134"/>
      <c r="DR10" s="134"/>
      <c r="DS10" s="134"/>
      <c r="DT10" s="134"/>
      <c r="DU10" s="134" t="str">
        <f t="array" ref="DU10">IFERROR(INDEX(TABLACONSOLIDADA[Buff Act],MATCH("AGROINSUMOSAGROQUIMICOSSUR"&amp;Tabla_Buffers_Agroinsumos[[#This Row],[CODIGO ]],TABLACONSOLIDADA[Bodega]&amp;TABLACONSOLIDADA[Codigo],0)),"")</f>
        <v/>
      </c>
      <c r="DV10" s="157" t="str">
        <f t="array" ref="DV10">IFERROR(INDEX(TABLACONSOLIDADA[Inv Fís Act],MATCH("AGROINSUMOSAGROQUIMICOSSUR"&amp;Tabla_Buffers_Agroinsumos[[#This Row],[CODIGO ]],TABLACONSOLIDADA[Bodega]&amp;TABLACONSOLIDADA[Codigo],0)),"")</f>
        <v/>
      </c>
      <c r="DW10" s="157" t="str">
        <f t="array" ref="DW1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0" s="134">
        <f>IFERROR(SUM(Tabla_Buffers_Agroinsumos[[#This Row],[AS-MP]:[AS-VL]]),"")</f>
        <v>0</v>
      </c>
      <c r="DZ10" s="92" t="str">
        <f>IFERROR(Tabla_Buffers_Agroinsumos[[#This Row],[INV FIS AS]]-Tabla_Buffers_Agroinsumos[[#This Row],[BUFFER AS]],"")</f>
        <v/>
      </c>
      <c r="EA1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0" s="134"/>
      <c r="EC10" s="134"/>
      <c r="ED10" s="134"/>
      <c r="EE10" s="134"/>
      <c r="EF10" s="134"/>
      <c r="EG10" s="134"/>
      <c r="EH10" s="134"/>
      <c r="EI10" s="134"/>
      <c r="EJ10" s="134"/>
      <c r="EK10" s="134" t="str">
        <f t="array" ref="EK10">IFERROR(INDEX(TABLACONSOLIDADA[Buff Act],MATCH("AGROINSUMOSLAFINCA"&amp;Tabla_Buffers_Agroinsumos[[#This Row],[CODIGO ]],TABLACONSOLIDADA[Bodega]&amp;TABLACONSOLIDADA[Codigo],0)),"")</f>
        <v/>
      </c>
      <c r="EL10" s="157" t="str">
        <f t="array" ref="EL10">IFERROR(INDEX(TABLACONSOLIDADA[Inv Fís Act],MATCH("AGROINSUMOSLAFINCA"&amp;Tabla_Buffers_Agroinsumos[[#This Row],[CODIGO ]],TABLACONSOLIDADA[Bodega]&amp;TABLACONSOLIDADA[Codigo],0)),"")</f>
        <v/>
      </c>
      <c r="EM10" s="157" t="str">
        <f t="array" ref="EM1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0" s="134">
        <f>IFERROR(SUM(Tabla_Buffers_Agroinsumos[[#This Row],[LF-MP]:[LF-VL]]),"")</f>
        <v>0</v>
      </c>
      <c r="EP10" s="92" t="str">
        <f>IFERROR(Tabla_Buffers_Agroinsumos[[#This Row],[INV FIS LF]]-Tabla_Buffers_Agroinsumos[[#This Row],[BUFFER LF]],"")</f>
        <v/>
      </c>
      <c r="EQ1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0" s="134"/>
      <c r="ES10" s="134"/>
      <c r="ET10" s="134"/>
      <c r="EU10" s="134"/>
      <c r="EV10" s="134"/>
      <c r="EW10" s="134"/>
      <c r="EX10" s="134"/>
      <c r="EY10" s="134"/>
      <c r="EZ10" s="134"/>
      <c r="FA10" s="134" t="str">
        <f t="array" ref="FA10">IFERROR(INDEX(TABLACONSOLIDADA[Buff Act],MATCH("AGROINSUMOSVERONICALEDESMA"&amp;Tabla_Buffers_Agroinsumos[[#This Row],[CODIGO ]],TABLACONSOLIDADA[Bodega]&amp;TABLACONSOLIDADA[Codigo],0)),"")</f>
        <v/>
      </c>
      <c r="FB10" s="157" t="str">
        <f t="array" ref="FB10">IFERROR(INDEX(TABLACONSOLIDADA[Inv Fís Act],MATCH("AGROINSUMOSVERONICALEDESMA"&amp;Tabla_Buffers_Agroinsumos[[#This Row],[CODIGO ]],TABLACONSOLIDADA[Bodega]&amp;TABLACONSOLIDADA[Codigo],0)),"")</f>
        <v/>
      </c>
      <c r="FC10" s="157" t="str">
        <f t="array" ref="FC1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0" s="134">
        <f>IFERROR(SUM(Tabla_Buffers_Agroinsumos[[#This Row],[VL-MP]:[VL-LF]]),"")</f>
        <v>0</v>
      </c>
      <c r="FF10" s="92" t="str">
        <f>IFERROR(Tabla_Buffers_Agroinsumos[[#This Row],[INV FIS VL]]-Tabla_Buffers_Agroinsumos[[#This Row],[BUFFER VL]],"")</f>
        <v/>
      </c>
      <c r="FG1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0" s="134"/>
      <c r="FI10" s="134"/>
      <c r="FJ10" s="134"/>
      <c r="FK10" s="134"/>
      <c r="FL10" s="134"/>
      <c r="FM10" s="134"/>
      <c r="FN10" s="134"/>
      <c r="FO10" s="134"/>
      <c r="FP10" s="134"/>
    </row>
    <row r="11" spans="1:172">
      <c r="A11" s="7" t="s">
        <v>71</v>
      </c>
      <c r="B11" s="7" t="s">
        <v>72</v>
      </c>
      <c r="C11" s="7" t="s">
        <v>707</v>
      </c>
      <c r="D11" s="7" t="s">
        <v>717</v>
      </c>
      <c r="E11" s="7" t="s">
        <v>863</v>
      </c>
      <c r="F11" s="19" t="s">
        <v>804</v>
      </c>
      <c r="G11" s="19" t="s">
        <v>802</v>
      </c>
      <c r="H11" s="19">
        <f>VLOOKUP(Tabla_Buffers_Agroinsumos[[#This Row],[CODIGO ]],TABLACONSOLIDADA[[Codigo]:[PV]],6,0)</f>
        <v>0</v>
      </c>
      <c r="I11" s="19">
        <f>VLOOKUP(Tabla_Buffers_Agroinsumos[[#This Row],[CODIGO ]],TABLACONSOLIDADA[[Codigo]:[PV]],5,0)</f>
        <v>1.4</v>
      </c>
      <c r="J11" s="19">
        <v>4</v>
      </c>
      <c r="K11" s="19">
        <v>4</v>
      </c>
      <c r="L11" s="19">
        <f>IFERROR(Tabla_Buffers_Agroinsumos[[#This Row],[BUFFER CENTRAL]]/((Tabla_Buffers_Agroinsumos[[#This Row],[TIEMPO REPOSICION ]]/Tabla_Buffers_Agroinsumos[[#This Row],[FRECUENCIA]])+1),0)</f>
        <v>0</v>
      </c>
      <c r="M11" s="19">
        <f t="array" ref="M11">IFERROR(INDEX(TABLACONSOLIDADA[Buff Act],MATCH("AGROINSUMOSMATERIAPRIMA"&amp;Tabla_Buffers_Agroinsumos[[#This Row],[CODIGO ]],TABLACONSOLIDADA[Bodega]&amp;TABLACONSOLIDADA[Codigo],0)),"")</f>
        <v>500</v>
      </c>
      <c r="N11" s="157">
        <f t="array" ref="N11">IFERROR(INDEX(TABLACONSOLIDADA[Inv Fís Act],MATCH("AGROINSUMOSMATERIAPRIMA"&amp;Tabla_Buffers_Agroinsumos[[#This Row],[CODIGO ]],TABLACONSOLIDADA[Bodega]&amp;TABLACONSOLIDADA[Codigo],0)),"")</f>
        <v>548</v>
      </c>
      <c r="O11" s="157">
        <f t="array" ref="O1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548</v>
      </c>
      <c r="P1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1" s="19">
        <f>IFERROR(SUM(Tabla_Buffers_Agroinsumos[[#This Row],[MP-C]:[MP-VL]]),"")</f>
        <v>0</v>
      </c>
      <c r="R11" s="92">
        <f>IFERROR(Tabla_Buffers_Agroinsumos[[#This Row],[INV FIS MATERIA PRIMA]]-Tabla_Buffers_Agroinsumos[[#This Row],[BUFFER MATERIA PRIMA]],"")</f>
        <v>48</v>
      </c>
      <c r="S1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48</v>
      </c>
      <c r="T11" s="19"/>
      <c r="U11" s="19"/>
      <c r="V11" s="19"/>
      <c r="W11" s="19"/>
      <c r="X11" s="19"/>
      <c r="Y11" s="19"/>
      <c r="Z11" s="19"/>
      <c r="AA11" s="19"/>
      <c r="AB11" s="19"/>
      <c r="AC11" s="152" t="str">
        <f t="array" ref="AC11">IFERROR(INDEX(TABLACONSOLIDADA[Buff Act],MATCH("AGROINSUMOSCENTRAL"&amp;Tabla_Buffers_Agroinsumos[[#This Row],[CODIGO ]],TABLACONSOLIDADA[Bodega]&amp;TABLACONSOLIDADA[Codigo],0)),"")</f>
        <v/>
      </c>
      <c r="AD11" s="157" t="str">
        <f t="array" ref="AD11">IFERROR(INDEX(TABLACONSOLIDADA[Inv Fís Act],MATCH("AGROINSUMOSCENTRAL"&amp;Tabla_Buffers_Agroinsumos[[#This Row],[CODIGO ]],TABLACONSOLIDADA[Bodega]&amp;TABLACONSOLIDADA[Codigo],0)),"")</f>
        <v/>
      </c>
      <c r="AE11" s="157" t="str">
        <f t="array" ref="AE1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1" s="91">
        <f>IFERROR(SUM(Tabla_Buffers_Agroinsumos[[#This Row],[C-MP]:[C-VL]]),"")</f>
        <v>0</v>
      </c>
      <c r="AH11" s="92" t="str">
        <f>IFERROR(Tabla_Buffers_Agroinsumos[[#This Row],[INV FIS CENTRAL]]-Tabla_Buffers_Agroinsumos[[#This Row],[BUFFER CENTRAL]],"")</f>
        <v/>
      </c>
      <c r="AI1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1" s="134"/>
      <c r="AK11" s="134"/>
      <c r="AL11" s="134"/>
      <c r="AM11" s="134"/>
      <c r="AN11" s="134"/>
      <c r="AO11" s="134"/>
      <c r="AP11" s="134"/>
      <c r="AQ11" s="134"/>
      <c r="AR11" s="134"/>
      <c r="AS11" s="134" t="str">
        <f t="array" ref="AS11">IFERROR(INDEX(TABLACONSOLIDADA[Buff Act],MATCH("AGROINSUMOScentralPROPIA"&amp;Tabla_Buffers_Agroinsumos[[#This Row],[CODIGO ]],TABLACONSOLIDADA[Bodega]&amp;TABLACONSOLIDADA[Codigo],0)),"")</f>
        <v/>
      </c>
      <c r="AT11" s="157" t="str">
        <f t="array" ref="AT11">IFERROR(INDEX(TABLACONSOLIDADA[Inv Fís Act],MATCH("AGROINSUMOScentralPROPIA"&amp;Tabla_Buffers_Agroinsumos[[#This Row],[CODIGO ]],TABLACONSOLIDADA[Bodega]&amp;TABLACONSOLIDADA[Codigo],0)),"")</f>
        <v/>
      </c>
      <c r="AU11" s="157" t="str">
        <f t="array" ref="AU1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1" s="134">
        <f>IFERROR(SUM(Tabla_Buffers_Agroinsumos[[#This Row],[P-MP]:[P-VL]]),"")</f>
        <v>0</v>
      </c>
      <c r="AX11" s="92" t="str">
        <f>IFERROR(Tabla_Buffers_Agroinsumos[[#This Row],[INV FIS PROPIA]]-Tabla_Buffers_Agroinsumos[[#This Row],[BUFFER PROPIA]],"")</f>
        <v/>
      </c>
      <c r="AY1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1" s="134"/>
      <c r="BA11" s="134"/>
      <c r="BB11" s="134"/>
      <c r="BC11" s="134"/>
      <c r="BD11" s="134"/>
      <c r="BE11" s="134"/>
      <c r="BF11" s="134"/>
      <c r="BG11" s="134"/>
      <c r="BH11" s="134"/>
      <c r="BI11" s="91" t="str">
        <f t="array" ref="BI11">IFERROR(INDEX(TABLACONSOLIDADA[Buff Act],MATCH("AGROINSUMOSSTODOMINGO"&amp;Tabla_Buffers_Agroinsumos[[#This Row],[CODIGO ]],TABLACONSOLIDADA[Bodega]&amp;TABLACONSOLIDADA[Codigo],0)),"")</f>
        <v/>
      </c>
      <c r="BJ11" s="157" t="str">
        <f t="array" ref="BJ11">IFERROR(INDEX(TABLACONSOLIDADA[Inv Fís Act],MATCH("AGROINSUMOSSTODOMINGO"&amp;Tabla_Buffers_Agroinsumos[[#This Row],[CODIGO ]],TABLACONSOLIDADA[Bodega]&amp;TABLACONSOLIDADA[Codigo],0)),"")</f>
        <v/>
      </c>
      <c r="BK11" s="157" t="str">
        <f t="array" ref="BK1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1" s="91">
        <f>IFERROR(SUM(Tabla_Buffers_Agroinsumos[[#This Row],[SD-MP]:[SD-VL]]),"")</f>
        <v>0</v>
      </c>
      <c r="BN11" s="92"/>
      <c r="BO11" s="92"/>
      <c r="BP11" s="134"/>
      <c r="BQ11" s="134"/>
      <c r="BR11" s="134"/>
      <c r="BS11" s="134"/>
      <c r="BT11" s="134"/>
      <c r="BU11" s="134"/>
      <c r="BV11" s="134"/>
      <c r="BW11" s="134"/>
      <c r="BX11" s="134"/>
      <c r="BY11" s="134" t="str">
        <f t="array" ref="BY11">IFERROR(INDEX(TABLACONSOLIDADA[Buff Act],MATCH("AGROINSUMOSMONCAYOLOPEZ"&amp;Tabla_Buffers_Agroinsumos[[#This Row],[CODIGO ]],TABLACONSOLIDADA[Bodega]&amp;TABLACONSOLIDADA[Codigo],0)),"")</f>
        <v/>
      </c>
      <c r="BZ11" s="157" t="str">
        <f t="array" ref="BZ11">IFERROR(INDEX(TABLACONSOLIDADA[Inv Fís Act],MATCH("AGROINSUMOSMONCAYOLOPEZ"&amp;Tabla_Buffers_Agroinsumos[[#This Row],[CODIGO ]],TABLACONSOLIDADA[Bodega]&amp;TABLACONSOLIDADA[Codigo],0)),"")</f>
        <v/>
      </c>
      <c r="CA11" s="157" t="str">
        <f t="array" ref="CA1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1" s="134">
        <f>IFERROR(SUM(Tabla_Buffers_Agroinsumos[[#This Row],[ML-MP]:[ML-VL]]),"")</f>
        <v>0</v>
      </c>
      <c r="CD11" s="92" t="str">
        <f>IFERROR(Tabla_Buffers_Agroinsumos[[#This Row],[INV FIS ML]]-Tabla_Buffers_Agroinsumos[[#This Row],[BUFFER ML]],"")</f>
        <v/>
      </c>
      <c r="CE1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1" s="134"/>
      <c r="CG11" s="134"/>
      <c r="CH11" s="134"/>
      <c r="CI11" s="134"/>
      <c r="CJ11" s="134"/>
      <c r="CK11" s="134"/>
      <c r="CL11" s="134"/>
      <c r="CM11" s="134"/>
      <c r="CN11" s="134"/>
      <c r="CO11" s="134" t="str">
        <f t="array" ref="CO11">IFERROR(INDEX(TABLACONSOLIDADA[Buff Act],MATCH("AGROINSUMOSAGROHERMANOSLEON"&amp;Tabla_Buffers_Agroinsumos[[#This Row],[CODIGO ]],TABLACONSOLIDADA[Bodega]&amp;TABLACONSOLIDADA[Codigo],0)),"")</f>
        <v/>
      </c>
      <c r="CP11" s="157" t="str">
        <f t="array" ref="CP11">IFERROR(INDEX(TABLACONSOLIDADA[Inv Fís Act],MATCH("AGROINSUMOSAGROHERMANOSLEON"&amp;Tabla_Buffers_Agroinsumos[[#This Row],[CODIGO ]],TABLACONSOLIDADA[Bodega]&amp;TABLACONSOLIDADA[Codigo],0)),"")</f>
        <v/>
      </c>
      <c r="CQ11" s="157" t="str">
        <f t="array" ref="CQ1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1" s="134">
        <f>IFERROR(SUM(Tabla_Buffers_Agroinsumos[[#This Row],[AL-MP]:[AL-VL]]),"")</f>
        <v>0</v>
      </c>
      <c r="CT11" s="92" t="str">
        <f>IFERROR(Tabla_Buffers_Agroinsumos[[#This Row],[INV FIS AL]]-Tabla_Buffers_Agroinsumos[[#This Row],[BUFFER AL]],"")</f>
        <v/>
      </c>
      <c r="CU1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1" s="134"/>
      <c r="CW11" s="134"/>
      <c r="CX11" s="134"/>
      <c r="CY11" s="134"/>
      <c r="CZ11" s="134"/>
      <c r="DA11" s="134"/>
      <c r="DB11" s="134"/>
      <c r="DC11" s="134"/>
      <c r="DD11" s="134"/>
      <c r="DE11" s="134" t="str">
        <f t="array" ref="DE11">IFERROR(INDEX(TABLACONSOLIDADA[Buff Act],MATCH("AGROINSUMOSAGRONUEVO"&amp;Tabla_Buffers_Agroinsumos[[#This Row],[CODIGO ]],TABLACONSOLIDADA[Bodega]&amp;TABLACONSOLIDADA[Codigo],0)),"")</f>
        <v/>
      </c>
      <c r="DF11" s="157" t="str">
        <f t="array" ref="DF11">IFERROR(INDEX(TABLACONSOLIDADA[Inv Fís Act],MATCH("AGROINSUMOSAGRONUEVO"&amp;Tabla_Buffers_Agroinsumos[[#This Row],[CODIGO ]],TABLACONSOLIDADA[Bodega]&amp;TABLACONSOLIDADA[Codigo],0)),"")</f>
        <v/>
      </c>
      <c r="DG11" s="157" t="str">
        <f t="array" ref="DG1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1" s="134">
        <f>IFERROR(SUM(Tabla_Buffers_Agroinsumos[[#This Row],[AN-MP]:[AN-VL]]),"")</f>
        <v>0</v>
      </c>
      <c r="DJ11" s="92" t="str">
        <f>IFERROR(Tabla_Buffers_Agroinsumos[[#This Row],[INV FIS AN]]-Tabla_Buffers_Agroinsumos[[#This Row],[BUFFER AN]],"")</f>
        <v/>
      </c>
      <c r="DK1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1" s="134"/>
      <c r="DM11" s="134"/>
      <c r="DN11" s="134"/>
      <c r="DO11" s="134"/>
      <c r="DP11" s="134"/>
      <c r="DQ11" s="134"/>
      <c r="DR11" s="134"/>
      <c r="DS11" s="134"/>
      <c r="DT11" s="134"/>
      <c r="DU11" s="134" t="str">
        <f t="array" ref="DU11">IFERROR(INDEX(TABLACONSOLIDADA[Buff Act],MATCH("AGROINSUMOSAGROQUIMICOSSUR"&amp;Tabla_Buffers_Agroinsumos[[#This Row],[CODIGO ]],TABLACONSOLIDADA[Bodega]&amp;TABLACONSOLIDADA[Codigo],0)),"")</f>
        <v/>
      </c>
      <c r="DV11" s="157" t="str">
        <f t="array" ref="DV11">IFERROR(INDEX(TABLACONSOLIDADA[Inv Fís Act],MATCH("AGROINSUMOSAGROQUIMICOSSUR"&amp;Tabla_Buffers_Agroinsumos[[#This Row],[CODIGO ]],TABLACONSOLIDADA[Bodega]&amp;TABLACONSOLIDADA[Codigo],0)),"")</f>
        <v/>
      </c>
      <c r="DW11" s="157" t="str">
        <f t="array" ref="DW1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1" s="134">
        <f>IFERROR(SUM(Tabla_Buffers_Agroinsumos[[#This Row],[AS-MP]:[AS-VL]]),"")</f>
        <v>0</v>
      </c>
      <c r="DZ11" s="92" t="str">
        <f>IFERROR(Tabla_Buffers_Agroinsumos[[#This Row],[INV FIS AS]]-Tabla_Buffers_Agroinsumos[[#This Row],[BUFFER AS]],"")</f>
        <v/>
      </c>
      <c r="EA1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1" s="134"/>
      <c r="EC11" s="134"/>
      <c r="ED11" s="134"/>
      <c r="EE11" s="134"/>
      <c r="EF11" s="134"/>
      <c r="EG11" s="134"/>
      <c r="EH11" s="134"/>
      <c r="EI11" s="134"/>
      <c r="EJ11" s="134"/>
      <c r="EK11" s="134" t="str">
        <f t="array" ref="EK11">IFERROR(INDEX(TABLACONSOLIDADA[Buff Act],MATCH("AGROINSUMOSLAFINCA"&amp;Tabla_Buffers_Agroinsumos[[#This Row],[CODIGO ]],TABLACONSOLIDADA[Bodega]&amp;TABLACONSOLIDADA[Codigo],0)),"")</f>
        <v/>
      </c>
      <c r="EL11" s="157" t="str">
        <f t="array" ref="EL11">IFERROR(INDEX(TABLACONSOLIDADA[Inv Fís Act],MATCH("AGROINSUMOSLAFINCA"&amp;Tabla_Buffers_Agroinsumos[[#This Row],[CODIGO ]],TABLACONSOLIDADA[Bodega]&amp;TABLACONSOLIDADA[Codigo],0)),"")</f>
        <v/>
      </c>
      <c r="EM11" s="157" t="str">
        <f t="array" ref="EM1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1" s="134">
        <f>IFERROR(SUM(Tabla_Buffers_Agroinsumos[[#This Row],[LF-MP]:[LF-VL]]),"")</f>
        <v>0</v>
      </c>
      <c r="EP11" s="92" t="str">
        <f>IFERROR(Tabla_Buffers_Agroinsumos[[#This Row],[INV FIS LF]]-Tabla_Buffers_Agroinsumos[[#This Row],[BUFFER LF]],"")</f>
        <v/>
      </c>
      <c r="EQ1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1" s="134"/>
      <c r="ES11" s="134"/>
      <c r="ET11" s="134"/>
      <c r="EU11" s="134"/>
      <c r="EV11" s="134"/>
      <c r="EW11" s="134"/>
      <c r="EX11" s="134"/>
      <c r="EY11" s="134"/>
      <c r="EZ11" s="134"/>
      <c r="FA11" s="134" t="str">
        <f t="array" ref="FA11">IFERROR(INDEX(TABLACONSOLIDADA[Buff Act],MATCH("AGROINSUMOSVERONICALEDESMA"&amp;Tabla_Buffers_Agroinsumos[[#This Row],[CODIGO ]],TABLACONSOLIDADA[Bodega]&amp;TABLACONSOLIDADA[Codigo],0)),"")</f>
        <v/>
      </c>
      <c r="FB11" s="157" t="str">
        <f t="array" ref="FB11">IFERROR(INDEX(TABLACONSOLIDADA[Inv Fís Act],MATCH("AGROINSUMOSVERONICALEDESMA"&amp;Tabla_Buffers_Agroinsumos[[#This Row],[CODIGO ]],TABLACONSOLIDADA[Bodega]&amp;TABLACONSOLIDADA[Codigo],0)),"")</f>
        <v/>
      </c>
      <c r="FC11" s="157" t="str">
        <f t="array" ref="FC1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1" s="134">
        <f>IFERROR(SUM(Tabla_Buffers_Agroinsumos[[#This Row],[VL-MP]:[VL-LF]]),"")</f>
        <v>0</v>
      </c>
      <c r="FF11" s="92" t="str">
        <f>IFERROR(Tabla_Buffers_Agroinsumos[[#This Row],[INV FIS VL]]-Tabla_Buffers_Agroinsumos[[#This Row],[BUFFER VL]],"")</f>
        <v/>
      </c>
      <c r="FG1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1" s="134"/>
      <c r="FI11" s="134"/>
      <c r="FJ11" s="134"/>
      <c r="FK11" s="134"/>
      <c r="FL11" s="134"/>
      <c r="FM11" s="134"/>
      <c r="FN11" s="134"/>
      <c r="FO11" s="134"/>
      <c r="FP11" s="134"/>
    </row>
    <row r="12" spans="1:172">
      <c r="A12" s="7" t="s">
        <v>73</v>
      </c>
      <c r="B12" s="7" t="s">
        <v>74</v>
      </c>
      <c r="C12" s="7" t="s">
        <v>707</v>
      </c>
      <c r="D12" s="7" t="s">
        <v>717</v>
      </c>
      <c r="E12" s="7" t="s">
        <v>863</v>
      </c>
      <c r="F12" s="19" t="s">
        <v>804</v>
      </c>
      <c r="G12" s="19" t="s">
        <v>802</v>
      </c>
      <c r="H12" s="19">
        <f>VLOOKUP(Tabla_Buffers_Agroinsumos[[#This Row],[CODIGO ]],TABLACONSOLIDADA[[Codigo]:[PV]],6,0)</f>
        <v>0</v>
      </c>
      <c r="I12" s="19">
        <f>VLOOKUP(Tabla_Buffers_Agroinsumos[[#This Row],[CODIGO ]],TABLACONSOLIDADA[[Codigo]:[PV]],5,0)</f>
        <v>1.63</v>
      </c>
      <c r="J12" s="19">
        <v>4</v>
      </c>
      <c r="K12" s="19">
        <v>4</v>
      </c>
      <c r="L12" s="19">
        <f>IFERROR(Tabla_Buffers_Agroinsumos[[#This Row],[BUFFER CENTRAL]]/((Tabla_Buffers_Agroinsumos[[#This Row],[TIEMPO REPOSICION ]]/Tabla_Buffers_Agroinsumos[[#This Row],[FRECUENCIA]])+1),0)</f>
        <v>0</v>
      </c>
      <c r="M12" s="19">
        <f t="array" ref="M12">IFERROR(INDEX(TABLACONSOLIDADA[Buff Act],MATCH("AGROINSUMOSMATERIAPRIMA"&amp;Tabla_Buffers_Agroinsumos[[#This Row],[CODIGO ]],TABLACONSOLIDADA[Bodega]&amp;TABLACONSOLIDADA[Codigo],0)),"")</f>
        <v>500</v>
      </c>
      <c r="N12" s="157">
        <f t="array" ref="N12">IFERROR(INDEX(TABLACONSOLIDADA[Inv Fís Act],MATCH("AGROINSUMOSMATERIAPRIMA"&amp;Tabla_Buffers_Agroinsumos[[#This Row],[CODIGO ]],TABLACONSOLIDADA[Bodega]&amp;TABLACONSOLIDADA[Codigo],0)),"")</f>
        <v>1099</v>
      </c>
      <c r="O12" s="157">
        <f t="array" ref="O1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1099</v>
      </c>
      <c r="P1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2" s="19">
        <f>IFERROR(SUM(Tabla_Buffers_Agroinsumos[[#This Row],[MP-C]:[MP-VL]]),"")</f>
        <v>0</v>
      </c>
      <c r="R12" s="92">
        <f>IFERROR(Tabla_Buffers_Agroinsumos[[#This Row],[INV FIS MATERIA PRIMA]]-Tabla_Buffers_Agroinsumos[[#This Row],[BUFFER MATERIA PRIMA]],"")</f>
        <v>599</v>
      </c>
      <c r="S1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599</v>
      </c>
      <c r="T12" s="19"/>
      <c r="U12" s="19"/>
      <c r="V12" s="19"/>
      <c r="W12" s="19"/>
      <c r="X12" s="19"/>
      <c r="Y12" s="19"/>
      <c r="Z12" s="19"/>
      <c r="AA12" s="19"/>
      <c r="AB12" s="19"/>
      <c r="AC12" s="152" t="str">
        <f t="array" ref="AC12">IFERROR(INDEX(TABLACONSOLIDADA[Buff Act],MATCH("AGROINSUMOSCENTRAL"&amp;Tabla_Buffers_Agroinsumos[[#This Row],[CODIGO ]],TABLACONSOLIDADA[Bodega]&amp;TABLACONSOLIDADA[Codigo],0)),"")</f>
        <v/>
      </c>
      <c r="AD12" s="157" t="str">
        <f t="array" ref="AD12">IFERROR(INDEX(TABLACONSOLIDADA[Inv Fís Act],MATCH("AGROINSUMOSCENTRAL"&amp;Tabla_Buffers_Agroinsumos[[#This Row],[CODIGO ]],TABLACONSOLIDADA[Bodega]&amp;TABLACONSOLIDADA[Codigo],0)),"")</f>
        <v/>
      </c>
      <c r="AE12" s="157" t="str">
        <f t="array" ref="AE1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2" s="91">
        <f>IFERROR(SUM(Tabla_Buffers_Agroinsumos[[#This Row],[C-MP]:[C-VL]]),"")</f>
        <v>0</v>
      </c>
      <c r="AH12" s="92" t="str">
        <f>IFERROR(Tabla_Buffers_Agroinsumos[[#This Row],[INV FIS CENTRAL]]-Tabla_Buffers_Agroinsumos[[#This Row],[BUFFER CENTRAL]],"")</f>
        <v/>
      </c>
      <c r="AI1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2" s="134"/>
      <c r="AK12" s="134"/>
      <c r="AL12" s="134"/>
      <c r="AM12" s="134"/>
      <c r="AN12" s="134"/>
      <c r="AO12" s="134"/>
      <c r="AP12" s="134"/>
      <c r="AQ12" s="134"/>
      <c r="AR12" s="134"/>
      <c r="AS12" s="134" t="str">
        <f t="array" ref="AS12">IFERROR(INDEX(TABLACONSOLIDADA[Buff Act],MATCH("AGROINSUMOScentralPROPIA"&amp;Tabla_Buffers_Agroinsumos[[#This Row],[CODIGO ]],TABLACONSOLIDADA[Bodega]&amp;TABLACONSOLIDADA[Codigo],0)),"")</f>
        <v/>
      </c>
      <c r="AT12" s="157" t="str">
        <f t="array" ref="AT12">IFERROR(INDEX(TABLACONSOLIDADA[Inv Fís Act],MATCH("AGROINSUMOScentralPROPIA"&amp;Tabla_Buffers_Agroinsumos[[#This Row],[CODIGO ]],TABLACONSOLIDADA[Bodega]&amp;TABLACONSOLIDADA[Codigo],0)),"")</f>
        <v/>
      </c>
      <c r="AU12" s="157" t="str">
        <f t="array" ref="AU1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2" s="134">
        <f>IFERROR(SUM(Tabla_Buffers_Agroinsumos[[#This Row],[P-MP]:[P-VL]]),"")</f>
        <v>0</v>
      </c>
      <c r="AX12" s="92" t="str">
        <f>IFERROR(Tabla_Buffers_Agroinsumos[[#This Row],[INV FIS PROPIA]]-Tabla_Buffers_Agroinsumos[[#This Row],[BUFFER PROPIA]],"")</f>
        <v/>
      </c>
      <c r="AY1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2" s="134"/>
      <c r="BA12" s="134"/>
      <c r="BB12" s="134"/>
      <c r="BC12" s="134"/>
      <c r="BD12" s="134"/>
      <c r="BE12" s="134"/>
      <c r="BF12" s="134"/>
      <c r="BG12" s="134"/>
      <c r="BH12" s="134"/>
      <c r="BI12" s="91" t="str">
        <f t="array" ref="BI12">IFERROR(INDEX(TABLACONSOLIDADA[Buff Act],MATCH("AGROINSUMOSSTODOMINGO"&amp;Tabla_Buffers_Agroinsumos[[#This Row],[CODIGO ]],TABLACONSOLIDADA[Bodega]&amp;TABLACONSOLIDADA[Codigo],0)),"")</f>
        <v/>
      </c>
      <c r="BJ12" s="157" t="str">
        <f t="array" ref="BJ12">IFERROR(INDEX(TABLACONSOLIDADA[Inv Fís Act],MATCH("AGROINSUMOSSTODOMINGO"&amp;Tabla_Buffers_Agroinsumos[[#This Row],[CODIGO ]],TABLACONSOLIDADA[Bodega]&amp;TABLACONSOLIDADA[Codigo],0)),"")</f>
        <v/>
      </c>
      <c r="BK12" s="157" t="str">
        <f t="array" ref="BK1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2" s="91">
        <f>IFERROR(SUM(Tabla_Buffers_Agroinsumos[[#This Row],[SD-MP]:[SD-VL]]),"")</f>
        <v>0</v>
      </c>
      <c r="BN12" s="92"/>
      <c r="BO12" s="92"/>
      <c r="BP12" s="134"/>
      <c r="BQ12" s="134"/>
      <c r="BR12" s="134"/>
      <c r="BS12" s="134"/>
      <c r="BT12" s="134"/>
      <c r="BU12" s="134"/>
      <c r="BV12" s="134"/>
      <c r="BW12" s="134"/>
      <c r="BX12" s="134"/>
      <c r="BY12" s="134" t="str">
        <f t="array" ref="BY12">IFERROR(INDEX(TABLACONSOLIDADA[Buff Act],MATCH("AGROINSUMOSMONCAYOLOPEZ"&amp;Tabla_Buffers_Agroinsumos[[#This Row],[CODIGO ]],TABLACONSOLIDADA[Bodega]&amp;TABLACONSOLIDADA[Codigo],0)),"")</f>
        <v/>
      </c>
      <c r="BZ12" s="157" t="str">
        <f t="array" ref="BZ12">IFERROR(INDEX(TABLACONSOLIDADA[Inv Fís Act],MATCH("AGROINSUMOSMONCAYOLOPEZ"&amp;Tabla_Buffers_Agroinsumos[[#This Row],[CODIGO ]],TABLACONSOLIDADA[Bodega]&amp;TABLACONSOLIDADA[Codigo],0)),"")</f>
        <v/>
      </c>
      <c r="CA12" s="157" t="str">
        <f t="array" ref="CA1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2" s="134">
        <f>IFERROR(SUM(Tabla_Buffers_Agroinsumos[[#This Row],[ML-MP]:[ML-VL]]),"")</f>
        <v>0</v>
      </c>
      <c r="CD12" s="92" t="str">
        <f>IFERROR(Tabla_Buffers_Agroinsumos[[#This Row],[INV FIS ML]]-Tabla_Buffers_Agroinsumos[[#This Row],[BUFFER ML]],"")</f>
        <v/>
      </c>
      <c r="CE1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2" s="134"/>
      <c r="CG12" s="134"/>
      <c r="CH12" s="134"/>
      <c r="CI12" s="134"/>
      <c r="CJ12" s="134"/>
      <c r="CK12" s="134"/>
      <c r="CL12" s="134"/>
      <c r="CM12" s="134"/>
      <c r="CN12" s="134"/>
      <c r="CO12" s="134" t="str">
        <f t="array" ref="CO12">IFERROR(INDEX(TABLACONSOLIDADA[Buff Act],MATCH("AGROINSUMOSAGROHERMANOSLEON"&amp;Tabla_Buffers_Agroinsumos[[#This Row],[CODIGO ]],TABLACONSOLIDADA[Bodega]&amp;TABLACONSOLIDADA[Codigo],0)),"")</f>
        <v/>
      </c>
      <c r="CP12" s="157" t="str">
        <f t="array" ref="CP12">IFERROR(INDEX(TABLACONSOLIDADA[Inv Fís Act],MATCH("AGROINSUMOSAGROHERMANOSLEON"&amp;Tabla_Buffers_Agroinsumos[[#This Row],[CODIGO ]],TABLACONSOLIDADA[Bodega]&amp;TABLACONSOLIDADA[Codigo],0)),"")</f>
        <v/>
      </c>
      <c r="CQ12" s="157" t="str">
        <f t="array" ref="CQ1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2" s="134">
        <f>IFERROR(SUM(Tabla_Buffers_Agroinsumos[[#This Row],[AL-MP]:[AL-VL]]),"")</f>
        <v>0</v>
      </c>
      <c r="CT12" s="92" t="str">
        <f>IFERROR(Tabla_Buffers_Agroinsumos[[#This Row],[INV FIS AL]]-Tabla_Buffers_Agroinsumos[[#This Row],[BUFFER AL]],"")</f>
        <v/>
      </c>
      <c r="CU1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2" s="134"/>
      <c r="CW12" s="134"/>
      <c r="CX12" s="134"/>
      <c r="CY12" s="134"/>
      <c r="CZ12" s="134"/>
      <c r="DA12" s="134"/>
      <c r="DB12" s="134"/>
      <c r="DC12" s="134"/>
      <c r="DD12" s="134"/>
      <c r="DE12" s="134" t="str">
        <f t="array" ref="DE12">IFERROR(INDEX(TABLACONSOLIDADA[Buff Act],MATCH("AGROINSUMOSAGRONUEVO"&amp;Tabla_Buffers_Agroinsumos[[#This Row],[CODIGO ]],TABLACONSOLIDADA[Bodega]&amp;TABLACONSOLIDADA[Codigo],0)),"")</f>
        <v/>
      </c>
      <c r="DF12" s="157" t="str">
        <f t="array" ref="DF12">IFERROR(INDEX(TABLACONSOLIDADA[Inv Fís Act],MATCH("AGROINSUMOSAGRONUEVO"&amp;Tabla_Buffers_Agroinsumos[[#This Row],[CODIGO ]],TABLACONSOLIDADA[Bodega]&amp;TABLACONSOLIDADA[Codigo],0)),"")</f>
        <v/>
      </c>
      <c r="DG12" s="157" t="str">
        <f t="array" ref="DG1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2" s="134">
        <f>IFERROR(SUM(Tabla_Buffers_Agroinsumos[[#This Row],[AN-MP]:[AN-VL]]),"")</f>
        <v>0</v>
      </c>
      <c r="DJ12" s="92" t="str">
        <f>IFERROR(Tabla_Buffers_Agroinsumos[[#This Row],[INV FIS AN]]-Tabla_Buffers_Agroinsumos[[#This Row],[BUFFER AN]],"")</f>
        <v/>
      </c>
      <c r="DK1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2" s="134"/>
      <c r="DM12" s="134"/>
      <c r="DN12" s="134"/>
      <c r="DO12" s="134"/>
      <c r="DP12" s="134"/>
      <c r="DQ12" s="134"/>
      <c r="DR12" s="134"/>
      <c r="DS12" s="134"/>
      <c r="DT12" s="134"/>
      <c r="DU12" s="134" t="str">
        <f t="array" ref="DU12">IFERROR(INDEX(TABLACONSOLIDADA[Buff Act],MATCH("AGROINSUMOSAGROQUIMICOSSUR"&amp;Tabla_Buffers_Agroinsumos[[#This Row],[CODIGO ]],TABLACONSOLIDADA[Bodega]&amp;TABLACONSOLIDADA[Codigo],0)),"")</f>
        <v/>
      </c>
      <c r="DV12" s="157" t="str">
        <f t="array" ref="DV12">IFERROR(INDEX(TABLACONSOLIDADA[Inv Fís Act],MATCH("AGROINSUMOSAGROQUIMICOSSUR"&amp;Tabla_Buffers_Agroinsumos[[#This Row],[CODIGO ]],TABLACONSOLIDADA[Bodega]&amp;TABLACONSOLIDADA[Codigo],0)),"")</f>
        <v/>
      </c>
      <c r="DW12" s="157" t="str">
        <f t="array" ref="DW1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2" s="134">
        <f>IFERROR(SUM(Tabla_Buffers_Agroinsumos[[#This Row],[AS-MP]:[AS-VL]]),"")</f>
        <v>0</v>
      </c>
      <c r="DZ12" s="92" t="str">
        <f>IFERROR(Tabla_Buffers_Agroinsumos[[#This Row],[INV FIS AS]]-Tabla_Buffers_Agroinsumos[[#This Row],[BUFFER AS]],"")</f>
        <v/>
      </c>
      <c r="EA1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2" s="134"/>
      <c r="EC12" s="134"/>
      <c r="ED12" s="134"/>
      <c r="EE12" s="134"/>
      <c r="EF12" s="134"/>
      <c r="EG12" s="134"/>
      <c r="EH12" s="134"/>
      <c r="EI12" s="134"/>
      <c r="EJ12" s="134"/>
      <c r="EK12" s="134" t="str">
        <f t="array" ref="EK12">IFERROR(INDEX(TABLACONSOLIDADA[Buff Act],MATCH("AGROINSUMOSLAFINCA"&amp;Tabla_Buffers_Agroinsumos[[#This Row],[CODIGO ]],TABLACONSOLIDADA[Bodega]&amp;TABLACONSOLIDADA[Codigo],0)),"")</f>
        <v/>
      </c>
      <c r="EL12" s="157" t="str">
        <f t="array" ref="EL12">IFERROR(INDEX(TABLACONSOLIDADA[Inv Fís Act],MATCH("AGROINSUMOSLAFINCA"&amp;Tabla_Buffers_Agroinsumos[[#This Row],[CODIGO ]],TABLACONSOLIDADA[Bodega]&amp;TABLACONSOLIDADA[Codigo],0)),"")</f>
        <v/>
      </c>
      <c r="EM12" s="157" t="str">
        <f t="array" ref="EM1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2" s="134">
        <f>IFERROR(SUM(Tabla_Buffers_Agroinsumos[[#This Row],[LF-MP]:[LF-VL]]),"")</f>
        <v>0</v>
      </c>
      <c r="EP12" s="92" t="str">
        <f>IFERROR(Tabla_Buffers_Agroinsumos[[#This Row],[INV FIS LF]]-Tabla_Buffers_Agroinsumos[[#This Row],[BUFFER LF]],"")</f>
        <v/>
      </c>
      <c r="EQ1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2" s="134"/>
      <c r="ES12" s="134"/>
      <c r="ET12" s="134"/>
      <c r="EU12" s="134"/>
      <c r="EV12" s="134"/>
      <c r="EW12" s="134"/>
      <c r="EX12" s="134"/>
      <c r="EY12" s="134"/>
      <c r="EZ12" s="134"/>
      <c r="FA12" s="134" t="str">
        <f t="array" ref="FA12">IFERROR(INDEX(TABLACONSOLIDADA[Buff Act],MATCH("AGROINSUMOSVERONICALEDESMA"&amp;Tabla_Buffers_Agroinsumos[[#This Row],[CODIGO ]],TABLACONSOLIDADA[Bodega]&amp;TABLACONSOLIDADA[Codigo],0)),"")</f>
        <v/>
      </c>
      <c r="FB12" s="157" t="str">
        <f t="array" ref="FB12">IFERROR(INDEX(TABLACONSOLIDADA[Inv Fís Act],MATCH("AGROINSUMOSVERONICALEDESMA"&amp;Tabla_Buffers_Agroinsumos[[#This Row],[CODIGO ]],TABLACONSOLIDADA[Bodega]&amp;TABLACONSOLIDADA[Codigo],0)),"")</f>
        <v/>
      </c>
      <c r="FC12" s="157" t="str">
        <f t="array" ref="FC1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2" s="134">
        <f>IFERROR(SUM(Tabla_Buffers_Agroinsumos[[#This Row],[VL-MP]:[VL-LF]]),"")</f>
        <v>0</v>
      </c>
      <c r="FF12" s="92" t="str">
        <f>IFERROR(Tabla_Buffers_Agroinsumos[[#This Row],[INV FIS VL]]-Tabla_Buffers_Agroinsumos[[#This Row],[BUFFER VL]],"")</f>
        <v/>
      </c>
      <c r="FG1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2" s="134"/>
      <c r="FI12" s="134"/>
      <c r="FJ12" s="134"/>
      <c r="FK12" s="134"/>
      <c r="FL12" s="134"/>
      <c r="FM12" s="134"/>
      <c r="FN12" s="134"/>
      <c r="FO12" s="134"/>
      <c r="FP12" s="134"/>
    </row>
    <row r="13" spans="1:172">
      <c r="A13" s="7" t="s">
        <v>75</v>
      </c>
      <c r="B13" s="7" t="s">
        <v>76</v>
      </c>
      <c r="C13" s="7" t="s">
        <v>709</v>
      </c>
      <c r="D13" s="7" t="s">
        <v>717</v>
      </c>
      <c r="E13" s="7" t="s">
        <v>863</v>
      </c>
      <c r="F13" s="19" t="s">
        <v>806</v>
      </c>
      <c r="G13" s="19" t="s">
        <v>802</v>
      </c>
      <c r="H13" s="19">
        <f>VLOOKUP(Tabla_Buffers_Agroinsumos[[#This Row],[CODIGO ]],TABLACONSOLIDADA[[Codigo]:[PV]],6,0)</f>
        <v>0</v>
      </c>
      <c r="I13" s="19">
        <f>VLOOKUP(Tabla_Buffers_Agroinsumos[[#This Row],[CODIGO ]],TABLACONSOLIDADA[[Codigo]:[PV]],5,0)</f>
        <v>36.119999999999997</v>
      </c>
      <c r="J13" s="19">
        <v>26</v>
      </c>
      <c r="K13" s="19">
        <v>12</v>
      </c>
      <c r="L13" s="19">
        <f>IFERROR(Tabla_Buffers_Agroinsumos[[#This Row],[BUFFER CENTRAL]]/((Tabla_Buffers_Agroinsumos[[#This Row],[TIEMPO REPOSICION ]]/Tabla_Buffers_Agroinsumos[[#This Row],[FRECUENCIA]])+1),0)</f>
        <v>0</v>
      </c>
      <c r="M13" s="19">
        <f t="array" ref="M13">IFERROR(INDEX(TABLACONSOLIDADA[Buff Act],MATCH("AGROINSUMOSMATERIAPRIMA"&amp;Tabla_Buffers_Agroinsumos[[#This Row],[CODIGO ]],TABLACONSOLIDADA[Bodega]&amp;TABLACONSOLIDADA[Codigo],0)),"")</f>
        <v>0</v>
      </c>
      <c r="N13" s="157">
        <f t="array" ref="N13">IFERROR(INDEX(TABLACONSOLIDADA[Inv Fís Act],MATCH("AGROINSUMOSMATERIAPRIMA"&amp;Tabla_Buffers_Agroinsumos[[#This Row],[CODIGO ]],TABLACONSOLIDADA[Bodega]&amp;TABLACONSOLIDADA[Codigo],0)),"")</f>
        <v>0</v>
      </c>
      <c r="O13" s="157">
        <f t="array" ref="O1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1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3" s="19">
        <f>IFERROR(SUM(Tabla_Buffers_Agroinsumos[[#This Row],[MP-C]:[MP-VL]]),"")</f>
        <v>0</v>
      </c>
      <c r="R13" s="92">
        <f>IFERROR(Tabla_Buffers_Agroinsumos[[#This Row],[INV FIS MATERIA PRIMA]]-Tabla_Buffers_Agroinsumos[[#This Row],[BUFFER MATERIA PRIMA]],"")</f>
        <v>0</v>
      </c>
      <c r="S1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13" s="19"/>
      <c r="U13" s="19"/>
      <c r="V13" s="19"/>
      <c r="W13" s="19"/>
      <c r="X13" s="19"/>
      <c r="Y13" s="19"/>
      <c r="Z13" s="19"/>
      <c r="AA13" s="19"/>
      <c r="AB13" s="19"/>
      <c r="AC13" s="152" t="str">
        <f t="array" ref="AC13">IFERROR(INDEX(TABLACONSOLIDADA[Buff Act],MATCH("AGROINSUMOSCENTRAL"&amp;Tabla_Buffers_Agroinsumos[[#This Row],[CODIGO ]],TABLACONSOLIDADA[Bodega]&amp;TABLACONSOLIDADA[Codigo],0)),"")</f>
        <v/>
      </c>
      <c r="AD13" s="157" t="str">
        <f t="array" ref="AD13">IFERROR(INDEX(TABLACONSOLIDADA[Inv Fís Act],MATCH("AGROINSUMOSCENTRAL"&amp;Tabla_Buffers_Agroinsumos[[#This Row],[CODIGO ]],TABLACONSOLIDADA[Bodega]&amp;TABLACONSOLIDADA[Codigo],0)),"")</f>
        <v/>
      </c>
      <c r="AE13" s="157" t="str">
        <f t="array" ref="AE1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3" s="91">
        <f>IFERROR(SUM(Tabla_Buffers_Agroinsumos[[#This Row],[C-MP]:[C-VL]]),"")</f>
        <v>0</v>
      </c>
      <c r="AH13" s="92" t="str">
        <f>IFERROR(Tabla_Buffers_Agroinsumos[[#This Row],[INV FIS CENTRAL]]-Tabla_Buffers_Agroinsumos[[#This Row],[BUFFER CENTRAL]],"")</f>
        <v/>
      </c>
      <c r="AI1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3" s="134"/>
      <c r="AK13" s="134"/>
      <c r="AL13" s="134"/>
      <c r="AM13" s="134"/>
      <c r="AN13" s="134"/>
      <c r="AO13" s="134"/>
      <c r="AP13" s="134"/>
      <c r="AQ13" s="134"/>
      <c r="AR13" s="134"/>
      <c r="AS13" s="134" t="str">
        <f t="array" ref="AS13">IFERROR(INDEX(TABLACONSOLIDADA[Buff Act],MATCH("AGROINSUMOScentralPROPIA"&amp;Tabla_Buffers_Agroinsumos[[#This Row],[CODIGO ]],TABLACONSOLIDADA[Bodega]&amp;TABLACONSOLIDADA[Codigo],0)),"")</f>
        <v/>
      </c>
      <c r="AT13" s="157" t="str">
        <f t="array" ref="AT13">IFERROR(INDEX(TABLACONSOLIDADA[Inv Fís Act],MATCH("AGROINSUMOScentralPROPIA"&amp;Tabla_Buffers_Agroinsumos[[#This Row],[CODIGO ]],TABLACONSOLIDADA[Bodega]&amp;TABLACONSOLIDADA[Codigo],0)),"")</f>
        <v/>
      </c>
      <c r="AU13" s="157" t="str">
        <f t="array" ref="AU1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3" s="134">
        <f>IFERROR(SUM(Tabla_Buffers_Agroinsumos[[#This Row],[P-MP]:[P-VL]]),"")</f>
        <v>0</v>
      </c>
      <c r="AX13" s="92" t="str">
        <f>IFERROR(Tabla_Buffers_Agroinsumos[[#This Row],[INV FIS PROPIA]]-Tabla_Buffers_Agroinsumos[[#This Row],[BUFFER PROPIA]],"")</f>
        <v/>
      </c>
      <c r="AY1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3" s="134"/>
      <c r="BA13" s="134"/>
      <c r="BB13" s="134"/>
      <c r="BC13" s="134"/>
      <c r="BD13" s="134"/>
      <c r="BE13" s="134"/>
      <c r="BF13" s="134"/>
      <c r="BG13" s="134"/>
      <c r="BH13" s="134"/>
      <c r="BI13" s="91" t="str">
        <f t="array" ref="BI13">IFERROR(INDEX(TABLACONSOLIDADA[Buff Act],MATCH("AGROINSUMOSSTODOMINGO"&amp;Tabla_Buffers_Agroinsumos[[#This Row],[CODIGO ]],TABLACONSOLIDADA[Bodega]&amp;TABLACONSOLIDADA[Codigo],0)),"")</f>
        <v/>
      </c>
      <c r="BJ13" s="157" t="str">
        <f t="array" ref="BJ13">IFERROR(INDEX(TABLACONSOLIDADA[Inv Fís Act],MATCH("AGROINSUMOSSTODOMINGO"&amp;Tabla_Buffers_Agroinsumos[[#This Row],[CODIGO ]],TABLACONSOLIDADA[Bodega]&amp;TABLACONSOLIDADA[Codigo],0)),"")</f>
        <v/>
      </c>
      <c r="BK13" s="157" t="str">
        <f t="array" ref="BK1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3" s="91">
        <f>IFERROR(SUM(Tabla_Buffers_Agroinsumos[[#This Row],[SD-MP]:[SD-VL]]),"")</f>
        <v>0</v>
      </c>
      <c r="BN13" s="92"/>
      <c r="BO13" s="92"/>
      <c r="BP13" s="134"/>
      <c r="BQ13" s="134"/>
      <c r="BR13" s="134"/>
      <c r="BS13" s="134"/>
      <c r="BT13" s="134"/>
      <c r="BU13" s="134"/>
      <c r="BV13" s="134"/>
      <c r="BW13" s="134"/>
      <c r="BX13" s="134"/>
      <c r="BY13" s="134" t="str">
        <f t="array" ref="BY13">IFERROR(INDEX(TABLACONSOLIDADA[Buff Act],MATCH("AGROINSUMOSMONCAYOLOPEZ"&amp;Tabla_Buffers_Agroinsumos[[#This Row],[CODIGO ]],TABLACONSOLIDADA[Bodega]&amp;TABLACONSOLIDADA[Codigo],0)),"")</f>
        <v/>
      </c>
      <c r="BZ13" s="157" t="str">
        <f t="array" ref="BZ13">IFERROR(INDEX(TABLACONSOLIDADA[Inv Fís Act],MATCH("AGROINSUMOSMONCAYOLOPEZ"&amp;Tabla_Buffers_Agroinsumos[[#This Row],[CODIGO ]],TABLACONSOLIDADA[Bodega]&amp;TABLACONSOLIDADA[Codigo],0)),"")</f>
        <v/>
      </c>
      <c r="CA13" s="157" t="str">
        <f t="array" ref="CA1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3" s="134">
        <f>IFERROR(SUM(Tabla_Buffers_Agroinsumos[[#This Row],[ML-MP]:[ML-VL]]),"")</f>
        <v>0</v>
      </c>
      <c r="CD13" s="92" t="str">
        <f>IFERROR(Tabla_Buffers_Agroinsumos[[#This Row],[INV FIS ML]]-Tabla_Buffers_Agroinsumos[[#This Row],[BUFFER ML]],"")</f>
        <v/>
      </c>
      <c r="CE1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3" s="134"/>
      <c r="CG13" s="134"/>
      <c r="CH13" s="134"/>
      <c r="CI13" s="134"/>
      <c r="CJ13" s="134"/>
      <c r="CK13" s="134"/>
      <c r="CL13" s="134"/>
      <c r="CM13" s="134"/>
      <c r="CN13" s="134"/>
      <c r="CO13" s="134" t="str">
        <f t="array" ref="CO13">IFERROR(INDEX(TABLACONSOLIDADA[Buff Act],MATCH("AGROINSUMOSAGROHERMANOSLEON"&amp;Tabla_Buffers_Agroinsumos[[#This Row],[CODIGO ]],TABLACONSOLIDADA[Bodega]&amp;TABLACONSOLIDADA[Codigo],0)),"")</f>
        <v/>
      </c>
      <c r="CP13" s="157" t="str">
        <f t="array" ref="CP13">IFERROR(INDEX(TABLACONSOLIDADA[Inv Fís Act],MATCH("AGROINSUMOSAGROHERMANOSLEON"&amp;Tabla_Buffers_Agroinsumos[[#This Row],[CODIGO ]],TABLACONSOLIDADA[Bodega]&amp;TABLACONSOLIDADA[Codigo],0)),"")</f>
        <v/>
      </c>
      <c r="CQ13" s="157" t="str">
        <f t="array" ref="CQ1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3" s="134">
        <f>IFERROR(SUM(Tabla_Buffers_Agroinsumos[[#This Row],[AL-MP]:[AL-VL]]),"")</f>
        <v>0</v>
      </c>
      <c r="CT13" s="92" t="str">
        <f>IFERROR(Tabla_Buffers_Agroinsumos[[#This Row],[INV FIS AL]]-Tabla_Buffers_Agroinsumos[[#This Row],[BUFFER AL]],"")</f>
        <v/>
      </c>
      <c r="CU1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3" s="134"/>
      <c r="CW13" s="134"/>
      <c r="CX13" s="134"/>
      <c r="CY13" s="134"/>
      <c r="CZ13" s="134"/>
      <c r="DA13" s="134"/>
      <c r="DB13" s="134"/>
      <c r="DC13" s="134"/>
      <c r="DD13" s="134"/>
      <c r="DE13" s="134" t="str">
        <f t="array" ref="DE13">IFERROR(INDEX(TABLACONSOLIDADA[Buff Act],MATCH("AGROINSUMOSAGRONUEVO"&amp;Tabla_Buffers_Agroinsumos[[#This Row],[CODIGO ]],TABLACONSOLIDADA[Bodega]&amp;TABLACONSOLIDADA[Codigo],0)),"")</f>
        <v/>
      </c>
      <c r="DF13" s="157" t="str">
        <f t="array" ref="DF13">IFERROR(INDEX(TABLACONSOLIDADA[Inv Fís Act],MATCH("AGROINSUMOSAGRONUEVO"&amp;Tabla_Buffers_Agroinsumos[[#This Row],[CODIGO ]],TABLACONSOLIDADA[Bodega]&amp;TABLACONSOLIDADA[Codigo],0)),"")</f>
        <v/>
      </c>
      <c r="DG13" s="157" t="str">
        <f t="array" ref="DG1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3" s="134">
        <f>IFERROR(SUM(Tabla_Buffers_Agroinsumos[[#This Row],[AN-MP]:[AN-VL]]),"")</f>
        <v>0</v>
      </c>
      <c r="DJ13" s="92" t="str">
        <f>IFERROR(Tabla_Buffers_Agroinsumos[[#This Row],[INV FIS AN]]-Tabla_Buffers_Agroinsumos[[#This Row],[BUFFER AN]],"")</f>
        <v/>
      </c>
      <c r="DK1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3" s="134"/>
      <c r="DM13" s="134"/>
      <c r="DN13" s="134"/>
      <c r="DO13" s="134"/>
      <c r="DP13" s="134"/>
      <c r="DQ13" s="134"/>
      <c r="DR13" s="134"/>
      <c r="DS13" s="134"/>
      <c r="DT13" s="134"/>
      <c r="DU13" s="134" t="str">
        <f t="array" ref="DU13">IFERROR(INDEX(TABLACONSOLIDADA[Buff Act],MATCH("AGROINSUMOSAGROQUIMICOSSUR"&amp;Tabla_Buffers_Agroinsumos[[#This Row],[CODIGO ]],TABLACONSOLIDADA[Bodega]&amp;TABLACONSOLIDADA[Codigo],0)),"")</f>
        <v/>
      </c>
      <c r="DV13" s="157" t="str">
        <f t="array" ref="DV13">IFERROR(INDEX(TABLACONSOLIDADA[Inv Fís Act],MATCH("AGROINSUMOSAGROQUIMICOSSUR"&amp;Tabla_Buffers_Agroinsumos[[#This Row],[CODIGO ]],TABLACONSOLIDADA[Bodega]&amp;TABLACONSOLIDADA[Codigo],0)),"")</f>
        <v/>
      </c>
      <c r="DW13" s="157" t="str">
        <f t="array" ref="DW1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3" s="134">
        <f>IFERROR(SUM(Tabla_Buffers_Agroinsumos[[#This Row],[AS-MP]:[AS-VL]]),"")</f>
        <v>0</v>
      </c>
      <c r="DZ13" s="92" t="str">
        <f>IFERROR(Tabla_Buffers_Agroinsumos[[#This Row],[INV FIS AS]]-Tabla_Buffers_Agroinsumos[[#This Row],[BUFFER AS]],"")</f>
        <v/>
      </c>
      <c r="EA1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3" s="134"/>
      <c r="EC13" s="134"/>
      <c r="ED13" s="134"/>
      <c r="EE13" s="134"/>
      <c r="EF13" s="134"/>
      <c r="EG13" s="134"/>
      <c r="EH13" s="134"/>
      <c r="EI13" s="134"/>
      <c r="EJ13" s="134"/>
      <c r="EK13" s="134" t="str">
        <f t="array" ref="EK13">IFERROR(INDEX(TABLACONSOLIDADA[Buff Act],MATCH("AGROINSUMOSLAFINCA"&amp;Tabla_Buffers_Agroinsumos[[#This Row],[CODIGO ]],TABLACONSOLIDADA[Bodega]&amp;TABLACONSOLIDADA[Codigo],0)),"")</f>
        <v/>
      </c>
      <c r="EL13" s="157" t="str">
        <f t="array" ref="EL13">IFERROR(INDEX(TABLACONSOLIDADA[Inv Fís Act],MATCH("AGROINSUMOSLAFINCA"&amp;Tabla_Buffers_Agroinsumos[[#This Row],[CODIGO ]],TABLACONSOLIDADA[Bodega]&amp;TABLACONSOLIDADA[Codigo],0)),"")</f>
        <v/>
      </c>
      <c r="EM13" s="157" t="str">
        <f t="array" ref="EM1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3" s="134">
        <f>IFERROR(SUM(Tabla_Buffers_Agroinsumos[[#This Row],[LF-MP]:[LF-VL]]),"")</f>
        <v>0</v>
      </c>
      <c r="EP13" s="92" t="str">
        <f>IFERROR(Tabla_Buffers_Agroinsumos[[#This Row],[INV FIS LF]]-Tabla_Buffers_Agroinsumos[[#This Row],[BUFFER LF]],"")</f>
        <v/>
      </c>
      <c r="EQ1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3" s="134"/>
      <c r="ES13" s="134"/>
      <c r="ET13" s="134"/>
      <c r="EU13" s="134"/>
      <c r="EV13" s="134"/>
      <c r="EW13" s="134"/>
      <c r="EX13" s="134"/>
      <c r="EY13" s="134"/>
      <c r="EZ13" s="134"/>
      <c r="FA13" s="134" t="str">
        <f t="array" ref="FA13">IFERROR(INDEX(TABLACONSOLIDADA[Buff Act],MATCH("AGROINSUMOSVERONICALEDESMA"&amp;Tabla_Buffers_Agroinsumos[[#This Row],[CODIGO ]],TABLACONSOLIDADA[Bodega]&amp;TABLACONSOLIDADA[Codigo],0)),"")</f>
        <v/>
      </c>
      <c r="FB13" s="157" t="str">
        <f t="array" ref="FB13">IFERROR(INDEX(TABLACONSOLIDADA[Inv Fís Act],MATCH("AGROINSUMOSVERONICALEDESMA"&amp;Tabla_Buffers_Agroinsumos[[#This Row],[CODIGO ]],TABLACONSOLIDADA[Bodega]&amp;TABLACONSOLIDADA[Codigo],0)),"")</f>
        <v/>
      </c>
      <c r="FC13" s="157" t="str">
        <f t="array" ref="FC1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3" s="134">
        <f>IFERROR(SUM(Tabla_Buffers_Agroinsumos[[#This Row],[VL-MP]:[VL-LF]]),"")</f>
        <v>0</v>
      </c>
      <c r="FF13" s="92" t="str">
        <f>IFERROR(Tabla_Buffers_Agroinsumos[[#This Row],[INV FIS VL]]-Tabla_Buffers_Agroinsumos[[#This Row],[BUFFER VL]],"")</f>
        <v/>
      </c>
      <c r="FG1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3" s="134"/>
      <c r="FI13" s="134"/>
      <c r="FJ13" s="134"/>
      <c r="FK13" s="134"/>
      <c r="FL13" s="134"/>
      <c r="FM13" s="134"/>
      <c r="FN13" s="134"/>
      <c r="FO13" s="134"/>
      <c r="FP13" s="134"/>
    </row>
    <row r="14" spans="1:172">
      <c r="A14" s="7" t="s">
        <v>77</v>
      </c>
      <c r="B14" s="7" t="s">
        <v>78</v>
      </c>
      <c r="C14" s="7" t="s">
        <v>709</v>
      </c>
      <c r="D14" s="7" t="s">
        <v>717</v>
      </c>
      <c r="E14" s="7" t="s">
        <v>863</v>
      </c>
      <c r="F14" s="19" t="s">
        <v>806</v>
      </c>
      <c r="G14" s="19" t="s">
        <v>873</v>
      </c>
      <c r="H14" s="19">
        <f>VLOOKUP(Tabla_Buffers_Agroinsumos[[#This Row],[CODIGO ]],TABLACONSOLIDADA[[Codigo]:[PV]],6,0)</f>
        <v>0</v>
      </c>
      <c r="I14" s="19">
        <f>VLOOKUP(Tabla_Buffers_Agroinsumos[[#This Row],[CODIGO ]],TABLACONSOLIDADA[[Codigo]:[PV]],5,0)</f>
        <v>1.03</v>
      </c>
      <c r="J14" s="19">
        <v>26</v>
      </c>
      <c r="K14" s="19">
        <v>12</v>
      </c>
      <c r="L14" s="19">
        <f>IFERROR(Tabla_Buffers_Agroinsumos[[#This Row],[BUFFER CENTRAL]]/((Tabla_Buffers_Agroinsumos[[#This Row],[TIEMPO REPOSICION ]]/Tabla_Buffers_Agroinsumos[[#This Row],[FRECUENCIA]])+1),0)</f>
        <v>0</v>
      </c>
      <c r="M14" s="19">
        <v>5000</v>
      </c>
      <c r="N14" s="157">
        <f t="array" ref="N14">IFERROR(INDEX(TABLACONSOLIDADA[Inv Fís Act],MATCH("AGROINSUMOSMATERIAPRIMA"&amp;Tabla_Buffers_Agroinsumos[[#This Row],[CODIGO ]],TABLACONSOLIDADA[Bodega]&amp;TABLACONSOLIDADA[Codigo],0)),"")</f>
        <v>0</v>
      </c>
      <c r="O14" s="157">
        <f t="array" ref="O1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1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4" s="19">
        <f>IFERROR(SUM(Tabla_Buffers_Agroinsumos[[#This Row],[MP-C]:[MP-VL]]),"")</f>
        <v>0</v>
      </c>
      <c r="R14" s="92">
        <f>IFERROR(Tabla_Buffers_Agroinsumos[[#This Row],[INV FIS MATERIA PRIMA]]-Tabla_Buffers_Agroinsumos[[#This Row],[BUFFER MATERIA PRIMA]],"")</f>
        <v>-5000</v>
      </c>
      <c r="S1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-5000</v>
      </c>
      <c r="T14" s="19"/>
      <c r="U14" s="19"/>
      <c r="V14" s="19"/>
      <c r="W14" s="19"/>
      <c r="X14" s="19"/>
      <c r="Y14" s="19"/>
      <c r="Z14" s="19"/>
      <c r="AA14" s="19"/>
      <c r="AB14" s="19"/>
      <c r="AC14" s="152" t="str">
        <f t="array" ref="AC14">IFERROR(INDEX(TABLACONSOLIDADA[Buff Act],MATCH("AGROINSUMOSCENTRAL"&amp;Tabla_Buffers_Agroinsumos[[#This Row],[CODIGO ]],TABLACONSOLIDADA[Bodega]&amp;TABLACONSOLIDADA[Codigo],0)),"")</f>
        <v/>
      </c>
      <c r="AD14" s="157" t="str">
        <f t="array" ref="AD14">IFERROR(INDEX(TABLACONSOLIDADA[Inv Fís Act],MATCH("AGROINSUMOSCENTRAL"&amp;Tabla_Buffers_Agroinsumos[[#This Row],[CODIGO ]],TABLACONSOLIDADA[Bodega]&amp;TABLACONSOLIDADA[Codigo],0)),"")</f>
        <v/>
      </c>
      <c r="AE14" s="157" t="str">
        <f t="array" ref="AE1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4" s="91">
        <f>IFERROR(SUM(Tabla_Buffers_Agroinsumos[[#This Row],[C-MP]:[C-VL]]),"")</f>
        <v>0</v>
      </c>
      <c r="AH14" s="92" t="str">
        <f>IFERROR(Tabla_Buffers_Agroinsumos[[#This Row],[INV FIS CENTRAL]]-Tabla_Buffers_Agroinsumos[[#This Row],[BUFFER CENTRAL]],"")</f>
        <v/>
      </c>
      <c r="AI1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4" s="134"/>
      <c r="AK14" s="134"/>
      <c r="AL14" s="134"/>
      <c r="AM14" s="134"/>
      <c r="AN14" s="134"/>
      <c r="AO14" s="134"/>
      <c r="AP14" s="134"/>
      <c r="AQ14" s="134"/>
      <c r="AR14" s="134"/>
      <c r="AS14" s="134" t="str">
        <f t="array" ref="AS14">IFERROR(INDEX(TABLACONSOLIDADA[Buff Act],MATCH("AGROINSUMOScentralPROPIA"&amp;Tabla_Buffers_Agroinsumos[[#This Row],[CODIGO ]],TABLACONSOLIDADA[Bodega]&amp;TABLACONSOLIDADA[Codigo],0)),"")</f>
        <v/>
      </c>
      <c r="AT14" s="157" t="str">
        <f t="array" ref="AT14">IFERROR(INDEX(TABLACONSOLIDADA[Inv Fís Act],MATCH("AGROINSUMOScentralPROPIA"&amp;Tabla_Buffers_Agroinsumos[[#This Row],[CODIGO ]],TABLACONSOLIDADA[Bodega]&amp;TABLACONSOLIDADA[Codigo],0)),"")</f>
        <v/>
      </c>
      <c r="AU14" s="157" t="str">
        <f t="array" ref="AU1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4" s="134">
        <f>IFERROR(SUM(Tabla_Buffers_Agroinsumos[[#This Row],[P-MP]:[P-VL]]),"")</f>
        <v>0</v>
      </c>
      <c r="AX14" s="92" t="str">
        <f>IFERROR(Tabla_Buffers_Agroinsumos[[#This Row],[INV FIS PROPIA]]-Tabla_Buffers_Agroinsumos[[#This Row],[BUFFER PROPIA]],"")</f>
        <v/>
      </c>
      <c r="AY1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4" s="134"/>
      <c r="BA14" s="134"/>
      <c r="BB14" s="134"/>
      <c r="BC14" s="134"/>
      <c r="BD14" s="134"/>
      <c r="BE14" s="134"/>
      <c r="BF14" s="134"/>
      <c r="BG14" s="134"/>
      <c r="BH14" s="134"/>
      <c r="BI14" s="91" t="str">
        <f t="array" ref="BI14">IFERROR(INDEX(TABLACONSOLIDADA[Buff Act],MATCH("AGROINSUMOSSTODOMINGO"&amp;Tabla_Buffers_Agroinsumos[[#This Row],[CODIGO ]],TABLACONSOLIDADA[Bodega]&amp;TABLACONSOLIDADA[Codigo],0)),"")</f>
        <v/>
      </c>
      <c r="BJ14" s="157" t="str">
        <f t="array" ref="BJ14">IFERROR(INDEX(TABLACONSOLIDADA[Inv Fís Act],MATCH("AGROINSUMOSSTODOMINGO"&amp;Tabla_Buffers_Agroinsumos[[#This Row],[CODIGO ]],TABLACONSOLIDADA[Bodega]&amp;TABLACONSOLIDADA[Codigo],0)),"")</f>
        <v/>
      </c>
      <c r="BK14" s="157" t="str">
        <f t="array" ref="BK1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4" s="91">
        <f>IFERROR(SUM(Tabla_Buffers_Agroinsumos[[#This Row],[SD-MP]:[SD-VL]]),"")</f>
        <v>0</v>
      </c>
      <c r="BN14" s="92"/>
      <c r="BO14" s="92"/>
      <c r="BP14" s="134"/>
      <c r="BQ14" s="134"/>
      <c r="BR14" s="134"/>
      <c r="BS14" s="134"/>
      <c r="BT14" s="134"/>
      <c r="BU14" s="134"/>
      <c r="BV14" s="134"/>
      <c r="BW14" s="134"/>
      <c r="BX14" s="134"/>
      <c r="BY14" s="134" t="str">
        <f t="array" ref="BY14">IFERROR(INDEX(TABLACONSOLIDADA[Buff Act],MATCH("AGROINSUMOSMONCAYOLOPEZ"&amp;Tabla_Buffers_Agroinsumos[[#This Row],[CODIGO ]],TABLACONSOLIDADA[Bodega]&amp;TABLACONSOLIDADA[Codigo],0)),"")</f>
        <v/>
      </c>
      <c r="BZ14" s="157" t="str">
        <f t="array" ref="BZ14">IFERROR(INDEX(TABLACONSOLIDADA[Inv Fís Act],MATCH("AGROINSUMOSMONCAYOLOPEZ"&amp;Tabla_Buffers_Agroinsumos[[#This Row],[CODIGO ]],TABLACONSOLIDADA[Bodega]&amp;TABLACONSOLIDADA[Codigo],0)),"")</f>
        <v/>
      </c>
      <c r="CA14" s="157" t="str">
        <f t="array" ref="CA1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4" s="134">
        <f>IFERROR(SUM(Tabla_Buffers_Agroinsumos[[#This Row],[ML-MP]:[ML-VL]]),"")</f>
        <v>0</v>
      </c>
      <c r="CD14" s="92" t="str">
        <f>IFERROR(Tabla_Buffers_Agroinsumos[[#This Row],[INV FIS ML]]-Tabla_Buffers_Agroinsumos[[#This Row],[BUFFER ML]],"")</f>
        <v/>
      </c>
      <c r="CE1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4" s="134"/>
      <c r="CG14" s="134"/>
      <c r="CH14" s="134"/>
      <c r="CI14" s="134"/>
      <c r="CJ14" s="134"/>
      <c r="CK14" s="134"/>
      <c r="CL14" s="134"/>
      <c r="CM14" s="134"/>
      <c r="CN14" s="134"/>
      <c r="CO14" s="134" t="str">
        <f t="array" ref="CO14">IFERROR(INDEX(TABLACONSOLIDADA[Buff Act],MATCH("AGROINSUMOSAGROHERMANOSLEON"&amp;Tabla_Buffers_Agroinsumos[[#This Row],[CODIGO ]],TABLACONSOLIDADA[Bodega]&amp;TABLACONSOLIDADA[Codigo],0)),"")</f>
        <v/>
      </c>
      <c r="CP14" s="157" t="str">
        <f t="array" ref="CP14">IFERROR(INDEX(TABLACONSOLIDADA[Inv Fís Act],MATCH("AGROINSUMOSAGROHERMANOSLEON"&amp;Tabla_Buffers_Agroinsumos[[#This Row],[CODIGO ]],TABLACONSOLIDADA[Bodega]&amp;TABLACONSOLIDADA[Codigo],0)),"")</f>
        <v/>
      </c>
      <c r="CQ14" s="157" t="str">
        <f t="array" ref="CQ1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4" s="134">
        <f>IFERROR(SUM(Tabla_Buffers_Agroinsumos[[#This Row],[AL-MP]:[AL-VL]]),"")</f>
        <v>0</v>
      </c>
      <c r="CT14" s="92" t="str">
        <f>IFERROR(Tabla_Buffers_Agroinsumos[[#This Row],[INV FIS AL]]-Tabla_Buffers_Agroinsumos[[#This Row],[BUFFER AL]],"")</f>
        <v/>
      </c>
      <c r="CU1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4" s="134"/>
      <c r="CW14" s="134"/>
      <c r="CX14" s="134"/>
      <c r="CY14" s="134"/>
      <c r="CZ14" s="134"/>
      <c r="DA14" s="134"/>
      <c r="DB14" s="134"/>
      <c r="DC14" s="134"/>
      <c r="DD14" s="134"/>
      <c r="DE14" s="134" t="str">
        <f t="array" ref="DE14">IFERROR(INDEX(TABLACONSOLIDADA[Buff Act],MATCH("AGROINSUMOSAGRONUEVO"&amp;Tabla_Buffers_Agroinsumos[[#This Row],[CODIGO ]],TABLACONSOLIDADA[Bodega]&amp;TABLACONSOLIDADA[Codigo],0)),"")</f>
        <v/>
      </c>
      <c r="DF14" s="157" t="str">
        <f t="array" ref="DF14">IFERROR(INDEX(TABLACONSOLIDADA[Inv Fís Act],MATCH("AGROINSUMOSAGRONUEVO"&amp;Tabla_Buffers_Agroinsumos[[#This Row],[CODIGO ]],TABLACONSOLIDADA[Bodega]&amp;TABLACONSOLIDADA[Codigo],0)),"")</f>
        <v/>
      </c>
      <c r="DG14" s="157" t="str">
        <f t="array" ref="DG1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4" s="134">
        <f>IFERROR(SUM(Tabla_Buffers_Agroinsumos[[#This Row],[AN-MP]:[AN-VL]]),"")</f>
        <v>0</v>
      </c>
      <c r="DJ14" s="92" t="str">
        <f>IFERROR(Tabla_Buffers_Agroinsumos[[#This Row],[INV FIS AN]]-Tabla_Buffers_Agroinsumos[[#This Row],[BUFFER AN]],"")</f>
        <v/>
      </c>
      <c r="DK1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4" s="134"/>
      <c r="DM14" s="134"/>
      <c r="DN14" s="134"/>
      <c r="DO14" s="134"/>
      <c r="DP14" s="134"/>
      <c r="DQ14" s="134"/>
      <c r="DR14" s="134"/>
      <c r="DS14" s="134"/>
      <c r="DT14" s="134"/>
      <c r="DU14" s="134" t="str">
        <f t="array" ref="DU14">IFERROR(INDEX(TABLACONSOLIDADA[Buff Act],MATCH("AGROINSUMOSAGROQUIMICOSSUR"&amp;Tabla_Buffers_Agroinsumos[[#This Row],[CODIGO ]],TABLACONSOLIDADA[Bodega]&amp;TABLACONSOLIDADA[Codigo],0)),"")</f>
        <v/>
      </c>
      <c r="DV14" s="157" t="str">
        <f t="array" ref="DV14">IFERROR(INDEX(TABLACONSOLIDADA[Inv Fís Act],MATCH("AGROINSUMOSAGROQUIMICOSSUR"&amp;Tabla_Buffers_Agroinsumos[[#This Row],[CODIGO ]],TABLACONSOLIDADA[Bodega]&amp;TABLACONSOLIDADA[Codigo],0)),"")</f>
        <v/>
      </c>
      <c r="DW14" s="157" t="str">
        <f t="array" ref="DW1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4" s="134">
        <f>IFERROR(SUM(Tabla_Buffers_Agroinsumos[[#This Row],[AS-MP]:[AS-VL]]),"")</f>
        <v>0</v>
      </c>
      <c r="DZ14" s="92" t="str">
        <f>IFERROR(Tabla_Buffers_Agroinsumos[[#This Row],[INV FIS AS]]-Tabla_Buffers_Agroinsumos[[#This Row],[BUFFER AS]],"")</f>
        <v/>
      </c>
      <c r="EA1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4" s="134"/>
      <c r="EC14" s="134"/>
      <c r="ED14" s="134"/>
      <c r="EE14" s="134"/>
      <c r="EF14" s="134"/>
      <c r="EG14" s="134"/>
      <c r="EH14" s="134"/>
      <c r="EI14" s="134"/>
      <c r="EJ14" s="134"/>
      <c r="EK14" s="134" t="str">
        <f t="array" ref="EK14">IFERROR(INDEX(TABLACONSOLIDADA[Buff Act],MATCH("AGROINSUMOSLAFINCA"&amp;Tabla_Buffers_Agroinsumos[[#This Row],[CODIGO ]],TABLACONSOLIDADA[Bodega]&amp;TABLACONSOLIDADA[Codigo],0)),"")</f>
        <v/>
      </c>
      <c r="EL14" s="157" t="str">
        <f t="array" ref="EL14">IFERROR(INDEX(TABLACONSOLIDADA[Inv Fís Act],MATCH("AGROINSUMOSLAFINCA"&amp;Tabla_Buffers_Agroinsumos[[#This Row],[CODIGO ]],TABLACONSOLIDADA[Bodega]&amp;TABLACONSOLIDADA[Codigo],0)),"")</f>
        <v/>
      </c>
      <c r="EM14" s="157" t="str">
        <f t="array" ref="EM1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4" s="134">
        <f>IFERROR(SUM(Tabla_Buffers_Agroinsumos[[#This Row],[LF-MP]:[LF-VL]]),"")</f>
        <v>0</v>
      </c>
      <c r="EP14" s="92" t="str">
        <f>IFERROR(Tabla_Buffers_Agroinsumos[[#This Row],[INV FIS LF]]-Tabla_Buffers_Agroinsumos[[#This Row],[BUFFER LF]],"")</f>
        <v/>
      </c>
      <c r="EQ1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4" s="134"/>
      <c r="ES14" s="134"/>
      <c r="ET14" s="134"/>
      <c r="EU14" s="134"/>
      <c r="EV14" s="134"/>
      <c r="EW14" s="134"/>
      <c r="EX14" s="134"/>
      <c r="EY14" s="134"/>
      <c r="EZ14" s="134"/>
      <c r="FA14" s="134" t="str">
        <f t="array" ref="FA14">IFERROR(INDEX(TABLACONSOLIDADA[Buff Act],MATCH("AGROINSUMOSVERONICALEDESMA"&amp;Tabla_Buffers_Agroinsumos[[#This Row],[CODIGO ]],TABLACONSOLIDADA[Bodega]&amp;TABLACONSOLIDADA[Codigo],0)),"")</f>
        <v/>
      </c>
      <c r="FB14" s="157" t="str">
        <f t="array" ref="FB14">IFERROR(INDEX(TABLACONSOLIDADA[Inv Fís Act],MATCH("AGROINSUMOSVERONICALEDESMA"&amp;Tabla_Buffers_Agroinsumos[[#This Row],[CODIGO ]],TABLACONSOLIDADA[Bodega]&amp;TABLACONSOLIDADA[Codigo],0)),"")</f>
        <v/>
      </c>
      <c r="FC14" s="157" t="str">
        <f t="array" ref="FC1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4" s="134">
        <f>IFERROR(SUM(Tabla_Buffers_Agroinsumos[[#This Row],[VL-MP]:[VL-LF]]),"")</f>
        <v>0</v>
      </c>
      <c r="FF14" s="92" t="str">
        <f>IFERROR(Tabla_Buffers_Agroinsumos[[#This Row],[INV FIS VL]]-Tabla_Buffers_Agroinsumos[[#This Row],[BUFFER VL]],"")</f>
        <v/>
      </c>
      <c r="FG1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4" s="134"/>
      <c r="FI14" s="134"/>
      <c r="FJ14" s="134"/>
      <c r="FK14" s="134"/>
      <c r="FL14" s="134"/>
      <c r="FM14" s="134"/>
      <c r="FN14" s="134"/>
      <c r="FO14" s="134"/>
      <c r="FP14" s="134"/>
    </row>
    <row r="15" spans="1:172">
      <c r="A15" s="7" t="s">
        <v>79</v>
      </c>
      <c r="B15" s="7" t="s">
        <v>80</v>
      </c>
      <c r="C15" s="7" t="s">
        <v>709</v>
      </c>
      <c r="D15" s="7" t="s">
        <v>717</v>
      </c>
      <c r="E15" s="7" t="s">
        <v>863</v>
      </c>
      <c r="F15" s="19" t="s">
        <v>827</v>
      </c>
      <c r="G15" s="19" t="s">
        <v>873</v>
      </c>
      <c r="H15" s="19">
        <f>VLOOKUP(Tabla_Buffers_Agroinsumos[[#This Row],[CODIGO ]],TABLACONSOLIDADA[[Codigo]:[PV]],6,0)</f>
        <v>0</v>
      </c>
      <c r="I15" s="19">
        <f>VLOOKUP(Tabla_Buffers_Agroinsumos[[#This Row],[CODIGO ]],TABLACONSOLIDADA[[Codigo]:[PV]],5,0)</f>
        <v>2649.23</v>
      </c>
      <c r="J15" s="19">
        <v>24</v>
      </c>
      <c r="K15" s="19">
        <v>14</v>
      </c>
      <c r="L15" s="19">
        <f>IFERROR(Tabla_Buffers_Agroinsumos[[#This Row],[BUFFER CENTRAL]]/((Tabla_Buffers_Agroinsumos[[#This Row],[TIEMPO REPOSICION ]]/Tabla_Buffers_Agroinsumos[[#This Row],[FRECUENCIA]])+1),0)</f>
        <v>0</v>
      </c>
      <c r="M15" s="19">
        <v>8</v>
      </c>
      <c r="N15" s="157">
        <f t="array" ref="N15">IFERROR(INDEX(TABLACONSOLIDADA[Inv Fís Act],MATCH("AGROINSUMOSMATERIAPRIMA"&amp;Tabla_Buffers_Agroinsumos[[#This Row],[CODIGO ]],TABLACONSOLIDADA[Bodega]&amp;TABLACONSOLIDADA[Codigo],0)),"")</f>
        <v>2.75E-2</v>
      </c>
      <c r="O15" s="157">
        <f t="array" ref="O1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3.0274999999999999</v>
      </c>
      <c r="P1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5" s="19">
        <f>IFERROR(SUM(Tabla_Buffers_Agroinsumos[[#This Row],[MP-C]:[MP-VL]]),"")</f>
        <v>0</v>
      </c>
      <c r="R15" s="92">
        <f>IFERROR(Tabla_Buffers_Agroinsumos[[#This Row],[INV FIS MATERIA PRIMA]]-Tabla_Buffers_Agroinsumos[[#This Row],[BUFFER MATERIA PRIMA]],"")</f>
        <v>-7.9725000000000001</v>
      </c>
      <c r="S1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-7.9725000000000001</v>
      </c>
      <c r="T15" s="19"/>
      <c r="U15" s="19"/>
      <c r="V15" s="19"/>
      <c r="W15" s="19"/>
      <c r="X15" s="19"/>
      <c r="Y15" s="19"/>
      <c r="Z15" s="19"/>
      <c r="AA15" s="19"/>
      <c r="AB15" s="19"/>
      <c r="AC15" s="152" t="str">
        <f t="array" ref="AC15">IFERROR(INDEX(TABLACONSOLIDADA[Buff Act],MATCH("AGROINSUMOSCENTRAL"&amp;Tabla_Buffers_Agroinsumos[[#This Row],[CODIGO ]],TABLACONSOLIDADA[Bodega]&amp;TABLACONSOLIDADA[Codigo],0)),"")</f>
        <v/>
      </c>
      <c r="AD15" s="157" t="str">
        <f t="array" ref="AD15">IFERROR(INDEX(TABLACONSOLIDADA[Inv Fís Act],MATCH("AGROINSUMOSCENTRAL"&amp;Tabla_Buffers_Agroinsumos[[#This Row],[CODIGO ]],TABLACONSOLIDADA[Bodega]&amp;TABLACONSOLIDADA[Codigo],0)),"")</f>
        <v/>
      </c>
      <c r="AE15" s="157" t="str">
        <f t="array" ref="AE1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5" s="91">
        <f>IFERROR(SUM(Tabla_Buffers_Agroinsumos[[#This Row],[C-MP]:[C-VL]]),"")</f>
        <v>0</v>
      </c>
      <c r="AH15" s="92" t="str">
        <f>IFERROR(Tabla_Buffers_Agroinsumos[[#This Row],[INV FIS CENTRAL]]-Tabla_Buffers_Agroinsumos[[#This Row],[BUFFER CENTRAL]],"")</f>
        <v/>
      </c>
      <c r="AI1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5" s="134"/>
      <c r="AK15" s="134"/>
      <c r="AL15" s="134"/>
      <c r="AM15" s="134"/>
      <c r="AN15" s="134"/>
      <c r="AO15" s="134"/>
      <c r="AP15" s="134"/>
      <c r="AQ15" s="134"/>
      <c r="AR15" s="134"/>
      <c r="AS15" s="134" t="str">
        <f t="array" ref="AS15">IFERROR(INDEX(TABLACONSOLIDADA[Buff Act],MATCH("AGROINSUMOScentralPROPIA"&amp;Tabla_Buffers_Agroinsumos[[#This Row],[CODIGO ]],TABLACONSOLIDADA[Bodega]&amp;TABLACONSOLIDADA[Codigo],0)),"")</f>
        <v/>
      </c>
      <c r="AT15" s="157" t="str">
        <f t="array" ref="AT15">IFERROR(INDEX(TABLACONSOLIDADA[Inv Fís Act],MATCH("AGROINSUMOScentralPROPIA"&amp;Tabla_Buffers_Agroinsumos[[#This Row],[CODIGO ]],TABLACONSOLIDADA[Bodega]&amp;TABLACONSOLIDADA[Codigo],0)),"")</f>
        <v/>
      </c>
      <c r="AU15" s="157" t="str">
        <f t="array" ref="AU1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5" s="134">
        <f>IFERROR(SUM(Tabla_Buffers_Agroinsumos[[#This Row],[P-MP]:[P-VL]]),"")</f>
        <v>0</v>
      </c>
      <c r="AX15" s="92" t="str">
        <f>IFERROR(Tabla_Buffers_Agroinsumos[[#This Row],[INV FIS PROPIA]]-Tabla_Buffers_Agroinsumos[[#This Row],[BUFFER PROPIA]],"")</f>
        <v/>
      </c>
      <c r="AY1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5" s="134"/>
      <c r="BA15" s="134"/>
      <c r="BB15" s="134"/>
      <c r="BC15" s="134"/>
      <c r="BD15" s="134"/>
      <c r="BE15" s="134"/>
      <c r="BF15" s="134"/>
      <c r="BG15" s="134"/>
      <c r="BH15" s="134"/>
      <c r="BI15" s="91" t="str">
        <f t="array" ref="BI15">IFERROR(INDEX(TABLACONSOLIDADA[Buff Act],MATCH("AGROINSUMOSSTODOMINGO"&amp;Tabla_Buffers_Agroinsumos[[#This Row],[CODIGO ]],TABLACONSOLIDADA[Bodega]&amp;TABLACONSOLIDADA[Codigo],0)),"")</f>
        <v/>
      </c>
      <c r="BJ15" s="157" t="str">
        <f t="array" ref="BJ15">IFERROR(INDEX(TABLACONSOLIDADA[Inv Fís Act],MATCH("AGROINSUMOSSTODOMINGO"&amp;Tabla_Buffers_Agroinsumos[[#This Row],[CODIGO ]],TABLACONSOLIDADA[Bodega]&amp;TABLACONSOLIDADA[Codigo],0)),"")</f>
        <v/>
      </c>
      <c r="BK15" s="157" t="str">
        <f t="array" ref="BK1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5" s="91">
        <f>IFERROR(SUM(Tabla_Buffers_Agroinsumos[[#This Row],[SD-MP]:[SD-VL]]),"")</f>
        <v>0</v>
      </c>
      <c r="BN15" s="92"/>
      <c r="BO15" s="92"/>
      <c r="BP15" s="134"/>
      <c r="BQ15" s="134"/>
      <c r="BR15" s="134"/>
      <c r="BS15" s="134"/>
      <c r="BT15" s="134"/>
      <c r="BU15" s="134"/>
      <c r="BV15" s="134"/>
      <c r="BW15" s="134"/>
      <c r="BX15" s="134"/>
      <c r="BY15" s="134" t="str">
        <f t="array" ref="BY15">IFERROR(INDEX(TABLACONSOLIDADA[Buff Act],MATCH("AGROINSUMOSMONCAYOLOPEZ"&amp;Tabla_Buffers_Agroinsumos[[#This Row],[CODIGO ]],TABLACONSOLIDADA[Bodega]&amp;TABLACONSOLIDADA[Codigo],0)),"")</f>
        <v/>
      </c>
      <c r="BZ15" s="157" t="str">
        <f t="array" ref="BZ15">IFERROR(INDEX(TABLACONSOLIDADA[Inv Fís Act],MATCH("AGROINSUMOSMONCAYOLOPEZ"&amp;Tabla_Buffers_Agroinsumos[[#This Row],[CODIGO ]],TABLACONSOLIDADA[Bodega]&amp;TABLACONSOLIDADA[Codigo],0)),"")</f>
        <v/>
      </c>
      <c r="CA15" s="157" t="str">
        <f t="array" ref="CA1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5" s="134">
        <f>IFERROR(SUM(Tabla_Buffers_Agroinsumos[[#This Row],[ML-MP]:[ML-VL]]),"")</f>
        <v>0</v>
      </c>
      <c r="CD15" s="92" t="str">
        <f>IFERROR(Tabla_Buffers_Agroinsumos[[#This Row],[INV FIS ML]]-Tabla_Buffers_Agroinsumos[[#This Row],[BUFFER ML]],"")</f>
        <v/>
      </c>
      <c r="CE1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5" s="134"/>
      <c r="CG15" s="134"/>
      <c r="CH15" s="134"/>
      <c r="CI15" s="134"/>
      <c r="CJ15" s="134"/>
      <c r="CK15" s="134"/>
      <c r="CL15" s="134"/>
      <c r="CM15" s="134"/>
      <c r="CN15" s="134"/>
      <c r="CO15" s="134" t="str">
        <f t="array" ref="CO15">IFERROR(INDEX(TABLACONSOLIDADA[Buff Act],MATCH("AGROINSUMOSAGROHERMANOSLEON"&amp;Tabla_Buffers_Agroinsumos[[#This Row],[CODIGO ]],TABLACONSOLIDADA[Bodega]&amp;TABLACONSOLIDADA[Codigo],0)),"")</f>
        <v/>
      </c>
      <c r="CP15" s="157" t="str">
        <f t="array" ref="CP15">IFERROR(INDEX(TABLACONSOLIDADA[Inv Fís Act],MATCH("AGROINSUMOSAGROHERMANOSLEON"&amp;Tabla_Buffers_Agroinsumos[[#This Row],[CODIGO ]],TABLACONSOLIDADA[Bodega]&amp;TABLACONSOLIDADA[Codigo],0)),"")</f>
        <v/>
      </c>
      <c r="CQ15" s="157" t="str">
        <f t="array" ref="CQ1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5" s="134">
        <f>IFERROR(SUM(Tabla_Buffers_Agroinsumos[[#This Row],[AL-MP]:[AL-VL]]),"")</f>
        <v>0</v>
      </c>
      <c r="CT15" s="92" t="str">
        <f>IFERROR(Tabla_Buffers_Agroinsumos[[#This Row],[INV FIS AL]]-Tabla_Buffers_Agroinsumos[[#This Row],[BUFFER AL]],"")</f>
        <v/>
      </c>
      <c r="CU1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5" s="134"/>
      <c r="CW15" s="134"/>
      <c r="CX15" s="134"/>
      <c r="CY15" s="134"/>
      <c r="CZ15" s="134"/>
      <c r="DA15" s="134"/>
      <c r="DB15" s="134"/>
      <c r="DC15" s="134"/>
      <c r="DD15" s="134"/>
      <c r="DE15" s="134" t="str">
        <f t="array" ref="DE15">IFERROR(INDEX(TABLACONSOLIDADA[Buff Act],MATCH("AGROINSUMOSAGRONUEVO"&amp;Tabla_Buffers_Agroinsumos[[#This Row],[CODIGO ]],TABLACONSOLIDADA[Bodega]&amp;TABLACONSOLIDADA[Codigo],0)),"")</f>
        <v/>
      </c>
      <c r="DF15" s="157" t="str">
        <f t="array" ref="DF15">IFERROR(INDEX(TABLACONSOLIDADA[Inv Fís Act],MATCH("AGROINSUMOSAGRONUEVO"&amp;Tabla_Buffers_Agroinsumos[[#This Row],[CODIGO ]],TABLACONSOLIDADA[Bodega]&amp;TABLACONSOLIDADA[Codigo],0)),"")</f>
        <v/>
      </c>
      <c r="DG15" s="157" t="str">
        <f t="array" ref="DG1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5" s="134">
        <f>IFERROR(SUM(Tabla_Buffers_Agroinsumos[[#This Row],[AN-MP]:[AN-VL]]),"")</f>
        <v>0</v>
      </c>
      <c r="DJ15" s="92" t="str">
        <f>IFERROR(Tabla_Buffers_Agroinsumos[[#This Row],[INV FIS AN]]-Tabla_Buffers_Agroinsumos[[#This Row],[BUFFER AN]],"")</f>
        <v/>
      </c>
      <c r="DK1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5" s="134"/>
      <c r="DM15" s="134"/>
      <c r="DN15" s="134"/>
      <c r="DO15" s="134"/>
      <c r="DP15" s="134"/>
      <c r="DQ15" s="134"/>
      <c r="DR15" s="134"/>
      <c r="DS15" s="134"/>
      <c r="DT15" s="134"/>
      <c r="DU15" s="134" t="str">
        <f t="array" ref="DU15">IFERROR(INDEX(TABLACONSOLIDADA[Buff Act],MATCH("AGROINSUMOSAGROQUIMICOSSUR"&amp;Tabla_Buffers_Agroinsumos[[#This Row],[CODIGO ]],TABLACONSOLIDADA[Bodega]&amp;TABLACONSOLIDADA[Codigo],0)),"")</f>
        <v/>
      </c>
      <c r="DV15" s="157" t="str">
        <f t="array" ref="DV15">IFERROR(INDEX(TABLACONSOLIDADA[Inv Fís Act],MATCH("AGROINSUMOSAGROQUIMICOSSUR"&amp;Tabla_Buffers_Agroinsumos[[#This Row],[CODIGO ]],TABLACONSOLIDADA[Bodega]&amp;TABLACONSOLIDADA[Codigo],0)),"")</f>
        <v/>
      </c>
      <c r="DW15" s="157" t="str">
        <f t="array" ref="DW1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5" s="134">
        <f>IFERROR(SUM(Tabla_Buffers_Agroinsumos[[#This Row],[AS-MP]:[AS-VL]]),"")</f>
        <v>0</v>
      </c>
      <c r="DZ15" s="92" t="str">
        <f>IFERROR(Tabla_Buffers_Agroinsumos[[#This Row],[INV FIS AS]]-Tabla_Buffers_Agroinsumos[[#This Row],[BUFFER AS]],"")</f>
        <v/>
      </c>
      <c r="EA1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5" s="134"/>
      <c r="EC15" s="134"/>
      <c r="ED15" s="134"/>
      <c r="EE15" s="134"/>
      <c r="EF15" s="134"/>
      <c r="EG15" s="134"/>
      <c r="EH15" s="134"/>
      <c r="EI15" s="134"/>
      <c r="EJ15" s="134"/>
      <c r="EK15" s="134" t="str">
        <f t="array" ref="EK15">IFERROR(INDEX(TABLACONSOLIDADA[Buff Act],MATCH("AGROINSUMOSLAFINCA"&amp;Tabla_Buffers_Agroinsumos[[#This Row],[CODIGO ]],TABLACONSOLIDADA[Bodega]&amp;TABLACONSOLIDADA[Codigo],0)),"")</f>
        <v/>
      </c>
      <c r="EL15" s="157" t="str">
        <f t="array" ref="EL15">IFERROR(INDEX(TABLACONSOLIDADA[Inv Fís Act],MATCH("AGROINSUMOSLAFINCA"&amp;Tabla_Buffers_Agroinsumos[[#This Row],[CODIGO ]],TABLACONSOLIDADA[Bodega]&amp;TABLACONSOLIDADA[Codigo],0)),"")</f>
        <v/>
      </c>
      <c r="EM15" s="157" t="str">
        <f t="array" ref="EM1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5" s="134">
        <f>IFERROR(SUM(Tabla_Buffers_Agroinsumos[[#This Row],[LF-MP]:[LF-VL]]),"")</f>
        <v>0</v>
      </c>
      <c r="EP15" s="92" t="str">
        <f>IFERROR(Tabla_Buffers_Agroinsumos[[#This Row],[INV FIS LF]]-Tabla_Buffers_Agroinsumos[[#This Row],[BUFFER LF]],"")</f>
        <v/>
      </c>
      <c r="EQ1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5" s="134"/>
      <c r="ES15" s="134"/>
      <c r="ET15" s="134"/>
      <c r="EU15" s="134"/>
      <c r="EV15" s="134"/>
      <c r="EW15" s="134"/>
      <c r="EX15" s="134"/>
      <c r="EY15" s="134"/>
      <c r="EZ15" s="134"/>
      <c r="FA15" s="134" t="str">
        <f t="array" ref="FA15">IFERROR(INDEX(TABLACONSOLIDADA[Buff Act],MATCH("AGROINSUMOSVERONICALEDESMA"&amp;Tabla_Buffers_Agroinsumos[[#This Row],[CODIGO ]],TABLACONSOLIDADA[Bodega]&amp;TABLACONSOLIDADA[Codigo],0)),"")</f>
        <v/>
      </c>
      <c r="FB15" s="157" t="str">
        <f t="array" ref="FB15">IFERROR(INDEX(TABLACONSOLIDADA[Inv Fís Act],MATCH("AGROINSUMOSVERONICALEDESMA"&amp;Tabla_Buffers_Agroinsumos[[#This Row],[CODIGO ]],TABLACONSOLIDADA[Bodega]&amp;TABLACONSOLIDADA[Codigo],0)),"")</f>
        <v/>
      </c>
      <c r="FC15" s="157" t="str">
        <f t="array" ref="FC1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5" s="134">
        <f>IFERROR(SUM(Tabla_Buffers_Agroinsumos[[#This Row],[VL-MP]:[VL-LF]]),"")</f>
        <v>0</v>
      </c>
      <c r="FF15" s="92" t="str">
        <f>IFERROR(Tabla_Buffers_Agroinsumos[[#This Row],[INV FIS VL]]-Tabla_Buffers_Agroinsumos[[#This Row],[BUFFER VL]],"")</f>
        <v/>
      </c>
      <c r="FG1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5" s="134"/>
      <c r="FI15" s="134"/>
      <c r="FJ15" s="134"/>
      <c r="FK15" s="134"/>
      <c r="FL15" s="134"/>
      <c r="FM15" s="134"/>
      <c r="FN15" s="134"/>
      <c r="FO15" s="134"/>
      <c r="FP15" s="134"/>
    </row>
    <row r="16" spans="1:172">
      <c r="A16" s="7" t="s">
        <v>81</v>
      </c>
      <c r="B16" s="7" t="s">
        <v>82</v>
      </c>
      <c r="C16" s="7" t="s">
        <v>707</v>
      </c>
      <c r="D16" s="7" t="s">
        <v>761</v>
      </c>
      <c r="E16" s="7" t="s">
        <v>863</v>
      </c>
      <c r="F16" s="19" t="s">
        <v>805</v>
      </c>
      <c r="G16" s="19" t="s">
        <v>802</v>
      </c>
      <c r="H16" s="19">
        <f>VLOOKUP(Tabla_Buffers_Agroinsumos[[#This Row],[CODIGO ]],TABLACONSOLIDADA[[Codigo]:[PV]],6,0)</f>
        <v>0</v>
      </c>
      <c r="I16" s="19">
        <f>VLOOKUP(Tabla_Buffers_Agroinsumos[[#This Row],[CODIGO ]],TABLACONSOLIDADA[[Codigo]:[PV]],5,0)</f>
        <v>37.57</v>
      </c>
      <c r="J16" s="19">
        <v>4</v>
      </c>
      <c r="K16" s="19">
        <v>4</v>
      </c>
      <c r="L16" s="19">
        <f>IFERROR(Tabla_Buffers_Agroinsumos[[#This Row],[BUFFER CENTRAL]]/((Tabla_Buffers_Agroinsumos[[#This Row],[TIEMPO REPOSICION ]]/Tabla_Buffers_Agroinsumos[[#This Row],[FRECUENCIA]])+1),0)</f>
        <v>0</v>
      </c>
      <c r="M16" s="19">
        <f t="array" ref="M16">IFERROR(INDEX(TABLACONSOLIDADA[Buff Act],MATCH("AGROINSUMOSMATERIAPRIMA"&amp;Tabla_Buffers_Agroinsumos[[#This Row],[CODIGO ]],TABLACONSOLIDADA[Bodega]&amp;TABLACONSOLIDADA[Codigo],0)),"")</f>
        <v>0</v>
      </c>
      <c r="N16" s="157">
        <f t="array" ref="N16">IFERROR(INDEX(TABLACONSOLIDADA[Inv Fís Act],MATCH("AGROINSUMOSMATERIAPRIMA"&amp;Tabla_Buffers_Agroinsumos[[#This Row],[CODIGO ]],TABLACONSOLIDADA[Bodega]&amp;TABLACONSOLIDADA[Codigo],0)),"")</f>
        <v>30</v>
      </c>
      <c r="O16" s="157">
        <f t="array" ref="O1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30</v>
      </c>
      <c r="P1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6" s="19">
        <f>IFERROR(SUM(Tabla_Buffers_Agroinsumos[[#This Row],[MP-C]:[MP-VL]]),"")</f>
        <v>0</v>
      </c>
      <c r="R16" s="92">
        <f>IFERROR(Tabla_Buffers_Agroinsumos[[#This Row],[INV FIS MATERIA PRIMA]]-Tabla_Buffers_Agroinsumos[[#This Row],[BUFFER MATERIA PRIMA]],"")</f>
        <v>30</v>
      </c>
      <c r="S1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30</v>
      </c>
      <c r="T16" s="19"/>
      <c r="U16" s="19"/>
      <c r="V16" s="19"/>
      <c r="W16" s="19"/>
      <c r="X16" s="19"/>
      <c r="Y16" s="19"/>
      <c r="Z16" s="19"/>
      <c r="AA16" s="19"/>
      <c r="AB16" s="19"/>
      <c r="AC16" s="152" t="str">
        <f t="array" ref="AC16">IFERROR(INDEX(TABLACONSOLIDADA[Buff Act],MATCH("AGROINSUMOSCENTRAL"&amp;Tabla_Buffers_Agroinsumos[[#This Row],[CODIGO ]],TABLACONSOLIDADA[Bodega]&amp;TABLACONSOLIDADA[Codigo],0)),"")</f>
        <v/>
      </c>
      <c r="AD16" s="157" t="str">
        <f t="array" ref="AD16">IFERROR(INDEX(TABLACONSOLIDADA[Inv Fís Act],MATCH("AGROINSUMOSCENTRAL"&amp;Tabla_Buffers_Agroinsumos[[#This Row],[CODIGO ]],TABLACONSOLIDADA[Bodega]&amp;TABLACONSOLIDADA[Codigo],0)),"")</f>
        <v/>
      </c>
      <c r="AE16" s="157" t="str">
        <f t="array" ref="AE1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6" s="91">
        <f>IFERROR(SUM(Tabla_Buffers_Agroinsumos[[#This Row],[C-MP]:[C-VL]]),"")</f>
        <v>0</v>
      </c>
      <c r="AH16" s="92" t="str">
        <f>IFERROR(Tabla_Buffers_Agroinsumos[[#This Row],[INV FIS CENTRAL]]-Tabla_Buffers_Agroinsumos[[#This Row],[BUFFER CENTRAL]],"")</f>
        <v/>
      </c>
      <c r="AI1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6" s="134"/>
      <c r="AK16" s="134"/>
      <c r="AL16" s="134"/>
      <c r="AM16" s="134"/>
      <c r="AN16" s="134"/>
      <c r="AO16" s="134"/>
      <c r="AP16" s="134"/>
      <c r="AQ16" s="134"/>
      <c r="AR16" s="134"/>
      <c r="AS16" s="134" t="str">
        <f t="array" ref="AS16">IFERROR(INDEX(TABLACONSOLIDADA[Buff Act],MATCH("AGROINSUMOScentralPROPIA"&amp;Tabla_Buffers_Agroinsumos[[#This Row],[CODIGO ]],TABLACONSOLIDADA[Bodega]&amp;TABLACONSOLIDADA[Codigo],0)),"")</f>
        <v/>
      </c>
      <c r="AT16" s="157" t="str">
        <f t="array" ref="AT16">IFERROR(INDEX(TABLACONSOLIDADA[Inv Fís Act],MATCH("AGROINSUMOScentralPROPIA"&amp;Tabla_Buffers_Agroinsumos[[#This Row],[CODIGO ]],TABLACONSOLIDADA[Bodega]&amp;TABLACONSOLIDADA[Codigo],0)),"")</f>
        <v/>
      </c>
      <c r="AU16" s="157" t="str">
        <f t="array" ref="AU1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6" s="134">
        <f>IFERROR(SUM(Tabla_Buffers_Agroinsumos[[#This Row],[P-MP]:[P-VL]]),"")</f>
        <v>0</v>
      </c>
      <c r="AX16" s="92" t="str">
        <f>IFERROR(Tabla_Buffers_Agroinsumos[[#This Row],[INV FIS PROPIA]]-Tabla_Buffers_Agroinsumos[[#This Row],[BUFFER PROPIA]],"")</f>
        <v/>
      </c>
      <c r="AY1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6" s="134"/>
      <c r="BA16" s="134"/>
      <c r="BB16" s="134"/>
      <c r="BC16" s="134"/>
      <c r="BD16" s="134"/>
      <c r="BE16" s="134"/>
      <c r="BF16" s="134"/>
      <c r="BG16" s="134"/>
      <c r="BH16" s="134"/>
      <c r="BI16" s="91" t="str">
        <f t="array" ref="BI16">IFERROR(INDEX(TABLACONSOLIDADA[Buff Act],MATCH("AGROINSUMOSSTODOMINGO"&amp;Tabla_Buffers_Agroinsumos[[#This Row],[CODIGO ]],TABLACONSOLIDADA[Bodega]&amp;TABLACONSOLIDADA[Codigo],0)),"")</f>
        <v/>
      </c>
      <c r="BJ16" s="157" t="str">
        <f t="array" ref="BJ16">IFERROR(INDEX(TABLACONSOLIDADA[Inv Fís Act],MATCH("AGROINSUMOSSTODOMINGO"&amp;Tabla_Buffers_Agroinsumos[[#This Row],[CODIGO ]],TABLACONSOLIDADA[Bodega]&amp;TABLACONSOLIDADA[Codigo],0)),"")</f>
        <v/>
      </c>
      <c r="BK16" s="157" t="str">
        <f t="array" ref="BK1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6" s="91">
        <f>IFERROR(SUM(Tabla_Buffers_Agroinsumos[[#This Row],[SD-MP]:[SD-VL]]),"")</f>
        <v>0</v>
      </c>
      <c r="BN16" s="92"/>
      <c r="BO16" s="92"/>
      <c r="BP16" s="134"/>
      <c r="BQ16" s="134"/>
      <c r="BR16" s="134"/>
      <c r="BS16" s="134"/>
      <c r="BT16" s="134"/>
      <c r="BU16" s="134"/>
      <c r="BV16" s="134"/>
      <c r="BW16" s="134"/>
      <c r="BX16" s="134"/>
      <c r="BY16" s="134" t="str">
        <f t="array" ref="BY16">IFERROR(INDEX(TABLACONSOLIDADA[Buff Act],MATCH("AGROINSUMOSMONCAYOLOPEZ"&amp;Tabla_Buffers_Agroinsumos[[#This Row],[CODIGO ]],TABLACONSOLIDADA[Bodega]&amp;TABLACONSOLIDADA[Codigo],0)),"")</f>
        <v/>
      </c>
      <c r="BZ16" s="157" t="str">
        <f t="array" ref="BZ16">IFERROR(INDEX(TABLACONSOLIDADA[Inv Fís Act],MATCH("AGROINSUMOSMONCAYOLOPEZ"&amp;Tabla_Buffers_Agroinsumos[[#This Row],[CODIGO ]],TABLACONSOLIDADA[Bodega]&amp;TABLACONSOLIDADA[Codigo],0)),"")</f>
        <v/>
      </c>
      <c r="CA16" s="157" t="str">
        <f t="array" ref="CA1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6" s="134">
        <f>IFERROR(SUM(Tabla_Buffers_Agroinsumos[[#This Row],[ML-MP]:[ML-VL]]),"")</f>
        <v>0</v>
      </c>
      <c r="CD16" s="92" t="str">
        <f>IFERROR(Tabla_Buffers_Agroinsumos[[#This Row],[INV FIS ML]]-Tabla_Buffers_Agroinsumos[[#This Row],[BUFFER ML]],"")</f>
        <v/>
      </c>
      <c r="CE1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6" s="134"/>
      <c r="CG16" s="134"/>
      <c r="CH16" s="134"/>
      <c r="CI16" s="134"/>
      <c r="CJ16" s="134"/>
      <c r="CK16" s="134"/>
      <c r="CL16" s="134"/>
      <c r="CM16" s="134"/>
      <c r="CN16" s="134"/>
      <c r="CO16" s="134" t="str">
        <f t="array" ref="CO16">IFERROR(INDEX(TABLACONSOLIDADA[Buff Act],MATCH("AGROINSUMOSAGROHERMANOSLEON"&amp;Tabla_Buffers_Agroinsumos[[#This Row],[CODIGO ]],TABLACONSOLIDADA[Bodega]&amp;TABLACONSOLIDADA[Codigo],0)),"")</f>
        <v/>
      </c>
      <c r="CP16" s="157" t="str">
        <f t="array" ref="CP16">IFERROR(INDEX(TABLACONSOLIDADA[Inv Fís Act],MATCH("AGROINSUMOSAGROHERMANOSLEON"&amp;Tabla_Buffers_Agroinsumos[[#This Row],[CODIGO ]],TABLACONSOLIDADA[Bodega]&amp;TABLACONSOLIDADA[Codigo],0)),"")</f>
        <v/>
      </c>
      <c r="CQ16" s="157" t="str">
        <f t="array" ref="CQ1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6" s="134">
        <f>IFERROR(SUM(Tabla_Buffers_Agroinsumos[[#This Row],[AL-MP]:[AL-VL]]),"")</f>
        <v>0</v>
      </c>
      <c r="CT16" s="92" t="str">
        <f>IFERROR(Tabla_Buffers_Agroinsumos[[#This Row],[INV FIS AL]]-Tabla_Buffers_Agroinsumos[[#This Row],[BUFFER AL]],"")</f>
        <v/>
      </c>
      <c r="CU1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6" s="134"/>
      <c r="CW16" s="134"/>
      <c r="CX16" s="134"/>
      <c r="CY16" s="134"/>
      <c r="CZ16" s="134"/>
      <c r="DA16" s="134"/>
      <c r="DB16" s="134"/>
      <c r="DC16" s="134"/>
      <c r="DD16" s="134"/>
      <c r="DE16" s="134" t="str">
        <f t="array" ref="DE16">IFERROR(INDEX(TABLACONSOLIDADA[Buff Act],MATCH("AGROINSUMOSAGRONUEVO"&amp;Tabla_Buffers_Agroinsumos[[#This Row],[CODIGO ]],TABLACONSOLIDADA[Bodega]&amp;TABLACONSOLIDADA[Codigo],0)),"")</f>
        <v/>
      </c>
      <c r="DF16" s="157" t="str">
        <f t="array" ref="DF16">IFERROR(INDEX(TABLACONSOLIDADA[Inv Fís Act],MATCH("AGROINSUMOSAGRONUEVO"&amp;Tabla_Buffers_Agroinsumos[[#This Row],[CODIGO ]],TABLACONSOLIDADA[Bodega]&amp;TABLACONSOLIDADA[Codigo],0)),"")</f>
        <v/>
      </c>
      <c r="DG16" s="157" t="str">
        <f t="array" ref="DG1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6" s="134">
        <f>IFERROR(SUM(Tabla_Buffers_Agroinsumos[[#This Row],[AN-MP]:[AN-VL]]),"")</f>
        <v>0</v>
      </c>
      <c r="DJ16" s="92" t="str">
        <f>IFERROR(Tabla_Buffers_Agroinsumos[[#This Row],[INV FIS AN]]-Tabla_Buffers_Agroinsumos[[#This Row],[BUFFER AN]],"")</f>
        <v/>
      </c>
      <c r="DK1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6" s="134"/>
      <c r="DM16" s="134"/>
      <c r="DN16" s="134"/>
      <c r="DO16" s="134"/>
      <c r="DP16" s="134"/>
      <c r="DQ16" s="134"/>
      <c r="DR16" s="134"/>
      <c r="DS16" s="134"/>
      <c r="DT16" s="134"/>
      <c r="DU16" s="134" t="str">
        <f t="array" ref="DU16">IFERROR(INDEX(TABLACONSOLIDADA[Buff Act],MATCH("AGROINSUMOSAGROQUIMICOSSUR"&amp;Tabla_Buffers_Agroinsumos[[#This Row],[CODIGO ]],TABLACONSOLIDADA[Bodega]&amp;TABLACONSOLIDADA[Codigo],0)),"")</f>
        <v/>
      </c>
      <c r="DV16" s="157" t="str">
        <f t="array" ref="DV16">IFERROR(INDEX(TABLACONSOLIDADA[Inv Fís Act],MATCH("AGROINSUMOSAGROQUIMICOSSUR"&amp;Tabla_Buffers_Agroinsumos[[#This Row],[CODIGO ]],TABLACONSOLIDADA[Bodega]&amp;TABLACONSOLIDADA[Codigo],0)),"")</f>
        <v/>
      </c>
      <c r="DW16" s="157" t="str">
        <f t="array" ref="DW1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6" s="134">
        <f>IFERROR(SUM(Tabla_Buffers_Agroinsumos[[#This Row],[AS-MP]:[AS-VL]]),"")</f>
        <v>0</v>
      </c>
      <c r="DZ16" s="92" t="str">
        <f>IFERROR(Tabla_Buffers_Agroinsumos[[#This Row],[INV FIS AS]]-Tabla_Buffers_Agroinsumos[[#This Row],[BUFFER AS]],"")</f>
        <v/>
      </c>
      <c r="EA1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6" s="134"/>
      <c r="EC16" s="134"/>
      <c r="ED16" s="134"/>
      <c r="EE16" s="134"/>
      <c r="EF16" s="134"/>
      <c r="EG16" s="134"/>
      <c r="EH16" s="134"/>
      <c r="EI16" s="134"/>
      <c r="EJ16" s="134"/>
      <c r="EK16" s="134" t="str">
        <f t="array" ref="EK16">IFERROR(INDEX(TABLACONSOLIDADA[Buff Act],MATCH("AGROINSUMOSLAFINCA"&amp;Tabla_Buffers_Agroinsumos[[#This Row],[CODIGO ]],TABLACONSOLIDADA[Bodega]&amp;TABLACONSOLIDADA[Codigo],0)),"")</f>
        <v/>
      </c>
      <c r="EL16" s="157" t="str">
        <f t="array" ref="EL16">IFERROR(INDEX(TABLACONSOLIDADA[Inv Fís Act],MATCH("AGROINSUMOSLAFINCA"&amp;Tabla_Buffers_Agroinsumos[[#This Row],[CODIGO ]],TABLACONSOLIDADA[Bodega]&amp;TABLACONSOLIDADA[Codigo],0)),"")</f>
        <v/>
      </c>
      <c r="EM16" s="157" t="str">
        <f t="array" ref="EM1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6" s="134">
        <f>IFERROR(SUM(Tabla_Buffers_Agroinsumos[[#This Row],[LF-MP]:[LF-VL]]),"")</f>
        <v>0</v>
      </c>
      <c r="EP16" s="92" t="str">
        <f>IFERROR(Tabla_Buffers_Agroinsumos[[#This Row],[INV FIS LF]]-Tabla_Buffers_Agroinsumos[[#This Row],[BUFFER LF]],"")</f>
        <v/>
      </c>
      <c r="EQ1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6" s="134"/>
      <c r="ES16" s="134"/>
      <c r="ET16" s="134"/>
      <c r="EU16" s="134"/>
      <c r="EV16" s="134"/>
      <c r="EW16" s="134"/>
      <c r="EX16" s="134"/>
      <c r="EY16" s="134"/>
      <c r="EZ16" s="134"/>
      <c r="FA16" s="134" t="str">
        <f t="array" ref="FA16">IFERROR(INDEX(TABLACONSOLIDADA[Buff Act],MATCH("AGROINSUMOSVERONICALEDESMA"&amp;Tabla_Buffers_Agroinsumos[[#This Row],[CODIGO ]],TABLACONSOLIDADA[Bodega]&amp;TABLACONSOLIDADA[Codigo],0)),"")</f>
        <v/>
      </c>
      <c r="FB16" s="157" t="str">
        <f t="array" ref="FB16">IFERROR(INDEX(TABLACONSOLIDADA[Inv Fís Act],MATCH("AGROINSUMOSVERONICALEDESMA"&amp;Tabla_Buffers_Agroinsumos[[#This Row],[CODIGO ]],TABLACONSOLIDADA[Bodega]&amp;TABLACONSOLIDADA[Codigo],0)),"")</f>
        <v/>
      </c>
      <c r="FC16" s="157" t="str">
        <f t="array" ref="FC1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6" s="134">
        <f>IFERROR(SUM(Tabla_Buffers_Agroinsumos[[#This Row],[VL-MP]:[VL-LF]]),"")</f>
        <v>0</v>
      </c>
      <c r="FF16" s="92" t="str">
        <f>IFERROR(Tabla_Buffers_Agroinsumos[[#This Row],[INV FIS VL]]-Tabla_Buffers_Agroinsumos[[#This Row],[BUFFER VL]],"")</f>
        <v/>
      </c>
      <c r="FG1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6" s="134"/>
      <c r="FI16" s="134"/>
      <c r="FJ16" s="134"/>
      <c r="FK16" s="134"/>
      <c r="FL16" s="134"/>
      <c r="FM16" s="134"/>
      <c r="FN16" s="134"/>
      <c r="FO16" s="134"/>
      <c r="FP16" s="134"/>
    </row>
    <row r="17" spans="1:172">
      <c r="A17" s="7" t="s">
        <v>83</v>
      </c>
      <c r="B17" s="7" t="s">
        <v>84</v>
      </c>
      <c r="C17" s="7" t="s">
        <v>707</v>
      </c>
      <c r="D17" s="7" t="s">
        <v>717</v>
      </c>
      <c r="E17" s="7" t="s">
        <v>863</v>
      </c>
      <c r="F17" s="19" t="s">
        <v>804</v>
      </c>
      <c r="G17" s="19" t="s">
        <v>802</v>
      </c>
      <c r="H17" s="19">
        <f>VLOOKUP(Tabla_Buffers_Agroinsumos[[#This Row],[CODIGO ]],TABLACONSOLIDADA[[Codigo]:[PV]],6,0)</f>
        <v>0</v>
      </c>
      <c r="I17" s="19">
        <f>VLOOKUP(Tabla_Buffers_Agroinsumos[[#This Row],[CODIGO ]],TABLACONSOLIDADA[[Codigo]:[PV]],5,0)</f>
        <v>602.66</v>
      </c>
      <c r="J17" s="19">
        <v>4</v>
      </c>
      <c r="K17" s="19">
        <v>4</v>
      </c>
      <c r="L17" s="19">
        <f>IFERROR(Tabla_Buffers_Agroinsumos[[#This Row],[BUFFER CENTRAL]]/((Tabla_Buffers_Agroinsumos[[#This Row],[TIEMPO REPOSICION ]]/Tabla_Buffers_Agroinsumos[[#This Row],[FRECUENCIA]])+1),0)</f>
        <v>0</v>
      </c>
      <c r="M17" s="19">
        <f t="array" ref="M17">IFERROR(INDEX(TABLACONSOLIDADA[Buff Act],MATCH("AGROINSUMOSMATERIAPRIMA"&amp;Tabla_Buffers_Agroinsumos[[#This Row],[CODIGO ]],TABLACONSOLIDADA[Bodega]&amp;TABLACONSOLIDADA[Codigo],0)),"")</f>
        <v>2</v>
      </c>
      <c r="N17" s="157">
        <f t="array" ref="N17">IFERROR(INDEX(TABLACONSOLIDADA[Inv Fís Act],MATCH("AGROINSUMOSMATERIAPRIMA"&amp;Tabla_Buffers_Agroinsumos[[#This Row],[CODIGO ]],TABLACONSOLIDADA[Bodega]&amp;TABLACONSOLIDADA[Codigo],0)),"")</f>
        <v>2.4468100000000002</v>
      </c>
      <c r="O17" s="157">
        <f t="array" ref="O1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2.4468100000000002</v>
      </c>
      <c r="P1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7" s="19">
        <f>IFERROR(SUM(Tabla_Buffers_Agroinsumos[[#This Row],[MP-C]:[MP-VL]]),"")</f>
        <v>0</v>
      </c>
      <c r="R17" s="92">
        <f>IFERROR(Tabla_Buffers_Agroinsumos[[#This Row],[INV FIS MATERIA PRIMA]]-Tabla_Buffers_Agroinsumos[[#This Row],[BUFFER MATERIA PRIMA]],"")</f>
        <v>0.44681000000000015</v>
      </c>
      <c r="S1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0.44681000000000015</v>
      </c>
      <c r="T17" s="19"/>
      <c r="U17" s="19"/>
      <c r="V17" s="19"/>
      <c r="W17" s="19"/>
      <c r="X17" s="19"/>
      <c r="Y17" s="19"/>
      <c r="Z17" s="19"/>
      <c r="AA17" s="19"/>
      <c r="AB17" s="19"/>
      <c r="AC17" s="152" t="str">
        <f t="array" ref="AC17">IFERROR(INDEX(TABLACONSOLIDADA[Buff Act],MATCH("AGROINSUMOSCENTRAL"&amp;Tabla_Buffers_Agroinsumos[[#This Row],[CODIGO ]],TABLACONSOLIDADA[Bodega]&amp;TABLACONSOLIDADA[Codigo],0)),"")</f>
        <v/>
      </c>
      <c r="AD17" s="157" t="str">
        <f t="array" ref="AD17">IFERROR(INDEX(TABLACONSOLIDADA[Inv Fís Act],MATCH("AGROINSUMOSCENTRAL"&amp;Tabla_Buffers_Agroinsumos[[#This Row],[CODIGO ]],TABLACONSOLIDADA[Bodega]&amp;TABLACONSOLIDADA[Codigo],0)),"")</f>
        <v/>
      </c>
      <c r="AE17" s="157" t="str">
        <f t="array" ref="AE1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7" s="91">
        <f>IFERROR(SUM(Tabla_Buffers_Agroinsumos[[#This Row],[C-MP]:[C-VL]]),"")</f>
        <v>0</v>
      </c>
      <c r="AH17" s="92" t="str">
        <f>IFERROR(Tabla_Buffers_Agroinsumos[[#This Row],[INV FIS CENTRAL]]-Tabla_Buffers_Agroinsumos[[#This Row],[BUFFER CENTRAL]],"")</f>
        <v/>
      </c>
      <c r="AI1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7" s="134"/>
      <c r="AK17" s="134"/>
      <c r="AL17" s="134"/>
      <c r="AM17" s="134"/>
      <c r="AN17" s="134"/>
      <c r="AO17" s="134"/>
      <c r="AP17" s="134"/>
      <c r="AQ17" s="134"/>
      <c r="AR17" s="134"/>
      <c r="AS17" s="134" t="str">
        <f t="array" ref="AS17">IFERROR(INDEX(TABLACONSOLIDADA[Buff Act],MATCH("AGROINSUMOScentralPROPIA"&amp;Tabla_Buffers_Agroinsumos[[#This Row],[CODIGO ]],TABLACONSOLIDADA[Bodega]&amp;TABLACONSOLIDADA[Codigo],0)),"")</f>
        <v/>
      </c>
      <c r="AT17" s="157" t="str">
        <f t="array" ref="AT17">IFERROR(INDEX(TABLACONSOLIDADA[Inv Fís Act],MATCH("AGROINSUMOScentralPROPIA"&amp;Tabla_Buffers_Agroinsumos[[#This Row],[CODIGO ]],TABLACONSOLIDADA[Bodega]&amp;TABLACONSOLIDADA[Codigo],0)),"")</f>
        <v/>
      </c>
      <c r="AU17" s="157" t="str">
        <f t="array" ref="AU1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7" s="134">
        <f>IFERROR(SUM(Tabla_Buffers_Agroinsumos[[#This Row],[P-MP]:[P-VL]]),"")</f>
        <v>0</v>
      </c>
      <c r="AX17" s="92" t="str">
        <f>IFERROR(Tabla_Buffers_Agroinsumos[[#This Row],[INV FIS PROPIA]]-Tabla_Buffers_Agroinsumos[[#This Row],[BUFFER PROPIA]],"")</f>
        <v/>
      </c>
      <c r="AY1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7" s="134"/>
      <c r="BA17" s="134"/>
      <c r="BB17" s="134"/>
      <c r="BC17" s="134"/>
      <c r="BD17" s="134"/>
      <c r="BE17" s="134"/>
      <c r="BF17" s="134"/>
      <c r="BG17" s="134"/>
      <c r="BH17" s="134"/>
      <c r="BI17" s="91" t="str">
        <f t="array" ref="BI17">IFERROR(INDEX(TABLACONSOLIDADA[Buff Act],MATCH("AGROINSUMOSSTODOMINGO"&amp;Tabla_Buffers_Agroinsumos[[#This Row],[CODIGO ]],TABLACONSOLIDADA[Bodega]&amp;TABLACONSOLIDADA[Codigo],0)),"")</f>
        <v/>
      </c>
      <c r="BJ17" s="157" t="str">
        <f t="array" ref="BJ17">IFERROR(INDEX(TABLACONSOLIDADA[Inv Fís Act],MATCH("AGROINSUMOSSTODOMINGO"&amp;Tabla_Buffers_Agroinsumos[[#This Row],[CODIGO ]],TABLACONSOLIDADA[Bodega]&amp;TABLACONSOLIDADA[Codigo],0)),"")</f>
        <v/>
      </c>
      <c r="BK17" s="157" t="str">
        <f t="array" ref="BK1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7" s="91">
        <f>IFERROR(SUM(Tabla_Buffers_Agroinsumos[[#This Row],[SD-MP]:[SD-VL]]),"")</f>
        <v>0</v>
      </c>
      <c r="BN17" s="92"/>
      <c r="BO17" s="92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 t="str">
        <f t="array" ref="BY17">IFERROR(INDEX(TABLACONSOLIDADA[Buff Act],MATCH("AGROINSUMOSMONCAYOLOPEZ"&amp;Tabla_Buffers_Agroinsumos[[#This Row],[CODIGO ]],TABLACONSOLIDADA[Bodega]&amp;TABLACONSOLIDADA[Codigo],0)),"")</f>
        <v/>
      </c>
      <c r="BZ17" s="157" t="str">
        <f t="array" ref="BZ17">IFERROR(INDEX(TABLACONSOLIDADA[Inv Fís Act],MATCH("AGROINSUMOSMONCAYOLOPEZ"&amp;Tabla_Buffers_Agroinsumos[[#This Row],[CODIGO ]],TABLACONSOLIDADA[Bodega]&amp;TABLACONSOLIDADA[Codigo],0)),"")</f>
        <v/>
      </c>
      <c r="CA17" s="157" t="str">
        <f t="array" ref="CA1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7" s="134">
        <f>IFERROR(SUM(Tabla_Buffers_Agroinsumos[[#This Row],[ML-MP]:[ML-VL]]),"")</f>
        <v>0</v>
      </c>
      <c r="CD17" s="92" t="str">
        <f>IFERROR(Tabla_Buffers_Agroinsumos[[#This Row],[INV FIS ML]]-Tabla_Buffers_Agroinsumos[[#This Row],[BUFFER ML]],"")</f>
        <v/>
      </c>
      <c r="CE1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7" s="134"/>
      <c r="CG17" s="134"/>
      <c r="CH17" s="134"/>
      <c r="CI17" s="134"/>
      <c r="CJ17" s="134"/>
      <c r="CK17" s="134"/>
      <c r="CL17" s="134"/>
      <c r="CM17" s="134"/>
      <c r="CN17" s="134"/>
      <c r="CO17" s="134" t="str">
        <f t="array" ref="CO17">IFERROR(INDEX(TABLACONSOLIDADA[Buff Act],MATCH("AGROINSUMOSAGROHERMANOSLEON"&amp;Tabla_Buffers_Agroinsumos[[#This Row],[CODIGO ]],TABLACONSOLIDADA[Bodega]&amp;TABLACONSOLIDADA[Codigo],0)),"")</f>
        <v/>
      </c>
      <c r="CP17" s="157" t="str">
        <f t="array" ref="CP17">IFERROR(INDEX(TABLACONSOLIDADA[Inv Fís Act],MATCH("AGROINSUMOSAGROHERMANOSLEON"&amp;Tabla_Buffers_Agroinsumos[[#This Row],[CODIGO ]],TABLACONSOLIDADA[Bodega]&amp;TABLACONSOLIDADA[Codigo],0)),"")</f>
        <v/>
      </c>
      <c r="CQ17" s="157" t="str">
        <f t="array" ref="CQ1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7" s="134">
        <f>IFERROR(SUM(Tabla_Buffers_Agroinsumos[[#This Row],[AL-MP]:[AL-VL]]),"")</f>
        <v>0</v>
      </c>
      <c r="CT17" s="92" t="str">
        <f>IFERROR(Tabla_Buffers_Agroinsumos[[#This Row],[INV FIS AL]]-Tabla_Buffers_Agroinsumos[[#This Row],[BUFFER AL]],"")</f>
        <v/>
      </c>
      <c r="CU1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7" s="134"/>
      <c r="CW17" s="134"/>
      <c r="CX17" s="134"/>
      <c r="CY17" s="134"/>
      <c r="CZ17" s="134"/>
      <c r="DA17" s="134"/>
      <c r="DB17" s="134"/>
      <c r="DC17" s="134"/>
      <c r="DD17" s="134"/>
      <c r="DE17" s="134" t="str">
        <f t="array" ref="DE17">IFERROR(INDEX(TABLACONSOLIDADA[Buff Act],MATCH("AGROINSUMOSAGRONUEVO"&amp;Tabla_Buffers_Agroinsumos[[#This Row],[CODIGO ]],TABLACONSOLIDADA[Bodega]&amp;TABLACONSOLIDADA[Codigo],0)),"")</f>
        <v/>
      </c>
      <c r="DF17" s="157" t="str">
        <f t="array" ref="DF17">IFERROR(INDEX(TABLACONSOLIDADA[Inv Fís Act],MATCH("AGROINSUMOSAGRONUEVO"&amp;Tabla_Buffers_Agroinsumos[[#This Row],[CODIGO ]],TABLACONSOLIDADA[Bodega]&amp;TABLACONSOLIDADA[Codigo],0)),"")</f>
        <v/>
      </c>
      <c r="DG17" s="157" t="str">
        <f t="array" ref="DG1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7" s="134">
        <f>IFERROR(SUM(Tabla_Buffers_Agroinsumos[[#This Row],[AN-MP]:[AN-VL]]),"")</f>
        <v>0</v>
      </c>
      <c r="DJ17" s="92" t="str">
        <f>IFERROR(Tabla_Buffers_Agroinsumos[[#This Row],[INV FIS AN]]-Tabla_Buffers_Agroinsumos[[#This Row],[BUFFER AN]],"")</f>
        <v/>
      </c>
      <c r="DK1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7" s="134"/>
      <c r="DM17" s="134"/>
      <c r="DN17" s="134"/>
      <c r="DO17" s="134"/>
      <c r="DP17" s="134"/>
      <c r="DQ17" s="134"/>
      <c r="DR17" s="134"/>
      <c r="DS17" s="134"/>
      <c r="DT17" s="134"/>
      <c r="DU17" s="134" t="str">
        <f t="array" ref="DU17">IFERROR(INDEX(TABLACONSOLIDADA[Buff Act],MATCH("AGROINSUMOSAGROQUIMICOSSUR"&amp;Tabla_Buffers_Agroinsumos[[#This Row],[CODIGO ]],TABLACONSOLIDADA[Bodega]&amp;TABLACONSOLIDADA[Codigo],0)),"")</f>
        <v/>
      </c>
      <c r="DV17" s="157" t="str">
        <f t="array" ref="DV17">IFERROR(INDEX(TABLACONSOLIDADA[Inv Fís Act],MATCH("AGROINSUMOSAGROQUIMICOSSUR"&amp;Tabla_Buffers_Agroinsumos[[#This Row],[CODIGO ]],TABLACONSOLIDADA[Bodega]&amp;TABLACONSOLIDADA[Codigo],0)),"")</f>
        <v/>
      </c>
      <c r="DW17" s="157" t="str">
        <f t="array" ref="DW1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7" s="134">
        <f>IFERROR(SUM(Tabla_Buffers_Agroinsumos[[#This Row],[AS-MP]:[AS-VL]]),"")</f>
        <v>0</v>
      </c>
      <c r="DZ17" s="92" t="str">
        <f>IFERROR(Tabla_Buffers_Agroinsumos[[#This Row],[INV FIS AS]]-Tabla_Buffers_Agroinsumos[[#This Row],[BUFFER AS]],"")</f>
        <v/>
      </c>
      <c r="EA1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7" s="134"/>
      <c r="EC17" s="134"/>
      <c r="ED17" s="134"/>
      <c r="EE17" s="134"/>
      <c r="EF17" s="134"/>
      <c r="EG17" s="134"/>
      <c r="EH17" s="134"/>
      <c r="EI17" s="134"/>
      <c r="EJ17" s="134"/>
      <c r="EK17" s="134" t="str">
        <f t="array" ref="EK17">IFERROR(INDEX(TABLACONSOLIDADA[Buff Act],MATCH("AGROINSUMOSLAFINCA"&amp;Tabla_Buffers_Agroinsumos[[#This Row],[CODIGO ]],TABLACONSOLIDADA[Bodega]&amp;TABLACONSOLIDADA[Codigo],0)),"")</f>
        <v/>
      </c>
      <c r="EL17" s="157" t="str">
        <f t="array" ref="EL17">IFERROR(INDEX(TABLACONSOLIDADA[Inv Fís Act],MATCH("AGROINSUMOSLAFINCA"&amp;Tabla_Buffers_Agroinsumos[[#This Row],[CODIGO ]],TABLACONSOLIDADA[Bodega]&amp;TABLACONSOLIDADA[Codigo],0)),"")</f>
        <v/>
      </c>
      <c r="EM17" s="157" t="str">
        <f t="array" ref="EM1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7" s="134">
        <f>IFERROR(SUM(Tabla_Buffers_Agroinsumos[[#This Row],[LF-MP]:[LF-VL]]),"")</f>
        <v>0</v>
      </c>
      <c r="EP17" s="92" t="str">
        <f>IFERROR(Tabla_Buffers_Agroinsumos[[#This Row],[INV FIS LF]]-Tabla_Buffers_Agroinsumos[[#This Row],[BUFFER LF]],"")</f>
        <v/>
      </c>
      <c r="EQ1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7" s="134"/>
      <c r="ES17" s="134"/>
      <c r="ET17" s="134"/>
      <c r="EU17" s="134"/>
      <c r="EV17" s="134"/>
      <c r="EW17" s="134"/>
      <c r="EX17" s="134"/>
      <c r="EY17" s="134"/>
      <c r="EZ17" s="134"/>
      <c r="FA17" s="134" t="str">
        <f t="array" ref="FA17">IFERROR(INDEX(TABLACONSOLIDADA[Buff Act],MATCH("AGROINSUMOSVERONICALEDESMA"&amp;Tabla_Buffers_Agroinsumos[[#This Row],[CODIGO ]],TABLACONSOLIDADA[Bodega]&amp;TABLACONSOLIDADA[Codigo],0)),"")</f>
        <v/>
      </c>
      <c r="FB17" s="157" t="str">
        <f t="array" ref="FB17">IFERROR(INDEX(TABLACONSOLIDADA[Inv Fís Act],MATCH("AGROINSUMOSVERONICALEDESMA"&amp;Tabla_Buffers_Agroinsumos[[#This Row],[CODIGO ]],TABLACONSOLIDADA[Bodega]&amp;TABLACONSOLIDADA[Codigo],0)),"")</f>
        <v/>
      </c>
      <c r="FC17" s="157" t="str">
        <f t="array" ref="FC1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7" s="134">
        <f>IFERROR(SUM(Tabla_Buffers_Agroinsumos[[#This Row],[VL-MP]:[VL-LF]]),"")</f>
        <v>0</v>
      </c>
      <c r="FF17" s="92" t="str">
        <f>IFERROR(Tabla_Buffers_Agroinsumos[[#This Row],[INV FIS VL]]-Tabla_Buffers_Agroinsumos[[#This Row],[BUFFER VL]],"")</f>
        <v/>
      </c>
      <c r="FG1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7" s="134"/>
      <c r="FI17" s="134"/>
      <c r="FJ17" s="134"/>
      <c r="FK17" s="134"/>
      <c r="FL17" s="134"/>
      <c r="FM17" s="134"/>
      <c r="FN17" s="134"/>
      <c r="FO17" s="134"/>
      <c r="FP17" s="134"/>
    </row>
    <row r="18" spans="1:172">
      <c r="A18" s="20" t="s">
        <v>1176</v>
      </c>
      <c r="B18" s="20" t="s">
        <v>1177</v>
      </c>
      <c r="C18" s="20" t="s">
        <v>944</v>
      </c>
      <c r="D18" s="20" t="s">
        <v>715</v>
      </c>
      <c r="E18" s="20" t="s">
        <v>975</v>
      </c>
      <c r="F18" s="111"/>
      <c r="G18" s="111"/>
      <c r="H18" s="111">
        <f>VLOOKUP(Tabla_Buffers_Agroinsumos[[#This Row],[CODIGO ]],TABLACONSOLIDADA[[Codigo]:[PV]],6,0)</f>
        <v>0</v>
      </c>
      <c r="I18" s="111">
        <f>VLOOKUP(Tabla_Buffers_Agroinsumos[[#This Row],[CODIGO ]],TABLACONSOLIDADA[[Codigo]:[PV]],5,0)</f>
        <v>0.35</v>
      </c>
      <c r="J18" s="111"/>
      <c r="K18" s="111"/>
      <c r="L18" s="111">
        <f>IFERROR(Tabla_Buffers_Agroinsumos[[#This Row],[BUFFER CENTRAL]]/((Tabla_Buffers_Agroinsumos[[#This Row],[TIEMPO REPOSICION ]]/Tabla_Buffers_Agroinsumos[[#This Row],[FRECUENCIA]])+1),0)</f>
        <v>0</v>
      </c>
      <c r="M18" s="111" t="str">
        <f t="array" ref="M18">IFERROR(INDEX(TABLACONSOLIDADA[Buff Act],MATCH("AGROINSUMOSMATERIAPRIMA"&amp;Tabla_Buffers_Agroinsumos[[#This Row],[CODIGO ]],TABLACONSOLIDADA[Bodega]&amp;TABLACONSOLIDADA[Codigo],0)),"")</f>
        <v/>
      </c>
      <c r="N18" s="111" t="str">
        <f t="array" ref="N18">IFERROR(INDEX(TABLACONSOLIDADA[Inv Fís Act],MATCH("AGROINSUMOSMATERIAPRIMA"&amp;Tabla_Buffers_Agroinsumos[[#This Row],[CODIGO ]],TABLACONSOLIDADA[Bodega]&amp;TABLACONSOLIDADA[Codigo],0)),"")</f>
        <v/>
      </c>
      <c r="O18" s="175" t="str">
        <f t="array" ref="O1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8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8" s="111">
        <f>IFERROR(SUM(Tabla_Buffers_Agroinsumos[[#This Row],[MP-C]:[MP-VL]]),"")</f>
        <v>0</v>
      </c>
      <c r="R18" s="154" t="str">
        <f>IFERROR(Tabla_Buffers_Agroinsumos[[#This Row],[INV FIS MATERIA PRIMA]]-Tabla_Buffers_Agroinsumos[[#This Row],[BUFFER MATERIA PRIMA]],"")</f>
        <v/>
      </c>
      <c r="S18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8" s="111"/>
      <c r="U18" s="111"/>
      <c r="V18" s="111"/>
      <c r="W18" s="111"/>
      <c r="X18" s="111"/>
      <c r="Y18" s="111"/>
      <c r="Z18" s="111"/>
      <c r="AA18" s="111"/>
      <c r="AB18" s="111"/>
      <c r="AC18" s="152">
        <f t="array" ref="AC18">IFERROR(INDEX(TABLACONSOLIDADA[Buff Act],MATCH("AGROINSUMOSCENTRAL"&amp;Tabla_Buffers_Agroinsumos[[#This Row],[CODIGO ]],TABLACONSOLIDADA[Bodega]&amp;TABLACONSOLIDADA[Codigo],0)),"")</f>
        <v>800</v>
      </c>
      <c r="AD18" s="111">
        <f t="array" ref="AD18">IFERROR(INDEX(TABLACONSOLIDADA[Inv Fís Act],MATCH("AGROINSUMOSCENTRAL"&amp;Tabla_Buffers_Agroinsumos[[#This Row],[CODIGO ]],TABLACONSOLIDADA[Bodega]&amp;TABLACONSOLIDADA[Codigo],0)),"")</f>
        <v>958</v>
      </c>
      <c r="AE18" s="175">
        <f t="array" ref="AE1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958</v>
      </c>
      <c r="AF18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8" s="153">
        <f>IFERROR(SUM(Tabla_Buffers_Agroinsumos[[#This Row],[C-MP]:[C-VL]]),"")</f>
        <v>0</v>
      </c>
      <c r="AH18" s="154">
        <f>IFERROR(Tabla_Buffers_Agroinsumos[[#This Row],[INV FIS CENTRAL]]-Tabla_Buffers_Agroinsumos[[#This Row],[BUFFER CENTRAL]],"")</f>
        <v>158</v>
      </c>
      <c r="AI18" s="154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158</v>
      </c>
      <c r="AJ18" s="135"/>
      <c r="AK18" s="135"/>
      <c r="AL18" s="135"/>
      <c r="AM18" s="135"/>
      <c r="AN18" s="135"/>
      <c r="AO18" s="135"/>
      <c r="AP18" s="135"/>
      <c r="AQ18" s="135"/>
      <c r="AR18" s="135"/>
      <c r="AS18" s="135" t="str">
        <f t="array" ref="AS18">IFERROR(INDEX(TABLACONSOLIDADA[Buff Act],MATCH("AGROINSUMOScentralPROPIA"&amp;Tabla_Buffers_Agroinsumos[[#This Row],[CODIGO ]],TABLACONSOLIDADA[Bodega]&amp;TABLACONSOLIDADA[Codigo],0)),"")</f>
        <v/>
      </c>
      <c r="AT18" s="111" t="str">
        <f t="array" ref="AT18">IFERROR(INDEX(TABLACONSOLIDADA[Inv Fís Act],MATCH("AGROINSUMOScentralPROPIA"&amp;Tabla_Buffers_Agroinsumos[[#This Row],[CODIGO ]],TABLACONSOLIDADA[Bodega]&amp;TABLACONSOLIDADA[Codigo],0)),"")</f>
        <v/>
      </c>
      <c r="AU18" s="175" t="str">
        <f t="array" ref="AU1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8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8" s="135">
        <f>IFERROR(SUM(Tabla_Buffers_Agroinsumos[[#This Row],[P-MP]:[P-VL]]),"")</f>
        <v>0</v>
      </c>
      <c r="AX18" s="154" t="str">
        <f>IFERROR(Tabla_Buffers_Agroinsumos[[#This Row],[INV FIS PROPIA]]-Tabla_Buffers_Agroinsumos[[#This Row],[BUFFER PROPIA]],"")</f>
        <v/>
      </c>
      <c r="AY18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8" s="135"/>
      <c r="BA18" s="135"/>
      <c r="BB18" s="135"/>
      <c r="BC18" s="135"/>
      <c r="BD18" s="135"/>
      <c r="BE18" s="135"/>
      <c r="BF18" s="135"/>
      <c r="BG18" s="135"/>
      <c r="BH18" s="135"/>
      <c r="BI18" s="153" t="str">
        <f t="array" ref="BI18">IFERROR(INDEX(TABLACONSOLIDADA[Buff Act],MATCH("AGROINSUMOSSTODOMINGO"&amp;Tabla_Buffers_Agroinsumos[[#This Row],[CODIGO ]],TABLACONSOLIDADA[Bodega]&amp;TABLACONSOLIDADA[Codigo],0)),"")</f>
        <v/>
      </c>
      <c r="BJ18" s="111" t="str">
        <f t="array" ref="BJ18">IFERROR(INDEX(TABLACONSOLIDADA[Inv Fís Act],MATCH("AGROINSUMOSSTODOMINGO"&amp;Tabla_Buffers_Agroinsumos[[#This Row],[CODIGO ]],TABLACONSOLIDADA[Bodega]&amp;TABLACONSOLIDADA[Codigo],0)),"")</f>
        <v/>
      </c>
      <c r="BK18" s="175" t="str">
        <f t="array" ref="BK1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8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8" s="153">
        <f>IFERROR(SUM(Tabla_Buffers_Agroinsumos[[#This Row],[SD-MP]:[SD-VL]]),"")</f>
        <v>0</v>
      </c>
      <c r="BN18" s="154"/>
      <c r="BO18" s="154"/>
      <c r="BP18" s="135"/>
      <c r="BQ18" s="135"/>
      <c r="BR18" s="135"/>
      <c r="BS18" s="135"/>
      <c r="BT18" s="135"/>
      <c r="BU18" s="135"/>
      <c r="BV18" s="135"/>
      <c r="BW18" s="135"/>
      <c r="BX18" s="135"/>
      <c r="BY18" s="135" t="str">
        <f t="array" ref="BY18">IFERROR(INDEX(TABLACONSOLIDADA[Buff Act],MATCH("AGROINSUMOSMONCAYOLOPEZ"&amp;Tabla_Buffers_Agroinsumos[[#This Row],[CODIGO ]],TABLACONSOLIDADA[Bodega]&amp;TABLACONSOLIDADA[Codigo],0)),"")</f>
        <v/>
      </c>
      <c r="BZ18" s="111" t="str">
        <f t="array" ref="BZ18">IFERROR(INDEX(TABLACONSOLIDADA[Inv Fís Act],MATCH("AGROINSUMOSMONCAYOLOPEZ"&amp;Tabla_Buffers_Agroinsumos[[#This Row],[CODIGO ]],TABLACONSOLIDADA[Bodega]&amp;TABLACONSOLIDADA[Codigo],0)),"")</f>
        <v/>
      </c>
      <c r="CA18" s="175" t="str">
        <f t="array" ref="CA1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8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8" s="135">
        <f>IFERROR(SUM(Tabla_Buffers_Agroinsumos[[#This Row],[ML-MP]:[ML-VL]]),"")</f>
        <v>0</v>
      </c>
      <c r="CD18" s="154" t="str">
        <f>IFERROR(Tabla_Buffers_Agroinsumos[[#This Row],[INV FIS ML]]-Tabla_Buffers_Agroinsumos[[#This Row],[BUFFER ML]],"")</f>
        <v/>
      </c>
      <c r="CE18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8" s="135"/>
      <c r="CG18" s="135"/>
      <c r="CH18" s="135"/>
      <c r="CI18" s="135"/>
      <c r="CJ18" s="135"/>
      <c r="CK18" s="135"/>
      <c r="CL18" s="135"/>
      <c r="CM18" s="135"/>
      <c r="CN18" s="135"/>
      <c r="CO18" s="135" t="str">
        <f t="array" ref="CO18">IFERROR(INDEX(TABLACONSOLIDADA[Buff Act],MATCH("AGROINSUMOSAGROHERMANOSLEON"&amp;Tabla_Buffers_Agroinsumos[[#This Row],[CODIGO ]],TABLACONSOLIDADA[Bodega]&amp;TABLACONSOLIDADA[Codigo],0)),"")</f>
        <v/>
      </c>
      <c r="CP18" s="111" t="str">
        <f t="array" ref="CP18">IFERROR(INDEX(TABLACONSOLIDADA[Inv Fís Act],MATCH("AGROINSUMOSAGROHERMANOSLEON"&amp;Tabla_Buffers_Agroinsumos[[#This Row],[CODIGO ]],TABLACONSOLIDADA[Bodega]&amp;TABLACONSOLIDADA[Codigo],0)),"")</f>
        <v/>
      </c>
      <c r="CQ18" s="175" t="str">
        <f t="array" ref="CQ1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8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8" s="135">
        <f>IFERROR(SUM(Tabla_Buffers_Agroinsumos[[#This Row],[AL-MP]:[AL-VL]]),"")</f>
        <v>0</v>
      </c>
      <c r="CT18" s="154" t="str">
        <f>IFERROR(Tabla_Buffers_Agroinsumos[[#This Row],[INV FIS AL]]-Tabla_Buffers_Agroinsumos[[#This Row],[BUFFER AL]],"")</f>
        <v/>
      </c>
      <c r="CU18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8" s="135"/>
      <c r="CW18" s="135"/>
      <c r="CX18" s="135"/>
      <c r="CY18" s="135"/>
      <c r="CZ18" s="135"/>
      <c r="DA18" s="135"/>
      <c r="DB18" s="135"/>
      <c r="DC18" s="135"/>
      <c r="DD18" s="135"/>
      <c r="DE18" s="135" t="str">
        <f t="array" ref="DE18">IFERROR(INDEX(TABLACONSOLIDADA[Buff Act],MATCH("AGROINSUMOSAGRONUEVO"&amp;Tabla_Buffers_Agroinsumos[[#This Row],[CODIGO ]],TABLACONSOLIDADA[Bodega]&amp;TABLACONSOLIDADA[Codigo],0)),"")</f>
        <v/>
      </c>
      <c r="DF18" s="111" t="str">
        <f t="array" ref="DF18">IFERROR(INDEX(TABLACONSOLIDADA[Inv Fís Act],MATCH("AGROINSUMOSAGRONUEVO"&amp;Tabla_Buffers_Agroinsumos[[#This Row],[CODIGO ]],TABLACONSOLIDADA[Bodega]&amp;TABLACONSOLIDADA[Codigo],0)),"")</f>
        <v/>
      </c>
      <c r="DG18" s="175" t="str">
        <f t="array" ref="DG1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8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8" s="135">
        <f>IFERROR(SUM(Tabla_Buffers_Agroinsumos[[#This Row],[AN-MP]:[AN-VL]]),"")</f>
        <v>0</v>
      </c>
      <c r="DJ18" s="154" t="str">
        <f>IFERROR(Tabla_Buffers_Agroinsumos[[#This Row],[INV FIS AN]]-Tabla_Buffers_Agroinsumos[[#This Row],[BUFFER AN]],"")</f>
        <v/>
      </c>
      <c r="DK18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8" s="135"/>
      <c r="DM18" s="135"/>
      <c r="DN18" s="135"/>
      <c r="DO18" s="135"/>
      <c r="DP18" s="135"/>
      <c r="DQ18" s="135"/>
      <c r="DR18" s="135"/>
      <c r="DS18" s="135"/>
      <c r="DT18" s="135"/>
      <c r="DU18" s="135" t="str">
        <f t="array" ref="DU18">IFERROR(INDEX(TABLACONSOLIDADA[Buff Act],MATCH("AGROINSUMOSAGROQUIMICOSSUR"&amp;Tabla_Buffers_Agroinsumos[[#This Row],[CODIGO ]],TABLACONSOLIDADA[Bodega]&amp;TABLACONSOLIDADA[Codigo],0)),"")</f>
        <v/>
      </c>
      <c r="DV18" s="111" t="str">
        <f t="array" ref="DV18">IFERROR(INDEX(TABLACONSOLIDADA[Inv Fís Act],MATCH("AGROINSUMOSAGROQUIMICOSSUR"&amp;Tabla_Buffers_Agroinsumos[[#This Row],[CODIGO ]],TABLACONSOLIDADA[Bodega]&amp;TABLACONSOLIDADA[Codigo],0)),"")</f>
        <v/>
      </c>
      <c r="DW18" s="175" t="str">
        <f t="array" ref="DW1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8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8" s="135">
        <f>IFERROR(SUM(Tabla_Buffers_Agroinsumos[[#This Row],[AS-MP]:[AS-VL]]),"")</f>
        <v>0</v>
      </c>
      <c r="DZ18" s="154" t="str">
        <f>IFERROR(Tabla_Buffers_Agroinsumos[[#This Row],[INV FIS AS]]-Tabla_Buffers_Agroinsumos[[#This Row],[BUFFER AS]],"")</f>
        <v/>
      </c>
      <c r="EA18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8" s="135"/>
      <c r="EC18" s="135"/>
      <c r="ED18" s="135"/>
      <c r="EE18" s="135"/>
      <c r="EF18" s="135"/>
      <c r="EG18" s="135"/>
      <c r="EH18" s="135"/>
      <c r="EI18" s="135"/>
      <c r="EJ18" s="135"/>
      <c r="EK18" s="135" t="str">
        <f t="array" ref="EK18">IFERROR(INDEX(TABLACONSOLIDADA[Buff Act],MATCH("AGROINSUMOSLAFINCA"&amp;Tabla_Buffers_Agroinsumos[[#This Row],[CODIGO ]],TABLACONSOLIDADA[Bodega]&amp;TABLACONSOLIDADA[Codigo],0)),"")</f>
        <v/>
      </c>
      <c r="EL18" s="111" t="str">
        <f t="array" ref="EL18">IFERROR(INDEX(TABLACONSOLIDADA[Inv Fís Act],MATCH("AGROINSUMOSLAFINCA"&amp;Tabla_Buffers_Agroinsumos[[#This Row],[CODIGO ]],TABLACONSOLIDADA[Bodega]&amp;TABLACONSOLIDADA[Codigo],0)),"")</f>
        <v/>
      </c>
      <c r="EM18" s="175" t="str">
        <f t="array" ref="EM1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8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8" s="135">
        <f>IFERROR(SUM(Tabla_Buffers_Agroinsumos[[#This Row],[LF-MP]:[LF-VL]]),"")</f>
        <v>0</v>
      </c>
      <c r="EP18" s="154" t="str">
        <f>IFERROR(Tabla_Buffers_Agroinsumos[[#This Row],[INV FIS LF]]-Tabla_Buffers_Agroinsumos[[#This Row],[BUFFER LF]],"")</f>
        <v/>
      </c>
      <c r="EQ18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8" s="135"/>
      <c r="ES18" s="135"/>
      <c r="ET18" s="135"/>
      <c r="EU18" s="135"/>
      <c r="EV18" s="135"/>
      <c r="EW18" s="135"/>
      <c r="EX18" s="135"/>
      <c r="EY18" s="135"/>
      <c r="EZ18" s="135"/>
      <c r="FA18" s="135" t="str">
        <f t="array" ref="FA18">IFERROR(INDEX(TABLACONSOLIDADA[Buff Act],MATCH("AGROINSUMOSVERONICALEDESMA"&amp;Tabla_Buffers_Agroinsumos[[#This Row],[CODIGO ]],TABLACONSOLIDADA[Bodega]&amp;TABLACONSOLIDADA[Codigo],0)),"")</f>
        <v/>
      </c>
      <c r="FB18" s="111" t="str">
        <f t="array" ref="FB18">IFERROR(INDEX(TABLACONSOLIDADA[Inv Fís Act],MATCH("AGROINSUMOSVERONICALEDESMA"&amp;Tabla_Buffers_Agroinsumos[[#This Row],[CODIGO ]],TABLACONSOLIDADA[Bodega]&amp;TABLACONSOLIDADA[Codigo],0)),"")</f>
        <v/>
      </c>
      <c r="FC18" s="175" t="str">
        <f t="array" ref="FC1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8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8" s="135">
        <f>IFERROR(SUM(Tabla_Buffers_Agroinsumos[[#This Row],[VL-MP]:[VL-LF]]),"")</f>
        <v>0</v>
      </c>
      <c r="FF18" s="154" t="str">
        <f>IFERROR(Tabla_Buffers_Agroinsumos[[#This Row],[INV FIS VL]]-Tabla_Buffers_Agroinsumos[[#This Row],[BUFFER VL]],"")</f>
        <v/>
      </c>
      <c r="FG18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8" s="135"/>
      <c r="FI18" s="135"/>
      <c r="FJ18" s="135"/>
      <c r="FK18" s="135"/>
      <c r="FL18" s="135"/>
      <c r="FM18" s="135"/>
      <c r="FN18" s="135"/>
      <c r="FO18" s="135"/>
      <c r="FP18" s="135"/>
    </row>
    <row r="19" spans="1:172">
      <c r="A19" s="7" t="s">
        <v>85</v>
      </c>
      <c r="B19" s="7" t="s">
        <v>86</v>
      </c>
      <c r="C19" s="7" t="s">
        <v>707</v>
      </c>
      <c r="D19" s="7" t="s">
        <v>715</v>
      </c>
      <c r="E19" s="7" t="s">
        <v>975</v>
      </c>
      <c r="F19" s="19" t="s">
        <v>698</v>
      </c>
      <c r="G19" s="19" t="s">
        <v>698</v>
      </c>
      <c r="H19" s="19">
        <f>VLOOKUP(Tabla_Buffers_Agroinsumos[[#This Row],[CODIGO ]],TABLACONSOLIDADA[[Codigo]:[PV]],6,0)</f>
        <v>0.84</v>
      </c>
      <c r="I19" s="19">
        <f>VLOOKUP(Tabla_Buffers_Agroinsumos[[#This Row],[CODIGO ]],TABLACONSOLIDADA[[Codigo]:[PV]],5,0)</f>
        <v>0.37</v>
      </c>
      <c r="J19" s="19" t="s">
        <v>698</v>
      </c>
      <c r="K19" s="19" t="s">
        <v>698</v>
      </c>
      <c r="L19" s="19">
        <f>IFERROR(Tabla_Buffers_Agroinsumos[[#This Row],[BUFFER CENTRAL]]/((Tabla_Buffers_Agroinsumos[[#This Row],[TIEMPO REPOSICION ]]/Tabla_Buffers_Agroinsumos[[#This Row],[FRECUENCIA]])+1),0)</f>
        <v>0</v>
      </c>
      <c r="M19" s="19" t="str">
        <f t="array" ref="M19">IFERROR(INDEX(TABLACONSOLIDADA[Buff Act],MATCH("AGROINSUMOSMATERIAPRIMA"&amp;Tabla_Buffers_Agroinsumos[[#This Row],[CODIGO ]],TABLACONSOLIDADA[Bodega]&amp;TABLACONSOLIDADA[Codigo],0)),"")</f>
        <v/>
      </c>
      <c r="N19" s="157" t="str">
        <f t="array" ref="N19">IFERROR(INDEX(TABLACONSOLIDADA[Inv Fís Act],MATCH("AGROINSUMOSMATERIAPRIMA"&amp;Tabla_Buffers_Agroinsumos[[#This Row],[CODIGO ]],TABLACONSOLIDADA[Bodega]&amp;TABLACONSOLIDADA[Codigo],0)),"")</f>
        <v/>
      </c>
      <c r="O19" s="157" t="str">
        <f t="array" ref="O1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9" s="19">
        <f>IFERROR(SUM(Tabla_Buffers_Agroinsumos[[#This Row],[MP-C]:[MP-VL]]),"")</f>
        <v>0</v>
      </c>
      <c r="R19" s="92" t="str">
        <f>IFERROR(Tabla_Buffers_Agroinsumos[[#This Row],[INV FIS MATERIA PRIMA]]-Tabla_Buffers_Agroinsumos[[#This Row],[BUFFER MATERIA PRIMA]],"")</f>
        <v/>
      </c>
      <c r="S1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9" s="19"/>
      <c r="U19" s="19"/>
      <c r="V19" s="19"/>
      <c r="W19" s="19"/>
      <c r="X19" s="19"/>
      <c r="Y19" s="19"/>
      <c r="Z19" s="19"/>
      <c r="AA19" s="19"/>
      <c r="AB19" s="19"/>
      <c r="AC19" s="152">
        <f t="array" ref="AC19">IFERROR(INDEX(TABLACONSOLIDADA[Buff Act],MATCH("AGROINSUMOSCENTRAL"&amp;Tabla_Buffers_Agroinsumos[[#This Row],[CODIGO ]],TABLACONSOLIDADA[Bodega]&amp;TABLACONSOLIDADA[Codigo],0)),"")</f>
        <v>100</v>
      </c>
      <c r="AD19" s="157">
        <f t="array" ref="AD19">IFERROR(INDEX(TABLACONSOLIDADA[Inv Fís Act],MATCH("AGROINSUMOSCENTRAL"&amp;Tabla_Buffers_Agroinsumos[[#This Row],[CODIGO ]],TABLACONSOLIDADA[Bodega]&amp;TABLACONSOLIDADA[Codigo],0)),"")</f>
        <v>141</v>
      </c>
      <c r="AE19" s="157">
        <f t="array" ref="AE1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141</v>
      </c>
      <c r="AF1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9" s="91">
        <f>IFERROR(SUM(Tabla_Buffers_Agroinsumos[[#This Row],[C-MP]:[C-VL]]),"")</f>
        <v>0</v>
      </c>
      <c r="AH19" s="92">
        <f>IFERROR(Tabla_Buffers_Agroinsumos[[#This Row],[INV FIS CENTRAL]]-Tabla_Buffers_Agroinsumos[[#This Row],[BUFFER CENTRAL]],"")</f>
        <v>41</v>
      </c>
      <c r="AI1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41</v>
      </c>
      <c r="AJ19" s="134"/>
      <c r="AK19" s="134"/>
      <c r="AL19" s="134"/>
      <c r="AM19" s="134"/>
      <c r="AN19" s="134"/>
      <c r="AO19" s="134"/>
      <c r="AP19" s="134"/>
      <c r="AQ19" s="134"/>
      <c r="AR19" s="134"/>
      <c r="AS19" s="134">
        <f t="array" ref="AS19">IFERROR(INDEX(TABLACONSOLIDADA[Buff Act],MATCH("AGROINSUMOScentralPROPIA"&amp;Tabla_Buffers_Agroinsumos[[#This Row],[CODIGO ]],TABLACONSOLIDADA[Bodega]&amp;TABLACONSOLIDADA[Codigo],0)),"")</f>
        <v>30</v>
      </c>
      <c r="AT19" s="157">
        <f t="array" ref="AT19">IFERROR(INDEX(TABLACONSOLIDADA[Inv Fís Act],MATCH("AGROINSUMOScentralPROPIA"&amp;Tabla_Buffers_Agroinsumos[[#This Row],[CODIGO ]],TABLACONSOLIDADA[Bodega]&amp;TABLACONSOLIDADA[Codigo],0)),"")</f>
        <v>0</v>
      </c>
      <c r="AU19" s="157">
        <f t="array" ref="AU1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9" s="134">
        <f>IFERROR(SUM(Tabla_Buffers_Agroinsumos[[#This Row],[P-MP]:[P-VL]]),"")</f>
        <v>0</v>
      </c>
      <c r="AX19" s="92">
        <f>IFERROR(Tabla_Buffers_Agroinsumos[[#This Row],[INV FIS PROPIA]]-Tabla_Buffers_Agroinsumos[[#This Row],[BUFFER PROPIA]],"")</f>
        <v>-30</v>
      </c>
      <c r="AY1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</v>
      </c>
      <c r="AZ19" s="134"/>
      <c r="BA19" s="134"/>
      <c r="BB19" s="134"/>
      <c r="BC19" s="134"/>
      <c r="BD19" s="134"/>
      <c r="BE19" s="134"/>
      <c r="BF19" s="134"/>
      <c r="BG19" s="134"/>
      <c r="BH19" s="134"/>
      <c r="BI19" s="91">
        <f t="array" ref="BI19">IFERROR(INDEX(TABLACONSOLIDADA[Buff Act],MATCH("AGROINSUMOSSTODOMINGO"&amp;Tabla_Buffers_Agroinsumos[[#This Row],[CODIGO ]],TABLACONSOLIDADA[Bodega]&amp;TABLACONSOLIDADA[Codigo],0)),"")</f>
        <v>0</v>
      </c>
      <c r="BJ19" s="157">
        <f t="array" ref="BJ19">IFERROR(INDEX(TABLACONSOLIDADA[Inv Fís Act],MATCH("AGROINSUMOSSTODOMINGO"&amp;Tabla_Buffers_Agroinsumos[[#This Row],[CODIGO ]],TABLACONSOLIDADA[Bodega]&amp;TABLACONSOLIDADA[Codigo],0)),"")</f>
        <v>0</v>
      </c>
      <c r="BK19" s="157">
        <f t="array" ref="BK1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1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9" s="91">
        <f>IFERROR(SUM(Tabla_Buffers_Agroinsumos[[#This Row],[SD-MP]:[SD-VL]]),"")</f>
        <v>0</v>
      </c>
      <c r="BN19" s="92"/>
      <c r="BO19" s="92"/>
      <c r="BP19" s="134"/>
      <c r="BQ19" s="134"/>
      <c r="BR19" s="134"/>
      <c r="BS19" s="134"/>
      <c r="BT19" s="134"/>
      <c r="BU19" s="134"/>
      <c r="BV19" s="134"/>
      <c r="BW19" s="134"/>
      <c r="BX19" s="134"/>
      <c r="BY19" s="134">
        <f t="array" ref="BY19">IFERROR(INDEX(TABLACONSOLIDADA[Buff Act],MATCH("AGROINSUMOSMONCAYOLOPEZ"&amp;Tabla_Buffers_Agroinsumos[[#This Row],[CODIGO ]],TABLACONSOLIDADA[Bodega]&amp;TABLACONSOLIDADA[Codigo],0)),"")</f>
        <v>0</v>
      </c>
      <c r="BZ19" s="157">
        <f t="array" ref="BZ19">IFERROR(INDEX(TABLACONSOLIDADA[Inv Fís Act],MATCH("AGROINSUMOSMONCAYOLOPEZ"&amp;Tabla_Buffers_Agroinsumos[[#This Row],[CODIGO ]],TABLACONSOLIDADA[Bodega]&amp;TABLACONSOLIDADA[Codigo],0)),"")</f>
        <v>0</v>
      </c>
      <c r="CA19" s="157">
        <f t="array" ref="CA1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9" s="134">
        <f>IFERROR(SUM(Tabla_Buffers_Agroinsumos[[#This Row],[ML-MP]:[ML-VL]]),"")</f>
        <v>0</v>
      </c>
      <c r="CD19" s="92">
        <f>IFERROR(Tabla_Buffers_Agroinsumos[[#This Row],[INV FIS ML]]-Tabla_Buffers_Agroinsumos[[#This Row],[BUFFER ML]],"")</f>
        <v>0</v>
      </c>
      <c r="CE1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9" s="134"/>
      <c r="CG19" s="134"/>
      <c r="CH19" s="134"/>
      <c r="CI19" s="134"/>
      <c r="CJ19" s="134"/>
      <c r="CK19" s="134"/>
      <c r="CL19" s="134"/>
      <c r="CM19" s="134"/>
      <c r="CN19" s="134"/>
      <c r="CO19" s="134">
        <f t="array" ref="CO19">IFERROR(INDEX(TABLACONSOLIDADA[Buff Act],MATCH("AGROINSUMOSAGROHERMANOSLEON"&amp;Tabla_Buffers_Agroinsumos[[#This Row],[CODIGO ]],TABLACONSOLIDADA[Bodega]&amp;TABLACONSOLIDADA[Codigo],0)),"")</f>
        <v>0</v>
      </c>
      <c r="CP19" s="157">
        <f t="array" ref="CP19">IFERROR(INDEX(TABLACONSOLIDADA[Inv Fís Act],MATCH("AGROINSUMOSAGROHERMANOSLEON"&amp;Tabla_Buffers_Agroinsumos[[#This Row],[CODIGO ]],TABLACONSOLIDADA[Bodega]&amp;TABLACONSOLIDADA[Codigo],0)),"")</f>
        <v>0</v>
      </c>
      <c r="CQ19" s="157">
        <f t="array" ref="CQ1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9" s="134">
        <f>IFERROR(SUM(Tabla_Buffers_Agroinsumos[[#This Row],[AL-MP]:[AL-VL]]),"")</f>
        <v>0</v>
      </c>
      <c r="CT19" s="92">
        <f>IFERROR(Tabla_Buffers_Agroinsumos[[#This Row],[INV FIS AL]]-Tabla_Buffers_Agroinsumos[[#This Row],[BUFFER AL]],"")</f>
        <v>0</v>
      </c>
      <c r="CU19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9" s="134"/>
      <c r="CW19" s="134"/>
      <c r="CX19" s="134"/>
      <c r="CY19" s="134"/>
      <c r="CZ19" s="134"/>
      <c r="DA19" s="134"/>
      <c r="DB19" s="134"/>
      <c r="DC19" s="134"/>
      <c r="DD19" s="134"/>
      <c r="DE19" s="134">
        <f t="array" ref="DE19">IFERROR(INDEX(TABLACONSOLIDADA[Buff Act],MATCH("AGROINSUMOSAGRONUEVO"&amp;Tabla_Buffers_Agroinsumos[[#This Row],[CODIGO ]],TABLACONSOLIDADA[Bodega]&amp;TABLACONSOLIDADA[Codigo],0)),"")</f>
        <v>0</v>
      </c>
      <c r="DF19" s="157">
        <f t="array" ref="DF19">IFERROR(INDEX(TABLACONSOLIDADA[Inv Fís Act],MATCH("AGROINSUMOSAGRONUEVO"&amp;Tabla_Buffers_Agroinsumos[[#This Row],[CODIGO ]],TABLACONSOLIDADA[Bodega]&amp;TABLACONSOLIDADA[Codigo],0)),"")</f>
        <v>0</v>
      </c>
      <c r="DG19" s="157">
        <f t="array" ref="DG1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9" s="134">
        <f>IFERROR(SUM(Tabla_Buffers_Agroinsumos[[#This Row],[AN-MP]:[AN-VL]]),"")</f>
        <v>0</v>
      </c>
      <c r="DJ19" s="92">
        <f>IFERROR(Tabla_Buffers_Agroinsumos[[#This Row],[INV FIS AN]]-Tabla_Buffers_Agroinsumos[[#This Row],[BUFFER AN]],"")</f>
        <v>0</v>
      </c>
      <c r="DK1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9" s="134"/>
      <c r="DM19" s="134"/>
      <c r="DN19" s="134"/>
      <c r="DO19" s="134"/>
      <c r="DP19" s="134"/>
      <c r="DQ19" s="134"/>
      <c r="DR19" s="134"/>
      <c r="DS19" s="134"/>
      <c r="DT19" s="134"/>
      <c r="DU19" s="134">
        <f t="array" ref="DU19">IFERROR(INDEX(TABLACONSOLIDADA[Buff Act],MATCH("AGROINSUMOSAGROQUIMICOSSUR"&amp;Tabla_Buffers_Agroinsumos[[#This Row],[CODIGO ]],TABLACONSOLIDADA[Bodega]&amp;TABLACONSOLIDADA[Codigo],0)),"")</f>
        <v>0</v>
      </c>
      <c r="DV19" s="157">
        <f t="array" ref="DV19">IFERROR(INDEX(TABLACONSOLIDADA[Inv Fís Act],MATCH("AGROINSUMOSAGROQUIMICOSSUR"&amp;Tabla_Buffers_Agroinsumos[[#This Row],[CODIGO ]],TABLACONSOLIDADA[Bodega]&amp;TABLACONSOLIDADA[Codigo],0)),"")</f>
        <v>0</v>
      </c>
      <c r="DW19" s="157">
        <f t="array" ref="DW1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9" s="134">
        <f>IFERROR(SUM(Tabla_Buffers_Agroinsumos[[#This Row],[AS-MP]:[AS-VL]]),"")</f>
        <v>0</v>
      </c>
      <c r="DZ19" s="92">
        <f>IFERROR(Tabla_Buffers_Agroinsumos[[#This Row],[INV FIS AS]]-Tabla_Buffers_Agroinsumos[[#This Row],[BUFFER AS]],"")</f>
        <v>0</v>
      </c>
      <c r="EA1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9" s="134"/>
      <c r="EC19" s="134"/>
      <c r="ED19" s="134"/>
      <c r="EE19" s="134"/>
      <c r="EF19" s="134"/>
      <c r="EG19" s="134"/>
      <c r="EH19" s="134"/>
      <c r="EI19" s="134"/>
      <c r="EJ19" s="134"/>
      <c r="EK19" s="134">
        <f t="array" ref="EK19">IFERROR(INDEX(TABLACONSOLIDADA[Buff Act],MATCH("AGROINSUMOSLAFINCA"&amp;Tabla_Buffers_Agroinsumos[[#This Row],[CODIGO ]],TABLACONSOLIDADA[Bodega]&amp;TABLACONSOLIDADA[Codigo],0)),"")</f>
        <v>0</v>
      </c>
      <c r="EL19" s="157">
        <f t="array" ref="EL19">IFERROR(INDEX(TABLACONSOLIDADA[Inv Fís Act],MATCH("AGROINSUMOSLAFINCA"&amp;Tabla_Buffers_Agroinsumos[[#This Row],[CODIGO ]],TABLACONSOLIDADA[Bodega]&amp;TABLACONSOLIDADA[Codigo],0)),"")</f>
        <v>0</v>
      </c>
      <c r="EM19" s="157">
        <f t="array" ref="EM1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9" s="134">
        <f>IFERROR(SUM(Tabla_Buffers_Agroinsumos[[#This Row],[LF-MP]:[LF-VL]]),"")</f>
        <v>0</v>
      </c>
      <c r="EP19" s="92">
        <f>IFERROR(Tabla_Buffers_Agroinsumos[[#This Row],[INV FIS LF]]-Tabla_Buffers_Agroinsumos[[#This Row],[BUFFER LF]],"")</f>
        <v>0</v>
      </c>
      <c r="EQ1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9" s="134"/>
      <c r="ES19" s="134"/>
      <c r="ET19" s="134"/>
      <c r="EU19" s="134"/>
      <c r="EV19" s="134"/>
      <c r="EW19" s="134"/>
      <c r="EX19" s="134"/>
      <c r="EY19" s="134"/>
      <c r="EZ19" s="134"/>
      <c r="FA19" s="134">
        <f t="array" ref="FA19">IFERROR(INDEX(TABLACONSOLIDADA[Buff Act],MATCH("AGROINSUMOSVERONICALEDESMA"&amp;Tabla_Buffers_Agroinsumos[[#This Row],[CODIGO ]],TABLACONSOLIDADA[Bodega]&amp;TABLACONSOLIDADA[Codigo],0)),"")</f>
        <v>0</v>
      </c>
      <c r="FB19" s="157">
        <f t="array" ref="FB19">IFERROR(INDEX(TABLACONSOLIDADA[Inv Fís Act],MATCH("AGROINSUMOSVERONICALEDESMA"&amp;Tabla_Buffers_Agroinsumos[[#This Row],[CODIGO ]],TABLACONSOLIDADA[Bodega]&amp;TABLACONSOLIDADA[Codigo],0)),"")</f>
        <v>0</v>
      </c>
      <c r="FC19" s="157">
        <f t="array" ref="FC1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1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9" s="134">
        <f>IFERROR(SUM(Tabla_Buffers_Agroinsumos[[#This Row],[VL-MP]:[VL-LF]]),"")</f>
        <v>0</v>
      </c>
      <c r="FF19" s="92">
        <f>IFERROR(Tabla_Buffers_Agroinsumos[[#This Row],[INV FIS VL]]-Tabla_Buffers_Agroinsumos[[#This Row],[BUFFER VL]],"")</f>
        <v>0</v>
      </c>
      <c r="FG1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19" s="134"/>
      <c r="FI19" s="134"/>
      <c r="FJ19" s="134"/>
      <c r="FK19" s="134"/>
      <c r="FL19" s="134"/>
      <c r="FM19" s="134"/>
      <c r="FN19" s="134"/>
      <c r="FO19" s="134"/>
      <c r="FP19" s="134"/>
    </row>
    <row r="20" spans="1:172">
      <c r="A20" s="7" t="s">
        <v>87</v>
      </c>
      <c r="B20" s="7" t="s">
        <v>88</v>
      </c>
      <c r="C20" s="7" t="s">
        <v>707</v>
      </c>
      <c r="D20" s="7" t="s">
        <v>715</v>
      </c>
      <c r="E20" s="7" t="s">
        <v>975</v>
      </c>
      <c r="F20" s="19" t="s">
        <v>698</v>
      </c>
      <c r="G20" s="19" t="s">
        <v>698</v>
      </c>
      <c r="H20" s="19">
        <f>VLOOKUP(Tabla_Buffers_Agroinsumos[[#This Row],[CODIGO ]],TABLACONSOLIDADA[[Codigo]:[PV]],6,0)</f>
        <v>1.45</v>
      </c>
      <c r="I20" s="19">
        <f>VLOOKUP(Tabla_Buffers_Agroinsumos[[#This Row],[CODIGO ]],TABLACONSOLIDADA[[Codigo]:[PV]],5,0)</f>
        <v>0.66</v>
      </c>
      <c r="J20" s="19" t="s">
        <v>698</v>
      </c>
      <c r="K20" s="19" t="s">
        <v>698</v>
      </c>
      <c r="L20" s="19">
        <f>IFERROR(Tabla_Buffers_Agroinsumos[[#This Row],[BUFFER CENTRAL]]/((Tabla_Buffers_Agroinsumos[[#This Row],[TIEMPO REPOSICION ]]/Tabla_Buffers_Agroinsumos[[#This Row],[FRECUENCIA]])+1),0)</f>
        <v>0</v>
      </c>
      <c r="M20" s="19" t="str">
        <f t="array" ref="M20">IFERROR(INDEX(TABLACONSOLIDADA[Buff Act],MATCH("AGROINSUMOSMATERIAPRIMA"&amp;Tabla_Buffers_Agroinsumos[[#This Row],[CODIGO ]],TABLACONSOLIDADA[Bodega]&amp;TABLACONSOLIDADA[Codigo],0)),"")</f>
        <v/>
      </c>
      <c r="N20" s="157" t="str">
        <f t="array" ref="N20">IFERROR(INDEX(TABLACONSOLIDADA[Inv Fís Act],MATCH("AGROINSUMOSMATERIAPRIMA"&amp;Tabla_Buffers_Agroinsumos[[#This Row],[CODIGO ]],TABLACONSOLIDADA[Bodega]&amp;TABLACONSOLIDADA[Codigo],0)),"")</f>
        <v/>
      </c>
      <c r="O20" s="157" t="str">
        <f t="array" ref="O2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0" s="19">
        <f>IFERROR(SUM(Tabla_Buffers_Agroinsumos[[#This Row],[MP-C]:[MP-VL]]),"")</f>
        <v>0</v>
      </c>
      <c r="R20" s="92" t="str">
        <f>IFERROR(Tabla_Buffers_Agroinsumos[[#This Row],[INV FIS MATERIA PRIMA]]-Tabla_Buffers_Agroinsumos[[#This Row],[BUFFER MATERIA PRIMA]],"")</f>
        <v/>
      </c>
      <c r="S2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0" s="19"/>
      <c r="U20" s="19"/>
      <c r="V20" s="19"/>
      <c r="W20" s="19"/>
      <c r="X20" s="19"/>
      <c r="Y20" s="19"/>
      <c r="Z20" s="19"/>
      <c r="AA20" s="19"/>
      <c r="AB20" s="19"/>
      <c r="AC20" s="152">
        <f t="array" ref="AC20">IFERROR(INDEX(TABLACONSOLIDADA[Buff Act],MATCH("AGROINSUMOSCENTRAL"&amp;Tabla_Buffers_Agroinsumos[[#This Row],[CODIGO ]],TABLACONSOLIDADA[Bodega]&amp;TABLACONSOLIDADA[Codigo],0)),"")</f>
        <v>100</v>
      </c>
      <c r="AD20" s="157">
        <f t="array" ref="AD20">IFERROR(INDEX(TABLACONSOLIDADA[Inv Fís Act],MATCH("AGROINSUMOSCENTRAL"&amp;Tabla_Buffers_Agroinsumos[[#This Row],[CODIGO ]],TABLACONSOLIDADA[Bodega]&amp;TABLACONSOLIDADA[Codigo],0)),"")</f>
        <v>457</v>
      </c>
      <c r="AE20" s="157">
        <f t="array" ref="AE2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457</v>
      </c>
      <c r="AF2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0" s="91">
        <f>IFERROR(SUM(Tabla_Buffers_Agroinsumos[[#This Row],[C-MP]:[C-VL]]),"")</f>
        <v>0</v>
      </c>
      <c r="AH20" s="92">
        <f>IFERROR(Tabla_Buffers_Agroinsumos[[#This Row],[INV FIS CENTRAL]]-Tabla_Buffers_Agroinsumos[[#This Row],[BUFFER CENTRAL]],"")</f>
        <v>357</v>
      </c>
      <c r="AI2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357</v>
      </c>
      <c r="AJ20" s="134"/>
      <c r="AK20" s="134"/>
      <c r="AL20" s="134"/>
      <c r="AM20" s="134"/>
      <c r="AN20" s="134"/>
      <c r="AO20" s="134"/>
      <c r="AP20" s="134"/>
      <c r="AQ20" s="134"/>
      <c r="AR20" s="134"/>
      <c r="AS20" s="134">
        <f t="array" ref="AS20">IFERROR(INDEX(TABLACONSOLIDADA[Buff Act],MATCH("AGROINSUMOScentralPROPIA"&amp;Tabla_Buffers_Agroinsumos[[#This Row],[CODIGO ]],TABLACONSOLIDADA[Bodega]&amp;TABLACONSOLIDADA[Codigo],0)),"")</f>
        <v>120</v>
      </c>
      <c r="AT20" s="157">
        <f t="array" ref="AT20">IFERROR(INDEX(TABLACONSOLIDADA[Inv Fís Act],MATCH("AGROINSUMOScentralPROPIA"&amp;Tabla_Buffers_Agroinsumos[[#This Row],[CODIGO ]],TABLACONSOLIDADA[Bodega]&amp;TABLACONSOLIDADA[Codigo],0)),"")</f>
        <v>0</v>
      </c>
      <c r="AU20" s="157">
        <f t="array" ref="AU2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0" s="134">
        <f>IFERROR(SUM(Tabla_Buffers_Agroinsumos[[#This Row],[P-MP]:[P-VL]]),"")</f>
        <v>0</v>
      </c>
      <c r="AX20" s="92">
        <f>IFERROR(Tabla_Buffers_Agroinsumos[[#This Row],[INV FIS PROPIA]]-Tabla_Buffers_Agroinsumos[[#This Row],[BUFFER PROPIA]],"")</f>
        <v>-120</v>
      </c>
      <c r="AY2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-120</v>
      </c>
      <c r="AZ20" s="134"/>
      <c r="BA20" s="134"/>
      <c r="BB20" s="134"/>
      <c r="BC20" s="134"/>
      <c r="BD20" s="134"/>
      <c r="BE20" s="134"/>
      <c r="BF20" s="134"/>
      <c r="BG20" s="134"/>
      <c r="BH20" s="134"/>
      <c r="BI20" s="91">
        <f t="array" ref="BI20">IFERROR(INDEX(TABLACONSOLIDADA[Buff Act],MATCH("AGROINSUMOSSTODOMINGO"&amp;Tabla_Buffers_Agroinsumos[[#This Row],[CODIGO ]],TABLACONSOLIDADA[Bodega]&amp;TABLACONSOLIDADA[Codigo],0)),"")</f>
        <v>0</v>
      </c>
      <c r="BJ20" s="157">
        <f t="array" ref="BJ20">IFERROR(INDEX(TABLACONSOLIDADA[Inv Fís Act],MATCH("AGROINSUMOSSTODOMINGO"&amp;Tabla_Buffers_Agroinsumos[[#This Row],[CODIGO ]],TABLACONSOLIDADA[Bodega]&amp;TABLACONSOLIDADA[Codigo],0)),"")</f>
        <v>0</v>
      </c>
      <c r="BK20" s="157">
        <f t="array" ref="BK2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0" s="91">
        <f>IFERROR(SUM(Tabla_Buffers_Agroinsumos[[#This Row],[SD-MP]:[SD-VL]]),"")</f>
        <v>0</v>
      </c>
      <c r="BN20" s="92"/>
      <c r="BO20" s="92"/>
      <c r="BP20" s="134"/>
      <c r="BQ20" s="134"/>
      <c r="BR20" s="134"/>
      <c r="BS20" s="134"/>
      <c r="BT20" s="134"/>
      <c r="BU20" s="134"/>
      <c r="BV20" s="134"/>
      <c r="BW20" s="134"/>
      <c r="BX20" s="134"/>
      <c r="BY20" s="134">
        <f t="array" ref="BY20">IFERROR(INDEX(TABLACONSOLIDADA[Buff Act],MATCH("AGROINSUMOSMONCAYOLOPEZ"&amp;Tabla_Buffers_Agroinsumos[[#This Row],[CODIGO ]],TABLACONSOLIDADA[Bodega]&amp;TABLACONSOLIDADA[Codigo],0)),"")</f>
        <v>0</v>
      </c>
      <c r="BZ20" s="157">
        <f t="array" ref="BZ20">IFERROR(INDEX(TABLACONSOLIDADA[Inv Fís Act],MATCH("AGROINSUMOSMONCAYOLOPEZ"&amp;Tabla_Buffers_Agroinsumos[[#This Row],[CODIGO ]],TABLACONSOLIDADA[Bodega]&amp;TABLACONSOLIDADA[Codigo],0)),"")</f>
        <v>0</v>
      </c>
      <c r="CA20" s="157">
        <f t="array" ref="CA2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0" s="134">
        <f>IFERROR(SUM(Tabla_Buffers_Agroinsumos[[#This Row],[ML-MP]:[ML-VL]]),"")</f>
        <v>0</v>
      </c>
      <c r="CD20" s="92">
        <f>IFERROR(Tabla_Buffers_Agroinsumos[[#This Row],[INV FIS ML]]-Tabla_Buffers_Agroinsumos[[#This Row],[BUFFER ML]],"")</f>
        <v>0</v>
      </c>
      <c r="CE2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0" s="134"/>
      <c r="CG20" s="134"/>
      <c r="CH20" s="134"/>
      <c r="CI20" s="134"/>
      <c r="CJ20" s="134"/>
      <c r="CK20" s="134"/>
      <c r="CL20" s="134"/>
      <c r="CM20" s="134"/>
      <c r="CN20" s="134"/>
      <c r="CO20" s="134">
        <f t="array" ref="CO20">IFERROR(INDEX(TABLACONSOLIDADA[Buff Act],MATCH("AGROINSUMOSAGROHERMANOSLEON"&amp;Tabla_Buffers_Agroinsumos[[#This Row],[CODIGO ]],TABLACONSOLIDADA[Bodega]&amp;TABLACONSOLIDADA[Codigo],0)),"")</f>
        <v>20</v>
      </c>
      <c r="CP20" s="157">
        <f t="array" ref="CP20">IFERROR(INDEX(TABLACONSOLIDADA[Inv Fís Act],MATCH("AGROINSUMOSAGROHERMANOSLEON"&amp;Tabla_Buffers_Agroinsumos[[#This Row],[CODIGO ]],TABLACONSOLIDADA[Bodega]&amp;TABLACONSOLIDADA[Codigo],0)),"")</f>
        <v>81</v>
      </c>
      <c r="CQ20" s="157">
        <f t="array" ref="CQ2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81</v>
      </c>
      <c r="CR2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0" s="134">
        <f>IFERROR(SUM(Tabla_Buffers_Agroinsumos[[#This Row],[AL-MP]:[AL-VL]]),"")</f>
        <v>0</v>
      </c>
      <c r="CT20" s="92">
        <f>IFERROR(Tabla_Buffers_Agroinsumos[[#This Row],[INV FIS AL]]-Tabla_Buffers_Agroinsumos[[#This Row],[BUFFER AL]],"")</f>
        <v>61</v>
      </c>
      <c r="CU20" s="92">
        <f>IFERROR(Tabla_Buffers_Agroinsumos[[#This Row],[INV FIS AL]]+Tabla_Buffers_Agroinsumos[[#This Row],[TRANSFERENCIAS A AL]]-Tabla_Buffers_Agroinsumos[[#This Row],[BUFFER AL]]-Tabla_Buffers_Agroinsumos[[#This Row],[TRANSFERENCIAS DE AL]],"")</f>
        <v>61</v>
      </c>
      <c r="CV20" s="134"/>
      <c r="CW20" s="134"/>
      <c r="CX20" s="134"/>
      <c r="CY20" s="134"/>
      <c r="CZ20" s="134"/>
      <c r="DA20" s="134"/>
      <c r="DB20" s="134"/>
      <c r="DC20" s="134"/>
      <c r="DD20" s="134"/>
      <c r="DE20" s="134">
        <f t="array" ref="DE20">IFERROR(INDEX(TABLACONSOLIDADA[Buff Act],MATCH("AGROINSUMOSAGRONUEVO"&amp;Tabla_Buffers_Agroinsumos[[#This Row],[CODIGO ]],TABLACONSOLIDADA[Bodega]&amp;TABLACONSOLIDADA[Codigo],0)),"")</f>
        <v>120</v>
      </c>
      <c r="DF20" s="157">
        <f t="array" ref="DF20">IFERROR(INDEX(TABLACONSOLIDADA[Inv Fís Act],MATCH("AGROINSUMOSAGRONUEVO"&amp;Tabla_Buffers_Agroinsumos[[#This Row],[CODIGO ]],TABLACONSOLIDADA[Bodega]&amp;TABLACONSOLIDADA[Codigo],0)),"")</f>
        <v>120</v>
      </c>
      <c r="DG20" s="157">
        <f t="array" ref="DG2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120</v>
      </c>
      <c r="DH2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0" s="134">
        <f>IFERROR(SUM(Tabla_Buffers_Agroinsumos[[#This Row],[AN-MP]:[AN-VL]]),"")</f>
        <v>0</v>
      </c>
      <c r="DJ20" s="92">
        <f>IFERROR(Tabla_Buffers_Agroinsumos[[#This Row],[INV FIS AN]]-Tabla_Buffers_Agroinsumos[[#This Row],[BUFFER AN]],"")</f>
        <v>0</v>
      </c>
      <c r="DK2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0" s="134"/>
      <c r="DM20" s="134"/>
      <c r="DN20" s="134"/>
      <c r="DO20" s="134"/>
      <c r="DP20" s="134"/>
      <c r="DQ20" s="134"/>
      <c r="DR20" s="134"/>
      <c r="DS20" s="134"/>
      <c r="DT20" s="134"/>
      <c r="DU20" s="134">
        <f t="array" ref="DU20">IFERROR(INDEX(TABLACONSOLIDADA[Buff Act],MATCH("AGROINSUMOSAGROQUIMICOSSUR"&amp;Tabla_Buffers_Agroinsumos[[#This Row],[CODIGO ]],TABLACONSOLIDADA[Bodega]&amp;TABLACONSOLIDADA[Codigo],0)),"")</f>
        <v>0</v>
      </c>
      <c r="DV20" s="157">
        <f t="array" ref="DV20">IFERROR(INDEX(TABLACONSOLIDADA[Inv Fís Act],MATCH("AGROINSUMOSAGROQUIMICOSSUR"&amp;Tabla_Buffers_Agroinsumos[[#This Row],[CODIGO ]],TABLACONSOLIDADA[Bodega]&amp;TABLACONSOLIDADA[Codigo],0)),"")</f>
        <v>0</v>
      </c>
      <c r="DW20" s="157">
        <f t="array" ref="DW2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0" s="134">
        <f>IFERROR(SUM(Tabla_Buffers_Agroinsumos[[#This Row],[AS-MP]:[AS-VL]]),"")</f>
        <v>0</v>
      </c>
      <c r="DZ20" s="92">
        <f>IFERROR(Tabla_Buffers_Agroinsumos[[#This Row],[INV FIS AS]]-Tabla_Buffers_Agroinsumos[[#This Row],[BUFFER AS]],"")</f>
        <v>0</v>
      </c>
      <c r="EA2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0" s="134"/>
      <c r="EC20" s="134"/>
      <c r="ED20" s="134"/>
      <c r="EE20" s="134"/>
      <c r="EF20" s="134"/>
      <c r="EG20" s="134"/>
      <c r="EH20" s="134"/>
      <c r="EI20" s="134"/>
      <c r="EJ20" s="134"/>
      <c r="EK20" s="134">
        <f t="array" ref="EK20">IFERROR(INDEX(TABLACONSOLIDADA[Buff Act],MATCH("AGROINSUMOSLAFINCA"&amp;Tabla_Buffers_Agroinsumos[[#This Row],[CODIGO ]],TABLACONSOLIDADA[Bodega]&amp;TABLACONSOLIDADA[Codigo],0)),"")</f>
        <v>0</v>
      </c>
      <c r="EL20" s="157">
        <f t="array" ref="EL20">IFERROR(INDEX(TABLACONSOLIDADA[Inv Fís Act],MATCH("AGROINSUMOSLAFINCA"&amp;Tabla_Buffers_Agroinsumos[[#This Row],[CODIGO ]],TABLACONSOLIDADA[Bodega]&amp;TABLACONSOLIDADA[Codigo],0)),"")</f>
        <v>0</v>
      </c>
      <c r="EM20" s="157">
        <f t="array" ref="EM2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0" s="134">
        <f>IFERROR(SUM(Tabla_Buffers_Agroinsumos[[#This Row],[LF-MP]:[LF-VL]]),"")</f>
        <v>0</v>
      </c>
      <c r="EP20" s="92">
        <f>IFERROR(Tabla_Buffers_Agroinsumos[[#This Row],[INV FIS LF]]-Tabla_Buffers_Agroinsumos[[#This Row],[BUFFER LF]],"")</f>
        <v>0</v>
      </c>
      <c r="EQ20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0" s="134"/>
      <c r="ES20" s="134"/>
      <c r="ET20" s="134"/>
      <c r="EU20" s="134"/>
      <c r="EV20" s="134"/>
      <c r="EW20" s="134"/>
      <c r="EX20" s="134"/>
      <c r="EY20" s="134"/>
      <c r="EZ20" s="134"/>
      <c r="FA20" s="134">
        <f t="array" ref="FA20">IFERROR(INDEX(TABLACONSOLIDADA[Buff Act],MATCH("AGROINSUMOSVERONICALEDESMA"&amp;Tabla_Buffers_Agroinsumos[[#This Row],[CODIGO ]],TABLACONSOLIDADA[Bodega]&amp;TABLACONSOLIDADA[Codigo],0)),"")</f>
        <v>0</v>
      </c>
      <c r="FB20" s="157">
        <f t="array" ref="FB20">IFERROR(INDEX(TABLACONSOLIDADA[Inv Fís Act],MATCH("AGROINSUMOSVERONICALEDESMA"&amp;Tabla_Buffers_Agroinsumos[[#This Row],[CODIGO ]],TABLACONSOLIDADA[Bodega]&amp;TABLACONSOLIDADA[Codigo],0)),"")</f>
        <v>0</v>
      </c>
      <c r="FC20" s="157">
        <f t="array" ref="FC2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0" s="134">
        <f>IFERROR(SUM(Tabla_Buffers_Agroinsumos[[#This Row],[VL-MP]:[VL-LF]]),"")</f>
        <v>0</v>
      </c>
      <c r="FF20" s="92">
        <f>IFERROR(Tabla_Buffers_Agroinsumos[[#This Row],[INV FIS VL]]-Tabla_Buffers_Agroinsumos[[#This Row],[BUFFER VL]],"")</f>
        <v>0</v>
      </c>
      <c r="FG2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0" s="134"/>
      <c r="FI20" s="134"/>
      <c r="FJ20" s="134"/>
      <c r="FK20" s="134"/>
      <c r="FL20" s="134"/>
      <c r="FM20" s="134"/>
      <c r="FN20" s="134"/>
      <c r="FO20" s="134"/>
      <c r="FP20" s="134"/>
    </row>
    <row r="21" spans="1:172">
      <c r="A21" s="7" t="s">
        <v>89</v>
      </c>
      <c r="B21" s="7" t="s">
        <v>90</v>
      </c>
      <c r="C21" s="7" t="s">
        <v>707</v>
      </c>
      <c r="D21" s="7" t="s">
        <v>715</v>
      </c>
      <c r="E21" s="7" t="s">
        <v>975</v>
      </c>
      <c r="F21" s="19" t="s">
        <v>698</v>
      </c>
      <c r="G21" s="19" t="s">
        <v>698</v>
      </c>
      <c r="H21" s="19">
        <f>VLOOKUP(Tabla_Buffers_Agroinsumos[[#This Row],[CODIGO ]],TABLACONSOLIDADA[[Codigo]:[PV]],6,0)</f>
        <v>4.05</v>
      </c>
      <c r="I21" s="19">
        <f>VLOOKUP(Tabla_Buffers_Agroinsumos[[#This Row],[CODIGO ]],TABLACONSOLIDADA[[Codigo]:[PV]],5,0)</f>
        <v>1.83</v>
      </c>
      <c r="J21" s="19" t="s">
        <v>698</v>
      </c>
      <c r="K21" s="19" t="s">
        <v>698</v>
      </c>
      <c r="L21" s="19">
        <f>IFERROR(Tabla_Buffers_Agroinsumos[[#This Row],[BUFFER CENTRAL]]/((Tabla_Buffers_Agroinsumos[[#This Row],[TIEMPO REPOSICION ]]/Tabla_Buffers_Agroinsumos[[#This Row],[FRECUENCIA]])+1),0)</f>
        <v>0</v>
      </c>
      <c r="M21" s="19" t="str">
        <f t="array" ref="M21">IFERROR(INDEX(TABLACONSOLIDADA[Buff Act],MATCH("AGROINSUMOSMATERIAPRIMA"&amp;Tabla_Buffers_Agroinsumos[[#This Row],[CODIGO ]],TABLACONSOLIDADA[Bodega]&amp;TABLACONSOLIDADA[Codigo],0)),"")</f>
        <v/>
      </c>
      <c r="N21" s="157" t="str">
        <f t="array" ref="N21">IFERROR(INDEX(TABLACONSOLIDADA[Inv Fís Act],MATCH("AGROINSUMOSMATERIAPRIMA"&amp;Tabla_Buffers_Agroinsumos[[#This Row],[CODIGO ]],TABLACONSOLIDADA[Bodega]&amp;TABLACONSOLIDADA[Codigo],0)),"")</f>
        <v/>
      </c>
      <c r="O21" s="157" t="str">
        <f t="array" ref="O2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1" s="19">
        <f>IFERROR(SUM(Tabla_Buffers_Agroinsumos[[#This Row],[MP-C]:[MP-VL]]),"")</f>
        <v>0</v>
      </c>
      <c r="R21" s="92" t="str">
        <f>IFERROR(Tabla_Buffers_Agroinsumos[[#This Row],[INV FIS MATERIA PRIMA]]-Tabla_Buffers_Agroinsumos[[#This Row],[BUFFER MATERIA PRIMA]],"")</f>
        <v/>
      </c>
      <c r="S2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1" s="19"/>
      <c r="U21" s="19"/>
      <c r="V21" s="19"/>
      <c r="W21" s="19"/>
      <c r="X21" s="19"/>
      <c r="Y21" s="19"/>
      <c r="Z21" s="19"/>
      <c r="AA21" s="19"/>
      <c r="AB21" s="19"/>
      <c r="AC21" s="152">
        <f t="array" ref="AC21">IFERROR(INDEX(TABLACONSOLIDADA[Buff Act],MATCH("AGROINSUMOSCENTRAL"&amp;Tabla_Buffers_Agroinsumos[[#This Row],[CODIGO ]],TABLACONSOLIDADA[Bodega]&amp;TABLACONSOLIDADA[Codigo],0)),"")</f>
        <v>50</v>
      </c>
      <c r="AD21" s="157">
        <f t="array" ref="AD21">IFERROR(INDEX(TABLACONSOLIDADA[Inv Fís Act],MATCH("AGROINSUMOSCENTRAL"&amp;Tabla_Buffers_Agroinsumos[[#This Row],[CODIGO ]],TABLACONSOLIDADA[Bodega]&amp;TABLACONSOLIDADA[Codigo],0)),"")</f>
        <v>185</v>
      </c>
      <c r="AE21" s="157">
        <f t="array" ref="AE2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185</v>
      </c>
      <c r="AF2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1" s="91">
        <f>IFERROR(SUM(Tabla_Buffers_Agroinsumos[[#This Row],[C-MP]:[C-VL]]),"")</f>
        <v>0</v>
      </c>
      <c r="AH21" s="92">
        <f>IFERROR(Tabla_Buffers_Agroinsumos[[#This Row],[INV FIS CENTRAL]]-Tabla_Buffers_Agroinsumos[[#This Row],[BUFFER CENTRAL]],"")</f>
        <v>135</v>
      </c>
      <c r="AI2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135</v>
      </c>
      <c r="AJ21" s="134"/>
      <c r="AK21" s="134"/>
      <c r="AL21" s="134"/>
      <c r="AM21" s="134"/>
      <c r="AN21" s="134"/>
      <c r="AO21" s="134"/>
      <c r="AP21" s="134"/>
      <c r="AQ21" s="134"/>
      <c r="AR21" s="134"/>
      <c r="AS21" s="134">
        <f t="array" ref="AS21">IFERROR(INDEX(TABLACONSOLIDADA[Buff Act],MATCH("AGROINSUMOScentralPROPIA"&amp;Tabla_Buffers_Agroinsumos[[#This Row],[CODIGO ]],TABLACONSOLIDADA[Bodega]&amp;TABLACONSOLIDADA[Codigo],0)),"")</f>
        <v>60</v>
      </c>
      <c r="AT21" s="157">
        <f t="array" ref="AT21">IFERROR(INDEX(TABLACONSOLIDADA[Inv Fís Act],MATCH("AGROINSUMOScentralPROPIA"&amp;Tabla_Buffers_Agroinsumos[[#This Row],[CODIGO ]],TABLACONSOLIDADA[Bodega]&amp;TABLACONSOLIDADA[Codigo],0)),"")</f>
        <v>0</v>
      </c>
      <c r="AU21" s="157">
        <f t="array" ref="AU2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1" s="134">
        <f>IFERROR(SUM(Tabla_Buffers_Agroinsumos[[#This Row],[P-MP]:[P-VL]]),"")</f>
        <v>0</v>
      </c>
      <c r="AX21" s="92">
        <f>IFERROR(Tabla_Buffers_Agroinsumos[[#This Row],[INV FIS PROPIA]]-Tabla_Buffers_Agroinsumos[[#This Row],[BUFFER PROPIA]],"")</f>
        <v>-60</v>
      </c>
      <c r="AY2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-60</v>
      </c>
      <c r="AZ21" s="134"/>
      <c r="BA21" s="134"/>
      <c r="BB21" s="134"/>
      <c r="BC21" s="134"/>
      <c r="BD21" s="134"/>
      <c r="BE21" s="134"/>
      <c r="BF21" s="134"/>
      <c r="BG21" s="134"/>
      <c r="BH21" s="134"/>
      <c r="BI21" s="91">
        <f t="array" ref="BI21">IFERROR(INDEX(TABLACONSOLIDADA[Buff Act],MATCH("AGROINSUMOSSTODOMINGO"&amp;Tabla_Buffers_Agroinsumos[[#This Row],[CODIGO ]],TABLACONSOLIDADA[Bodega]&amp;TABLACONSOLIDADA[Codigo],0)),"")</f>
        <v>0</v>
      </c>
      <c r="BJ21" s="157">
        <f t="array" ref="BJ21">IFERROR(INDEX(TABLACONSOLIDADA[Inv Fís Act],MATCH("AGROINSUMOSSTODOMINGO"&amp;Tabla_Buffers_Agroinsumos[[#This Row],[CODIGO ]],TABLACONSOLIDADA[Bodega]&amp;TABLACONSOLIDADA[Codigo],0)),"")</f>
        <v>0</v>
      </c>
      <c r="BK21" s="157">
        <f t="array" ref="BK2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1" s="91">
        <f>IFERROR(SUM(Tabla_Buffers_Agroinsumos[[#This Row],[SD-MP]:[SD-VL]]),"")</f>
        <v>0</v>
      </c>
      <c r="BN21" s="92"/>
      <c r="BO21" s="92"/>
      <c r="BP21" s="134"/>
      <c r="BQ21" s="134"/>
      <c r="BR21" s="134"/>
      <c r="BS21" s="134"/>
      <c r="BT21" s="134"/>
      <c r="BU21" s="134"/>
      <c r="BV21" s="134"/>
      <c r="BW21" s="134"/>
      <c r="BX21" s="134"/>
      <c r="BY21" s="134">
        <f t="array" ref="BY21">IFERROR(INDEX(TABLACONSOLIDADA[Buff Act],MATCH("AGROINSUMOSMONCAYOLOPEZ"&amp;Tabla_Buffers_Agroinsumos[[#This Row],[CODIGO ]],TABLACONSOLIDADA[Bodega]&amp;TABLACONSOLIDADA[Codigo],0)),"")</f>
        <v>0</v>
      </c>
      <c r="BZ21" s="157">
        <f t="array" ref="BZ21">IFERROR(INDEX(TABLACONSOLIDADA[Inv Fís Act],MATCH("AGROINSUMOSMONCAYOLOPEZ"&amp;Tabla_Buffers_Agroinsumos[[#This Row],[CODIGO ]],TABLACONSOLIDADA[Bodega]&amp;TABLACONSOLIDADA[Codigo],0)),"")</f>
        <v>0</v>
      </c>
      <c r="CA21" s="157">
        <f t="array" ref="CA2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1" s="134">
        <f>IFERROR(SUM(Tabla_Buffers_Agroinsumos[[#This Row],[ML-MP]:[ML-VL]]),"")</f>
        <v>0</v>
      </c>
      <c r="CD21" s="92">
        <f>IFERROR(Tabla_Buffers_Agroinsumos[[#This Row],[INV FIS ML]]-Tabla_Buffers_Agroinsumos[[#This Row],[BUFFER ML]],"")</f>
        <v>0</v>
      </c>
      <c r="CE21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1" s="134"/>
      <c r="CG21" s="134"/>
      <c r="CH21" s="134"/>
      <c r="CI21" s="134"/>
      <c r="CJ21" s="134"/>
      <c r="CK21" s="134"/>
      <c r="CL21" s="134"/>
      <c r="CM21" s="134"/>
      <c r="CN21" s="134"/>
      <c r="CO21" s="134">
        <f t="array" ref="CO21">IFERROR(INDEX(TABLACONSOLIDADA[Buff Act],MATCH("AGROINSUMOSAGROHERMANOSLEON"&amp;Tabla_Buffers_Agroinsumos[[#This Row],[CODIGO ]],TABLACONSOLIDADA[Bodega]&amp;TABLACONSOLIDADA[Codigo],0)),"")</f>
        <v>0</v>
      </c>
      <c r="CP21" s="157">
        <f t="array" ref="CP21">IFERROR(INDEX(TABLACONSOLIDADA[Inv Fís Act],MATCH("AGROINSUMOSAGROHERMANOSLEON"&amp;Tabla_Buffers_Agroinsumos[[#This Row],[CODIGO ]],TABLACONSOLIDADA[Bodega]&amp;TABLACONSOLIDADA[Codigo],0)),"")</f>
        <v>0</v>
      </c>
      <c r="CQ21" s="157">
        <f t="array" ref="CQ2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1" s="134">
        <f>IFERROR(SUM(Tabla_Buffers_Agroinsumos[[#This Row],[AL-MP]:[AL-VL]]),"")</f>
        <v>0</v>
      </c>
      <c r="CT21" s="92">
        <f>IFERROR(Tabla_Buffers_Agroinsumos[[#This Row],[INV FIS AL]]-Tabla_Buffers_Agroinsumos[[#This Row],[BUFFER AL]],"")</f>
        <v>0</v>
      </c>
      <c r="CU21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1" s="134"/>
      <c r="CW21" s="134"/>
      <c r="CX21" s="134"/>
      <c r="CY21" s="134"/>
      <c r="CZ21" s="134"/>
      <c r="DA21" s="134"/>
      <c r="DB21" s="134"/>
      <c r="DC21" s="134"/>
      <c r="DD21" s="134"/>
      <c r="DE21" s="134">
        <f t="array" ref="DE21">IFERROR(INDEX(TABLACONSOLIDADA[Buff Act],MATCH("AGROINSUMOSAGRONUEVO"&amp;Tabla_Buffers_Agroinsumos[[#This Row],[CODIGO ]],TABLACONSOLIDADA[Bodega]&amp;TABLACONSOLIDADA[Codigo],0)),"")</f>
        <v>0</v>
      </c>
      <c r="DF21" s="157">
        <f t="array" ref="DF21">IFERROR(INDEX(TABLACONSOLIDADA[Inv Fís Act],MATCH("AGROINSUMOSAGRONUEVO"&amp;Tabla_Buffers_Agroinsumos[[#This Row],[CODIGO ]],TABLACONSOLIDADA[Bodega]&amp;TABLACONSOLIDADA[Codigo],0)),"")</f>
        <v>0</v>
      </c>
      <c r="DG21" s="157">
        <f t="array" ref="DG2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1" s="134">
        <f>IFERROR(SUM(Tabla_Buffers_Agroinsumos[[#This Row],[AN-MP]:[AN-VL]]),"")</f>
        <v>0</v>
      </c>
      <c r="DJ21" s="92">
        <f>IFERROR(Tabla_Buffers_Agroinsumos[[#This Row],[INV FIS AN]]-Tabla_Buffers_Agroinsumos[[#This Row],[BUFFER AN]],"")</f>
        <v>0</v>
      </c>
      <c r="DK21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1" s="134"/>
      <c r="DM21" s="134"/>
      <c r="DN21" s="134"/>
      <c r="DO21" s="134"/>
      <c r="DP21" s="134"/>
      <c r="DQ21" s="134"/>
      <c r="DR21" s="134"/>
      <c r="DS21" s="134"/>
      <c r="DT21" s="134"/>
      <c r="DU21" s="134">
        <f t="array" ref="DU21">IFERROR(INDEX(TABLACONSOLIDADA[Buff Act],MATCH("AGROINSUMOSAGROQUIMICOSSUR"&amp;Tabla_Buffers_Agroinsumos[[#This Row],[CODIGO ]],TABLACONSOLIDADA[Bodega]&amp;TABLACONSOLIDADA[Codigo],0)),"")</f>
        <v>0</v>
      </c>
      <c r="DV21" s="157">
        <f t="array" ref="DV21">IFERROR(INDEX(TABLACONSOLIDADA[Inv Fís Act],MATCH("AGROINSUMOSAGROQUIMICOSSUR"&amp;Tabla_Buffers_Agroinsumos[[#This Row],[CODIGO ]],TABLACONSOLIDADA[Bodega]&amp;TABLACONSOLIDADA[Codigo],0)),"")</f>
        <v>0</v>
      </c>
      <c r="DW21" s="157">
        <f t="array" ref="DW2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1" s="134">
        <f>IFERROR(SUM(Tabla_Buffers_Agroinsumos[[#This Row],[AS-MP]:[AS-VL]]),"")</f>
        <v>0</v>
      </c>
      <c r="DZ21" s="92">
        <f>IFERROR(Tabla_Buffers_Agroinsumos[[#This Row],[INV FIS AS]]-Tabla_Buffers_Agroinsumos[[#This Row],[BUFFER AS]],"")</f>
        <v>0</v>
      </c>
      <c r="EA21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1" s="134"/>
      <c r="EC21" s="134"/>
      <c r="ED21" s="134"/>
      <c r="EE21" s="134"/>
      <c r="EF21" s="134"/>
      <c r="EG21" s="134"/>
      <c r="EH21" s="134"/>
      <c r="EI21" s="134"/>
      <c r="EJ21" s="134"/>
      <c r="EK21" s="134">
        <f t="array" ref="EK21">IFERROR(INDEX(TABLACONSOLIDADA[Buff Act],MATCH("AGROINSUMOSLAFINCA"&amp;Tabla_Buffers_Agroinsumos[[#This Row],[CODIGO ]],TABLACONSOLIDADA[Bodega]&amp;TABLACONSOLIDADA[Codigo],0)),"")</f>
        <v>0</v>
      </c>
      <c r="EL21" s="157">
        <f t="array" ref="EL21">IFERROR(INDEX(TABLACONSOLIDADA[Inv Fís Act],MATCH("AGROINSUMOSLAFINCA"&amp;Tabla_Buffers_Agroinsumos[[#This Row],[CODIGO ]],TABLACONSOLIDADA[Bodega]&amp;TABLACONSOLIDADA[Codigo],0)),"")</f>
        <v>0</v>
      </c>
      <c r="EM21" s="157">
        <f t="array" ref="EM2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1" s="134">
        <f>IFERROR(SUM(Tabla_Buffers_Agroinsumos[[#This Row],[LF-MP]:[LF-VL]]),"")</f>
        <v>0</v>
      </c>
      <c r="EP21" s="92">
        <f>IFERROR(Tabla_Buffers_Agroinsumos[[#This Row],[INV FIS LF]]-Tabla_Buffers_Agroinsumos[[#This Row],[BUFFER LF]],"")</f>
        <v>0</v>
      </c>
      <c r="EQ21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1" s="134"/>
      <c r="ES21" s="134"/>
      <c r="ET21" s="134"/>
      <c r="EU21" s="134"/>
      <c r="EV21" s="134"/>
      <c r="EW21" s="134"/>
      <c r="EX21" s="134"/>
      <c r="EY21" s="134"/>
      <c r="EZ21" s="134"/>
      <c r="FA21" s="134">
        <f t="array" ref="FA21">IFERROR(INDEX(TABLACONSOLIDADA[Buff Act],MATCH("AGROINSUMOSVERONICALEDESMA"&amp;Tabla_Buffers_Agroinsumos[[#This Row],[CODIGO ]],TABLACONSOLIDADA[Bodega]&amp;TABLACONSOLIDADA[Codigo],0)),"")</f>
        <v>0</v>
      </c>
      <c r="FB21" s="157">
        <f t="array" ref="FB21">IFERROR(INDEX(TABLACONSOLIDADA[Inv Fís Act],MATCH("AGROINSUMOSVERONICALEDESMA"&amp;Tabla_Buffers_Agroinsumos[[#This Row],[CODIGO ]],TABLACONSOLIDADA[Bodega]&amp;TABLACONSOLIDADA[Codigo],0)),"")</f>
        <v>0</v>
      </c>
      <c r="FC21" s="157">
        <f t="array" ref="FC2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1" s="134">
        <f>IFERROR(SUM(Tabla_Buffers_Agroinsumos[[#This Row],[VL-MP]:[VL-LF]]),"")</f>
        <v>0</v>
      </c>
      <c r="FF21" s="92">
        <f>IFERROR(Tabla_Buffers_Agroinsumos[[#This Row],[INV FIS VL]]-Tabla_Buffers_Agroinsumos[[#This Row],[BUFFER VL]],"")</f>
        <v>0</v>
      </c>
      <c r="FG21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1" s="134"/>
      <c r="FI21" s="134"/>
      <c r="FJ21" s="134"/>
      <c r="FK21" s="134"/>
      <c r="FL21" s="134"/>
      <c r="FM21" s="134"/>
      <c r="FN21" s="134"/>
      <c r="FO21" s="134"/>
      <c r="FP21" s="134"/>
    </row>
    <row r="22" spans="1:172">
      <c r="A22" s="7" t="s">
        <v>91</v>
      </c>
      <c r="B22" s="7" t="s">
        <v>92</v>
      </c>
      <c r="C22" s="7" t="s">
        <v>707</v>
      </c>
      <c r="D22" s="7" t="s">
        <v>715</v>
      </c>
      <c r="E22" s="7" t="s">
        <v>975</v>
      </c>
      <c r="F22" s="19" t="s">
        <v>698</v>
      </c>
      <c r="G22" s="19" t="s">
        <v>698</v>
      </c>
      <c r="H22" s="19">
        <f>VLOOKUP(Tabla_Buffers_Agroinsumos[[#This Row],[CODIGO ]],TABLACONSOLIDADA[[Codigo]:[PV]],6,0)</f>
        <v>3.29</v>
      </c>
      <c r="I22" s="19">
        <f>VLOOKUP(Tabla_Buffers_Agroinsumos[[#This Row],[CODIGO ]],TABLACONSOLIDADA[[Codigo]:[PV]],5,0)</f>
        <v>1.9</v>
      </c>
      <c r="J22" s="19" t="s">
        <v>698</v>
      </c>
      <c r="K22" s="19" t="s">
        <v>698</v>
      </c>
      <c r="L22" s="19">
        <f>IFERROR(Tabla_Buffers_Agroinsumos[[#This Row],[BUFFER CENTRAL]]/((Tabla_Buffers_Agroinsumos[[#This Row],[TIEMPO REPOSICION ]]/Tabla_Buffers_Agroinsumos[[#This Row],[FRECUENCIA]])+1),0)</f>
        <v>0</v>
      </c>
      <c r="M22" s="19" t="str">
        <f t="array" ref="M22">IFERROR(INDEX(TABLACONSOLIDADA[Buff Act],MATCH("AGROINSUMOSMATERIAPRIMA"&amp;Tabla_Buffers_Agroinsumos[[#This Row],[CODIGO ]],TABLACONSOLIDADA[Bodega]&amp;TABLACONSOLIDADA[Codigo],0)),"")</f>
        <v/>
      </c>
      <c r="N22" s="157" t="str">
        <f t="array" ref="N22">IFERROR(INDEX(TABLACONSOLIDADA[Inv Fís Act],MATCH("AGROINSUMOSMATERIAPRIMA"&amp;Tabla_Buffers_Agroinsumos[[#This Row],[CODIGO ]],TABLACONSOLIDADA[Bodega]&amp;TABLACONSOLIDADA[Codigo],0)),"")</f>
        <v/>
      </c>
      <c r="O22" s="157" t="str">
        <f t="array" ref="O2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2" s="19">
        <f>IFERROR(SUM(Tabla_Buffers_Agroinsumos[[#This Row],[MP-C]:[MP-VL]]),"")</f>
        <v>0</v>
      </c>
      <c r="R22" s="92" t="str">
        <f>IFERROR(Tabla_Buffers_Agroinsumos[[#This Row],[INV FIS MATERIA PRIMA]]-Tabla_Buffers_Agroinsumos[[#This Row],[BUFFER MATERIA PRIMA]],"")</f>
        <v/>
      </c>
      <c r="S22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2" s="19"/>
      <c r="U22" s="19"/>
      <c r="V22" s="19"/>
      <c r="W22" s="19"/>
      <c r="X22" s="19"/>
      <c r="Y22" s="19"/>
      <c r="Z22" s="19"/>
      <c r="AA22" s="19"/>
      <c r="AB22" s="19"/>
      <c r="AC22" s="152">
        <f t="array" ref="AC22">IFERROR(INDEX(TABLACONSOLIDADA[Buff Act],MATCH("AGROINSUMOSCENTRAL"&amp;Tabla_Buffers_Agroinsumos[[#This Row],[CODIGO ]],TABLACONSOLIDADA[Bodega]&amp;TABLACONSOLIDADA[Codigo],0)),"")</f>
        <v>0</v>
      </c>
      <c r="AD22" s="157">
        <f t="array" ref="AD22">IFERROR(INDEX(TABLACONSOLIDADA[Inv Fís Act],MATCH("AGROINSUMOSCENTRAL"&amp;Tabla_Buffers_Agroinsumos[[#This Row],[CODIGO ]],TABLACONSOLIDADA[Bodega]&amp;TABLACONSOLIDADA[Codigo],0)),"")</f>
        <v>0</v>
      </c>
      <c r="AE22" s="157">
        <f t="array" ref="AE2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2" s="91">
        <f>IFERROR(SUM(Tabla_Buffers_Agroinsumos[[#This Row],[C-MP]:[C-VL]]),"")</f>
        <v>0</v>
      </c>
      <c r="AH22" s="92">
        <f>IFERROR(Tabla_Buffers_Agroinsumos[[#This Row],[INV FIS CENTRAL]]-Tabla_Buffers_Agroinsumos[[#This Row],[BUFFER CENTRAL]],"")</f>
        <v>0</v>
      </c>
      <c r="AI22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2" s="134"/>
      <c r="AK22" s="134"/>
      <c r="AL22" s="134"/>
      <c r="AM22" s="134"/>
      <c r="AN22" s="134"/>
      <c r="AO22" s="134"/>
      <c r="AP22" s="134"/>
      <c r="AQ22" s="134"/>
      <c r="AR22" s="134"/>
      <c r="AS22" s="134">
        <f t="array" ref="AS22">IFERROR(INDEX(TABLACONSOLIDADA[Buff Act],MATCH("AGROINSUMOScentralPROPIA"&amp;Tabla_Buffers_Agroinsumos[[#This Row],[CODIGO ]],TABLACONSOLIDADA[Bodega]&amp;TABLACONSOLIDADA[Codigo],0)),"")</f>
        <v>0</v>
      </c>
      <c r="AT22" s="157">
        <f t="array" ref="AT22">IFERROR(INDEX(TABLACONSOLIDADA[Inv Fís Act],MATCH("AGROINSUMOScentralPROPIA"&amp;Tabla_Buffers_Agroinsumos[[#This Row],[CODIGO ]],TABLACONSOLIDADA[Bodega]&amp;TABLACONSOLIDADA[Codigo],0)),"")</f>
        <v>0</v>
      </c>
      <c r="AU22" s="157">
        <f t="array" ref="AU2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2" s="134">
        <f>IFERROR(SUM(Tabla_Buffers_Agroinsumos[[#This Row],[P-MP]:[P-VL]]),"")</f>
        <v>0</v>
      </c>
      <c r="AX22" s="92">
        <f>IFERROR(Tabla_Buffers_Agroinsumos[[#This Row],[INV FIS PROPIA]]-Tabla_Buffers_Agroinsumos[[#This Row],[BUFFER PROPIA]],"")</f>
        <v>0</v>
      </c>
      <c r="AY22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22" s="134"/>
      <c r="BA22" s="134"/>
      <c r="BB22" s="134"/>
      <c r="BC22" s="134"/>
      <c r="BD22" s="134"/>
      <c r="BE22" s="134"/>
      <c r="BF22" s="134"/>
      <c r="BG22" s="134"/>
      <c r="BH22" s="134"/>
      <c r="BI22" s="91">
        <f t="array" ref="BI22">IFERROR(INDEX(TABLACONSOLIDADA[Buff Act],MATCH("AGROINSUMOSSTODOMINGO"&amp;Tabla_Buffers_Agroinsumos[[#This Row],[CODIGO ]],TABLACONSOLIDADA[Bodega]&amp;TABLACONSOLIDADA[Codigo],0)),"")</f>
        <v>0</v>
      </c>
      <c r="BJ22" s="157">
        <f t="array" ref="BJ22">IFERROR(INDEX(TABLACONSOLIDADA[Inv Fís Act],MATCH("AGROINSUMOSSTODOMINGO"&amp;Tabla_Buffers_Agroinsumos[[#This Row],[CODIGO ]],TABLACONSOLIDADA[Bodega]&amp;TABLACONSOLIDADA[Codigo],0)),"")</f>
        <v>0</v>
      </c>
      <c r="BK22" s="157">
        <f t="array" ref="BK2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2" s="91">
        <f>IFERROR(SUM(Tabla_Buffers_Agroinsumos[[#This Row],[SD-MP]:[SD-VL]]),"")</f>
        <v>0</v>
      </c>
      <c r="BN22" s="92"/>
      <c r="BO22" s="92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>
        <f t="array" ref="BY22">IFERROR(INDEX(TABLACONSOLIDADA[Buff Act],MATCH("AGROINSUMOSMONCAYOLOPEZ"&amp;Tabla_Buffers_Agroinsumos[[#This Row],[CODIGO ]],TABLACONSOLIDADA[Bodega]&amp;TABLACONSOLIDADA[Codigo],0)),"")</f>
        <v>0</v>
      </c>
      <c r="BZ22" s="157">
        <f t="array" ref="BZ22">IFERROR(INDEX(TABLACONSOLIDADA[Inv Fís Act],MATCH("AGROINSUMOSMONCAYOLOPEZ"&amp;Tabla_Buffers_Agroinsumos[[#This Row],[CODIGO ]],TABLACONSOLIDADA[Bodega]&amp;TABLACONSOLIDADA[Codigo],0)),"")</f>
        <v>0</v>
      </c>
      <c r="CA22" s="157">
        <f t="array" ref="CA2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2" s="134">
        <f>IFERROR(SUM(Tabla_Buffers_Agroinsumos[[#This Row],[ML-MP]:[ML-VL]]),"")</f>
        <v>0</v>
      </c>
      <c r="CD22" s="92">
        <f>IFERROR(Tabla_Buffers_Agroinsumos[[#This Row],[INV FIS ML]]-Tabla_Buffers_Agroinsumos[[#This Row],[BUFFER ML]],"")</f>
        <v>0</v>
      </c>
      <c r="CE22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2" s="134"/>
      <c r="CG22" s="134"/>
      <c r="CH22" s="134"/>
      <c r="CI22" s="134"/>
      <c r="CJ22" s="134"/>
      <c r="CK22" s="134"/>
      <c r="CL22" s="134"/>
      <c r="CM22" s="134"/>
      <c r="CN22" s="134"/>
      <c r="CO22" s="134">
        <f t="array" ref="CO22">IFERROR(INDEX(TABLACONSOLIDADA[Buff Act],MATCH("AGROINSUMOSAGROHERMANOSLEON"&amp;Tabla_Buffers_Agroinsumos[[#This Row],[CODIGO ]],TABLACONSOLIDADA[Bodega]&amp;TABLACONSOLIDADA[Codigo],0)),"")</f>
        <v>0</v>
      </c>
      <c r="CP22" s="157">
        <f t="array" ref="CP22">IFERROR(INDEX(TABLACONSOLIDADA[Inv Fís Act],MATCH("AGROINSUMOSAGROHERMANOSLEON"&amp;Tabla_Buffers_Agroinsumos[[#This Row],[CODIGO ]],TABLACONSOLIDADA[Bodega]&amp;TABLACONSOLIDADA[Codigo],0)),"")</f>
        <v>0</v>
      </c>
      <c r="CQ22" s="157">
        <f t="array" ref="CQ2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2" s="134">
        <f>IFERROR(SUM(Tabla_Buffers_Agroinsumos[[#This Row],[AL-MP]:[AL-VL]]),"")</f>
        <v>0</v>
      </c>
      <c r="CT22" s="92">
        <f>IFERROR(Tabla_Buffers_Agroinsumos[[#This Row],[INV FIS AL]]-Tabla_Buffers_Agroinsumos[[#This Row],[BUFFER AL]],"")</f>
        <v>0</v>
      </c>
      <c r="CU22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2" s="134"/>
      <c r="CW22" s="134"/>
      <c r="CX22" s="134"/>
      <c r="CY22" s="134"/>
      <c r="CZ22" s="134"/>
      <c r="DA22" s="134"/>
      <c r="DB22" s="134"/>
      <c r="DC22" s="134"/>
      <c r="DD22" s="134"/>
      <c r="DE22" s="134">
        <f t="array" ref="DE22">IFERROR(INDEX(TABLACONSOLIDADA[Buff Act],MATCH("AGROINSUMOSAGRONUEVO"&amp;Tabla_Buffers_Agroinsumos[[#This Row],[CODIGO ]],TABLACONSOLIDADA[Bodega]&amp;TABLACONSOLIDADA[Codigo],0)),"")</f>
        <v>0</v>
      </c>
      <c r="DF22" s="157">
        <f t="array" ref="DF22">IFERROR(INDEX(TABLACONSOLIDADA[Inv Fís Act],MATCH("AGROINSUMOSAGRONUEVO"&amp;Tabla_Buffers_Agroinsumos[[#This Row],[CODIGO ]],TABLACONSOLIDADA[Bodega]&amp;TABLACONSOLIDADA[Codigo],0)),"")</f>
        <v>0</v>
      </c>
      <c r="DG22" s="157">
        <f t="array" ref="DG2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2" s="134">
        <f>IFERROR(SUM(Tabla_Buffers_Agroinsumos[[#This Row],[AN-MP]:[AN-VL]]),"")</f>
        <v>0</v>
      </c>
      <c r="DJ22" s="92">
        <f>IFERROR(Tabla_Buffers_Agroinsumos[[#This Row],[INV FIS AN]]-Tabla_Buffers_Agroinsumos[[#This Row],[BUFFER AN]],"")</f>
        <v>0</v>
      </c>
      <c r="DK22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2" s="134"/>
      <c r="DM22" s="134"/>
      <c r="DN22" s="134"/>
      <c r="DO22" s="134"/>
      <c r="DP22" s="134"/>
      <c r="DQ22" s="134"/>
      <c r="DR22" s="134"/>
      <c r="DS22" s="134"/>
      <c r="DT22" s="134"/>
      <c r="DU22" s="134">
        <f t="array" ref="DU22">IFERROR(INDEX(TABLACONSOLIDADA[Buff Act],MATCH("AGROINSUMOSAGROQUIMICOSSUR"&amp;Tabla_Buffers_Agroinsumos[[#This Row],[CODIGO ]],TABLACONSOLIDADA[Bodega]&amp;TABLACONSOLIDADA[Codigo],0)),"")</f>
        <v>0</v>
      </c>
      <c r="DV22" s="157">
        <f t="array" ref="DV22">IFERROR(INDEX(TABLACONSOLIDADA[Inv Fís Act],MATCH("AGROINSUMOSAGROQUIMICOSSUR"&amp;Tabla_Buffers_Agroinsumos[[#This Row],[CODIGO ]],TABLACONSOLIDADA[Bodega]&amp;TABLACONSOLIDADA[Codigo],0)),"")</f>
        <v>0</v>
      </c>
      <c r="DW22" s="157">
        <f t="array" ref="DW2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2" s="134">
        <f>IFERROR(SUM(Tabla_Buffers_Agroinsumos[[#This Row],[AS-MP]:[AS-VL]]),"")</f>
        <v>0</v>
      </c>
      <c r="DZ22" s="92">
        <f>IFERROR(Tabla_Buffers_Agroinsumos[[#This Row],[INV FIS AS]]-Tabla_Buffers_Agroinsumos[[#This Row],[BUFFER AS]],"")</f>
        <v>0</v>
      </c>
      <c r="EA22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2" s="134"/>
      <c r="EC22" s="134"/>
      <c r="ED22" s="134"/>
      <c r="EE22" s="134"/>
      <c r="EF22" s="134"/>
      <c r="EG22" s="134"/>
      <c r="EH22" s="134"/>
      <c r="EI22" s="134"/>
      <c r="EJ22" s="134"/>
      <c r="EK22" s="134">
        <f t="array" ref="EK22">IFERROR(INDEX(TABLACONSOLIDADA[Buff Act],MATCH("AGROINSUMOSLAFINCA"&amp;Tabla_Buffers_Agroinsumos[[#This Row],[CODIGO ]],TABLACONSOLIDADA[Bodega]&amp;TABLACONSOLIDADA[Codigo],0)),"")</f>
        <v>0</v>
      </c>
      <c r="EL22" s="157">
        <f t="array" ref="EL22">IFERROR(INDEX(TABLACONSOLIDADA[Inv Fís Act],MATCH("AGROINSUMOSLAFINCA"&amp;Tabla_Buffers_Agroinsumos[[#This Row],[CODIGO ]],TABLACONSOLIDADA[Bodega]&amp;TABLACONSOLIDADA[Codigo],0)),"")</f>
        <v>0</v>
      </c>
      <c r="EM22" s="157">
        <f t="array" ref="EM2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2" s="134">
        <f>IFERROR(SUM(Tabla_Buffers_Agroinsumos[[#This Row],[LF-MP]:[LF-VL]]),"")</f>
        <v>0</v>
      </c>
      <c r="EP22" s="92">
        <f>IFERROR(Tabla_Buffers_Agroinsumos[[#This Row],[INV FIS LF]]-Tabla_Buffers_Agroinsumos[[#This Row],[BUFFER LF]],"")</f>
        <v>0</v>
      </c>
      <c r="EQ22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2" s="134"/>
      <c r="ES22" s="134"/>
      <c r="ET22" s="134"/>
      <c r="EU22" s="134"/>
      <c r="EV22" s="134"/>
      <c r="EW22" s="134"/>
      <c r="EX22" s="134"/>
      <c r="EY22" s="134"/>
      <c r="EZ22" s="134"/>
      <c r="FA22" s="134">
        <f t="array" ref="FA22">IFERROR(INDEX(TABLACONSOLIDADA[Buff Act],MATCH("AGROINSUMOSVERONICALEDESMA"&amp;Tabla_Buffers_Agroinsumos[[#This Row],[CODIGO ]],TABLACONSOLIDADA[Bodega]&amp;TABLACONSOLIDADA[Codigo],0)),"")</f>
        <v>0</v>
      </c>
      <c r="FB22" s="157">
        <f t="array" ref="FB22">IFERROR(INDEX(TABLACONSOLIDADA[Inv Fís Act],MATCH("AGROINSUMOSVERONICALEDESMA"&amp;Tabla_Buffers_Agroinsumos[[#This Row],[CODIGO ]],TABLACONSOLIDADA[Bodega]&amp;TABLACONSOLIDADA[Codigo],0)),"")</f>
        <v>0</v>
      </c>
      <c r="FC22" s="157">
        <f t="array" ref="FC2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2" s="134">
        <f>IFERROR(SUM(Tabla_Buffers_Agroinsumos[[#This Row],[VL-MP]:[VL-LF]]),"")</f>
        <v>0</v>
      </c>
      <c r="FF22" s="92">
        <f>IFERROR(Tabla_Buffers_Agroinsumos[[#This Row],[INV FIS VL]]-Tabla_Buffers_Agroinsumos[[#This Row],[BUFFER VL]],"")</f>
        <v>0</v>
      </c>
      <c r="FG22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2" s="134"/>
      <c r="FI22" s="134"/>
      <c r="FJ22" s="134"/>
      <c r="FK22" s="134"/>
      <c r="FL22" s="134"/>
      <c r="FM22" s="134"/>
      <c r="FN22" s="134"/>
      <c r="FO22" s="134"/>
      <c r="FP22" s="134"/>
    </row>
    <row r="23" spans="1:172">
      <c r="A23" s="7" t="s">
        <v>93</v>
      </c>
      <c r="B23" s="7" t="s">
        <v>94</v>
      </c>
      <c r="C23" s="7" t="s">
        <v>707</v>
      </c>
      <c r="D23" s="7" t="s">
        <v>715</v>
      </c>
      <c r="E23" s="7" t="s">
        <v>975</v>
      </c>
      <c r="F23" s="19" t="s">
        <v>698</v>
      </c>
      <c r="G23" s="19" t="s">
        <v>698</v>
      </c>
      <c r="H23" s="19">
        <f>VLOOKUP(Tabla_Buffers_Agroinsumos[[#This Row],[CODIGO ]],TABLACONSOLIDADA[[Codigo]:[PV]],6,0)</f>
        <v>4.99</v>
      </c>
      <c r="I23" s="19">
        <f>VLOOKUP(Tabla_Buffers_Agroinsumos[[#This Row],[CODIGO ]],TABLACONSOLIDADA[[Codigo]:[PV]],5,0)</f>
        <v>1.88</v>
      </c>
      <c r="J23" s="19" t="s">
        <v>698</v>
      </c>
      <c r="K23" s="19" t="s">
        <v>698</v>
      </c>
      <c r="L23" s="19">
        <f>IFERROR(Tabla_Buffers_Agroinsumos[[#This Row],[BUFFER CENTRAL]]/((Tabla_Buffers_Agroinsumos[[#This Row],[TIEMPO REPOSICION ]]/Tabla_Buffers_Agroinsumos[[#This Row],[FRECUENCIA]])+1),0)</f>
        <v>0</v>
      </c>
      <c r="M23" s="19" t="str">
        <f t="array" ref="M23">IFERROR(INDEX(TABLACONSOLIDADA[Buff Act],MATCH("AGROINSUMOSMATERIAPRIMA"&amp;Tabla_Buffers_Agroinsumos[[#This Row],[CODIGO ]],TABLACONSOLIDADA[Bodega]&amp;TABLACONSOLIDADA[Codigo],0)),"")</f>
        <v/>
      </c>
      <c r="N23" s="157" t="str">
        <f t="array" ref="N23">IFERROR(INDEX(TABLACONSOLIDADA[Inv Fís Act],MATCH("AGROINSUMOSMATERIAPRIMA"&amp;Tabla_Buffers_Agroinsumos[[#This Row],[CODIGO ]],TABLACONSOLIDADA[Bodega]&amp;TABLACONSOLIDADA[Codigo],0)),"")</f>
        <v/>
      </c>
      <c r="O23" s="157" t="str">
        <f t="array" ref="O2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3" s="19">
        <f>IFERROR(SUM(Tabla_Buffers_Agroinsumos[[#This Row],[MP-C]:[MP-VL]]),"")</f>
        <v>0</v>
      </c>
      <c r="R23" s="92" t="str">
        <f>IFERROR(Tabla_Buffers_Agroinsumos[[#This Row],[INV FIS MATERIA PRIMA]]-Tabla_Buffers_Agroinsumos[[#This Row],[BUFFER MATERIA PRIMA]],"")</f>
        <v/>
      </c>
      <c r="S2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3" s="19"/>
      <c r="U23" s="19"/>
      <c r="V23" s="19"/>
      <c r="W23" s="19"/>
      <c r="X23" s="19"/>
      <c r="Y23" s="19"/>
      <c r="Z23" s="19"/>
      <c r="AA23" s="19"/>
      <c r="AB23" s="19"/>
      <c r="AC23" s="152">
        <f t="array" ref="AC23">IFERROR(INDEX(TABLACONSOLIDADA[Buff Act],MATCH("AGROINSUMOSCENTRAL"&amp;Tabla_Buffers_Agroinsumos[[#This Row],[CODIGO ]],TABLACONSOLIDADA[Bodega]&amp;TABLACONSOLIDADA[Codigo],0)),"")</f>
        <v>500</v>
      </c>
      <c r="AD23" s="157">
        <f t="array" ref="AD23">IFERROR(INDEX(TABLACONSOLIDADA[Inv Fís Act],MATCH("AGROINSUMOSCENTRAL"&amp;Tabla_Buffers_Agroinsumos[[#This Row],[CODIGO ]],TABLACONSOLIDADA[Bodega]&amp;TABLACONSOLIDADA[Codigo],0)),"")</f>
        <v>793</v>
      </c>
      <c r="AE23" s="157">
        <f t="array" ref="AE2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820</v>
      </c>
      <c r="AF2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3" s="91">
        <f>IFERROR(SUM(Tabla_Buffers_Agroinsumos[[#This Row],[C-MP]:[C-VL]]),"")</f>
        <v>0</v>
      </c>
      <c r="AH23" s="92">
        <f>IFERROR(Tabla_Buffers_Agroinsumos[[#This Row],[INV FIS CENTRAL]]-Tabla_Buffers_Agroinsumos[[#This Row],[BUFFER CENTRAL]],"")</f>
        <v>293</v>
      </c>
      <c r="AI2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293</v>
      </c>
      <c r="AJ23" s="134"/>
      <c r="AK23" s="134"/>
      <c r="AL23" s="134"/>
      <c r="AM23" s="134"/>
      <c r="AN23" s="134"/>
      <c r="AO23" s="134"/>
      <c r="AP23" s="134"/>
      <c r="AQ23" s="134"/>
      <c r="AR23" s="134"/>
      <c r="AS23" s="134">
        <f t="array" ref="AS23">IFERROR(INDEX(TABLACONSOLIDADA[Buff Act],MATCH("AGROINSUMOScentralPROPIA"&amp;Tabla_Buffers_Agroinsumos[[#This Row],[CODIGO ]],TABLACONSOLIDADA[Bodega]&amp;TABLACONSOLIDADA[Codigo],0)),"")</f>
        <v>240</v>
      </c>
      <c r="AT23" s="157">
        <f t="array" ref="AT23">IFERROR(INDEX(TABLACONSOLIDADA[Inv Fís Act],MATCH("AGROINSUMOScentralPROPIA"&amp;Tabla_Buffers_Agroinsumos[[#This Row],[CODIGO ]],TABLACONSOLIDADA[Bodega]&amp;TABLACONSOLIDADA[Codigo],0)),"")</f>
        <v>0</v>
      </c>
      <c r="AU23" s="157">
        <f t="array" ref="AU2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3" s="134">
        <f>IFERROR(SUM(Tabla_Buffers_Agroinsumos[[#This Row],[P-MP]:[P-VL]]),"")</f>
        <v>0</v>
      </c>
      <c r="AX23" s="92">
        <f>IFERROR(Tabla_Buffers_Agroinsumos[[#This Row],[INV FIS PROPIA]]-Tabla_Buffers_Agroinsumos[[#This Row],[BUFFER PROPIA]],"")</f>
        <v>-240</v>
      </c>
      <c r="AY2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-240</v>
      </c>
      <c r="AZ23" s="134"/>
      <c r="BA23" s="134"/>
      <c r="BB23" s="134"/>
      <c r="BC23" s="134"/>
      <c r="BD23" s="134"/>
      <c r="BE23" s="134"/>
      <c r="BF23" s="134"/>
      <c r="BG23" s="134"/>
      <c r="BH23" s="134"/>
      <c r="BI23" s="91">
        <f t="array" ref="BI23">IFERROR(INDEX(TABLACONSOLIDADA[Buff Act],MATCH("AGROINSUMOSSTODOMINGO"&amp;Tabla_Buffers_Agroinsumos[[#This Row],[CODIGO ]],TABLACONSOLIDADA[Bodega]&amp;TABLACONSOLIDADA[Codigo],0)),"")</f>
        <v>0</v>
      </c>
      <c r="BJ23" s="157">
        <f t="array" ref="BJ23">IFERROR(INDEX(TABLACONSOLIDADA[Inv Fís Act],MATCH("AGROINSUMOSSTODOMINGO"&amp;Tabla_Buffers_Agroinsumos[[#This Row],[CODIGO ]],TABLACONSOLIDADA[Bodega]&amp;TABLACONSOLIDADA[Codigo],0)),"")</f>
        <v>0</v>
      </c>
      <c r="BK23" s="157">
        <f t="array" ref="BK2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3" s="91">
        <f>IFERROR(SUM(Tabla_Buffers_Agroinsumos[[#This Row],[SD-MP]:[SD-VL]]),"")</f>
        <v>0</v>
      </c>
      <c r="BN23" s="92"/>
      <c r="BO23" s="92"/>
      <c r="BP23" s="134"/>
      <c r="BQ23" s="134"/>
      <c r="BR23" s="134"/>
      <c r="BS23" s="134"/>
      <c r="BT23" s="134"/>
      <c r="BU23" s="134"/>
      <c r="BV23" s="134"/>
      <c r="BW23" s="134"/>
      <c r="BX23" s="134"/>
      <c r="BY23" s="134">
        <f t="array" ref="BY23">IFERROR(INDEX(TABLACONSOLIDADA[Buff Act],MATCH("AGROINSUMOSMONCAYOLOPEZ"&amp;Tabla_Buffers_Agroinsumos[[#This Row],[CODIGO ]],TABLACONSOLIDADA[Bodega]&amp;TABLACONSOLIDADA[Codigo],0)),"")</f>
        <v>0</v>
      </c>
      <c r="BZ23" s="157">
        <f t="array" ref="BZ23">IFERROR(INDEX(TABLACONSOLIDADA[Inv Fís Act],MATCH("AGROINSUMOSMONCAYOLOPEZ"&amp;Tabla_Buffers_Agroinsumos[[#This Row],[CODIGO ]],TABLACONSOLIDADA[Bodega]&amp;TABLACONSOLIDADA[Codigo],0)),"")</f>
        <v>0</v>
      </c>
      <c r="CA23" s="157">
        <f t="array" ref="CA2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3" s="134">
        <f>IFERROR(SUM(Tabla_Buffers_Agroinsumos[[#This Row],[ML-MP]:[ML-VL]]),"")</f>
        <v>0</v>
      </c>
      <c r="CD23" s="92">
        <f>IFERROR(Tabla_Buffers_Agroinsumos[[#This Row],[INV FIS ML]]-Tabla_Buffers_Agroinsumos[[#This Row],[BUFFER ML]],"")</f>
        <v>0</v>
      </c>
      <c r="CE23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3" s="134"/>
      <c r="CG23" s="134"/>
      <c r="CH23" s="134"/>
      <c r="CI23" s="134"/>
      <c r="CJ23" s="134"/>
      <c r="CK23" s="134"/>
      <c r="CL23" s="134"/>
      <c r="CM23" s="134"/>
      <c r="CN23" s="134"/>
      <c r="CO23" s="134">
        <f t="array" ref="CO23">IFERROR(INDEX(TABLACONSOLIDADA[Buff Act],MATCH("AGROINSUMOSAGROHERMANOSLEON"&amp;Tabla_Buffers_Agroinsumos[[#This Row],[CODIGO ]],TABLACONSOLIDADA[Bodega]&amp;TABLACONSOLIDADA[Codigo],0)),"")</f>
        <v>70</v>
      </c>
      <c r="CP23" s="157">
        <f t="array" ref="CP23">IFERROR(INDEX(TABLACONSOLIDADA[Inv Fís Act],MATCH("AGROINSUMOSAGROHERMANOSLEON"&amp;Tabla_Buffers_Agroinsumos[[#This Row],[CODIGO ]],TABLACONSOLIDADA[Bodega]&amp;TABLACONSOLIDADA[Codigo],0)),"")</f>
        <v>84</v>
      </c>
      <c r="CQ23" s="157">
        <f t="array" ref="CQ2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84</v>
      </c>
      <c r="CR2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3" s="134">
        <f>IFERROR(SUM(Tabla_Buffers_Agroinsumos[[#This Row],[AL-MP]:[AL-VL]]),"")</f>
        <v>0</v>
      </c>
      <c r="CT23" s="92">
        <f>IFERROR(Tabla_Buffers_Agroinsumos[[#This Row],[INV FIS AL]]-Tabla_Buffers_Agroinsumos[[#This Row],[BUFFER AL]],"")</f>
        <v>14</v>
      </c>
      <c r="CU23" s="92">
        <f>IFERROR(Tabla_Buffers_Agroinsumos[[#This Row],[INV FIS AL]]+Tabla_Buffers_Agroinsumos[[#This Row],[TRANSFERENCIAS A AL]]-Tabla_Buffers_Agroinsumos[[#This Row],[BUFFER AL]]-Tabla_Buffers_Agroinsumos[[#This Row],[TRANSFERENCIAS DE AL]],"")</f>
        <v>14</v>
      </c>
      <c r="CV23" s="134"/>
      <c r="CW23" s="134"/>
      <c r="CX23" s="134"/>
      <c r="CY23" s="134"/>
      <c r="CZ23" s="134"/>
      <c r="DA23" s="134"/>
      <c r="DB23" s="134"/>
      <c r="DC23" s="134"/>
      <c r="DD23" s="134"/>
      <c r="DE23" s="134">
        <f t="array" ref="DE23">IFERROR(INDEX(TABLACONSOLIDADA[Buff Act],MATCH("AGROINSUMOSAGRONUEVO"&amp;Tabla_Buffers_Agroinsumos[[#This Row],[CODIGO ]],TABLACONSOLIDADA[Bodega]&amp;TABLACONSOLIDADA[Codigo],0)),"")</f>
        <v>0</v>
      </c>
      <c r="DF23" s="157">
        <f t="array" ref="DF23">IFERROR(INDEX(TABLACONSOLIDADA[Inv Fís Act],MATCH("AGROINSUMOSAGRONUEVO"&amp;Tabla_Buffers_Agroinsumos[[#This Row],[CODIGO ]],TABLACONSOLIDADA[Bodega]&amp;TABLACONSOLIDADA[Codigo],0)),"")</f>
        <v>0</v>
      </c>
      <c r="DG23" s="157">
        <f t="array" ref="DG2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3" s="134">
        <f>IFERROR(SUM(Tabla_Buffers_Agroinsumos[[#This Row],[AN-MP]:[AN-VL]]),"")</f>
        <v>0</v>
      </c>
      <c r="DJ23" s="92">
        <f>IFERROR(Tabla_Buffers_Agroinsumos[[#This Row],[INV FIS AN]]-Tabla_Buffers_Agroinsumos[[#This Row],[BUFFER AN]],"")</f>
        <v>0</v>
      </c>
      <c r="DK23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3" s="134"/>
      <c r="DM23" s="134"/>
      <c r="DN23" s="134"/>
      <c r="DO23" s="134"/>
      <c r="DP23" s="134"/>
      <c r="DQ23" s="134"/>
      <c r="DR23" s="134"/>
      <c r="DS23" s="134"/>
      <c r="DT23" s="134"/>
      <c r="DU23" s="134">
        <f t="array" ref="DU23">IFERROR(INDEX(TABLACONSOLIDADA[Buff Act],MATCH("AGROINSUMOSAGROQUIMICOSSUR"&amp;Tabla_Buffers_Agroinsumos[[#This Row],[CODIGO ]],TABLACONSOLIDADA[Bodega]&amp;TABLACONSOLIDADA[Codigo],0)),"")</f>
        <v>0</v>
      </c>
      <c r="DV23" s="157">
        <f t="array" ref="DV23">IFERROR(INDEX(TABLACONSOLIDADA[Inv Fís Act],MATCH("AGROINSUMOSAGROQUIMICOSSUR"&amp;Tabla_Buffers_Agroinsumos[[#This Row],[CODIGO ]],TABLACONSOLIDADA[Bodega]&amp;TABLACONSOLIDADA[Codigo],0)),"")</f>
        <v>0</v>
      </c>
      <c r="DW23" s="157">
        <f t="array" ref="DW2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3" s="134">
        <f>IFERROR(SUM(Tabla_Buffers_Agroinsumos[[#This Row],[AS-MP]:[AS-VL]]),"")</f>
        <v>0</v>
      </c>
      <c r="DZ23" s="92">
        <f>IFERROR(Tabla_Buffers_Agroinsumos[[#This Row],[INV FIS AS]]-Tabla_Buffers_Agroinsumos[[#This Row],[BUFFER AS]],"")</f>
        <v>0</v>
      </c>
      <c r="EA23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3" s="134"/>
      <c r="EC23" s="134"/>
      <c r="ED23" s="134"/>
      <c r="EE23" s="134"/>
      <c r="EF23" s="134"/>
      <c r="EG23" s="134"/>
      <c r="EH23" s="134"/>
      <c r="EI23" s="134"/>
      <c r="EJ23" s="134"/>
      <c r="EK23" s="134">
        <f t="array" ref="EK23">IFERROR(INDEX(TABLACONSOLIDADA[Buff Act],MATCH("AGROINSUMOSLAFINCA"&amp;Tabla_Buffers_Agroinsumos[[#This Row],[CODIGO ]],TABLACONSOLIDADA[Bodega]&amp;TABLACONSOLIDADA[Codigo],0)),"")</f>
        <v>0</v>
      </c>
      <c r="EL23" s="157">
        <f t="array" ref="EL23">IFERROR(INDEX(TABLACONSOLIDADA[Inv Fís Act],MATCH("AGROINSUMOSLAFINCA"&amp;Tabla_Buffers_Agroinsumos[[#This Row],[CODIGO ]],TABLACONSOLIDADA[Bodega]&amp;TABLACONSOLIDADA[Codigo],0)),"")</f>
        <v>0</v>
      </c>
      <c r="EM23" s="157">
        <f t="array" ref="EM2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3" s="134">
        <f>IFERROR(SUM(Tabla_Buffers_Agroinsumos[[#This Row],[LF-MP]:[LF-VL]]),"")</f>
        <v>0</v>
      </c>
      <c r="EP23" s="92">
        <f>IFERROR(Tabla_Buffers_Agroinsumos[[#This Row],[INV FIS LF]]-Tabla_Buffers_Agroinsumos[[#This Row],[BUFFER LF]],"")</f>
        <v>0</v>
      </c>
      <c r="EQ2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3" s="134"/>
      <c r="ES23" s="134"/>
      <c r="ET23" s="134"/>
      <c r="EU23" s="134"/>
      <c r="EV23" s="134"/>
      <c r="EW23" s="134"/>
      <c r="EX23" s="134"/>
      <c r="EY23" s="134"/>
      <c r="EZ23" s="134"/>
      <c r="FA23" s="134">
        <f t="array" ref="FA23">IFERROR(INDEX(TABLACONSOLIDADA[Buff Act],MATCH("AGROINSUMOSVERONICALEDESMA"&amp;Tabla_Buffers_Agroinsumos[[#This Row],[CODIGO ]],TABLACONSOLIDADA[Bodega]&amp;TABLACONSOLIDADA[Codigo],0)),"")</f>
        <v>32</v>
      </c>
      <c r="FB23" s="157">
        <f t="array" ref="FB23">IFERROR(INDEX(TABLACONSOLIDADA[Inv Fís Act],MATCH("AGROINSUMOSVERONICALEDESMA"&amp;Tabla_Buffers_Agroinsumos[[#This Row],[CODIGO ]],TABLACONSOLIDADA[Bodega]&amp;TABLACONSOLIDADA[Codigo],0)),"")</f>
        <v>32</v>
      </c>
      <c r="FC23" s="157">
        <f t="array" ref="FC2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32</v>
      </c>
      <c r="FD2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3" s="134">
        <f>IFERROR(SUM(Tabla_Buffers_Agroinsumos[[#This Row],[VL-MP]:[VL-LF]]),"")</f>
        <v>0</v>
      </c>
      <c r="FF23" s="92">
        <f>IFERROR(Tabla_Buffers_Agroinsumos[[#This Row],[INV FIS VL]]-Tabla_Buffers_Agroinsumos[[#This Row],[BUFFER VL]],"")</f>
        <v>0</v>
      </c>
      <c r="FG23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3" s="134"/>
      <c r="FI23" s="134"/>
      <c r="FJ23" s="134"/>
      <c r="FK23" s="134"/>
      <c r="FL23" s="134"/>
      <c r="FM23" s="134"/>
      <c r="FN23" s="134"/>
      <c r="FO23" s="134"/>
      <c r="FP23" s="134"/>
    </row>
    <row r="24" spans="1:172">
      <c r="A24" s="7" t="s">
        <v>95</v>
      </c>
      <c r="B24" s="7" t="s">
        <v>96</v>
      </c>
      <c r="C24" s="7" t="s">
        <v>707</v>
      </c>
      <c r="D24" s="7" t="s">
        <v>715</v>
      </c>
      <c r="E24" s="7" t="s">
        <v>975</v>
      </c>
      <c r="F24" s="19" t="s">
        <v>698</v>
      </c>
      <c r="G24" s="19" t="s">
        <v>698</v>
      </c>
      <c r="H24" s="19">
        <f>VLOOKUP(Tabla_Buffers_Agroinsumos[[#This Row],[CODIGO ]],TABLACONSOLIDADA[[Codigo]:[PV]],6,0)</f>
        <v>5.49</v>
      </c>
      <c r="I24" s="19">
        <f>VLOOKUP(Tabla_Buffers_Agroinsumos[[#This Row],[CODIGO ]],TABLACONSOLIDADA[[Codigo]:[PV]],5,0)</f>
        <v>1.94</v>
      </c>
      <c r="J24" s="19" t="s">
        <v>698</v>
      </c>
      <c r="K24" s="19" t="s">
        <v>698</v>
      </c>
      <c r="L24" s="19">
        <f>IFERROR(Tabla_Buffers_Agroinsumos[[#This Row],[BUFFER CENTRAL]]/((Tabla_Buffers_Agroinsumos[[#This Row],[TIEMPO REPOSICION ]]/Tabla_Buffers_Agroinsumos[[#This Row],[FRECUENCIA]])+1),0)</f>
        <v>0</v>
      </c>
      <c r="M24" s="19" t="str">
        <f t="array" ref="M24">IFERROR(INDEX(TABLACONSOLIDADA[Buff Act],MATCH("AGROINSUMOSMATERIAPRIMA"&amp;Tabla_Buffers_Agroinsumos[[#This Row],[CODIGO ]],TABLACONSOLIDADA[Bodega]&amp;TABLACONSOLIDADA[Codigo],0)),"")</f>
        <v/>
      </c>
      <c r="N24" s="157" t="str">
        <f t="array" ref="N24">IFERROR(INDEX(TABLACONSOLIDADA[Inv Fís Act],MATCH("AGROINSUMOSMATERIAPRIMA"&amp;Tabla_Buffers_Agroinsumos[[#This Row],[CODIGO ]],TABLACONSOLIDADA[Bodega]&amp;TABLACONSOLIDADA[Codigo],0)),"")</f>
        <v/>
      </c>
      <c r="O24" s="157" t="str">
        <f t="array" ref="O2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4" s="19">
        <f>IFERROR(SUM(Tabla_Buffers_Agroinsumos[[#This Row],[MP-C]:[MP-VL]]),"")</f>
        <v>0</v>
      </c>
      <c r="R24" s="92" t="str">
        <f>IFERROR(Tabla_Buffers_Agroinsumos[[#This Row],[INV FIS MATERIA PRIMA]]-Tabla_Buffers_Agroinsumos[[#This Row],[BUFFER MATERIA PRIMA]],"")</f>
        <v/>
      </c>
      <c r="S2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4" s="19"/>
      <c r="U24" s="19"/>
      <c r="V24" s="19"/>
      <c r="W24" s="19"/>
      <c r="X24" s="19"/>
      <c r="Y24" s="19"/>
      <c r="Z24" s="19"/>
      <c r="AA24" s="19"/>
      <c r="AB24" s="19"/>
      <c r="AC24" s="152">
        <f t="array" ref="AC24">IFERROR(INDEX(TABLACONSOLIDADA[Buff Act],MATCH("AGROINSUMOSCENTRAL"&amp;Tabla_Buffers_Agroinsumos[[#This Row],[CODIGO ]],TABLACONSOLIDADA[Bodega]&amp;TABLACONSOLIDADA[Codigo],0)),"")</f>
        <v>500</v>
      </c>
      <c r="AD24" s="157">
        <f t="array" ref="AD24">IFERROR(INDEX(TABLACONSOLIDADA[Inv Fís Act],MATCH("AGROINSUMOSCENTRAL"&amp;Tabla_Buffers_Agroinsumos[[#This Row],[CODIGO ]],TABLACONSOLIDADA[Bodega]&amp;TABLACONSOLIDADA[Codigo],0)),"")</f>
        <v>600</v>
      </c>
      <c r="AE24" s="157">
        <f t="array" ref="AE2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600</v>
      </c>
      <c r="AF2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4" s="91">
        <f>IFERROR(SUM(Tabla_Buffers_Agroinsumos[[#This Row],[C-MP]:[C-VL]]),"")</f>
        <v>0</v>
      </c>
      <c r="AH24" s="92">
        <f>IFERROR(Tabla_Buffers_Agroinsumos[[#This Row],[INV FIS CENTRAL]]-Tabla_Buffers_Agroinsumos[[#This Row],[BUFFER CENTRAL]],"")</f>
        <v>100</v>
      </c>
      <c r="AI2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100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>
        <f t="array" ref="AS24">IFERROR(INDEX(TABLACONSOLIDADA[Buff Act],MATCH("AGROINSUMOScentralPROPIA"&amp;Tabla_Buffers_Agroinsumos[[#This Row],[CODIGO ]],TABLACONSOLIDADA[Bodega]&amp;TABLACONSOLIDADA[Codigo],0)),"")</f>
        <v>240</v>
      </c>
      <c r="AT24" s="157">
        <f t="array" ref="AT24">IFERROR(INDEX(TABLACONSOLIDADA[Inv Fís Act],MATCH("AGROINSUMOScentralPROPIA"&amp;Tabla_Buffers_Agroinsumos[[#This Row],[CODIGO ]],TABLACONSOLIDADA[Bodega]&amp;TABLACONSOLIDADA[Codigo],0)),"")</f>
        <v>0</v>
      </c>
      <c r="AU24" s="157">
        <f t="array" ref="AU2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4" s="134">
        <f>IFERROR(SUM(Tabla_Buffers_Agroinsumos[[#This Row],[P-MP]:[P-VL]]),"")</f>
        <v>0</v>
      </c>
      <c r="AX24" s="92">
        <f>IFERROR(Tabla_Buffers_Agroinsumos[[#This Row],[INV FIS PROPIA]]-Tabla_Buffers_Agroinsumos[[#This Row],[BUFFER PROPIA]],"")</f>
        <v>-240</v>
      </c>
      <c r="AY2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-240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91">
        <f t="array" ref="BI24">IFERROR(INDEX(TABLACONSOLIDADA[Buff Act],MATCH("AGROINSUMOSSTODOMINGO"&amp;Tabla_Buffers_Agroinsumos[[#This Row],[CODIGO ]],TABLACONSOLIDADA[Bodega]&amp;TABLACONSOLIDADA[Codigo],0)),"")</f>
        <v>0</v>
      </c>
      <c r="BJ24" s="157">
        <f t="array" ref="BJ24">IFERROR(INDEX(TABLACONSOLIDADA[Inv Fís Act],MATCH("AGROINSUMOSSTODOMINGO"&amp;Tabla_Buffers_Agroinsumos[[#This Row],[CODIGO ]],TABLACONSOLIDADA[Bodega]&amp;TABLACONSOLIDADA[Codigo],0)),"")</f>
        <v>40</v>
      </c>
      <c r="BK24" s="157">
        <f t="array" ref="BK2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40</v>
      </c>
      <c r="BL2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4" s="91">
        <f>IFERROR(SUM(Tabla_Buffers_Agroinsumos[[#This Row],[SD-MP]:[SD-VL]]),"")</f>
        <v>0</v>
      </c>
      <c r="BN24" s="92"/>
      <c r="BO24" s="92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>
        <f t="array" ref="BY24">IFERROR(INDEX(TABLACONSOLIDADA[Buff Act],MATCH("AGROINSUMOSMONCAYOLOPEZ"&amp;Tabla_Buffers_Agroinsumos[[#This Row],[CODIGO ]],TABLACONSOLIDADA[Bodega]&amp;TABLACONSOLIDADA[Codigo],0)),"")</f>
        <v>25</v>
      </c>
      <c r="BZ24" s="157">
        <f t="array" ref="BZ24">IFERROR(INDEX(TABLACONSOLIDADA[Inv Fís Act],MATCH("AGROINSUMOSMONCAYOLOPEZ"&amp;Tabla_Buffers_Agroinsumos[[#This Row],[CODIGO ]],TABLACONSOLIDADA[Bodega]&amp;TABLACONSOLIDADA[Codigo],0)),"")</f>
        <v>3</v>
      </c>
      <c r="CA24" s="157">
        <f t="array" ref="CA2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3</v>
      </c>
      <c r="CB2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4" s="134">
        <f>IFERROR(SUM(Tabla_Buffers_Agroinsumos[[#This Row],[ML-MP]:[ML-VL]]),"")</f>
        <v>0</v>
      </c>
      <c r="CD24" s="92">
        <f>IFERROR(Tabla_Buffers_Agroinsumos[[#This Row],[INV FIS ML]]-Tabla_Buffers_Agroinsumos[[#This Row],[BUFFER ML]],"")</f>
        <v>-22</v>
      </c>
      <c r="CE24" s="92">
        <f>IFERROR(Tabla_Buffers_Agroinsumos[[#This Row],[INV FIS ML]]+Tabla_Buffers_Agroinsumos[[#This Row],[TRANSFERENCIAS A ML]]-Tabla_Buffers_Agroinsumos[[#This Row],[BUFFER ML]]-Tabla_Buffers_Agroinsumos[[#This Row],[TRANSFERENCIAS DE ML]],"")</f>
        <v>-22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>
        <f t="array" ref="CO24">IFERROR(INDEX(TABLACONSOLIDADA[Buff Act],MATCH("AGROINSUMOSAGROHERMANOSLEON"&amp;Tabla_Buffers_Agroinsumos[[#This Row],[CODIGO ]],TABLACONSOLIDADA[Bodega]&amp;TABLACONSOLIDADA[Codigo],0)),"")</f>
        <v>70</v>
      </c>
      <c r="CP24" s="157">
        <f t="array" ref="CP24">IFERROR(INDEX(TABLACONSOLIDADA[Inv Fís Act],MATCH("AGROINSUMOSAGROHERMANOSLEON"&amp;Tabla_Buffers_Agroinsumos[[#This Row],[CODIGO ]],TABLACONSOLIDADA[Bodega]&amp;TABLACONSOLIDADA[Codigo],0)),"")</f>
        <v>70</v>
      </c>
      <c r="CQ24" s="157">
        <f t="array" ref="CQ2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70</v>
      </c>
      <c r="CR2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4" s="134">
        <f>IFERROR(SUM(Tabla_Buffers_Agroinsumos[[#This Row],[AL-MP]:[AL-VL]]),"")</f>
        <v>0</v>
      </c>
      <c r="CT24" s="92">
        <f>IFERROR(Tabla_Buffers_Agroinsumos[[#This Row],[INV FIS AL]]-Tabla_Buffers_Agroinsumos[[#This Row],[BUFFER AL]],"")</f>
        <v>0</v>
      </c>
      <c r="CU24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>
        <f t="array" ref="DE24">IFERROR(INDEX(TABLACONSOLIDADA[Buff Act],MATCH("AGROINSUMOSAGRONUEVO"&amp;Tabla_Buffers_Agroinsumos[[#This Row],[CODIGO ]],TABLACONSOLIDADA[Bodega]&amp;TABLACONSOLIDADA[Codigo],0)),"")</f>
        <v>0</v>
      </c>
      <c r="DF24" s="157">
        <f t="array" ref="DF24">IFERROR(INDEX(TABLACONSOLIDADA[Inv Fís Act],MATCH("AGROINSUMOSAGRONUEVO"&amp;Tabla_Buffers_Agroinsumos[[#This Row],[CODIGO ]],TABLACONSOLIDADA[Bodega]&amp;TABLACONSOLIDADA[Codigo],0)),"")</f>
        <v>0</v>
      </c>
      <c r="DG24" s="157">
        <f t="array" ref="DG2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4" s="134">
        <f>IFERROR(SUM(Tabla_Buffers_Agroinsumos[[#This Row],[AN-MP]:[AN-VL]]),"")</f>
        <v>0</v>
      </c>
      <c r="DJ24" s="92">
        <f>IFERROR(Tabla_Buffers_Agroinsumos[[#This Row],[INV FIS AN]]-Tabla_Buffers_Agroinsumos[[#This Row],[BUFFER AN]],"")</f>
        <v>0</v>
      </c>
      <c r="DK24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>
        <f t="array" ref="DU24">IFERROR(INDEX(TABLACONSOLIDADA[Buff Act],MATCH("AGROINSUMOSAGROQUIMICOSSUR"&amp;Tabla_Buffers_Agroinsumos[[#This Row],[CODIGO ]],TABLACONSOLIDADA[Bodega]&amp;TABLACONSOLIDADA[Codigo],0)),"")</f>
        <v>0</v>
      </c>
      <c r="DV24" s="157">
        <f t="array" ref="DV24">IFERROR(INDEX(TABLACONSOLIDADA[Inv Fís Act],MATCH("AGROINSUMOSAGROQUIMICOSSUR"&amp;Tabla_Buffers_Agroinsumos[[#This Row],[CODIGO ]],TABLACONSOLIDADA[Bodega]&amp;TABLACONSOLIDADA[Codigo],0)),"")</f>
        <v>0</v>
      </c>
      <c r="DW24" s="157">
        <f t="array" ref="DW2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4" s="134">
        <f>IFERROR(SUM(Tabla_Buffers_Agroinsumos[[#This Row],[AS-MP]:[AS-VL]]),"")</f>
        <v>0</v>
      </c>
      <c r="DZ24" s="92">
        <f>IFERROR(Tabla_Buffers_Agroinsumos[[#This Row],[INV FIS AS]]-Tabla_Buffers_Agroinsumos[[#This Row],[BUFFER AS]],"")</f>
        <v>0</v>
      </c>
      <c r="EA24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>
        <f t="array" ref="EK24">IFERROR(INDEX(TABLACONSOLIDADA[Buff Act],MATCH("AGROINSUMOSLAFINCA"&amp;Tabla_Buffers_Agroinsumos[[#This Row],[CODIGO ]],TABLACONSOLIDADA[Bodega]&amp;TABLACONSOLIDADA[Codigo],0)),"")</f>
        <v>0</v>
      </c>
      <c r="EL24" s="157">
        <f t="array" ref="EL24">IFERROR(INDEX(TABLACONSOLIDADA[Inv Fís Act],MATCH("AGROINSUMOSLAFINCA"&amp;Tabla_Buffers_Agroinsumos[[#This Row],[CODIGO ]],TABLACONSOLIDADA[Bodega]&amp;TABLACONSOLIDADA[Codigo],0)),"")</f>
        <v>0</v>
      </c>
      <c r="EM24" s="157">
        <f t="array" ref="EM2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4" s="134">
        <f>IFERROR(SUM(Tabla_Buffers_Agroinsumos[[#This Row],[LF-MP]:[LF-VL]]),"")</f>
        <v>0</v>
      </c>
      <c r="EP24" s="92">
        <f>IFERROR(Tabla_Buffers_Agroinsumos[[#This Row],[INV FIS LF]]-Tabla_Buffers_Agroinsumos[[#This Row],[BUFFER LF]],"")</f>
        <v>0</v>
      </c>
      <c r="EQ24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>
        <f t="array" ref="FA24">IFERROR(INDEX(TABLACONSOLIDADA[Buff Act],MATCH("AGROINSUMOSVERONICALEDESMA"&amp;Tabla_Buffers_Agroinsumos[[#This Row],[CODIGO ]],TABLACONSOLIDADA[Bodega]&amp;TABLACONSOLIDADA[Codigo],0)),"")</f>
        <v>0</v>
      </c>
      <c r="FB24" s="157">
        <f t="array" ref="FB24">IFERROR(INDEX(TABLACONSOLIDADA[Inv Fís Act],MATCH("AGROINSUMOSVERONICALEDESMA"&amp;Tabla_Buffers_Agroinsumos[[#This Row],[CODIGO ]],TABLACONSOLIDADA[Bodega]&amp;TABLACONSOLIDADA[Codigo],0)),"")</f>
        <v>0</v>
      </c>
      <c r="FC24" s="157">
        <f t="array" ref="FC2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4" s="134">
        <f>IFERROR(SUM(Tabla_Buffers_Agroinsumos[[#This Row],[VL-MP]:[VL-LF]]),"")</f>
        <v>0</v>
      </c>
      <c r="FF24" s="92">
        <f>IFERROR(Tabla_Buffers_Agroinsumos[[#This Row],[INV FIS VL]]-Tabla_Buffers_Agroinsumos[[#This Row],[BUFFER VL]],"")</f>
        <v>0</v>
      </c>
      <c r="FG24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4" s="134"/>
      <c r="FI24" s="134"/>
      <c r="FJ24" s="134"/>
      <c r="FK24" s="134"/>
      <c r="FL24" s="134"/>
      <c r="FM24" s="134"/>
      <c r="FN24" s="134"/>
      <c r="FO24" s="134"/>
      <c r="FP24" s="134"/>
    </row>
    <row r="25" spans="1:172">
      <c r="A25" s="7" t="s">
        <v>97</v>
      </c>
      <c r="B25" s="7" t="s">
        <v>98</v>
      </c>
      <c r="C25" s="7" t="s">
        <v>707</v>
      </c>
      <c r="D25" s="7" t="s">
        <v>715</v>
      </c>
      <c r="E25" s="7" t="s">
        <v>975</v>
      </c>
      <c r="F25" s="19" t="s">
        <v>698</v>
      </c>
      <c r="G25" s="19" t="s">
        <v>698</v>
      </c>
      <c r="H25" s="19">
        <f>VLOOKUP(Tabla_Buffers_Agroinsumos[[#This Row],[CODIGO ]],TABLACONSOLIDADA[[Codigo]:[PV]],6,0)</f>
        <v>4.99</v>
      </c>
      <c r="I25" s="19">
        <f>VLOOKUP(Tabla_Buffers_Agroinsumos[[#This Row],[CODIGO ]],TABLACONSOLIDADA[[Codigo]:[PV]],5,0)</f>
        <v>1.78</v>
      </c>
      <c r="J25" s="19" t="s">
        <v>698</v>
      </c>
      <c r="K25" s="19" t="s">
        <v>698</v>
      </c>
      <c r="L25" s="19">
        <f>IFERROR(Tabla_Buffers_Agroinsumos[[#This Row],[BUFFER CENTRAL]]/((Tabla_Buffers_Agroinsumos[[#This Row],[TIEMPO REPOSICION ]]/Tabla_Buffers_Agroinsumos[[#This Row],[FRECUENCIA]])+1),0)</f>
        <v>0</v>
      </c>
      <c r="M25" s="19" t="str">
        <f t="array" ref="M25">IFERROR(INDEX(TABLACONSOLIDADA[Buff Act],MATCH("AGROINSUMOSMATERIAPRIMA"&amp;Tabla_Buffers_Agroinsumos[[#This Row],[CODIGO ]],TABLACONSOLIDADA[Bodega]&amp;TABLACONSOLIDADA[Codigo],0)),"")</f>
        <v/>
      </c>
      <c r="N25" s="157" t="str">
        <f t="array" ref="N25">IFERROR(INDEX(TABLACONSOLIDADA[Inv Fís Act],MATCH("AGROINSUMOSMATERIAPRIMA"&amp;Tabla_Buffers_Agroinsumos[[#This Row],[CODIGO ]],TABLACONSOLIDADA[Bodega]&amp;TABLACONSOLIDADA[Codigo],0)),"")</f>
        <v/>
      </c>
      <c r="O25" s="157" t="str">
        <f t="array" ref="O2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5" s="19">
        <f>IFERROR(SUM(Tabla_Buffers_Agroinsumos[[#This Row],[MP-C]:[MP-VL]]),"")</f>
        <v>0</v>
      </c>
      <c r="R25" s="92" t="str">
        <f>IFERROR(Tabla_Buffers_Agroinsumos[[#This Row],[INV FIS MATERIA PRIMA]]-Tabla_Buffers_Agroinsumos[[#This Row],[BUFFER MATERIA PRIMA]],"")</f>
        <v/>
      </c>
      <c r="S2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5" s="19"/>
      <c r="U25" s="19"/>
      <c r="V25" s="19"/>
      <c r="W25" s="19"/>
      <c r="X25" s="19"/>
      <c r="Y25" s="19"/>
      <c r="Z25" s="19"/>
      <c r="AA25" s="19"/>
      <c r="AB25" s="19"/>
      <c r="AC25" s="152">
        <f t="array" ref="AC25">IFERROR(INDEX(TABLACONSOLIDADA[Buff Act],MATCH("AGROINSUMOSCENTRAL"&amp;Tabla_Buffers_Agroinsumos[[#This Row],[CODIGO ]],TABLACONSOLIDADA[Bodega]&amp;TABLACONSOLIDADA[Codigo],0)),"")</f>
        <v>500</v>
      </c>
      <c r="AD25" s="157">
        <f t="array" ref="AD25">IFERROR(INDEX(TABLACONSOLIDADA[Inv Fís Act],MATCH("AGROINSUMOSCENTRAL"&amp;Tabla_Buffers_Agroinsumos[[#This Row],[CODIGO ]],TABLACONSOLIDADA[Bodega]&amp;TABLACONSOLIDADA[Codigo],0)),"")</f>
        <v>600</v>
      </c>
      <c r="AE25" s="157">
        <f t="array" ref="AE2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600</v>
      </c>
      <c r="AF2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5" s="91">
        <f>IFERROR(SUM(Tabla_Buffers_Agroinsumos[[#This Row],[C-MP]:[C-VL]]),"")</f>
        <v>0</v>
      </c>
      <c r="AH25" s="92">
        <f>IFERROR(Tabla_Buffers_Agroinsumos[[#This Row],[INV FIS CENTRAL]]-Tabla_Buffers_Agroinsumos[[#This Row],[BUFFER CENTRAL]],"")</f>
        <v>100</v>
      </c>
      <c r="AI2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100</v>
      </c>
      <c r="AJ25" s="134"/>
      <c r="AK25" s="134"/>
      <c r="AL25" s="134"/>
      <c r="AM25" s="134"/>
      <c r="AN25" s="134"/>
      <c r="AO25" s="134"/>
      <c r="AP25" s="134"/>
      <c r="AQ25" s="134"/>
      <c r="AR25" s="134"/>
      <c r="AS25" s="134">
        <f t="array" ref="AS25">IFERROR(INDEX(TABLACONSOLIDADA[Buff Act],MATCH("AGROINSUMOScentralPROPIA"&amp;Tabla_Buffers_Agroinsumos[[#This Row],[CODIGO ]],TABLACONSOLIDADA[Bodega]&amp;TABLACONSOLIDADA[Codigo],0)),"")</f>
        <v>240</v>
      </c>
      <c r="AT25" s="157">
        <f t="array" ref="AT25">IFERROR(INDEX(TABLACONSOLIDADA[Inv Fís Act],MATCH("AGROINSUMOScentralPROPIA"&amp;Tabla_Buffers_Agroinsumos[[#This Row],[CODIGO ]],TABLACONSOLIDADA[Bodega]&amp;TABLACONSOLIDADA[Codigo],0)),"")</f>
        <v>0</v>
      </c>
      <c r="AU25" s="157">
        <f t="array" ref="AU2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5" s="134">
        <f>IFERROR(SUM(Tabla_Buffers_Agroinsumos[[#This Row],[P-MP]:[P-VL]]),"")</f>
        <v>0</v>
      </c>
      <c r="AX25" s="92">
        <f>IFERROR(Tabla_Buffers_Agroinsumos[[#This Row],[INV FIS PROPIA]]-Tabla_Buffers_Agroinsumos[[#This Row],[BUFFER PROPIA]],"")</f>
        <v>-240</v>
      </c>
      <c r="AY2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-240</v>
      </c>
      <c r="AZ25" s="134"/>
      <c r="BA25" s="134"/>
      <c r="BB25" s="134"/>
      <c r="BC25" s="134"/>
      <c r="BD25" s="134"/>
      <c r="BE25" s="134"/>
      <c r="BF25" s="134"/>
      <c r="BG25" s="134"/>
      <c r="BH25" s="134"/>
      <c r="BI25" s="91">
        <f t="array" ref="BI25">IFERROR(INDEX(TABLACONSOLIDADA[Buff Act],MATCH("AGROINSUMOSSTODOMINGO"&amp;Tabla_Buffers_Agroinsumos[[#This Row],[CODIGO ]],TABLACONSOLIDADA[Bodega]&amp;TABLACONSOLIDADA[Codigo],0)),"")</f>
        <v>0</v>
      </c>
      <c r="BJ25" s="157">
        <f t="array" ref="BJ25">IFERROR(INDEX(TABLACONSOLIDADA[Inv Fís Act],MATCH("AGROINSUMOSSTODOMINGO"&amp;Tabla_Buffers_Agroinsumos[[#This Row],[CODIGO ]],TABLACONSOLIDADA[Bodega]&amp;TABLACONSOLIDADA[Codigo],0)),"")</f>
        <v>90</v>
      </c>
      <c r="BK25" s="157">
        <f t="array" ref="BK2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90</v>
      </c>
      <c r="BL2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5" s="91">
        <f>IFERROR(SUM(Tabla_Buffers_Agroinsumos[[#This Row],[SD-MP]:[SD-VL]]),"")</f>
        <v>0</v>
      </c>
      <c r="BN25" s="92"/>
      <c r="BO25" s="92"/>
      <c r="BP25" s="134"/>
      <c r="BQ25" s="134"/>
      <c r="BR25" s="134"/>
      <c r="BS25" s="134"/>
      <c r="BT25" s="134"/>
      <c r="BU25" s="134"/>
      <c r="BV25" s="134"/>
      <c r="BW25" s="134"/>
      <c r="BX25" s="134"/>
      <c r="BY25" s="134">
        <f t="array" ref="BY25">IFERROR(INDEX(TABLACONSOLIDADA[Buff Act],MATCH("AGROINSUMOSMONCAYOLOPEZ"&amp;Tabla_Buffers_Agroinsumos[[#This Row],[CODIGO ]],TABLACONSOLIDADA[Bodega]&amp;TABLACONSOLIDADA[Codigo],0)),"")</f>
        <v>25</v>
      </c>
      <c r="BZ25" s="157">
        <f t="array" ref="BZ25">IFERROR(INDEX(TABLACONSOLIDADA[Inv Fís Act],MATCH("AGROINSUMOSMONCAYOLOPEZ"&amp;Tabla_Buffers_Agroinsumos[[#This Row],[CODIGO ]],TABLACONSOLIDADA[Bodega]&amp;TABLACONSOLIDADA[Codigo],0)),"")</f>
        <v>0</v>
      </c>
      <c r="CA25" s="157">
        <f t="array" ref="CA2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5" s="134">
        <f>IFERROR(SUM(Tabla_Buffers_Agroinsumos[[#This Row],[ML-MP]:[ML-VL]]),"")</f>
        <v>0</v>
      </c>
      <c r="CD25" s="92">
        <f>IFERROR(Tabla_Buffers_Agroinsumos[[#This Row],[INV FIS ML]]-Tabla_Buffers_Agroinsumos[[#This Row],[BUFFER ML]],"")</f>
        <v>-25</v>
      </c>
      <c r="CE25" s="92">
        <f>IFERROR(Tabla_Buffers_Agroinsumos[[#This Row],[INV FIS ML]]+Tabla_Buffers_Agroinsumos[[#This Row],[TRANSFERENCIAS A ML]]-Tabla_Buffers_Agroinsumos[[#This Row],[BUFFER ML]]-Tabla_Buffers_Agroinsumos[[#This Row],[TRANSFERENCIAS DE ML]],"")</f>
        <v>-25</v>
      </c>
      <c r="CF25" s="134"/>
      <c r="CG25" s="134"/>
      <c r="CH25" s="134"/>
      <c r="CI25" s="134"/>
      <c r="CJ25" s="134"/>
      <c r="CK25" s="134"/>
      <c r="CL25" s="134"/>
      <c r="CM25" s="134"/>
      <c r="CN25" s="134"/>
      <c r="CO25" s="134">
        <f t="array" ref="CO25">IFERROR(INDEX(TABLACONSOLIDADA[Buff Act],MATCH("AGROINSUMOSAGROHERMANOSLEON"&amp;Tabla_Buffers_Agroinsumos[[#This Row],[CODIGO ]],TABLACONSOLIDADA[Bodega]&amp;TABLACONSOLIDADA[Codigo],0)),"")</f>
        <v>70</v>
      </c>
      <c r="CP25" s="157">
        <f t="array" ref="CP25">IFERROR(INDEX(TABLACONSOLIDADA[Inv Fís Act],MATCH("AGROINSUMOSAGROHERMANOSLEON"&amp;Tabla_Buffers_Agroinsumos[[#This Row],[CODIGO ]],TABLACONSOLIDADA[Bodega]&amp;TABLACONSOLIDADA[Codigo],0)),"")</f>
        <v>70</v>
      </c>
      <c r="CQ25" s="157">
        <f t="array" ref="CQ2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70</v>
      </c>
      <c r="CR2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5" s="134">
        <f>IFERROR(SUM(Tabla_Buffers_Agroinsumos[[#This Row],[AL-MP]:[AL-VL]]),"")</f>
        <v>0</v>
      </c>
      <c r="CT25" s="92">
        <f>IFERROR(Tabla_Buffers_Agroinsumos[[#This Row],[INV FIS AL]]-Tabla_Buffers_Agroinsumos[[#This Row],[BUFFER AL]],"")</f>
        <v>0</v>
      </c>
      <c r="CU2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5" s="134"/>
      <c r="CW25" s="134"/>
      <c r="CX25" s="134"/>
      <c r="CY25" s="134"/>
      <c r="CZ25" s="134"/>
      <c r="DA25" s="134"/>
      <c r="DB25" s="134"/>
      <c r="DC25" s="134"/>
      <c r="DD25" s="134"/>
      <c r="DE25" s="134">
        <f t="array" ref="DE25">IFERROR(INDEX(TABLACONSOLIDADA[Buff Act],MATCH("AGROINSUMOSAGRONUEVO"&amp;Tabla_Buffers_Agroinsumos[[#This Row],[CODIGO ]],TABLACONSOLIDADA[Bodega]&amp;TABLACONSOLIDADA[Codigo],0)),"")</f>
        <v>0</v>
      </c>
      <c r="DF25" s="157">
        <f t="array" ref="DF25">IFERROR(INDEX(TABLACONSOLIDADA[Inv Fís Act],MATCH("AGROINSUMOSAGRONUEVO"&amp;Tabla_Buffers_Agroinsumos[[#This Row],[CODIGO ]],TABLACONSOLIDADA[Bodega]&amp;TABLACONSOLIDADA[Codigo],0)),"")</f>
        <v>0</v>
      </c>
      <c r="DG25" s="157">
        <f t="array" ref="DG2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5" s="134">
        <f>IFERROR(SUM(Tabla_Buffers_Agroinsumos[[#This Row],[AN-MP]:[AN-VL]]),"")</f>
        <v>0</v>
      </c>
      <c r="DJ25" s="92">
        <f>IFERROR(Tabla_Buffers_Agroinsumos[[#This Row],[INV FIS AN]]-Tabla_Buffers_Agroinsumos[[#This Row],[BUFFER AN]],"")</f>
        <v>0</v>
      </c>
      <c r="DK2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5" s="134"/>
      <c r="DM25" s="134"/>
      <c r="DN25" s="134"/>
      <c r="DO25" s="134"/>
      <c r="DP25" s="134"/>
      <c r="DQ25" s="134"/>
      <c r="DR25" s="134"/>
      <c r="DS25" s="134"/>
      <c r="DT25" s="134"/>
      <c r="DU25" s="134">
        <f t="array" ref="DU25">IFERROR(INDEX(TABLACONSOLIDADA[Buff Act],MATCH("AGROINSUMOSAGROQUIMICOSSUR"&amp;Tabla_Buffers_Agroinsumos[[#This Row],[CODIGO ]],TABLACONSOLIDADA[Bodega]&amp;TABLACONSOLIDADA[Codigo],0)),"")</f>
        <v>0</v>
      </c>
      <c r="DV25" s="157">
        <f t="array" ref="DV25">IFERROR(INDEX(TABLACONSOLIDADA[Inv Fís Act],MATCH("AGROINSUMOSAGROQUIMICOSSUR"&amp;Tabla_Buffers_Agroinsumos[[#This Row],[CODIGO ]],TABLACONSOLIDADA[Bodega]&amp;TABLACONSOLIDADA[Codigo],0)),"")</f>
        <v>0</v>
      </c>
      <c r="DW25" s="157">
        <f t="array" ref="DW2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5" s="134">
        <f>IFERROR(SUM(Tabla_Buffers_Agroinsumos[[#This Row],[AS-MP]:[AS-VL]]),"")</f>
        <v>0</v>
      </c>
      <c r="DZ25" s="92">
        <f>IFERROR(Tabla_Buffers_Agroinsumos[[#This Row],[INV FIS AS]]-Tabla_Buffers_Agroinsumos[[#This Row],[BUFFER AS]],"")</f>
        <v>0</v>
      </c>
      <c r="EA2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5" s="134"/>
      <c r="EC25" s="134"/>
      <c r="ED25" s="134"/>
      <c r="EE25" s="134"/>
      <c r="EF25" s="134"/>
      <c r="EG25" s="134"/>
      <c r="EH25" s="134"/>
      <c r="EI25" s="134"/>
      <c r="EJ25" s="134"/>
      <c r="EK25" s="134">
        <f t="array" ref="EK25">IFERROR(INDEX(TABLACONSOLIDADA[Buff Act],MATCH("AGROINSUMOSLAFINCA"&amp;Tabla_Buffers_Agroinsumos[[#This Row],[CODIGO ]],TABLACONSOLIDADA[Bodega]&amp;TABLACONSOLIDADA[Codigo],0)),"")</f>
        <v>0</v>
      </c>
      <c r="EL25" s="157">
        <f t="array" ref="EL25">IFERROR(INDEX(TABLACONSOLIDADA[Inv Fís Act],MATCH("AGROINSUMOSLAFINCA"&amp;Tabla_Buffers_Agroinsumos[[#This Row],[CODIGO ]],TABLACONSOLIDADA[Bodega]&amp;TABLACONSOLIDADA[Codigo],0)),"")</f>
        <v>0</v>
      </c>
      <c r="EM25" s="157">
        <f t="array" ref="EM2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5" s="134">
        <f>IFERROR(SUM(Tabla_Buffers_Agroinsumos[[#This Row],[LF-MP]:[LF-VL]]),"")</f>
        <v>0</v>
      </c>
      <c r="EP25" s="92">
        <f>IFERROR(Tabla_Buffers_Agroinsumos[[#This Row],[INV FIS LF]]-Tabla_Buffers_Agroinsumos[[#This Row],[BUFFER LF]],"")</f>
        <v>0</v>
      </c>
      <c r="EQ2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5" s="134"/>
      <c r="ES25" s="134"/>
      <c r="ET25" s="134"/>
      <c r="EU25" s="134"/>
      <c r="EV25" s="134"/>
      <c r="EW25" s="134"/>
      <c r="EX25" s="134"/>
      <c r="EY25" s="134"/>
      <c r="EZ25" s="134"/>
      <c r="FA25" s="134">
        <f t="array" ref="FA25">IFERROR(INDEX(TABLACONSOLIDADA[Buff Act],MATCH("AGROINSUMOSVERONICALEDESMA"&amp;Tabla_Buffers_Agroinsumos[[#This Row],[CODIGO ]],TABLACONSOLIDADA[Bodega]&amp;TABLACONSOLIDADA[Codigo],0)),"")</f>
        <v>32</v>
      </c>
      <c r="FB25" s="157">
        <f t="array" ref="FB25">IFERROR(INDEX(TABLACONSOLIDADA[Inv Fís Act],MATCH("AGROINSUMOSVERONICALEDESMA"&amp;Tabla_Buffers_Agroinsumos[[#This Row],[CODIGO ]],TABLACONSOLIDADA[Bodega]&amp;TABLACONSOLIDADA[Codigo],0)),"")</f>
        <v>32</v>
      </c>
      <c r="FC25" s="157">
        <f t="array" ref="FC2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32</v>
      </c>
      <c r="FD2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5" s="134">
        <f>IFERROR(SUM(Tabla_Buffers_Agroinsumos[[#This Row],[VL-MP]:[VL-LF]]),"")</f>
        <v>0</v>
      </c>
      <c r="FF25" s="92">
        <f>IFERROR(Tabla_Buffers_Agroinsumos[[#This Row],[INV FIS VL]]-Tabla_Buffers_Agroinsumos[[#This Row],[BUFFER VL]],"")</f>
        <v>0</v>
      </c>
      <c r="FG25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5" s="134"/>
      <c r="FI25" s="134"/>
      <c r="FJ25" s="134"/>
      <c r="FK25" s="134"/>
      <c r="FL25" s="134"/>
      <c r="FM25" s="134"/>
      <c r="FN25" s="134"/>
      <c r="FO25" s="134"/>
      <c r="FP25" s="134"/>
    </row>
    <row r="26" spans="1:172">
      <c r="A26" s="7" t="s">
        <v>99</v>
      </c>
      <c r="B26" s="7" t="s">
        <v>100</v>
      </c>
      <c r="C26" s="7" t="s">
        <v>707</v>
      </c>
      <c r="D26" s="7" t="s">
        <v>715</v>
      </c>
      <c r="E26" s="7" t="s">
        <v>975</v>
      </c>
      <c r="F26" s="19" t="s">
        <v>698</v>
      </c>
      <c r="G26" s="19" t="s">
        <v>698</v>
      </c>
      <c r="H26" s="19">
        <f>VLOOKUP(Tabla_Buffers_Agroinsumos[[#This Row],[CODIGO ]],TABLACONSOLIDADA[[Codigo]:[PV]],6,0)</f>
        <v>4.99</v>
      </c>
      <c r="I26" s="19">
        <f>VLOOKUP(Tabla_Buffers_Agroinsumos[[#This Row],[CODIGO ]],TABLACONSOLIDADA[[Codigo]:[PV]],5,0)</f>
        <v>2</v>
      </c>
      <c r="J26" s="19" t="s">
        <v>698</v>
      </c>
      <c r="K26" s="19" t="s">
        <v>698</v>
      </c>
      <c r="L26" s="19">
        <f>IFERROR(Tabla_Buffers_Agroinsumos[[#This Row],[BUFFER CENTRAL]]/((Tabla_Buffers_Agroinsumos[[#This Row],[TIEMPO REPOSICION ]]/Tabla_Buffers_Agroinsumos[[#This Row],[FRECUENCIA]])+1),0)</f>
        <v>0</v>
      </c>
      <c r="M26" s="19" t="str">
        <f t="array" ref="M26">IFERROR(INDEX(TABLACONSOLIDADA[Buff Act],MATCH("AGROINSUMOSMATERIAPRIMA"&amp;Tabla_Buffers_Agroinsumos[[#This Row],[CODIGO ]],TABLACONSOLIDADA[Bodega]&amp;TABLACONSOLIDADA[Codigo],0)),"")</f>
        <v/>
      </c>
      <c r="N26" s="157" t="str">
        <f t="array" ref="N26">IFERROR(INDEX(TABLACONSOLIDADA[Inv Fís Act],MATCH("AGROINSUMOSMATERIAPRIMA"&amp;Tabla_Buffers_Agroinsumos[[#This Row],[CODIGO ]],TABLACONSOLIDADA[Bodega]&amp;TABLACONSOLIDADA[Codigo],0)),"")</f>
        <v/>
      </c>
      <c r="O26" s="157" t="str">
        <f t="array" ref="O2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6" s="19">
        <f>IFERROR(SUM(Tabla_Buffers_Agroinsumos[[#This Row],[MP-C]:[MP-VL]]),"")</f>
        <v>0</v>
      </c>
      <c r="R26" s="92" t="str">
        <f>IFERROR(Tabla_Buffers_Agroinsumos[[#This Row],[INV FIS MATERIA PRIMA]]-Tabla_Buffers_Agroinsumos[[#This Row],[BUFFER MATERIA PRIMA]],"")</f>
        <v/>
      </c>
      <c r="S2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6" s="19"/>
      <c r="U26" s="19"/>
      <c r="V26" s="19"/>
      <c r="W26" s="19"/>
      <c r="X26" s="19"/>
      <c r="Y26" s="19"/>
      <c r="Z26" s="19"/>
      <c r="AA26" s="19"/>
      <c r="AB26" s="19"/>
      <c r="AC26" s="152">
        <f t="array" ref="AC26">IFERROR(INDEX(TABLACONSOLIDADA[Buff Act],MATCH("AGROINSUMOSCENTRAL"&amp;Tabla_Buffers_Agroinsumos[[#This Row],[CODIGO ]],TABLACONSOLIDADA[Bodega]&amp;TABLACONSOLIDADA[Codigo],0)),"")</f>
        <v>500</v>
      </c>
      <c r="AD26" s="157">
        <f t="array" ref="AD26">IFERROR(INDEX(TABLACONSOLIDADA[Inv Fís Act],MATCH("AGROINSUMOSCENTRAL"&amp;Tabla_Buffers_Agroinsumos[[#This Row],[CODIGO ]],TABLACONSOLIDADA[Bodega]&amp;TABLACONSOLIDADA[Codigo],0)),"")</f>
        <v>590</v>
      </c>
      <c r="AE26" s="157">
        <f t="array" ref="AE2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590</v>
      </c>
      <c r="AF2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6" s="91">
        <f>IFERROR(SUM(Tabla_Buffers_Agroinsumos[[#This Row],[C-MP]:[C-VL]]),"")</f>
        <v>0</v>
      </c>
      <c r="AH26" s="92">
        <f>IFERROR(Tabla_Buffers_Agroinsumos[[#This Row],[INV FIS CENTRAL]]-Tabla_Buffers_Agroinsumos[[#This Row],[BUFFER CENTRAL]],"")</f>
        <v>90</v>
      </c>
      <c r="AI26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90</v>
      </c>
      <c r="AJ26" s="134"/>
      <c r="AK26" s="134"/>
      <c r="AL26" s="134"/>
      <c r="AM26" s="134"/>
      <c r="AN26" s="134"/>
      <c r="AO26" s="134"/>
      <c r="AP26" s="134"/>
      <c r="AQ26" s="134"/>
      <c r="AR26" s="134"/>
      <c r="AS26" s="134">
        <f t="array" ref="AS26">IFERROR(INDEX(TABLACONSOLIDADA[Buff Act],MATCH("AGROINSUMOScentralPROPIA"&amp;Tabla_Buffers_Agroinsumos[[#This Row],[CODIGO ]],TABLACONSOLIDADA[Bodega]&amp;TABLACONSOLIDADA[Codigo],0)),"")</f>
        <v>240</v>
      </c>
      <c r="AT26" s="157">
        <f t="array" ref="AT26">IFERROR(INDEX(TABLACONSOLIDADA[Inv Fís Act],MATCH("AGROINSUMOScentralPROPIA"&amp;Tabla_Buffers_Agroinsumos[[#This Row],[CODIGO ]],TABLACONSOLIDADA[Bodega]&amp;TABLACONSOLIDADA[Codigo],0)),"")</f>
        <v>0</v>
      </c>
      <c r="AU26" s="157">
        <f t="array" ref="AU2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6" s="134">
        <f>IFERROR(SUM(Tabla_Buffers_Agroinsumos[[#This Row],[P-MP]:[P-VL]]),"")</f>
        <v>0</v>
      </c>
      <c r="AX26" s="92">
        <f>IFERROR(Tabla_Buffers_Agroinsumos[[#This Row],[INV FIS PROPIA]]-Tabla_Buffers_Agroinsumos[[#This Row],[BUFFER PROPIA]],"")</f>
        <v>-240</v>
      </c>
      <c r="AY26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-240</v>
      </c>
      <c r="AZ26" s="134"/>
      <c r="BA26" s="134"/>
      <c r="BB26" s="134"/>
      <c r="BC26" s="134"/>
      <c r="BD26" s="134"/>
      <c r="BE26" s="134"/>
      <c r="BF26" s="134"/>
      <c r="BG26" s="134"/>
      <c r="BH26" s="134"/>
      <c r="BI26" s="91">
        <f t="array" ref="BI26">IFERROR(INDEX(TABLACONSOLIDADA[Buff Act],MATCH("AGROINSUMOSSTODOMINGO"&amp;Tabla_Buffers_Agroinsumos[[#This Row],[CODIGO ]],TABLACONSOLIDADA[Bodega]&amp;TABLACONSOLIDADA[Codigo],0)),"")</f>
        <v>0</v>
      </c>
      <c r="BJ26" s="157">
        <f t="array" ref="BJ26">IFERROR(INDEX(TABLACONSOLIDADA[Inv Fís Act],MATCH("AGROINSUMOSSTODOMINGO"&amp;Tabla_Buffers_Agroinsumos[[#This Row],[CODIGO ]],TABLACONSOLIDADA[Bodega]&amp;TABLACONSOLIDADA[Codigo],0)),"")</f>
        <v>16</v>
      </c>
      <c r="BK26" s="157">
        <f t="array" ref="BK2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16</v>
      </c>
      <c r="BL2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6" s="91">
        <f>IFERROR(SUM(Tabla_Buffers_Agroinsumos[[#This Row],[SD-MP]:[SD-VL]]),"")</f>
        <v>0</v>
      </c>
      <c r="BN26" s="92"/>
      <c r="BO26" s="92"/>
      <c r="BP26" s="134"/>
      <c r="BQ26" s="134"/>
      <c r="BR26" s="134"/>
      <c r="BS26" s="134"/>
      <c r="BT26" s="134"/>
      <c r="BU26" s="134"/>
      <c r="BV26" s="134"/>
      <c r="BW26" s="134"/>
      <c r="BX26" s="134"/>
      <c r="BY26" s="134">
        <f t="array" ref="BY26">IFERROR(INDEX(TABLACONSOLIDADA[Buff Act],MATCH("AGROINSUMOSMONCAYOLOPEZ"&amp;Tabla_Buffers_Agroinsumos[[#This Row],[CODIGO ]],TABLACONSOLIDADA[Bodega]&amp;TABLACONSOLIDADA[Codigo],0)),"")</f>
        <v>0</v>
      </c>
      <c r="BZ26" s="157">
        <f t="array" ref="BZ26">IFERROR(INDEX(TABLACONSOLIDADA[Inv Fís Act],MATCH("AGROINSUMOSMONCAYOLOPEZ"&amp;Tabla_Buffers_Agroinsumos[[#This Row],[CODIGO ]],TABLACONSOLIDADA[Bodega]&amp;TABLACONSOLIDADA[Codigo],0)),"")</f>
        <v>0</v>
      </c>
      <c r="CA26" s="157">
        <f t="array" ref="CA2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6" s="134">
        <f>IFERROR(SUM(Tabla_Buffers_Agroinsumos[[#This Row],[ML-MP]:[ML-VL]]),"")</f>
        <v>0</v>
      </c>
      <c r="CD26" s="92">
        <f>IFERROR(Tabla_Buffers_Agroinsumos[[#This Row],[INV FIS ML]]-Tabla_Buffers_Agroinsumos[[#This Row],[BUFFER ML]],"")</f>
        <v>0</v>
      </c>
      <c r="CE26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6" s="134"/>
      <c r="CG26" s="134"/>
      <c r="CH26" s="134"/>
      <c r="CI26" s="134"/>
      <c r="CJ26" s="134"/>
      <c r="CK26" s="134"/>
      <c r="CL26" s="134"/>
      <c r="CM26" s="134"/>
      <c r="CN26" s="134"/>
      <c r="CO26" s="134">
        <f t="array" ref="CO26">IFERROR(INDEX(TABLACONSOLIDADA[Buff Act],MATCH("AGROINSUMOSAGROHERMANOSLEON"&amp;Tabla_Buffers_Agroinsumos[[#This Row],[CODIGO ]],TABLACONSOLIDADA[Bodega]&amp;TABLACONSOLIDADA[Codigo],0)),"")</f>
        <v>70</v>
      </c>
      <c r="CP26" s="157">
        <f t="array" ref="CP26">IFERROR(INDEX(TABLACONSOLIDADA[Inv Fís Act],MATCH("AGROINSUMOSAGROHERMANOSLEON"&amp;Tabla_Buffers_Agroinsumos[[#This Row],[CODIGO ]],TABLACONSOLIDADA[Bodega]&amp;TABLACONSOLIDADA[Codigo],0)),"")</f>
        <v>50</v>
      </c>
      <c r="CQ26" s="157">
        <f t="array" ref="CQ2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50</v>
      </c>
      <c r="CR2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6" s="134">
        <f>IFERROR(SUM(Tabla_Buffers_Agroinsumos[[#This Row],[AL-MP]:[AL-VL]]),"")</f>
        <v>0</v>
      </c>
      <c r="CT26" s="92">
        <f>IFERROR(Tabla_Buffers_Agroinsumos[[#This Row],[INV FIS AL]]-Tabla_Buffers_Agroinsumos[[#This Row],[BUFFER AL]],"")</f>
        <v>-20</v>
      </c>
      <c r="CU26" s="92">
        <f>IFERROR(Tabla_Buffers_Agroinsumos[[#This Row],[INV FIS AL]]+Tabla_Buffers_Agroinsumos[[#This Row],[TRANSFERENCIAS A AL]]-Tabla_Buffers_Agroinsumos[[#This Row],[BUFFER AL]]-Tabla_Buffers_Agroinsumos[[#This Row],[TRANSFERENCIAS DE AL]],"")</f>
        <v>-20</v>
      </c>
      <c r="CV26" s="134"/>
      <c r="CW26" s="134"/>
      <c r="CX26" s="134"/>
      <c r="CY26" s="134"/>
      <c r="CZ26" s="134"/>
      <c r="DA26" s="134"/>
      <c r="DB26" s="134"/>
      <c r="DC26" s="134"/>
      <c r="DD26" s="134"/>
      <c r="DE26" s="134">
        <f t="array" ref="DE26">IFERROR(INDEX(TABLACONSOLIDADA[Buff Act],MATCH("AGROINSUMOSAGRONUEVO"&amp;Tabla_Buffers_Agroinsumos[[#This Row],[CODIGO ]],TABLACONSOLIDADA[Bodega]&amp;TABLACONSOLIDADA[Codigo],0)),"")</f>
        <v>0</v>
      </c>
      <c r="DF26" s="157">
        <f t="array" ref="DF26">IFERROR(INDEX(TABLACONSOLIDADA[Inv Fís Act],MATCH("AGROINSUMOSAGRONUEVO"&amp;Tabla_Buffers_Agroinsumos[[#This Row],[CODIGO ]],TABLACONSOLIDADA[Bodega]&amp;TABLACONSOLIDADA[Codigo],0)),"")</f>
        <v>0</v>
      </c>
      <c r="DG26" s="157">
        <f t="array" ref="DG2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6" s="134">
        <f>IFERROR(SUM(Tabla_Buffers_Agroinsumos[[#This Row],[AN-MP]:[AN-VL]]),"")</f>
        <v>0</v>
      </c>
      <c r="DJ26" s="92">
        <f>IFERROR(Tabla_Buffers_Agroinsumos[[#This Row],[INV FIS AN]]-Tabla_Buffers_Agroinsumos[[#This Row],[BUFFER AN]],"")</f>
        <v>0</v>
      </c>
      <c r="DK26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6" s="134"/>
      <c r="DM26" s="134"/>
      <c r="DN26" s="134"/>
      <c r="DO26" s="134"/>
      <c r="DP26" s="134"/>
      <c r="DQ26" s="134"/>
      <c r="DR26" s="134"/>
      <c r="DS26" s="134"/>
      <c r="DT26" s="134"/>
      <c r="DU26" s="134">
        <f t="array" ref="DU26">IFERROR(INDEX(TABLACONSOLIDADA[Buff Act],MATCH("AGROINSUMOSAGROQUIMICOSSUR"&amp;Tabla_Buffers_Agroinsumos[[#This Row],[CODIGO ]],TABLACONSOLIDADA[Bodega]&amp;TABLACONSOLIDADA[Codigo],0)),"")</f>
        <v>0</v>
      </c>
      <c r="DV26" s="157">
        <f t="array" ref="DV26">IFERROR(INDEX(TABLACONSOLIDADA[Inv Fís Act],MATCH("AGROINSUMOSAGROQUIMICOSSUR"&amp;Tabla_Buffers_Agroinsumos[[#This Row],[CODIGO ]],TABLACONSOLIDADA[Bodega]&amp;TABLACONSOLIDADA[Codigo],0)),"")</f>
        <v>0</v>
      </c>
      <c r="DW26" s="157">
        <f t="array" ref="DW2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6" s="134">
        <f>IFERROR(SUM(Tabla_Buffers_Agroinsumos[[#This Row],[AS-MP]:[AS-VL]]),"")</f>
        <v>0</v>
      </c>
      <c r="DZ26" s="92">
        <f>IFERROR(Tabla_Buffers_Agroinsumos[[#This Row],[INV FIS AS]]-Tabla_Buffers_Agroinsumos[[#This Row],[BUFFER AS]],"")</f>
        <v>0</v>
      </c>
      <c r="EA26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6" s="134"/>
      <c r="EC26" s="134"/>
      <c r="ED26" s="134"/>
      <c r="EE26" s="134"/>
      <c r="EF26" s="134"/>
      <c r="EG26" s="134"/>
      <c r="EH26" s="134"/>
      <c r="EI26" s="134"/>
      <c r="EJ26" s="134"/>
      <c r="EK26" s="134">
        <f t="array" ref="EK26">IFERROR(INDEX(TABLACONSOLIDADA[Buff Act],MATCH("AGROINSUMOSLAFINCA"&amp;Tabla_Buffers_Agroinsumos[[#This Row],[CODIGO ]],TABLACONSOLIDADA[Bodega]&amp;TABLACONSOLIDADA[Codigo],0)),"")</f>
        <v>0</v>
      </c>
      <c r="EL26" s="157">
        <f t="array" ref="EL26">IFERROR(INDEX(TABLACONSOLIDADA[Inv Fís Act],MATCH("AGROINSUMOSLAFINCA"&amp;Tabla_Buffers_Agroinsumos[[#This Row],[CODIGO ]],TABLACONSOLIDADA[Bodega]&amp;TABLACONSOLIDADA[Codigo],0)),"")</f>
        <v>0</v>
      </c>
      <c r="EM26" s="157">
        <f t="array" ref="EM2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6" s="134">
        <f>IFERROR(SUM(Tabla_Buffers_Agroinsumos[[#This Row],[LF-MP]:[LF-VL]]),"")</f>
        <v>0</v>
      </c>
      <c r="EP26" s="92">
        <f>IFERROR(Tabla_Buffers_Agroinsumos[[#This Row],[INV FIS LF]]-Tabla_Buffers_Agroinsumos[[#This Row],[BUFFER LF]],"")</f>
        <v>0</v>
      </c>
      <c r="EQ26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6" s="134"/>
      <c r="ES26" s="134"/>
      <c r="ET26" s="134"/>
      <c r="EU26" s="134"/>
      <c r="EV26" s="134"/>
      <c r="EW26" s="134"/>
      <c r="EX26" s="134"/>
      <c r="EY26" s="134"/>
      <c r="EZ26" s="134"/>
      <c r="FA26" s="134">
        <f t="array" ref="FA26">IFERROR(INDEX(TABLACONSOLIDADA[Buff Act],MATCH("AGROINSUMOSVERONICALEDESMA"&amp;Tabla_Buffers_Agroinsumos[[#This Row],[CODIGO ]],TABLACONSOLIDADA[Bodega]&amp;TABLACONSOLIDADA[Codigo],0)),"")</f>
        <v>32</v>
      </c>
      <c r="FB26" s="157">
        <f t="array" ref="FB26">IFERROR(INDEX(TABLACONSOLIDADA[Inv Fís Act],MATCH("AGROINSUMOSVERONICALEDESMA"&amp;Tabla_Buffers_Agroinsumos[[#This Row],[CODIGO ]],TABLACONSOLIDADA[Bodega]&amp;TABLACONSOLIDADA[Codigo],0)),"")</f>
        <v>32</v>
      </c>
      <c r="FC26" s="157">
        <f t="array" ref="FC2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32</v>
      </c>
      <c r="FD2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6" s="134">
        <f>IFERROR(SUM(Tabla_Buffers_Agroinsumos[[#This Row],[VL-MP]:[VL-LF]]),"")</f>
        <v>0</v>
      </c>
      <c r="FF26" s="92">
        <f>IFERROR(Tabla_Buffers_Agroinsumos[[#This Row],[INV FIS VL]]-Tabla_Buffers_Agroinsumos[[#This Row],[BUFFER VL]],"")</f>
        <v>0</v>
      </c>
      <c r="FG26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6" s="134"/>
      <c r="FI26" s="134"/>
      <c r="FJ26" s="134"/>
      <c r="FK26" s="134"/>
      <c r="FL26" s="134"/>
      <c r="FM26" s="134"/>
      <c r="FN26" s="134"/>
      <c r="FO26" s="134"/>
      <c r="FP26" s="134"/>
    </row>
    <row r="27" spans="1:172">
      <c r="A27" s="7" t="s">
        <v>101</v>
      </c>
      <c r="B27" s="7" t="s">
        <v>102</v>
      </c>
      <c r="C27" s="7" t="s">
        <v>707</v>
      </c>
      <c r="D27" s="7" t="s">
        <v>715</v>
      </c>
      <c r="E27" s="7" t="s">
        <v>975</v>
      </c>
      <c r="F27" s="19" t="s">
        <v>698</v>
      </c>
      <c r="G27" s="19" t="s">
        <v>698</v>
      </c>
      <c r="H27" s="19">
        <f>VLOOKUP(Tabla_Buffers_Agroinsumos[[#This Row],[CODIGO ]],TABLACONSOLIDADA[[Codigo]:[PV]],6,0)</f>
        <v>2.29</v>
      </c>
      <c r="I27" s="19">
        <f>VLOOKUP(Tabla_Buffers_Agroinsumos[[#This Row],[CODIGO ]],TABLACONSOLIDADA[[Codigo]:[PV]],5,0)</f>
        <v>0.87</v>
      </c>
      <c r="J27" s="19" t="s">
        <v>698</v>
      </c>
      <c r="K27" s="19" t="s">
        <v>698</v>
      </c>
      <c r="L27" s="19">
        <f>IFERROR(Tabla_Buffers_Agroinsumos[[#This Row],[BUFFER CENTRAL]]/((Tabla_Buffers_Agroinsumos[[#This Row],[TIEMPO REPOSICION ]]/Tabla_Buffers_Agroinsumos[[#This Row],[FRECUENCIA]])+1),0)</f>
        <v>0</v>
      </c>
      <c r="M27" s="19" t="str">
        <f t="array" ref="M27">IFERROR(INDEX(TABLACONSOLIDADA[Buff Act],MATCH("AGROINSUMOSMATERIAPRIMA"&amp;Tabla_Buffers_Agroinsumos[[#This Row],[CODIGO ]],TABLACONSOLIDADA[Bodega]&amp;TABLACONSOLIDADA[Codigo],0)),"")</f>
        <v/>
      </c>
      <c r="N27" s="157" t="str">
        <f t="array" ref="N27">IFERROR(INDEX(TABLACONSOLIDADA[Inv Fís Act],MATCH("AGROINSUMOSMATERIAPRIMA"&amp;Tabla_Buffers_Agroinsumos[[#This Row],[CODIGO ]],TABLACONSOLIDADA[Bodega]&amp;TABLACONSOLIDADA[Codigo],0)),"")</f>
        <v/>
      </c>
      <c r="O27" s="157" t="str">
        <f t="array" ref="O2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7" s="19">
        <f>IFERROR(SUM(Tabla_Buffers_Agroinsumos[[#This Row],[MP-C]:[MP-VL]]),"")</f>
        <v>0</v>
      </c>
      <c r="R27" s="92" t="str">
        <f>IFERROR(Tabla_Buffers_Agroinsumos[[#This Row],[INV FIS MATERIA PRIMA]]-Tabla_Buffers_Agroinsumos[[#This Row],[BUFFER MATERIA PRIMA]],"")</f>
        <v/>
      </c>
      <c r="S2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7" s="19"/>
      <c r="U27" s="19"/>
      <c r="V27" s="19"/>
      <c r="W27" s="19"/>
      <c r="X27" s="19"/>
      <c r="Y27" s="19"/>
      <c r="Z27" s="19"/>
      <c r="AA27" s="19"/>
      <c r="AB27" s="19"/>
      <c r="AC27" s="152">
        <f t="array" ref="AC27">IFERROR(INDEX(TABLACONSOLIDADA[Buff Act],MATCH("AGROINSUMOSCENTRAL"&amp;Tabla_Buffers_Agroinsumos[[#This Row],[CODIGO ]],TABLACONSOLIDADA[Bodega]&amp;TABLACONSOLIDADA[Codigo],0)),"")</f>
        <v>400</v>
      </c>
      <c r="AD27" s="157">
        <f t="array" ref="AD27">IFERROR(INDEX(TABLACONSOLIDADA[Inv Fís Act],MATCH("AGROINSUMOSCENTRAL"&amp;Tabla_Buffers_Agroinsumos[[#This Row],[CODIGO ]],TABLACONSOLIDADA[Bodega]&amp;TABLACONSOLIDADA[Codigo],0)),"")</f>
        <v>14</v>
      </c>
      <c r="AE27" s="157">
        <f t="array" ref="AE2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358</v>
      </c>
      <c r="AF2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7" s="91">
        <f>IFERROR(SUM(Tabla_Buffers_Agroinsumos[[#This Row],[C-MP]:[C-VL]]),"")</f>
        <v>0</v>
      </c>
      <c r="AH27" s="92">
        <f>IFERROR(Tabla_Buffers_Agroinsumos[[#This Row],[INV FIS CENTRAL]]-Tabla_Buffers_Agroinsumos[[#This Row],[BUFFER CENTRAL]],"")</f>
        <v>-386</v>
      </c>
      <c r="AI2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-386</v>
      </c>
      <c r="AJ27" s="134"/>
      <c r="AK27" s="134"/>
      <c r="AL27" s="134"/>
      <c r="AM27" s="134"/>
      <c r="AN27" s="134"/>
      <c r="AO27" s="134"/>
      <c r="AP27" s="134"/>
      <c r="AQ27" s="134"/>
      <c r="AR27" s="134"/>
      <c r="AS27" s="134">
        <f t="array" ref="AS27">IFERROR(INDEX(TABLACONSOLIDADA[Buff Act],MATCH("AGROINSUMOScentralPROPIA"&amp;Tabla_Buffers_Agroinsumos[[#This Row],[CODIGO ]],TABLACONSOLIDADA[Bodega]&amp;TABLACONSOLIDADA[Codigo],0)),"")</f>
        <v>48</v>
      </c>
      <c r="AT27" s="157">
        <f t="array" ref="AT27">IFERROR(INDEX(TABLACONSOLIDADA[Inv Fís Act],MATCH("AGROINSUMOScentralPROPIA"&amp;Tabla_Buffers_Agroinsumos[[#This Row],[CODIGO ]],TABLACONSOLIDADA[Bodega]&amp;TABLACONSOLIDADA[Codigo],0)),"")</f>
        <v>0</v>
      </c>
      <c r="AU27" s="157">
        <f t="array" ref="AU2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7" s="134">
        <f>IFERROR(SUM(Tabla_Buffers_Agroinsumos[[#This Row],[P-MP]:[P-VL]]),"")</f>
        <v>0</v>
      </c>
      <c r="AX27" s="92">
        <f>IFERROR(Tabla_Buffers_Agroinsumos[[#This Row],[INV FIS PROPIA]]-Tabla_Buffers_Agroinsumos[[#This Row],[BUFFER PROPIA]],"")</f>
        <v>-48</v>
      </c>
      <c r="AY2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-48</v>
      </c>
      <c r="AZ27" s="134"/>
      <c r="BA27" s="134"/>
      <c r="BB27" s="134"/>
      <c r="BC27" s="134"/>
      <c r="BD27" s="134"/>
      <c r="BE27" s="134"/>
      <c r="BF27" s="134"/>
      <c r="BG27" s="134"/>
      <c r="BH27" s="134"/>
      <c r="BI27" s="91">
        <f t="array" ref="BI27">IFERROR(INDEX(TABLACONSOLIDADA[Buff Act],MATCH("AGROINSUMOSSTODOMINGO"&amp;Tabla_Buffers_Agroinsumos[[#This Row],[CODIGO ]],TABLACONSOLIDADA[Bodega]&amp;TABLACONSOLIDADA[Codigo],0)),"")</f>
        <v>150</v>
      </c>
      <c r="BJ27" s="157">
        <f t="array" ref="BJ27">IFERROR(INDEX(TABLACONSOLIDADA[Inv Fís Act],MATCH("AGROINSUMOSSTODOMINGO"&amp;Tabla_Buffers_Agroinsumos[[#This Row],[CODIGO ]],TABLACONSOLIDADA[Bodega]&amp;TABLACONSOLIDADA[Codigo],0)),"")</f>
        <v>10</v>
      </c>
      <c r="BK27" s="157">
        <f t="array" ref="BK2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10</v>
      </c>
      <c r="BL2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7" s="91">
        <f>IFERROR(SUM(Tabla_Buffers_Agroinsumos[[#This Row],[SD-MP]:[SD-VL]]),"")</f>
        <v>0</v>
      </c>
      <c r="BN27" s="92"/>
      <c r="BO27" s="92"/>
      <c r="BP27" s="134"/>
      <c r="BQ27" s="134"/>
      <c r="BR27" s="134"/>
      <c r="BS27" s="134"/>
      <c r="BT27" s="134"/>
      <c r="BU27" s="134"/>
      <c r="BV27" s="134"/>
      <c r="BW27" s="134"/>
      <c r="BX27" s="134"/>
      <c r="BY27" s="134">
        <f t="array" ref="BY27">IFERROR(INDEX(TABLACONSOLIDADA[Buff Act],MATCH("AGROINSUMOSMONCAYOLOPEZ"&amp;Tabla_Buffers_Agroinsumos[[#This Row],[CODIGO ]],TABLACONSOLIDADA[Bodega]&amp;TABLACONSOLIDADA[Codigo],0)),"")</f>
        <v>4</v>
      </c>
      <c r="BZ27" s="157">
        <f t="array" ref="BZ27">IFERROR(INDEX(TABLACONSOLIDADA[Inv Fís Act],MATCH("AGROINSUMOSMONCAYOLOPEZ"&amp;Tabla_Buffers_Agroinsumos[[#This Row],[CODIGO ]],TABLACONSOLIDADA[Bodega]&amp;TABLACONSOLIDADA[Codigo],0)),"")</f>
        <v>3</v>
      </c>
      <c r="CA27" s="157">
        <f t="array" ref="CA2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3</v>
      </c>
      <c r="CB2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7" s="134">
        <f>IFERROR(SUM(Tabla_Buffers_Agroinsumos[[#This Row],[ML-MP]:[ML-VL]]),"")</f>
        <v>0</v>
      </c>
      <c r="CD27" s="92">
        <f>IFERROR(Tabla_Buffers_Agroinsumos[[#This Row],[INV FIS ML]]-Tabla_Buffers_Agroinsumos[[#This Row],[BUFFER ML]],"")</f>
        <v>-1</v>
      </c>
      <c r="CE27" s="92">
        <f>IFERROR(Tabla_Buffers_Agroinsumos[[#This Row],[INV FIS ML]]+Tabla_Buffers_Agroinsumos[[#This Row],[TRANSFERENCIAS A ML]]-Tabla_Buffers_Agroinsumos[[#This Row],[BUFFER ML]]-Tabla_Buffers_Agroinsumos[[#This Row],[TRANSFERENCIAS DE ML]],"")</f>
        <v>-1</v>
      </c>
      <c r="CF27" s="134"/>
      <c r="CG27" s="134"/>
      <c r="CH27" s="134"/>
      <c r="CI27" s="134"/>
      <c r="CJ27" s="134"/>
      <c r="CK27" s="134"/>
      <c r="CL27" s="134"/>
      <c r="CM27" s="134"/>
      <c r="CN27" s="134"/>
      <c r="CO27" s="134">
        <f t="array" ref="CO27">IFERROR(INDEX(TABLACONSOLIDADA[Buff Act],MATCH("AGROINSUMOSAGROHERMANOSLEON"&amp;Tabla_Buffers_Agroinsumos[[#This Row],[CODIGO ]],TABLACONSOLIDADA[Bodega]&amp;TABLACONSOLIDADA[Codigo],0)),"")</f>
        <v>0</v>
      </c>
      <c r="CP27" s="157">
        <f t="array" ref="CP27">IFERROR(INDEX(TABLACONSOLIDADA[Inv Fís Act],MATCH("AGROINSUMOSAGROHERMANOSLEON"&amp;Tabla_Buffers_Agroinsumos[[#This Row],[CODIGO ]],TABLACONSOLIDADA[Bodega]&amp;TABLACONSOLIDADA[Codigo],0)),"")</f>
        <v>0</v>
      </c>
      <c r="CQ27" s="157">
        <f t="array" ref="CQ2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7" s="134">
        <f>IFERROR(SUM(Tabla_Buffers_Agroinsumos[[#This Row],[AL-MP]:[AL-VL]]),"")</f>
        <v>0</v>
      </c>
      <c r="CT27" s="92">
        <f>IFERROR(Tabla_Buffers_Agroinsumos[[#This Row],[INV FIS AL]]-Tabla_Buffers_Agroinsumos[[#This Row],[BUFFER AL]],"")</f>
        <v>0</v>
      </c>
      <c r="CU2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7" s="134"/>
      <c r="CW27" s="134"/>
      <c r="CX27" s="134"/>
      <c r="CY27" s="134"/>
      <c r="CZ27" s="134"/>
      <c r="DA27" s="134"/>
      <c r="DB27" s="134"/>
      <c r="DC27" s="134"/>
      <c r="DD27" s="134"/>
      <c r="DE27" s="134">
        <f t="array" ref="DE27">IFERROR(INDEX(TABLACONSOLIDADA[Buff Act],MATCH("AGROINSUMOSAGRONUEVO"&amp;Tabla_Buffers_Agroinsumos[[#This Row],[CODIGO ]],TABLACONSOLIDADA[Bodega]&amp;TABLACONSOLIDADA[Codigo],0)),"")</f>
        <v>0</v>
      </c>
      <c r="DF27" s="157">
        <f t="array" ref="DF27">IFERROR(INDEX(TABLACONSOLIDADA[Inv Fís Act],MATCH("AGROINSUMOSAGRONUEVO"&amp;Tabla_Buffers_Agroinsumos[[#This Row],[CODIGO ]],TABLACONSOLIDADA[Bodega]&amp;TABLACONSOLIDADA[Codigo],0)),"")</f>
        <v>0</v>
      </c>
      <c r="DG27" s="157">
        <f t="array" ref="DG2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7" s="134">
        <f>IFERROR(SUM(Tabla_Buffers_Agroinsumos[[#This Row],[AN-MP]:[AN-VL]]),"")</f>
        <v>0</v>
      </c>
      <c r="DJ27" s="92">
        <f>IFERROR(Tabla_Buffers_Agroinsumos[[#This Row],[INV FIS AN]]-Tabla_Buffers_Agroinsumos[[#This Row],[BUFFER AN]],"")</f>
        <v>0</v>
      </c>
      <c r="DK2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7" s="134"/>
      <c r="DM27" s="134"/>
      <c r="DN27" s="134"/>
      <c r="DO27" s="134"/>
      <c r="DP27" s="134"/>
      <c r="DQ27" s="134"/>
      <c r="DR27" s="134"/>
      <c r="DS27" s="134"/>
      <c r="DT27" s="134"/>
      <c r="DU27" s="134">
        <f t="array" ref="DU27">IFERROR(INDEX(TABLACONSOLIDADA[Buff Act],MATCH("AGROINSUMOSAGROQUIMICOSSUR"&amp;Tabla_Buffers_Agroinsumos[[#This Row],[CODIGO ]],TABLACONSOLIDADA[Bodega]&amp;TABLACONSOLIDADA[Codigo],0)),"")</f>
        <v>0</v>
      </c>
      <c r="DV27" s="157">
        <f t="array" ref="DV27">IFERROR(INDEX(TABLACONSOLIDADA[Inv Fís Act],MATCH("AGROINSUMOSAGROQUIMICOSSUR"&amp;Tabla_Buffers_Agroinsumos[[#This Row],[CODIGO ]],TABLACONSOLIDADA[Bodega]&amp;TABLACONSOLIDADA[Codigo],0)),"")</f>
        <v>0</v>
      </c>
      <c r="DW27" s="157">
        <f t="array" ref="DW2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7" s="134">
        <f>IFERROR(SUM(Tabla_Buffers_Agroinsumos[[#This Row],[AS-MP]:[AS-VL]]),"")</f>
        <v>0</v>
      </c>
      <c r="DZ27" s="92">
        <f>IFERROR(Tabla_Buffers_Agroinsumos[[#This Row],[INV FIS AS]]-Tabla_Buffers_Agroinsumos[[#This Row],[BUFFER AS]],"")</f>
        <v>0</v>
      </c>
      <c r="EA2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7" s="134"/>
      <c r="EC27" s="134"/>
      <c r="ED27" s="134"/>
      <c r="EE27" s="134"/>
      <c r="EF27" s="134"/>
      <c r="EG27" s="134"/>
      <c r="EH27" s="134"/>
      <c r="EI27" s="134"/>
      <c r="EJ27" s="134"/>
      <c r="EK27" s="134">
        <f t="array" ref="EK27">IFERROR(INDEX(TABLACONSOLIDADA[Buff Act],MATCH("AGROINSUMOSLAFINCA"&amp;Tabla_Buffers_Agroinsumos[[#This Row],[CODIGO ]],TABLACONSOLIDADA[Bodega]&amp;TABLACONSOLIDADA[Codigo],0)),"")</f>
        <v>20</v>
      </c>
      <c r="EL27" s="157">
        <f t="array" ref="EL27">IFERROR(INDEX(TABLACONSOLIDADA[Inv Fís Act],MATCH("AGROINSUMOSLAFINCA"&amp;Tabla_Buffers_Agroinsumos[[#This Row],[CODIGO ]],TABLACONSOLIDADA[Bodega]&amp;TABLACONSOLIDADA[Codigo],0)),"")</f>
        <v>20</v>
      </c>
      <c r="EM27" s="157">
        <f t="array" ref="EM2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20</v>
      </c>
      <c r="EN2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7" s="134">
        <f>IFERROR(SUM(Tabla_Buffers_Agroinsumos[[#This Row],[LF-MP]:[LF-VL]]),"")</f>
        <v>0</v>
      </c>
      <c r="EP27" s="92">
        <f>IFERROR(Tabla_Buffers_Agroinsumos[[#This Row],[INV FIS LF]]-Tabla_Buffers_Agroinsumos[[#This Row],[BUFFER LF]],"")</f>
        <v>0</v>
      </c>
      <c r="EQ2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7" s="134"/>
      <c r="ES27" s="134"/>
      <c r="ET27" s="134"/>
      <c r="EU27" s="134"/>
      <c r="EV27" s="134"/>
      <c r="EW27" s="134"/>
      <c r="EX27" s="134"/>
      <c r="EY27" s="134"/>
      <c r="EZ27" s="134"/>
      <c r="FA27" s="134">
        <f t="array" ref="FA27">IFERROR(INDEX(TABLACONSOLIDADA[Buff Act],MATCH("AGROINSUMOSVERONICALEDESMA"&amp;Tabla_Buffers_Agroinsumos[[#This Row],[CODIGO ]],TABLACONSOLIDADA[Bodega]&amp;TABLACONSOLIDADA[Codigo],0)),"")</f>
        <v>0</v>
      </c>
      <c r="FB27" s="157">
        <f t="array" ref="FB27">IFERROR(INDEX(TABLACONSOLIDADA[Inv Fís Act],MATCH("AGROINSUMOSVERONICALEDESMA"&amp;Tabla_Buffers_Agroinsumos[[#This Row],[CODIGO ]],TABLACONSOLIDADA[Bodega]&amp;TABLACONSOLIDADA[Codigo],0)),"")</f>
        <v>0</v>
      </c>
      <c r="FC27" s="157">
        <f t="array" ref="FC2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7" s="134">
        <f>IFERROR(SUM(Tabla_Buffers_Agroinsumos[[#This Row],[VL-MP]:[VL-LF]]),"")</f>
        <v>0</v>
      </c>
      <c r="FF27" s="92">
        <f>IFERROR(Tabla_Buffers_Agroinsumos[[#This Row],[INV FIS VL]]-Tabla_Buffers_Agroinsumos[[#This Row],[BUFFER VL]],"")</f>
        <v>0</v>
      </c>
      <c r="FG2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7" s="134"/>
      <c r="FI27" s="134"/>
      <c r="FJ27" s="134"/>
      <c r="FK27" s="134"/>
      <c r="FL27" s="134"/>
      <c r="FM27" s="134"/>
      <c r="FN27" s="134"/>
      <c r="FO27" s="134"/>
      <c r="FP27" s="134"/>
    </row>
    <row r="28" spans="1:172">
      <c r="A28" s="7" t="s">
        <v>103</v>
      </c>
      <c r="B28" s="7" t="s">
        <v>104</v>
      </c>
      <c r="C28" s="7" t="s">
        <v>707</v>
      </c>
      <c r="D28" s="7" t="s">
        <v>715</v>
      </c>
      <c r="E28" s="7" t="s">
        <v>975</v>
      </c>
      <c r="F28" s="19" t="s">
        <v>698</v>
      </c>
      <c r="G28" s="19" t="s">
        <v>698</v>
      </c>
      <c r="H28" s="19">
        <f>VLOOKUP(Tabla_Buffers_Agroinsumos[[#This Row],[CODIGO ]],TABLACONSOLIDADA[[Codigo]:[PV]],6,0)</f>
        <v>3.59</v>
      </c>
      <c r="I28" s="19">
        <f>VLOOKUP(Tabla_Buffers_Agroinsumos[[#This Row],[CODIGO ]],TABLACONSOLIDADA[[Codigo]:[PV]],5,0)</f>
        <v>1.38</v>
      </c>
      <c r="J28" s="19" t="s">
        <v>698</v>
      </c>
      <c r="K28" s="19" t="s">
        <v>698</v>
      </c>
      <c r="L28" s="19">
        <f>IFERROR(Tabla_Buffers_Agroinsumos[[#This Row],[BUFFER CENTRAL]]/((Tabla_Buffers_Agroinsumos[[#This Row],[TIEMPO REPOSICION ]]/Tabla_Buffers_Agroinsumos[[#This Row],[FRECUENCIA]])+1),0)</f>
        <v>0</v>
      </c>
      <c r="M28" s="19" t="str">
        <f t="array" ref="M28">IFERROR(INDEX(TABLACONSOLIDADA[Buff Act],MATCH("AGROINSUMOSMATERIAPRIMA"&amp;Tabla_Buffers_Agroinsumos[[#This Row],[CODIGO ]],TABLACONSOLIDADA[Bodega]&amp;TABLACONSOLIDADA[Codigo],0)),"")</f>
        <v/>
      </c>
      <c r="N28" s="157" t="str">
        <f t="array" ref="N28">IFERROR(INDEX(TABLACONSOLIDADA[Inv Fís Act],MATCH("AGROINSUMOSMATERIAPRIMA"&amp;Tabla_Buffers_Agroinsumos[[#This Row],[CODIGO ]],TABLACONSOLIDADA[Bodega]&amp;TABLACONSOLIDADA[Codigo],0)),"")</f>
        <v/>
      </c>
      <c r="O28" s="157" t="str">
        <f t="array" ref="O2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8" s="19">
        <f>IFERROR(SUM(Tabla_Buffers_Agroinsumos[[#This Row],[MP-C]:[MP-VL]]),"")</f>
        <v>0</v>
      </c>
      <c r="R28" s="92" t="str">
        <f>IFERROR(Tabla_Buffers_Agroinsumos[[#This Row],[INV FIS MATERIA PRIMA]]-Tabla_Buffers_Agroinsumos[[#This Row],[BUFFER MATERIA PRIMA]],"")</f>
        <v/>
      </c>
      <c r="S2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8" s="19"/>
      <c r="U28" s="19"/>
      <c r="V28" s="19"/>
      <c r="W28" s="19"/>
      <c r="X28" s="19"/>
      <c r="Y28" s="19"/>
      <c r="Z28" s="19"/>
      <c r="AA28" s="19"/>
      <c r="AB28" s="19"/>
      <c r="AC28" s="152">
        <f t="array" ref="AC28">IFERROR(INDEX(TABLACONSOLIDADA[Buff Act],MATCH("AGROINSUMOSCENTRAL"&amp;Tabla_Buffers_Agroinsumos[[#This Row],[CODIGO ]],TABLACONSOLIDADA[Bodega]&amp;TABLACONSOLIDADA[Codigo],0)),"")</f>
        <v>110</v>
      </c>
      <c r="AD28" s="157">
        <f t="array" ref="AD28">IFERROR(INDEX(TABLACONSOLIDADA[Inv Fís Act],MATCH("AGROINSUMOSCENTRAL"&amp;Tabla_Buffers_Agroinsumos[[#This Row],[CODIGO ]],TABLACONSOLIDADA[Bodega]&amp;TABLACONSOLIDADA[Codigo],0)),"")</f>
        <v>129</v>
      </c>
      <c r="AE28" s="157">
        <f t="array" ref="AE2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129</v>
      </c>
      <c r="AF2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8" s="91">
        <f>IFERROR(SUM(Tabla_Buffers_Agroinsumos[[#This Row],[C-MP]:[C-VL]]),"")</f>
        <v>0</v>
      </c>
      <c r="AH28" s="92">
        <f>IFERROR(Tabla_Buffers_Agroinsumos[[#This Row],[INV FIS CENTRAL]]-Tabla_Buffers_Agroinsumos[[#This Row],[BUFFER CENTRAL]],"")</f>
        <v>19</v>
      </c>
      <c r="AI2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19</v>
      </c>
      <c r="AJ28" s="134"/>
      <c r="AK28" s="134"/>
      <c r="AL28" s="134"/>
      <c r="AM28" s="134"/>
      <c r="AN28" s="134"/>
      <c r="AO28" s="134"/>
      <c r="AP28" s="134"/>
      <c r="AQ28" s="134"/>
      <c r="AR28" s="134"/>
      <c r="AS28" s="134">
        <f t="array" ref="AS28">IFERROR(INDEX(TABLACONSOLIDADA[Buff Act],MATCH("AGROINSUMOScentralPROPIA"&amp;Tabla_Buffers_Agroinsumos[[#This Row],[CODIGO ]],TABLACONSOLIDADA[Bodega]&amp;TABLACONSOLIDADA[Codigo],0)),"")</f>
        <v>75</v>
      </c>
      <c r="AT28" s="157">
        <f t="array" ref="AT28">IFERROR(INDEX(TABLACONSOLIDADA[Inv Fís Act],MATCH("AGROINSUMOScentralPROPIA"&amp;Tabla_Buffers_Agroinsumos[[#This Row],[CODIGO ]],TABLACONSOLIDADA[Bodega]&amp;TABLACONSOLIDADA[Codigo],0)),"")</f>
        <v>0</v>
      </c>
      <c r="AU28" s="157">
        <f t="array" ref="AU2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8" s="134">
        <f>IFERROR(SUM(Tabla_Buffers_Agroinsumos[[#This Row],[P-MP]:[P-VL]]),"")</f>
        <v>0</v>
      </c>
      <c r="AX28" s="92">
        <f>IFERROR(Tabla_Buffers_Agroinsumos[[#This Row],[INV FIS PROPIA]]-Tabla_Buffers_Agroinsumos[[#This Row],[BUFFER PROPIA]],"")</f>
        <v>-75</v>
      </c>
      <c r="AY2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-75</v>
      </c>
      <c r="AZ28" s="134"/>
      <c r="BA28" s="134"/>
      <c r="BB28" s="134"/>
      <c r="BC28" s="134"/>
      <c r="BD28" s="134"/>
      <c r="BE28" s="134"/>
      <c r="BF28" s="134"/>
      <c r="BG28" s="134"/>
      <c r="BH28" s="134"/>
      <c r="BI28" s="91">
        <f t="array" ref="BI28">IFERROR(INDEX(TABLACONSOLIDADA[Buff Act],MATCH("AGROINSUMOSSTODOMINGO"&amp;Tabla_Buffers_Agroinsumos[[#This Row],[CODIGO ]],TABLACONSOLIDADA[Bodega]&amp;TABLACONSOLIDADA[Codigo],0)),"")</f>
        <v>0</v>
      </c>
      <c r="BJ28" s="157">
        <f t="array" ref="BJ28">IFERROR(INDEX(TABLACONSOLIDADA[Inv Fís Act],MATCH("AGROINSUMOSSTODOMINGO"&amp;Tabla_Buffers_Agroinsumos[[#This Row],[CODIGO ]],TABLACONSOLIDADA[Bodega]&amp;TABLACONSOLIDADA[Codigo],0)),"")</f>
        <v>50</v>
      </c>
      <c r="BK28" s="157">
        <f t="array" ref="BK2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50</v>
      </c>
      <c r="BL2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8" s="91">
        <f>IFERROR(SUM(Tabla_Buffers_Agroinsumos[[#This Row],[SD-MP]:[SD-VL]]),"")</f>
        <v>0</v>
      </c>
      <c r="BN28" s="92"/>
      <c r="BO28" s="92"/>
      <c r="BP28" s="134"/>
      <c r="BQ28" s="134"/>
      <c r="BR28" s="134"/>
      <c r="BS28" s="134"/>
      <c r="BT28" s="134"/>
      <c r="BU28" s="134"/>
      <c r="BV28" s="134"/>
      <c r="BW28" s="134"/>
      <c r="BX28" s="134"/>
      <c r="BY28" s="134">
        <f t="array" ref="BY28">IFERROR(INDEX(TABLACONSOLIDADA[Buff Act],MATCH("AGROINSUMOSMONCAYOLOPEZ"&amp;Tabla_Buffers_Agroinsumos[[#This Row],[CODIGO ]],TABLACONSOLIDADA[Bodega]&amp;TABLACONSOLIDADA[Codigo],0)),"")</f>
        <v>20</v>
      </c>
      <c r="BZ28" s="157">
        <f t="array" ref="BZ28">IFERROR(INDEX(TABLACONSOLIDADA[Inv Fís Act],MATCH("AGROINSUMOSMONCAYOLOPEZ"&amp;Tabla_Buffers_Agroinsumos[[#This Row],[CODIGO ]],TABLACONSOLIDADA[Bodega]&amp;TABLACONSOLIDADA[Codigo],0)),"")</f>
        <v>16</v>
      </c>
      <c r="CA28" s="157">
        <f t="array" ref="CA2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16</v>
      </c>
      <c r="CB2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8" s="134">
        <f>IFERROR(SUM(Tabla_Buffers_Agroinsumos[[#This Row],[ML-MP]:[ML-VL]]),"")</f>
        <v>0</v>
      </c>
      <c r="CD28" s="92">
        <f>IFERROR(Tabla_Buffers_Agroinsumos[[#This Row],[INV FIS ML]]-Tabla_Buffers_Agroinsumos[[#This Row],[BUFFER ML]],"")</f>
        <v>-4</v>
      </c>
      <c r="CE28" s="92">
        <f>IFERROR(Tabla_Buffers_Agroinsumos[[#This Row],[INV FIS ML]]+Tabla_Buffers_Agroinsumos[[#This Row],[TRANSFERENCIAS A ML]]-Tabla_Buffers_Agroinsumos[[#This Row],[BUFFER ML]]-Tabla_Buffers_Agroinsumos[[#This Row],[TRANSFERENCIAS DE ML]],"")</f>
        <v>-4</v>
      </c>
      <c r="CF28" s="134"/>
      <c r="CG28" s="134"/>
      <c r="CH28" s="134"/>
      <c r="CI28" s="134"/>
      <c r="CJ28" s="134"/>
      <c r="CK28" s="134"/>
      <c r="CL28" s="134"/>
      <c r="CM28" s="134"/>
      <c r="CN28" s="134"/>
      <c r="CO28" s="134">
        <f t="array" ref="CO28">IFERROR(INDEX(TABLACONSOLIDADA[Buff Act],MATCH("AGROINSUMOSAGROHERMANOSLEON"&amp;Tabla_Buffers_Agroinsumos[[#This Row],[CODIGO ]],TABLACONSOLIDADA[Bodega]&amp;TABLACONSOLIDADA[Codigo],0)),"")</f>
        <v>0</v>
      </c>
      <c r="CP28" s="157">
        <f t="array" ref="CP28">IFERROR(INDEX(TABLACONSOLIDADA[Inv Fís Act],MATCH("AGROINSUMOSAGROHERMANOSLEON"&amp;Tabla_Buffers_Agroinsumos[[#This Row],[CODIGO ]],TABLACONSOLIDADA[Bodega]&amp;TABLACONSOLIDADA[Codigo],0)),"")</f>
        <v>0</v>
      </c>
      <c r="CQ28" s="157">
        <f t="array" ref="CQ2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8" s="134">
        <f>IFERROR(SUM(Tabla_Buffers_Agroinsumos[[#This Row],[AL-MP]:[AL-VL]]),"")</f>
        <v>0</v>
      </c>
      <c r="CT28" s="92">
        <f>IFERROR(Tabla_Buffers_Agroinsumos[[#This Row],[INV FIS AL]]-Tabla_Buffers_Agroinsumos[[#This Row],[BUFFER AL]],"")</f>
        <v>0</v>
      </c>
      <c r="CU2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8" s="134"/>
      <c r="CW28" s="134"/>
      <c r="CX28" s="134"/>
      <c r="CY28" s="134"/>
      <c r="CZ28" s="134"/>
      <c r="DA28" s="134"/>
      <c r="DB28" s="134"/>
      <c r="DC28" s="134"/>
      <c r="DD28" s="134"/>
      <c r="DE28" s="134">
        <f t="array" ref="DE28">IFERROR(INDEX(TABLACONSOLIDADA[Buff Act],MATCH("AGROINSUMOSAGRONUEVO"&amp;Tabla_Buffers_Agroinsumos[[#This Row],[CODIGO ]],TABLACONSOLIDADA[Bodega]&amp;TABLACONSOLIDADA[Codigo],0)),"")</f>
        <v>0</v>
      </c>
      <c r="DF28" s="157">
        <f t="array" ref="DF28">IFERROR(INDEX(TABLACONSOLIDADA[Inv Fís Act],MATCH("AGROINSUMOSAGRONUEVO"&amp;Tabla_Buffers_Agroinsumos[[#This Row],[CODIGO ]],TABLACONSOLIDADA[Bodega]&amp;TABLACONSOLIDADA[Codigo],0)),"")</f>
        <v>0</v>
      </c>
      <c r="DG28" s="157">
        <f t="array" ref="DG2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8" s="134">
        <f>IFERROR(SUM(Tabla_Buffers_Agroinsumos[[#This Row],[AN-MP]:[AN-VL]]),"")</f>
        <v>0</v>
      </c>
      <c r="DJ28" s="92">
        <f>IFERROR(Tabla_Buffers_Agroinsumos[[#This Row],[INV FIS AN]]-Tabla_Buffers_Agroinsumos[[#This Row],[BUFFER AN]],"")</f>
        <v>0</v>
      </c>
      <c r="DK2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8" s="134"/>
      <c r="DM28" s="134"/>
      <c r="DN28" s="134"/>
      <c r="DO28" s="134"/>
      <c r="DP28" s="134"/>
      <c r="DQ28" s="134"/>
      <c r="DR28" s="134"/>
      <c r="DS28" s="134"/>
      <c r="DT28" s="134"/>
      <c r="DU28" s="134">
        <f t="array" ref="DU28">IFERROR(INDEX(TABLACONSOLIDADA[Buff Act],MATCH("AGROINSUMOSAGROQUIMICOSSUR"&amp;Tabla_Buffers_Agroinsumos[[#This Row],[CODIGO ]],TABLACONSOLIDADA[Bodega]&amp;TABLACONSOLIDADA[Codigo],0)),"")</f>
        <v>0</v>
      </c>
      <c r="DV28" s="157">
        <f t="array" ref="DV28">IFERROR(INDEX(TABLACONSOLIDADA[Inv Fís Act],MATCH("AGROINSUMOSAGROQUIMICOSSUR"&amp;Tabla_Buffers_Agroinsumos[[#This Row],[CODIGO ]],TABLACONSOLIDADA[Bodega]&amp;TABLACONSOLIDADA[Codigo],0)),"")</f>
        <v>0</v>
      </c>
      <c r="DW28" s="157">
        <f t="array" ref="DW2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8" s="134">
        <f>IFERROR(SUM(Tabla_Buffers_Agroinsumos[[#This Row],[AS-MP]:[AS-VL]]),"")</f>
        <v>0</v>
      </c>
      <c r="DZ28" s="92">
        <f>IFERROR(Tabla_Buffers_Agroinsumos[[#This Row],[INV FIS AS]]-Tabla_Buffers_Agroinsumos[[#This Row],[BUFFER AS]],"")</f>
        <v>0</v>
      </c>
      <c r="EA2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8" s="134"/>
      <c r="EC28" s="134"/>
      <c r="ED28" s="134"/>
      <c r="EE28" s="134"/>
      <c r="EF28" s="134"/>
      <c r="EG28" s="134"/>
      <c r="EH28" s="134"/>
      <c r="EI28" s="134"/>
      <c r="EJ28" s="134"/>
      <c r="EK28" s="134">
        <f t="array" ref="EK28">IFERROR(INDEX(TABLACONSOLIDADA[Buff Act],MATCH("AGROINSUMOSLAFINCA"&amp;Tabla_Buffers_Agroinsumos[[#This Row],[CODIGO ]],TABLACONSOLIDADA[Bodega]&amp;TABLACONSOLIDADA[Codigo],0)),"")</f>
        <v>0</v>
      </c>
      <c r="EL28" s="157">
        <f t="array" ref="EL28">IFERROR(INDEX(TABLACONSOLIDADA[Inv Fís Act],MATCH("AGROINSUMOSLAFINCA"&amp;Tabla_Buffers_Agroinsumos[[#This Row],[CODIGO ]],TABLACONSOLIDADA[Bodega]&amp;TABLACONSOLIDADA[Codigo],0)),"")</f>
        <v>0</v>
      </c>
      <c r="EM28" s="157">
        <f t="array" ref="EM2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8" s="134">
        <f>IFERROR(SUM(Tabla_Buffers_Agroinsumos[[#This Row],[LF-MP]:[LF-VL]]),"")</f>
        <v>0</v>
      </c>
      <c r="EP28" s="92">
        <f>IFERROR(Tabla_Buffers_Agroinsumos[[#This Row],[INV FIS LF]]-Tabla_Buffers_Agroinsumos[[#This Row],[BUFFER LF]],"")</f>
        <v>0</v>
      </c>
      <c r="EQ2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8" s="134"/>
      <c r="ES28" s="134"/>
      <c r="ET28" s="134"/>
      <c r="EU28" s="134"/>
      <c r="EV28" s="134"/>
      <c r="EW28" s="134"/>
      <c r="EX28" s="134"/>
      <c r="EY28" s="134"/>
      <c r="EZ28" s="134"/>
      <c r="FA28" s="134">
        <f t="array" ref="FA28">IFERROR(INDEX(TABLACONSOLIDADA[Buff Act],MATCH("AGROINSUMOSVERONICALEDESMA"&amp;Tabla_Buffers_Agroinsumos[[#This Row],[CODIGO ]],TABLACONSOLIDADA[Bodega]&amp;TABLACONSOLIDADA[Codigo],0)),"")</f>
        <v>0</v>
      </c>
      <c r="FB28" s="157">
        <f t="array" ref="FB28">IFERROR(INDEX(TABLACONSOLIDADA[Inv Fís Act],MATCH("AGROINSUMOSVERONICALEDESMA"&amp;Tabla_Buffers_Agroinsumos[[#This Row],[CODIGO ]],TABLACONSOLIDADA[Bodega]&amp;TABLACONSOLIDADA[Codigo],0)),"")</f>
        <v>0</v>
      </c>
      <c r="FC28" s="157">
        <f t="array" ref="FC2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8" s="134">
        <f>IFERROR(SUM(Tabla_Buffers_Agroinsumos[[#This Row],[VL-MP]:[VL-LF]]),"")</f>
        <v>0</v>
      </c>
      <c r="FF28" s="92">
        <f>IFERROR(Tabla_Buffers_Agroinsumos[[#This Row],[INV FIS VL]]-Tabla_Buffers_Agroinsumos[[#This Row],[BUFFER VL]],"")</f>
        <v>0</v>
      </c>
      <c r="FG2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8" s="134"/>
      <c r="FI28" s="134"/>
      <c r="FJ28" s="134"/>
      <c r="FK28" s="134"/>
      <c r="FL28" s="134"/>
      <c r="FM28" s="134"/>
      <c r="FN28" s="134"/>
      <c r="FO28" s="134"/>
      <c r="FP28" s="134"/>
    </row>
    <row r="29" spans="1:172">
      <c r="A29" s="7" t="s">
        <v>105</v>
      </c>
      <c r="B29" s="7" t="s">
        <v>106</v>
      </c>
      <c r="C29" s="7" t="s">
        <v>707</v>
      </c>
      <c r="D29" s="7" t="s">
        <v>715</v>
      </c>
      <c r="E29" s="7" t="s">
        <v>975</v>
      </c>
      <c r="F29" s="19" t="s">
        <v>698</v>
      </c>
      <c r="G29" s="19" t="s">
        <v>698</v>
      </c>
      <c r="H29" s="19">
        <f>VLOOKUP(Tabla_Buffers_Agroinsumos[[#This Row],[CODIGO ]],TABLACONSOLIDADA[[Codigo]:[PV]],6,0)</f>
        <v>21.89</v>
      </c>
      <c r="I29" s="19">
        <f>VLOOKUP(Tabla_Buffers_Agroinsumos[[#This Row],[CODIGO ]],TABLACONSOLIDADA[[Codigo]:[PV]],5,0)</f>
        <v>8.39</v>
      </c>
      <c r="J29" s="19" t="s">
        <v>698</v>
      </c>
      <c r="K29" s="19" t="s">
        <v>698</v>
      </c>
      <c r="L29" s="19">
        <f>IFERROR(Tabla_Buffers_Agroinsumos[[#This Row],[BUFFER CENTRAL]]/((Tabla_Buffers_Agroinsumos[[#This Row],[TIEMPO REPOSICION ]]/Tabla_Buffers_Agroinsumos[[#This Row],[FRECUENCIA]])+1),0)</f>
        <v>0</v>
      </c>
      <c r="M29" s="19" t="str">
        <f t="array" ref="M29">IFERROR(INDEX(TABLACONSOLIDADA[Buff Act],MATCH("AGROINSUMOSMATERIAPRIMA"&amp;Tabla_Buffers_Agroinsumos[[#This Row],[CODIGO ]],TABLACONSOLIDADA[Bodega]&amp;TABLACONSOLIDADA[Codigo],0)),"")</f>
        <v/>
      </c>
      <c r="N29" s="157" t="str">
        <f t="array" ref="N29">IFERROR(INDEX(TABLACONSOLIDADA[Inv Fís Act],MATCH("AGROINSUMOSMATERIAPRIMA"&amp;Tabla_Buffers_Agroinsumos[[#This Row],[CODIGO ]],TABLACONSOLIDADA[Bodega]&amp;TABLACONSOLIDADA[Codigo],0)),"")</f>
        <v/>
      </c>
      <c r="O29" s="157" t="str">
        <f t="array" ref="O2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9" s="19">
        <f>IFERROR(SUM(Tabla_Buffers_Agroinsumos[[#This Row],[MP-C]:[MP-VL]]),"")</f>
        <v>0</v>
      </c>
      <c r="R29" s="92" t="str">
        <f>IFERROR(Tabla_Buffers_Agroinsumos[[#This Row],[INV FIS MATERIA PRIMA]]-Tabla_Buffers_Agroinsumos[[#This Row],[BUFFER MATERIA PRIMA]],"")</f>
        <v/>
      </c>
      <c r="S2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9" s="19"/>
      <c r="U29" s="19"/>
      <c r="V29" s="19"/>
      <c r="W29" s="19"/>
      <c r="X29" s="19"/>
      <c r="Y29" s="19"/>
      <c r="Z29" s="19"/>
      <c r="AA29" s="19"/>
      <c r="AB29" s="19"/>
      <c r="AC29" s="152">
        <f t="array" ref="AC29">IFERROR(INDEX(TABLACONSOLIDADA[Buff Act],MATCH("AGROINSUMOSCENTRAL"&amp;Tabla_Buffers_Agroinsumos[[#This Row],[CODIGO ]],TABLACONSOLIDADA[Bodega]&amp;TABLACONSOLIDADA[Codigo],0)),"")</f>
        <v>0</v>
      </c>
      <c r="AD29" s="157">
        <f t="array" ref="AD29">IFERROR(INDEX(TABLACONSOLIDADA[Inv Fís Act],MATCH("AGROINSUMOSCENTRAL"&amp;Tabla_Buffers_Agroinsumos[[#This Row],[CODIGO ]],TABLACONSOLIDADA[Bodega]&amp;TABLACONSOLIDADA[Codigo],0)),"")</f>
        <v>0</v>
      </c>
      <c r="AE29" s="157">
        <f t="array" ref="AE2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9" s="91">
        <f>IFERROR(SUM(Tabla_Buffers_Agroinsumos[[#This Row],[C-MP]:[C-VL]]),"")</f>
        <v>0</v>
      </c>
      <c r="AH29" s="92">
        <f>IFERROR(Tabla_Buffers_Agroinsumos[[#This Row],[INV FIS CENTRAL]]-Tabla_Buffers_Agroinsumos[[#This Row],[BUFFER CENTRAL]],"")</f>
        <v>0</v>
      </c>
      <c r="AI2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9" s="134"/>
      <c r="AK29" s="134"/>
      <c r="AL29" s="134"/>
      <c r="AM29" s="134"/>
      <c r="AN29" s="134"/>
      <c r="AO29" s="134"/>
      <c r="AP29" s="134"/>
      <c r="AQ29" s="134"/>
      <c r="AR29" s="134"/>
      <c r="AS29" s="134">
        <f t="array" ref="AS29">IFERROR(INDEX(TABLACONSOLIDADA[Buff Act],MATCH("AGROINSUMOScentralPROPIA"&amp;Tabla_Buffers_Agroinsumos[[#This Row],[CODIGO ]],TABLACONSOLIDADA[Bodega]&amp;TABLACONSOLIDADA[Codigo],0)),"")</f>
        <v>0</v>
      </c>
      <c r="AT29" s="157">
        <f t="array" ref="AT29">IFERROR(INDEX(TABLACONSOLIDADA[Inv Fís Act],MATCH("AGROINSUMOScentralPROPIA"&amp;Tabla_Buffers_Agroinsumos[[#This Row],[CODIGO ]],TABLACONSOLIDADA[Bodega]&amp;TABLACONSOLIDADA[Codigo],0)),"")</f>
        <v>0</v>
      </c>
      <c r="AU29" s="157">
        <f t="array" ref="AU2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9" s="134">
        <f>IFERROR(SUM(Tabla_Buffers_Agroinsumos[[#This Row],[P-MP]:[P-VL]]),"")</f>
        <v>0</v>
      </c>
      <c r="AX29" s="92">
        <f>IFERROR(Tabla_Buffers_Agroinsumos[[#This Row],[INV FIS PROPIA]]-Tabla_Buffers_Agroinsumos[[#This Row],[BUFFER PROPIA]],"")</f>
        <v>0</v>
      </c>
      <c r="AY2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29" s="134"/>
      <c r="BA29" s="134"/>
      <c r="BB29" s="134"/>
      <c r="BC29" s="134"/>
      <c r="BD29" s="134"/>
      <c r="BE29" s="134"/>
      <c r="BF29" s="134"/>
      <c r="BG29" s="134"/>
      <c r="BH29" s="134"/>
      <c r="BI29" s="91">
        <f t="array" ref="BI29">IFERROR(INDEX(TABLACONSOLIDADA[Buff Act],MATCH("AGROINSUMOSSTODOMINGO"&amp;Tabla_Buffers_Agroinsumos[[#This Row],[CODIGO ]],TABLACONSOLIDADA[Bodega]&amp;TABLACONSOLIDADA[Codigo],0)),"")</f>
        <v>0</v>
      </c>
      <c r="BJ29" s="157">
        <f t="array" ref="BJ29">IFERROR(INDEX(TABLACONSOLIDADA[Inv Fís Act],MATCH("AGROINSUMOSSTODOMINGO"&amp;Tabla_Buffers_Agroinsumos[[#This Row],[CODIGO ]],TABLACONSOLIDADA[Bodega]&amp;TABLACONSOLIDADA[Codigo],0)),"")</f>
        <v>0</v>
      </c>
      <c r="BK29" s="157">
        <f t="array" ref="BK2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9" s="91">
        <f>IFERROR(SUM(Tabla_Buffers_Agroinsumos[[#This Row],[SD-MP]:[SD-VL]]),"")</f>
        <v>0</v>
      </c>
      <c r="BN29" s="92"/>
      <c r="BO29" s="92"/>
      <c r="BP29" s="134"/>
      <c r="BQ29" s="134"/>
      <c r="BR29" s="134"/>
      <c r="BS29" s="134"/>
      <c r="BT29" s="134"/>
      <c r="BU29" s="134"/>
      <c r="BV29" s="134"/>
      <c r="BW29" s="134"/>
      <c r="BX29" s="134"/>
      <c r="BY29" s="134">
        <f t="array" ref="BY29">IFERROR(INDEX(TABLACONSOLIDADA[Buff Act],MATCH("AGROINSUMOSMONCAYOLOPEZ"&amp;Tabla_Buffers_Agroinsumos[[#This Row],[CODIGO ]],TABLACONSOLIDADA[Bodega]&amp;TABLACONSOLIDADA[Codigo],0)),"")</f>
        <v>0</v>
      </c>
      <c r="BZ29" s="157">
        <f t="array" ref="BZ29">IFERROR(INDEX(TABLACONSOLIDADA[Inv Fís Act],MATCH("AGROINSUMOSMONCAYOLOPEZ"&amp;Tabla_Buffers_Agroinsumos[[#This Row],[CODIGO ]],TABLACONSOLIDADA[Bodega]&amp;TABLACONSOLIDADA[Codigo],0)),"")</f>
        <v>0</v>
      </c>
      <c r="CA29" s="157">
        <f t="array" ref="CA2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9" s="134">
        <f>IFERROR(SUM(Tabla_Buffers_Agroinsumos[[#This Row],[ML-MP]:[ML-VL]]),"")</f>
        <v>0</v>
      </c>
      <c r="CD29" s="92">
        <f>IFERROR(Tabla_Buffers_Agroinsumos[[#This Row],[INV FIS ML]]-Tabla_Buffers_Agroinsumos[[#This Row],[BUFFER ML]],"")</f>
        <v>0</v>
      </c>
      <c r="CE2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9" s="134"/>
      <c r="CG29" s="134"/>
      <c r="CH29" s="134"/>
      <c r="CI29" s="134"/>
      <c r="CJ29" s="134"/>
      <c r="CK29" s="134"/>
      <c r="CL29" s="134"/>
      <c r="CM29" s="134"/>
      <c r="CN29" s="134"/>
      <c r="CO29" s="134">
        <f t="array" ref="CO29">IFERROR(INDEX(TABLACONSOLIDADA[Buff Act],MATCH("AGROINSUMOSAGROHERMANOSLEON"&amp;Tabla_Buffers_Agroinsumos[[#This Row],[CODIGO ]],TABLACONSOLIDADA[Bodega]&amp;TABLACONSOLIDADA[Codigo],0)),"")</f>
        <v>0</v>
      </c>
      <c r="CP29" s="157">
        <f t="array" ref="CP29">IFERROR(INDEX(TABLACONSOLIDADA[Inv Fís Act],MATCH("AGROINSUMOSAGROHERMANOSLEON"&amp;Tabla_Buffers_Agroinsumos[[#This Row],[CODIGO ]],TABLACONSOLIDADA[Bodega]&amp;TABLACONSOLIDADA[Codigo],0)),"")</f>
        <v>0</v>
      </c>
      <c r="CQ29" s="157">
        <f t="array" ref="CQ2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9" s="134">
        <f>IFERROR(SUM(Tabla_Buffers_Agroinsumos[[#This Row],[AL-MP]:[AL-VL]]),"")</f>
        <v>0</v>
      </c>
      <c r="CT29" s="92">
        <f>IFERROR(Tabla_Buffers_Agroinsumos[[#This Row],[INV FIS AL]]-Tabla_Buffers_Agroinsumos[[#This Row],[BUFFER AL]],"")</f>
        <v>0</v>
      </c>
      <c r="CU29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9" s="134"/>
      <c r="CW29" s="134"/>
      <c r="CX29" s="134"/>
      <c r="CY29" s="134"/>
      <c r="CZ29" s="134"/>
      <c r="DA29" s="134"/>
      <c r="DB29" s="134"/>
      <c r="DC29" s="134"/>
      <c r="DD29" s="134"/>
      <c r="DE29" s="134">
        <f t="array" ref="DE29">IFERROR(INDEX(TABLACONSOLIDADA[Buff Act],MATCH("AGROINSUMOSAGRONUEVO"&amp;Tabla_Buffers_Agroinsumos[[#This Row],[CODIGO ]],TABLACONSOLIDADA[Bodega]&amp;TABLACONSOLIDADA[Codigo],0)),"")</f>
        <v>0</v>
      </c>
      <c r="DF29" s="157">
        <f t="array" ref="DF29">IFERROR(INDEX(TABLACONSOLIDADA[Inv Fís Act],MATCH("AGROINSUMOSAGRONUEVO"&amp;Tabla_Buffers_Agroinsumos[[#This Row],[CODIGO ]],TABLACONSOLIDADA[Bodega]&amp;TABLACONSOLIDADA[Codigo],0)),"")</f>
        <v>0</v>
      </c>
      <c r="DG29" s="157">
        <f t="array" ref="DG2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9" s="134">
        <f>IFERROR(SUM(Tabla_Buffers_Agroinsumos[[#This Row],[AN-MP]:[AN-VL]]),"")</f>
        <v>0</v>
      </c>
      <c r="DJ29" s="92">
        <f>IFERROR(Tabla_Buffers_Agroinsumos[[#This Row],[INV FIS AN]]-Tabla_Buffers_Agroinsumos[[#This Row],[BUFFER AN]],"")</f>
        <v>0</v>
      </c>
      <c r="DK2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9" s="134"/>
      <c r="DM29" s="134"/>
      <c r="DN29" s="134"/>
      <c r="DO29" s="134"/>
      <c r="DP29" s="134"/>
      <c r="DQ29" s="134"/>
      <c r="DR29" s="134"/>
      <c r="DS29" s="134"/>
      <c r="DT29" s="134"/>
      <c r="DU29" s="134">
        <f t="array" ref="DU29">IFERROR(INDEX(TABLACONSOLIDADA[Buff Act],MATCH("AGROINSUMOSAGROQUIMICOSSUR"&amp;Tabla_Buffers_Agroinsumos[[#This Row],[CODIGO ]],TABLACONSOLIDADA[Bodega]&amp;TABLACONSOLIDADA[Codigo],0)),"")</f>
        <v>0</v>
      </c>
      <c r="DV29" s="157">
        <f t="array" ref="DV29">IFERROR(INDEX(TABLACONSOLIDADA[Inv Fís Act],MATCH("AGROINSUMOSAGROQUIMICOSSUR"&amp;Tabla_Buffers_Agroinsumos[[#This Row],[CODIGO ]],TABLACONSOLIDADA[Bodega]&amp;TABLACONSOLIDADA[Codigo],0)),"")</f>
        <v>0</v>
      </c>
      <c r="DW29" s="157">
        <f t="array" ref="DW2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9" s="134">
        <f>IFERROR(SUM(Tabla_Buffers_Agroinsumos[[#This Row],[AS-MP]:[AS-VL]]),"")</f>
        <v>0</v>
      </c>
      <c r="DZ29" s="92">
        <f>IFERROR(Tabla_Buffers_Agroinsumos[[#This Row],[INV FIS AS]]-Tabla_Buffers_Agroinsumos[[#This Row],[BUFFER AS]],"")</f>
        <v>0</v>
      </c>
      <c r="EA2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9" s="134"/>
      <c r="EC29" s="134"/>
      <c r="ED29" s="134"/>
      <c r="EE29" s="134"/>
      <c r="EF29" s="134"/>
      <c r="EG29" s="134"/>
      <c r="EH29" s="134"/>
      <c r="EI29" s="134"/>
      <c r="EJ29" s="134"/>
      <c r="EK29" s="134">
        <f t="array" ref="EK29">IFERROR(INDEX(TABLACONSOLIDADA[Buff Act],MATCH("AGROINSUMOSLAFINCA"&amp;Tabla_Buffers_Agroinsumos[[#This Row],[CODIGO ]],TABLACONSOLIDADA[Bodega]&amp;TABLACONSOLIDADA[Codigo],0)),"")</f>
        <v>0</v>
      </c>
      <c r="EL29" s="157">
        <f t="array" ref="EL29">IFERROR(INDEX(TABLACONSOLIDADA[Inv Fís Act],MATCH("AGROINSUMOSLAFINCA"&amp;Tabla_Buffers_Agroinsumos[[#This Row],[CODIGO ]],TABLACONSOLIDADA[Bodega]&amp;TABLACONSOLIDADA[Codigo],0)),"")</f>
        <v>0</v>
      </c>
      <c r="EM29" s="157">
        <f t="array" ref="EM2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9" s="134">
        <f>IFERROR(SUM(Tabla_Buffers_Agroinsumos[[#This Row],[LF-MP]:[LF-VL]]),"")</f>
        <v>0</v>
      </c>
      <c r="EP29" s="92">
        <f>IFERROR(Tabla_Buffers_Agroinsumos[[#This Row],[INV FIS LF]]-Tabla_Buffers_Agroinsumos[[#This Row],[BUFFER LF]],"")</f>
        <v>0</v>
      </c>
      <c r="EQ2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9" s="134"/>
      <c r="ES29" s="134"/>
      <c r="ET29" s="134"/>
      <c r="EU29" s="134"/>
      <c r="EV29" s="134"/>
      <c r="EW29" s="134"/>
      <c r="EX29" s="134"/>
      <c r="EY29" s="134"/>
      <c r="EZ29" s="134"/>
      <c r="FA29" s="134">
        <f t="array" ref="FA29">IFERROR(INDEX(TABLACONSOLIDADA[Buff Act],MATCH("AGROINSUMOSVERONICALEDESMA"&amp;Tabla_Buffers_Agroinsumos[[#This Row],[CODIGO ]],TABLACONSOLIDADA[Bodega]&amp;TABLACONSOLIDADA[Codigo],0)),"")</f>
        <v>0</v>
      </c>
      <c r="FB29" s="157">
        <f t="array" ref="FB29">IFERROR(INDEX(TABLACONSOLIDADA[Inv Fís Act],MATCH("AGROINSUMOSVERONICALEDESMA"&amp;Tabla_Buffers_Agroinsumos[[#This Row],[CODIGO ]],TABLACONSOLIDADA[Bodega]&amp;TABLACONSOLIDADA[Codigo],0)),"")</f>
        <v>0</v>
      </c>
      <c r="FC29" s="157">
        <f t="array" ref="FC2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9" s="134">
        <f>IFERROR(SUM(Tabla_Buffers_Agroinsumos[[#This Row],[VL-MP]:[VL-LF]]),"")</f>
        <v>0</v>
      </c>
      <c r="FF29" s="92">
        <f>IFERROR(Tabla_Buffers_Agroinsumos[[#This Row],[INV FIS VL]]-Tabla_Buffers_Agroinsumos[[#This Row],[BUFFER VL]],"")</f>
        <v>0</v>
      </c>
      <c r="FG2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9" s="134"/>
      <c r="FI29" s="134"/>
      <c r="FJ29" s="134"/>
      <c r="FK29" s="134"/>
      <c r="FL29" s="134"/>
      <c r="FM29" s="134"/>
      <c r="FN29" s="134"/>
      <c r="FO29" s="134"/>
      <c r="FP29" s="134"/>
    </row>
    <row r="30" spans="1:172">
      <c r="A30" s="7" t="s">
        <v>107</v>
      </c>
      <c r="B30" s="7" t="s">
        <v>108</v>
      </c>
      <c r="C30" s="7" t="s">
        <v>707</v>
      </c>
      <c r="D30" s="7" t="s">
        <v>715</v>
      </c>
      <c r="E30" s="7" t="s">
        <v>975</v>
      </c>
      <c r="F30" s="19" t="s">
        <v>698</v>
      </c>
      <c r="G30" s="19" t="s">
        <v>698</v>
      </c>
      <c r="H30" s="19">
        <f>VLOOKUP(Tabla_Buffers_Agroinsumos[[#This Row],[CODIGO ]],TABLACONSOLIDADA[[Codigo]:[PV]],6,0)</f>
        <v>6.49</v>
      </c>
      <c r="I30" s="19">
        <f>VLOOKUP(Tabla_Buffers_Agroinsumos[[#This Row],[CODIGO ]],TABLACONSOLIDADA[[Codigo]:[PV]],5,0)</f>
        <v>2.61</v>
      </c>
      <c r="J30" s="19" t="s">
        <v>698</v>
      </c>
      <c r="K30" s="19" t="s">
        <v>698</v>
      </c>
      <c r="L30" s="19">
        <f>IFERROR(Tabla_Buffers_Agroinsumos[[#This Row],[BUFFER CENTRAL]]/((Tabla_Buffers_Agroinsumos[[#This Row],[TIEMPO REPOSICION ]]/Tabla_Buffers_Agroinsumos[[#This Row],[FRECUENCIA]])+1),0)</f>
        <v>0</v>
      </c>
      <c r="M30" s="19" t="str">
        <f t="array" ref="M30">IFERROR(INDEX(TABLACONSOLIDADA[Buff Act],MATCH("AGROINSUMOSMATERIAPRIMA"&amp;Tabla_Buffers_Agroinsumos[[#This Row],[CODIGO ]],TABLACONSOLIDADA[Bodega]&amp;TABLACONSOLIDADA[Codigo],0)),"")</f>
        <v/>
      </c>
      <c r="N30" s="157" t="str">
        <f t="array" ref="N30">IFERROR(INDEX(TABLACONSOLIDADA[Inv Fís Act],MATCH("AGROINSUMOSMATERIAPRIMA"&amp;Tabla_Buffers_Agroinsumos[[#This Row],[CODIGO ]],TABLACONSOLIDADA[Bodega]&amp;TABLACONSOLIDADA[Codigo],0)),"")</f>
        <v/>
      </c>
      <c r="O30" s="157" t="str">
        <f t="array" ref="O3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0" s="19">
        <f>IFERROR(SUM(Tabla_Buffers_Agroinsumos[[#This Row],[MP-C]:[MP-VL]]),"")</f>
        <v>0</v>
      </c>
      <c r="R30" s="92" t="str">
        <f>IFERROR(Tabla_Buffers_Agroinsumos[[#This Row],[INV FIS MATERIA PRIMA]]-Tabla_Buffers_Agroinsumos[[#This Row],[BUFFER MATERIA PRIMA]],"")</f>
        <v/>
      </c>
      <c r="S3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0" s="19"/>
      <c r="U30" s="19"/>
      <c r="V30" s="19"/>
      <c r="W30" s="19"/>
      <c r="X30" s="19"/>
      <c r="Y30" s="19"/>
      <c r="Z30" s="19"/>
      <c r="AA30" s="19"/>
      <c r="AB30" s="19"/>
      <c r="AC30" s="152">
        <f t="array" ref="AC30">IFERROR(INDEX(TABLACONSOLIDADA[Buff Act],MATCH("AGROINSUMOSCENTRAL"&amp;Tabla_Buffers_Agroinsumos[[#This Row],[CODIGO ]],TABLACONSOLIDADA[Bodega]&amp;TABLACONSOLIDADA[Codigo],0)),"")</f>
        <v>80</v>
      </c>
      <c r="AD30" s="157">
        <f t="array" ref="AD30">IFERROR(INDEX(TABLACONSOLIDADA[Inv Fís Act],MATCH("AGROINSUMOSCENTRAL"&amp;Tabla_Buffers_Agroinsumos[[#This Row],[CODIGO ]],TABLACONSOLIDADA[Bodega]&amp;TABLACONSOLIDADA[Codigo],0)),"")</f>
        <v>176</v>
      </c>
      <c r="AE30" s="157">
        <f t="array" ref="AE3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206</v>
      </c>
      <c r="AF3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0" s="91">
        <f>IFERROR(SUM(Tabla_Buffers_Agroinsumos[[#This Row],[C-MP]:[C-VL]]),"")</f>
        <v>0</v>
      </c>
      <c r="AH30" s="92">
        <f>IFERROR(Tabla_Buffers_Agroinsumos[[#This Row],[INV FIS CENTRAL]]-Tabla_Buffers_Agroinsumos[[#This Row],[BUFFER CENTRAL]],"")</f>
        <v>96</v>
      </c>
      <c r="AI3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96</v>
      </c>
      <c r="AJ30" s="134"/>
      <c r="AK30" s="134"/>
      <c r="AL30" s="134"/>
      <c r="AM30" s="134"/>
      <c r="AN30" s="134"/>
      <c r="AO30" s="134"/>
      <c r="AP30" s="134"/>
      <c r="AQ30" s="134"/>
      <c r="AR30" s="134"/>
      <c r="AS30" s="134">
        <f t="array" ref="AS30">IFERROR(INDEX(TABLACONSOLIDADA[Buff Act],MATCH("AGROINSUMOScentralPROPIA"&amp;Tabla_Buffers_Agroinsumos[[#This Row],[CODIGO ]],TABLACONSOLIDADA[Bodega]&amp;TABLACONSOLIDADA[Codigo],0)),"")</f>
        <v>42</v>
      </c>
      <c r="AT30" s="157">
        <f t="array" ref="AT30">IFERROR(INDEX(TABLACONSOLIDADA[Inv Fís Act],MATCH("AGROINSUMOScentralPROPIA"&amp;Tabla_Buffers_Agroinsumos[[#This Row],[CODIGO ]],TABLACONSOLIDADA[Bodega]&amp;TABLACONSOLIDADA[Codigo],0)),"")</f>
        <v>0</v>
      </c>
      <c r="AU30" s="157">
        <f t="array" ref="AU3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0" s="134">
        <f>IFERROR(SUM(Tabla_Buffers_Agroinsumos[[#This Row],[P-MP]:[P-VL]]),"")</f>
        <v>0</v>
      </c>
      <c r="AX30" s="92">
        <f>IFERROR(Tabla_Buffers_Agroinsumos[[#This Row],[INV FIS PROPIA]]-Tabla_Buffers_Agroinsumos[[#This Row],[BUFFER PROPIA]],"")</f>
        <v>-42</v>
      </c>
      <c r="AY3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-42</v>
      </c>
      <c r="AZ30" s="134"/>
      <c r="BA30" s="134"/>
      <c r="BB30" s="134"/>
      <c r="BC30" s="134"/>
      <c r="BD30" s="134"/>
      <c r="BE30" s="134"/>
      <c r="BF30" s="134"/>
      <c r="BG30" s="134"/>
      <c r="BH30" s="134"/>
      <c r="BI30" s="91">
        <f t="array" ref="BI30">IFERROR(INDEX(TABLACONSOLIDADA[Buff Act],MATCH("AGROINSUMOSSTODOMINGO"&amp;Tabla_Buffers_Agroinsumos[[#This Row],[CODIGO ]],TABLACONSOLIDADA[Bodega]&amp;TABLACONSOLIDADA[Codigo],0)),"")</f>
        <v>0</v>
      </c>
      <c r="BJ30" s="157">
        <f t="array" ref="BJ30">IFERROR(INDEX(TABLACONSOLIDADA[Inv Fís Act],MATCH("AGROINSUMOSSTODOMINGO"&amp;Tabla_Buffers_Agroinsumos[[#This Row],[CODIGO ]],TABLACONSOLIDADA[Bodega]&amp;TABLACONSOLIDADA[Codigo],0)),"")</f>
        <v>0</v>
      </c>
      <c r="BK30" s="157">
        <f t="array" ref="BK3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0" s="91">
        <f>IFERROR(SUM(Tabla_Buffers_Agroinsumos[[#This Row],[SD-MP]:[SD-VL]]),"")</f>
        <v>0</v>
      </c>
      <c r="BN30" s="92"/>
      <c r="BO30" s="92"/>
      <c r="BP30" s="134"/>
      <c r="BQ30" s="134"/>
      <c r="BR30" s="134"/>
      <c r="BS30" s="134"/>
      <c r="BT30" s="134"/>
      <c r="BU30" s="134"/>
      <c r="BV30" s="134"/>
      <c r="BW30" s="134"/>
      <c r="BX30" s="134"/>
      <c r="BY30" s="134">
        <f t="array" ref="BY30">IFERROR(INDEX(TABLACONSOLIDADA[Buff Act],MATCH("AGROINSUMOSMONCAYOLOPEZ"&amp;Tabla_Buffers_Agroinsumos[[#This Row],[CODIGO ]],TABLACONSOLIDADA[Bodega]&amp;TABLACONSOLIDADA[Codigo],0)),"")</f>
        <v>8</v>
      </c>
      <c r="BZ30" s="157">
        <f t="array" ref="BZ30">IFERROR(INDEX(TABLACONSOLIDADA[Inv Fís Act],MATCH("AGROINSUMOSMONCAYOLOPEZ"&amp;Tabla_Buffers_Agroinsumos[[#This Row],[CODIGO ]],TABLACONSOLIDADA[Bodega]&amp;TABLACONSOLIDADA[Codigo],0)),"")</f>
        <v>3</v>
      </c>
      <c r="CA30" s="157">
        <f t="array" ref="CA3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3</v>
      </c>
      <c r="CB3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0" s="134">
        <f>IFERROR(SUM(Tabla_Buffers_Agroinsumos[[#This Row],[ML-MP]:[ML-VL]]),"")</f>
        <v>0</v>
      </c>
      <c r="CD30" s="92">
        <f>IFERROR(Tabla_Buffers_Agroinsumos[[#This Row],[INV FIS ML]]-Tabla_Buffers_Agroinsumos[[#This Row],[BUFFER ML]],"")</f>
        <v>-5</v>
      </c>
      <c r="CE30" s="92">
        <f>IFERROR(Tabla_Buffers_Agroinsumos[[#This Row],[INV FIS ML]]+Tabla_Buffers_Agroinsumos[[#This Row],[TRANSFERENCIAS A ML]]-Tabla_Buffers_Agroinsumos[[#This Row],[BUFFER ML]]-Tabla_Buffers_Agroinsumos[[#This Row],[TRANSFERENCIAS DE ML]],"")</f>
        <v>-5</v>
      </c>
      <c r="CF30" s="134"/>
      <c r="CG30" s="134"/>
      <c r="CH30" s="134"/>
      <c r="CI30" s="134"/>
      <c r="CJ30" s="134"/>
      <c r="CK30" s="134"/>
      <c r="CL30" s="134"/>
      <c r="CM30" s="134"/>
      <c r="CN30" s="134"/>
      <c r="CO30" s="134">
        <f t="array" ref="CO30">IFERROR(INDEX(TABLACONSOLIDADA[Buff Act],MATCH("AGROINSUMOSAGROHERMANOSLEON"&amp;Tabla_Buffers_Agroinsumos[[#This Row],[CODIGO ]],TABLACONSOLIDADA[Bodega]&amp;TABLACONSOLIDADA[Codigo],0)),"")</f>
        <v>50</v>
      </c>
      <c r="CP30" s="157">
        <f t="array" ref="CP30">IFERROR(INDEX(TABLACONSOLIDADA[Inv Fís Act],MATCH("AGROINSUMOSAGROHERMANOSLEON"&amp;Tabla_Buffers_Agroinsumos[[#This Row],[CODIGO ]],TABLACONSOLIDADA[Bodega]&amp;TABLACONSOLIDADA[Codigo],0)),"")</f>
        <v>60</v>
      </c>
      <c r="CQ30" s="157">
        <f t="array" ref="CQ3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60</v>
      </c>
      <c r="CR3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0" s="134">
        <f>IFERROR(SUM(Tabla_Buffers_Agroinsumos[[#This Row],[AL-MP]:[AL-VL]]),"")</f>
        <v>0</v>
      </c>
      <c r="CT30" s="92">
        <f>IFERROR(Tabla_Buffers_Agroinsumos[[#This Row],[INV FIS AL]]-Tabla_Buffers_Agroinsumos[[#This Row],[BUFFER AL]],"")</f>
        <v>10</v>
      </c>
      <c r="CU30" s="92">
        <f>IFERROR(Tabla_Buffers_Agroinsumos[[#This Row],[INV FIS AL]]+Tabla_Buffers_Agroinsumos[[#This Row],[TRANSFERENCIAS A AL]]-Tabla_Buffers_Agroinsumos[[#This Row],[BUFFER AL]]-Tabla_Buffers_Agroinsumos[[#This Row],[TRANSFERENCIAS DE AL]],"")</f>
        <v>10</v>
      </c>
      <c r="CV30" s="134"/>
      <c r="CW30" s="134"/>
      <c r="CX30" s="134"/>
      <c r="CY30" s="134"/>
      <c r="CZ30" s="134"/>
      <c r="DA30" s="134"/>
      <c r="DB30" s="134"/>
      <c r="DC30" s="134"/>
      <c r="DD30" s="134"/>
      <c r="DE30" s="134">
        <f t="array" ref="DE30">IFERROR(INDEX(TABLACONSOLIDADA[Buff Act],MATCH("AGROINSUMOSAGRONUEVO"&amp;Tabla_Buffers_Agroinsumos[[#This Row],[CODIGO ]],TABLACONSOLIDADA[Bodega]&amp;TABLACONSOLIDADA[Codigo],0)),"")</f>
        <v>0</v>
      </c>
      <c r="DF30" s="157">
        <f t="array" ref="DF30">IFERROR(INDEX(TABLACONSOLIDADA[Inv Fís Act],MATCH("AGROINSUMOSAGRONUEVO"&amp;Tabla_Buffers_Agroinsumos[[#This Row],[CODIGO ]],TABLACONSOLIDADA[Bodega]&amp;TABLACONSOLIDADA[Codigo],0)),"")</f>
        <v>0</v>
      </c>
      <c r="DG30" s="157">
        <f t="array" ref="DG3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0" s="134">
        <f>IFERROR(SUM(Tabla_Buffers_Agroinsumos[[#This Row],[AN-MP]:[AN-VL]]),"")</f>
        <v>0</v>
      </c>
      <c r="DJ30" s="92">
        <f>IFERROR(Tabla_Buffers_Agroinsumos[[#This Row],[INV FIS AN]]-Tabla_Buffers_Agroinsumos[[#This Row],[BUFFER AN]],"")</f>
        <v>0</v>
      </c>
      <c r="DK3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0" s="134"/>
      <c r="DM30" s="134"/>
      <c r="DN30" s="134"/>
      <c r="DO30" s="134"/>
      <c r="DP30" s="134"/>
      <c r="DQ30" s="134"/>
      <c r="DR30" s="134"/>
      <c r="DS30" s="134"/>
      <c r="DT30" s="134"/>
      <c r="DU30" s="134">
        <f t="array" ref="DU30">IFERROR(INDEX(TABLACONSOLIDADA[Buff Act],MATCH("AGROINSUMOSAGROQUIMICOSSUR"&amp;Tabla_Buffers_Agroinsumos[[#This Row],[CODIGO ]],TABLACONSOLIDADA[Bodega]&amp;TABLACONSOLIDADA[Codigo],0)),"")</f>
        <v>0</v>
      </c>
      <c r="DV30" s="157">
        <f t="array" ref="DV30">IFERROR(INDEX(TABLACONSOLIDADA[Inv Fís Act],MATCH("AGROINSUMOSAGROQUIMICOSSUR"&amp;Tabla_Buffers_Agroinsumos[[#This Row],[CODIGO ]],TABLACONSOLIDADA[Bodega]&amp;TABLACONSOLIDADA[Codigo],0)),"")</f>
        <v>0</v>
      </c>
      <c r="DW30" s="157">
        <f t="array" ref="DW3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0" s="134">
        <f>IFERROR(SUM(Tabla_Buffers_Agroinsumos[[#This Row],[AS-MP]:[AS-VL]]),"")</f>
        <v>0</v>
      </c>
      <c r="DZ30" s="92">
        <f>IFERROR(Tabla_Buffers_Agroinsumos[[#This Row],[INV FIS AS]]-Tabla_Buffers_Agroinsumos[[#This Row],[BUFFER AS]],"")</f>
        <v>0</v>
      </c>
      <c r="EA3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0" s="134"/>
      <c r="EC30" s="134"/>
      <c r="ED30" s="134"/>
      <c r="EE30" s="134"/>
      <c r="EF30" s="134"/>
      <c r="EG30" s="134"/>
      <c r="EH30" s="134"/>
      <c r="EI30" s="134"/>
      <c r="EJ30" s="134"/>
      <c r="EK30" s="134">
        <f t="array" ref="EK30">IFERROR(INDEX(TABLACONSOLIDADA[Buff Act],MATCH("AGROINSUMOSLAFINCA"&amp;Tabla_Buffers_Agroinsumos[[#This Row],[CODIGO ]],TABLACONSOLIDADA[Bodega]&amp;TABLACONSOLIDADA[Codigo],0)),"")</f>
        <v>0</v>
      </c>
      <c r="EL30" s="157">
        <f t="array" ref="EL30">IFERROR(INDEX(TABLACONSOLIDADA[Inv Fís Act],MATCH("AGROINSUMOSLAFINCA"&amp;Tabla_Buffers_Agroinsumos[[#This Row],[CODIGO ]],TABLACONSOLIDADA[Bodega]&amp;TABLACONSOLIDADA[Codigo],0)),"")</f>
        <v>0</v>
      </c>
      <c r="EM30" s="157">
        <f t="array" ref="EM3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0" s="134">
        <f>IFERROR(SUM(Tabla_Buffers_Agroinsumos[[#This Row],[LF-MP]:[LF-VL]]),"")</f>
        <v>0</v>
      </c>
      <c r="EP30" s="92">
        <f>IFERROR(Tabla_Buffers_Agroinsumos[[#This Row],[INV FIS LF]]-Tabla_Buffers_Agroinsumos[[#This Row],[BUFFER LF]],"")</f>
        <v>0</v>
      </c>
      <c r="EQ30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0" s="134"/>
      <c r="ES30" s="134"/>
      <c r="ET30" s="134"/>
      <c r="EU30" s="134"/>
      <c r="EV30" s="134"/>
      <c r="EW30" s="134"/>
      <c r="EX30" s="134"/>
      <c r="EY30" s="134"/>
      <c r="EZ30" s="134"/>
      <c r="FA30" s="134">
        <f t="array" ref="FA30">IFERROR(INDEX(TABLACONSOLIDADA[Buff Act],MATCH("AGROINSUMOSVERONICALEDESMA"&amp;Tabla_Buffers_Agroinsumos[[#This Row],[CODIGO ]],TABLACONSOLIDADA[Bodega]&amp;TABLACONSOLIDADA[Codigo],0)),"")</f>
        <v>0</v>
      </c>
      <c r="FB30" s="157">
        <f t="array" ref="FB30">IFERROR(INDEX(TABLACONSOLIDADA[Inv Fís Act],MATCH("AGROINSUMOSVERONICALEDESMA"&amp;Tabla_Buffers_Agroinsumos[[#This Row],[CODIGO ]],TABLACONSOLIDADA[Bodega]&amp;TABLACONSOLIDADA[Codigo],0)),"")</f>
        <v>0</v>
      </c>
      <c r="FC30" s="157">
        <f t="array" ref="FC3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0" s="134">
        <f>IFERROR(SUM(Tabla_Buffers_Agroinsumos[[#This Row],[VL-MP]:[VL-LF]]),"")</f>
        <v>0</v>
      </c>
      <c r="FF30" s="92">
        <f>IFERROR(Tabla_Buffers_Agroinsumos[[#This Row],[INV FIS VL]]-Tabla_Buffers_Agroinsumos[[#This Row],[BUFFER VL]],"")</f>
        <v>0</v>
      </c>
      <c r="FG3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0" s="134"/>
      <c r="FI30" s="134"/>
      <c r="FJ30" s="134"/>
      <c r="FK30" s="134"/>
      <c r="FL30" s="134"/>
      <c r="FM30" s="134"/>
      <c r="FN30" s="134"/>
      <c r="FO30" s="134"/>
      <c r="FP30" s="134"/>
    </row>
    <row r="31" spans="1:172">
      <c r="A31" s="7" t="s">
        <v>109</v>
      </c>
      <c r="B31" s="7" t="s">
        <v>110</v>
      </c>
      <c r="C31" s="7" t="s">
        <v>707</v>
      </c>
      <c r="D31" s="7" t="s">
        <v>715</v>
      </c>
      <c r="E31" s="7" t="s">
        <v>975</v>
      </c>
      <c r="F31" s="19" t="s">
        <v>698</v>
      </c>
      <c r="G31" s="19" t="s">
        <v>698</v>
      </c>
      <c r="H31" s="19">
        <f>VLOOKUP(Tabla_Buffers_Agroinsumos[[#This Row],[CODIGO ]],TABLACONSOLIDADA[[Codigo]:[PV]],6,0)</f>
        <v>2.75</v>
      </c>
      <c r="I31" s="19">
        <f>VLOOKUP(Tabla_Buffers_Agroinsumos[[#This Row],[CODIGO ]],TABLACONSOLIDADA[[Codigo]:[PV]],5,0)</f>
        <v>1.4</v>
      </c>
      <c r="J31" s="19" t="s">
        <v>698</v>
      </c>
      <c r="K31" s="19" t="s">
        <v>698</v>
      </c>
      <c r="L31" s="19">
        <f>IFERROR(Tabla_Buffers_Agroinsumos[[#This Row],[BUFFER CENTRAL]]/((Tabla_Buffers_Agroinsumos[[#This Row],[TIEMPO REPOSICION ]]/Tabla_Buffers_Agroinsumos[[#This Row],[FRECUENCIA]])+1),0)</f>
        <v>0</v>
      </c>
      <c r="M31" s="19" t="str">
        <f t="array" ref="M31">IFERROR(INDEX(TABLACONSOLIDADA[Buff Act],MATCH("AGROINSUMOSMATERIAPRIMA"&amp;Tabla_Buffers_Agroinsumos[[#This Row],[CODIGO ]],TABLACONSOLIDADA[Bodega]&amp;TABLACONSOLIDADA[Codigo],0)),"")</f>
        <v/>
      </c>
      <c r="N31" s="157" t="str">
        <f t="array" ref="N31">IFERROR(INDEX(TABLACONSOLIDADA[Inv Fís Act],MATCH("AGROINSUMOSMATERIAPRIMA"&amp;Tabla_Buffers_Agroinsumos[[#This Row],[CODIGO ]],TABLACONSOLIDADA[Bodega]&amp;TABLACONSOLIDADA[Codigo],0)),"")</f>
        <v/>
      </c>
      <c r="O31" s="157" t="str">
        <f t="array" ref="O3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1" s="19">
        <f>IFERROR(SUM(Tabla_Buffers_Agroinsumos[[#This Row],[MP-C]:[MP-VL]]),"")</f>
        <v>0</v>
      </c>
      <c r="R31" s="92" t="str">
        <f>IFERROR(Tabla_Buffers_Agroinsumos[[#This Row],[INV FIS MATERIA PRIMA]]-Tabla_Buffers_Agroinsumos[[#This Row],[BUFFER MATERIA PRIMA]],"")</f>
        <v/>
      </c>
      <c r="S3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1" s="19"/>
      <c r="U31" s="19"/>
      <c r="V31" s="19"/>
      <c r="W31" s="19"/>
      <c r="X31" s="19"/>
      <c r="Y31" s="19"/>
      <c r="Z31" s="19"/>
      <c r="AA31" s="19"/>
      <c r="AB31" s="19"/>
      <c r="AC31" s="152">
        <f t="array" ref="AC31">IFERROR(INDEX(TABLACONSOLIDADA[Buff Act],MATCH("AGROINSUMOSCENTRAL"&amp;Tabla_Buffers_Agroinsumos[[#This Row],[CODIGO ]],TABLACONSOLIDADA[Bodega]&amp;TABLACONSOLIDADA[Codigo],0)),"")</f>
        <v>800</v>
      </c>
      <c r="AD31" s="157">
        <f t="array" ref="AD31">IFERROR(INDEX(TABLACONSOLIDADA[Inv Fís Act],MATCH("AGROINSUMOSCENTRAL"&amp;Tabla_Buffers_Agroinsumos[[#This Row],[CODIGO ]],TABLACONSOLIDADA[Bodega]&amp;TABLACONSOLIDADA[Codigo],0)),"")</f>
        <v>924</v>
      </c>
      <c r="AE31" s="157">
        <f t="array" ref="AE3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924</v>
      </c>
      <c r="AF3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1" s="91">
        <f>IFERROR(SUM(Tabla_Buffers_Agroinsumos[[#This Row],[C-MP]:[C-VL]]),"")</f>
        <v>0</v>
      </c>
      <c r="AH31" s="92">
        <f>IFERROR(Tabla_Buffers_Agroinsumos[[#This Row],[INV FIS CENTRAL]]-Tabla_Buffers_Agroinsumos[[#This Row],[BUFFER CENTRAL]],"")</f>
        <v>124</v>
      </c>
      <c r="AI3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124</v>
      </c>
      <c r="AJ31" s="134"/>
      <c r="AK31" s="134"/>
      <c r="AL31" s="134"/>
      <c r="AM31" s="134"/>
      <c r="AN31" s="134"/>
      <c r="AO31" s="134"/>
      <c r="AP31" s="134"/>
      <c r="AQ31" s="134"/>
      <c r="AR31" s="134"/>
      <c r="AS31" s="134">
        <f t="array" ref="AS31">IFERROR(INDEX(TABLACONSOLIDADA[Buff Act],MATCH("AGROINSUMOScentralPROPIA"&amp;Tabla_Buffers_Agroinsumos[[#This Row],[CODIGO ]],TABLACONSOLIDADA[Bodega]&amp;TABLACONSOLIDADA[Codigo],0)),"")</f>
        <v>390</v>
      </c>
      <c r="AT31" s="157">
        <f t="array" ref="AT31">IFERROR(INDEX(TABLACONSOLIDADA[Inv Fís Act],MATCH("AGROINSUMOScentralPROPIA"&amp;Tabla_Buffers_Agroinsumos[[#This Row],[CODIGO ]],TABLACONSOLIDADA[Bodega]&amp;TABLACONSOLIDADA[Codigo],0)),"")</f>
        <v>0</v>
      </c>
      <c r="AU31" s="157">
        <f t="array" ref="AU3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1" s="134">
        <f>IFERROR(SUM(Tabla_Buffers_Agroinsumos[[#This Row],[P-MP]:[P-VL]]),"")</f>
        <v>0</v>
      </c>
      <c r="AX31" s="92">
        <f>IFERROR(Tabla_Buffers_Agroinsumos[[#This Row],[INV FIS PROPIA]]-Tabla_Buffers_Agroinsumos[[#This Row],[BUFFER PROPIA]],"")</f>
        <v>-390</v>
      </c>
      <c r="AY3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-390</v>
      </c>
      <c r="AZ31" s="134"/>
      <c r="BA31" s="134"/>
      <c r="BB31" s="134"/>
      <c r="BC31" s="134"/>
      <c r="BD31" s="134"/>
      <c r="BE31" s="134"/>
      <c r="BF31" s="134"/>
      <c r="BG31" s="134"/>
      <c r="BH31" s="134"/>
      <c r="BI31" s="91">
        <f t="array" ref="BI31">IFERROR(INDEX(TABLACONSOLIDADA[Buff Act],MATCH("AGROINSUMOSSTODOMINGO"&amp;Tabla_Buffers_Agroinsumos[[#This Row],[CODIGO ]],TABLACONSOLIDADA[Bodega]&amp;TABLACONSOLIDADA[Codigo],0)),"")</f>
        <v>150</v>
      </c>
      <c r="BJ31" s="157">
        <f t="array" ref="BJ31">IFERROR(INDEX(TABLACONSOLIDADA[Inv Fís Act],MATCH("AGROINSUMOSSTODOMINGO"&amp;Tabla_Buffers_Agroinsumos[[#This Row],[CODIGO ]],TABLACONSOLIDADA[Bodega]&amp;TABLACONSOLIDADA[Codigo],0)),"")</f>
        <v>64</v>
      </c>
      <c r="BK31" s="157">
        <f t="array" ref="BK3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64</v>
      </c>
      <c r="BL3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1" s="91">
        <f>IFERROR(SUM(Tabla_Buffers_Agroinsumos[[#This Row],[SD-MP]:[SD-VL]]),"")</f>
        <v>0</v>
      </c>
      <c r="BN31" s="92"/>
      <c r="BO31" s="92"/>
      <c r="BP31" s="134"/>
      <c r="BQ31" s="134"/>
      <c r="BR31" s="134"/>
      <c r="BS31" s="134"/>
      <c r="BT31" s="134"/>
      <c r="BU31" s="134"/>
      <c r="BV31" s="134"/>
      <c r="BW31" s="134"/>
      <c r="BX31" s="134"/>
      <c r="BY31" s="134">
        <f t="array" ref="BY31">IFERROR(INDEX(TABLACONSOLIDADA[Buff Act],MATCH("AGROINSUMOSMONCAYOLOPEZ"&amp;Tabla_Buffers_Agroinsumos[[#This Row],[CODIGO ]],TABLACONSOLIDADA[Bodega]&amp;TABLACONSOLIDADA[Codigo],0)),"")</f>
        <v>20</v>
      </c>
      <c r="BZ31" s="157">
        <f t="array" ref="BZ31">IFERROR(INDEX(TABLACONSOLIDADA[Inv Fís Act],MATCH("AGROINSUMOSMONCAYOLOPEZ"&amp;Tabla_Buffers_Agroinsumos[[#This Row],[CODIGO ]],TABLACONSOLIDADA[Bodega]&amp;TABLACONSOLIDADA[Codigo],0)),"")</f>
        <v>26</v>
      </c>
      <c r="CA31" s="157">
        <f t="array" ref="CA3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26</v>
      </c>
      <c r="CB3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1" s="134">
        <f>IFERROR(SUM(Tabla_Buffers_Agroinsumos[[#This Row],[ML-MP]:[ML-VL]]),"")</f>
        <v>0</v>
      </c>
      <c r="CD31" s="92">
        <f>IFERROR(Tabla_Buffers_Agroinsumos[[#This Row],[INV FIS ML]]-Tabla_Buffers_Agroinsumos[[#This Row],[BUFFER ML]],"")</f>
        <v>6</v>
      </c>
      <c r="CE31" s="92">
        <f>IFERROR(Tabla_Buffers_Agroinsumos[[#This Row],[INV FIS ML]]+Tabla_Buffers_Agroinsumos[[#This Row],[TRANSFERENCIAS A ML]]-Tabla_Buffers_Agroinsumos[[#This Row],[BUFFER ML]]-Tabla_Buffers_Agroinsumos[[#This Row],[TRANSFERENCIAS DE ML]],"")</f>
        <v>6</v>
      </c>
      <c r="CF31" s="134"/>
      <c r="CG31" s="134"/>
      <c r="CH31" s="134"/>
      <c r="CI31" s="134"/>
      <c r="CJ31" s="134"/>
      <c r="CK31" s="134"/>
      <c r="CL31" s="134"/>
      <c r="CM31" s="134"/>
      <c r="CN31" s="134"/>
      <c r="CO31" s="134">
        <f t="array" ref="CO31">IFERROR(INDEX(TABLACONSOLIDADA[Buff Act],MATCH("AGROINSUMOSAGROHERMANOSLEON"&amp;Tabla_Buffers_Agroinsumos[[#This Row],[CODIGO ]],TABLACONSOLIDADA[Bodega]&amp;TABLACONSOLIDADA[Codigo],0)),"")</f>
        <v>80</v>
      </c>
      <c r="CP31" s="157">
        <f t="array" ref="CP31">IFERROR(INDEX(TABLACONSOLIDADA[Inv Fís Act],MATCH("AGROINSUMOSAGROHERMANOSLEON"&amp;Tabla_Buffers_Agroinsumos[[#This Row],[CODIGO ]],TABLACONSOLIDADA[Bodega]&amp;TABLACONSOLIDADA[Codigo],0)),"")</f>
        <v>204</v>
      </c>
      <c r="CQ31" s="157">
        <f t="array" ref="CQ3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204</v>
      </c>
      <c r="CR3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1" s="134">
        <f>IFERROR(SUM(Tabla_Buffers_Agroinsumos[[#This Row],[AL-MP]:[AL-VL]]),"")</f>
        <v>0</v>
      </c>
      <c r="CT31" s="92">
        <f>IFERROR(Tabla_Buffers_Agroinsumos[[#This Row],[INV FIS AL]]-Tabla_Buffers_Agroinsumos[[#This Row],[BUFFER AL]],"")</f>
        <v>124</v>
      </c>
      <c r="CU31" s="92">
        <f>IFERROR(Tabla_Buffers_Agroinsumos[[#This Row],[INV FIS AL]]+Tabla_Buffers_Agroinsumos[[#This Row],[TRANSFERENCIAS A AL]]-Tabla_Buffers_Agroinsumos[[#This Row],[BUFFER AL]]-Tabla_Buffers_Agroinsumos[[#This Row],[TRANSFERENCIAS DE AL]],"")</f>
        <v>124</v>
      </c>
      <c r="CV31" s="134"/>
      <c r="CW31" s="134"/>
      <c r="CX31" s="134"/>
      <c r="CY31" s="134"/>
      <c r="CZ31" s="134"/>
      <c r="DA31" s="134"/>
      <c r="DB31" s="134"/>
      <c r="DC31" s="134"/>
      <c r="DD31" s="134"/>
      <c r="DE31" s="134">
        <f t="array" ref="DE31">IFERROR(INDEX(TABLACONSOLIDADA[Buff Act],MATCH("AGROINSUMOSAGRONUEVO"&amp;Tabla_Buffers_Agroinsumos[[#This Row],[CODIGO ]],TABLACONSOLIDADA[Bodega]&amp;TABLACONSOLIDADA[Codigo],0)),"")</f>
        <v>0</v>
      </c>
      <c r="DF31" s="157">
        <f t="array" ref="DF31">IFERROR(INDEX(TABLACONSOLIDADA[Inv Fís Act],MATCH("AGROINSUMOSAGRONUEVO"&amp;Tabla_Buffers_Agroinsumos[[#This Row],[CODIGO ]],TABLACONSOLIDADA[Bodega]&amp;TABLACONSOLIDADA[Codigo],0)),"")</f>
        <v>100</v>
      </c>
      <c r="DG31" s="157">
        <f t="array" ref="DG3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100</v>
      </c>
      <c r="DH3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1" s="134">
        <f>IFERROR(SUM(Tabla_Buffers_Agroinsumos[[#This Row],[AN-MP]:[AN-VL]]),"")</f>
        <v>0</v>
      </c>
      <c r="DJ31" s="92">
        <f>IFERROR(Tabla_Buffers_Agroinsumos[[#This Row],[INV FIS AN]]-Tabla_Buffers_Agroinsumos[[#This Row],[BUFFER AN]],"")</f>
        <v>100</v>
      </c>
      <c r="DK31" s="92">
        <f>IFERROR(Tabla_Buffers_Agroinsumos[[#This Row],[INV FIS AN]]+Tabla_Buffers_Agroinsumos[[#This Row],[TRANSFERENCIAS A AN]]-Tabla_Buffers_Agroinsumos[[#This Row],[BUFFER AN]]-Tabla_Buffers_Agroinsumos[[#This Row],[TRANSFERENCIAS DE AN]],"")</f>
        <v>100</v>
      </c>
      <c r="DL31" s="134"/>
      <c r="DM31" s="134"/>
      <c r="DN31" s="134"/>
      <c r="DO31" s="134"/>
      <c r="DP31" s="134"/>
      <c r="DQ31" s="134"/>
      <c r="DR31" s="134"/>
      <c r="DS31" s="134"/>
      <c r="DT31" s="134"/>
      <c r="DU31" s="134">
        <f t="array" ref="DU31">IFERROR(INDEX(TABLACONSOLIDADA[Buff Act],MATCH("AGROINSUMOSAGROQUIMICOSSUR"&amp;Tabla_Buffers_Agroinsumos[[#This Row],[CODIGO ]],TABLACONSOLIDADA[Bodega]&amp;TABLACONSOLIDADA[Codigo],0)),"")</f>
        <v>0</v>
      </c>
      <c r="DV31" s="157">
        <f t="array" ref="DV31">IFERROR(INDEX(TABLACONSOLIDADA[Inv Fís Act],MATCH("AGROINSUMOSAGROQUIMICOSSUR"&amp;Tabla_Buffers_Agroinsumos[[#This Row],[CODIGO ]],TABLACONSOLIDADA[Bodega]&amp;TABLACONSOLIDADA[Codigo],0)),"")</f>
        <v>0</v>
      </c>
      <c r="DW31" s="157">
        <f t="array" ref="DW3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1" s="134">
        <f>IFERROR(SUM(Tabla_Buffers_Agroinsumos[[#This Row],[AS-MP]:[AS-VL]]),"")</f>
        <v>0</v>
      </c>
      <c r="DZ31" s="92">
        <f>IFERROR(Tabla_Buffers_Agroinsumos[[#This Row],[INV FIS AS]]-Tabla_Buffers_Agroinsumos[[#This Row],[BUFFER AS]],"")</f>
        <v>0</v>
      </c>
      <c r="EA31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1" s="134"/>
      <c r="EC31" s="134"/>
      <c r="ED31" s="134"/>
      <c r="EE31" s="134"/>
      <c r="EF31" s="134"/>
      <c r="EG31" s="134"/>
      <c r="EH31" s="134"/>
      <c r="EI31" s="134"/>
      <c r="EJ31" s="134"/>
      <c r="EK31" s="134">
        <f t="array" ref="EK31">IFERROR(INDEX(TABLACONSOLIDADA[Buff Act],MATCH("AGROINSUMOSLAFINCA"&amp;Tabla_Buffers_Agroinsumos[[#This Row],[CODIGO ]],TABLACONSOLIDADA[Bodega]&amp;TABLACONSOLIDADA[Codigo],0)),"")</f>
        <v>0</v>
      </c>
      <c r="EL31" s="157">
        <f t="array" ref="EL31">IFERROR(INDEX(TABLACONSOLIDADA[Inv Fís Act],MATCH("AGROINSUMOSLAFINCA"&amp;Tabla_Buffers_Agroinsumos[[#This Row],[CODIGO ]],TABLACONSOLIDADA[Bodega]&amp;TABLACONSOLIDADA[Codigo],0)),"")</f>
        <v>0</v>
      </c>
      <c r="EM31" s="157">
        <f t="array" ref="EM3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1" s="134">
        <f>IFERROR(SUM(Tabla_Buffers_Agroinsumos[[#This Row],[LF-MP]:[LF-VL]]),"")</f>
        <v>0</v>
      </c>
      <c r="EP31" s="92">
        <f>IFERROR(Tabla_Buffers_Agroinsumos[[#This Row],[INV FIS LF]]-Tabla_Buffers_Agroinsumos[[#This Row],[BUFFER LF]],"")</f>
        <v>0</v>
      </c>
      <c r="EQ31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1" s="134"/>
      <c r="ES31" s="134"/>
      <c r="ET31" s="134"/>
      <c r="EU31" s="134"/>
      <c r="EV31" s="134"/>
      <c r="EW31" s="134"/>
      <c r="EX31" s="134"/>
      <c r="EY31" s="134"/>
      <c r="EZ31" s="134"/>
      <c r="FA31" s="134">
        <f t="array" ref="FA31">IFERROR(INDEX(TABLACONSOLIDADA[Buff Act],MATCH("AGROINSUMOSVERONICALEDESMA"&amp;Tabla_Buffers_Agroinsumos[[#This Row],[CODIGO ]],TABLACONSOLIDADA[Bodega]&amp;TABLACONSOLIDADA[Codigo],0)),"")</f>
        <v>30</v>
      </c>
      <c r="FB31" s="157">
        <f t="array" ref="FB31">IFERROR(INDEX(TABLACONSOLIDADA[Inv Fís Act],MATCH("AGROINSUMOSVERONICALEDESMA"&amp;Tabla_Buffers_Agroinsumos[[#This Row],[CODIGO ]],TABLACONSOLIDADA[Bodega]&amp;TABLACONSOLIDADA[Codigo],0)),"")</f>
        <v>30</v>
      </c>
      <c r="FC31" s="157">
        <f t="array" ref="FC3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30</v>
      </c>
      <c r="FD3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1" s="134">
        <f>IFERROR(SUM(Tabla_Buffers_Agroinsumos[[#This Row],[VL-MP]:[VL-LF]]),"")</f>
        <v>0</v>
      </c>
      <c r="FF31" s="92">
        <f>IFERROR(Tabla_Buffers_Agroinsumos[[#This Row],[INV FIS VL]]-Tabla_Buffers_Agroinsumos[[#This Row],[BUFFER VL]],"")</f>
        <v>0</v>
      </c>
      <c r="FG31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1" s="134"/>
      <c r="FI31" s="134"/>
      <c r="FJ31" s="134"/>
      <c r="FK31" s="134"/>
      <c r="FL31" s="134"/>
      <c r="FM31" s="134"/>
      <c r="FN31" s="134"/>
      <c r="FO31" s="134"/>
      <c r="FP31" s="134"/>
    </row>
    <row r="32" spans="1:172">
      <c r="A32" s="20" t="s">
        <v>1192</v>
      </c>
      <c r="B32" s="20" t="s">
        <v>1193</v>
      </c>
      <c r="C32" s="20" t="s">
        <v>944</v>
      </c>
      <c r="D32" s="20" t="s">
        <v>715</v>
      </c>
      <c r="E32" s="20" t="s">
        <v>975</v>
      </c>
      <c r="F32" s="111"/>
      <c r="G32" s="111"/>
      <c r="H32" s="21">
        <v>3.3066666666666671</v>
      </c>
      <c r="I32" s="111">
        <f>VLOOKUP(Tabla_Buffers_Agroinsumos[[#This Row],[CODIGO ]],TABLACONSOLIDADA[[Codigo]:[PV]],5,0)</f>
        <v>1.38</v>
      </c>
      <c r="J32" s="111"/>
      <c r="K32" s="111"/>
      <c r="L32" s="111">
        <f>IFERROR(Tabla_Buffers_Agroinsumos[[#This Row],[BUFFER CENTRAL]]/((Tabla_Buffers_Agroinsumos[[#This Row],[TIEMPO REPOSICION ]]/Tabla_Buffers_Agroinsumos[[#This Row],[FRECUENCIA]])+1),0)</f>
        <v>0</v>
      </c>
      <c r="M32" s="111"/>
      <c r="N32" s="111" t="str">
        <f t="array" ref="N32">IFERROR(INDEX(TABLACONSOLIDADA[Inv Fís Act],MATCH("AGROINSUMOSMATERIAPRIMA"&amp;Tabla_Buffers_Agroinsumos[[#This Row],[CODIGO ]],TABLACONSOLIDADA[Bodega]&amp;TABLACONSOLIDADA[Codigo],0)),"")</f>
        <v/>
      </c>
      <c r="O32" s="175" t="str">
        <f t="array" ref="O3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2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2" s="111">
        <f>IFERROR(SUM(Tabla_Buffers_Agroinsumos[[#This Row],[MP-C]:[MP-VL]]),"")</f>
        <v>0</v>
      </c>
      <c r="R32" s="154" t="str">
        <f>IFERROR(Tabla_Buffers_Agroinsumos[[#This Row],[INV FIS MATERIA PRIMA]]-Tabla_Buffers_Agroinsumos[[#This Row],[BUFFER MATERIA PRIMA]],"")</f>
        <v/>
      </c>
      <c r="S32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2" s="111"/>
      <c r="U32" s="111"/>
      <c r="V32" s="111"/>
      <c r="W32" s="111"/>
      <c r="X32" s="111"/>
      <c r="Y32" s="111"/>
      <c r="Z32" s="111"/>
      <c r="AA32" s="111"/>
      <c r="AB32" s="111"/>
      <c r="AC32" s="152">
        <v>100</v>
      </c>
      <c r="AD32" s="111">
        <f t="array" ref="AD32">IFERROR(INDEX(TABLACONSOLIDADA[Inv Fís Act],MATCH("AGROINSUMOSCENTRAL"&amp;Tabla_Buffers_Agroinsumos[[#This Row],[CODIGO ]],TABLACONSOLIDADA[Bodega]&amp;TABLACONSOLIDADA[Codigo],0)),"")</f>
        <v>20</v>
      </c>
      <c r="AE32" s="175">
        <f t="array" ref="AE3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60</v>
      </c>
      <c r="AF32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2" s="153">
        <f>IFERROR(SUM(Tabla_Buffers_Agroinsumos[[#This Row],[C-MP]:[C-VL]]),"")</f>
        <v>0</v>
      </c>
      <c r="AH32" s="154">
        <f>IFERROR(Tabla_Buffers_Agroinsumos[[#This Row],[INV FIS CENTRAL]]-Tabla_Buffers_Agroinsumos[[#This Row],[BUFFER CENTRAL]],"")</f>
        <v>-80</v>
      </c>
      <c r="AI32" s="154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-80</v>
      </c>
      <c r="AJ32" s="135"/>
      <c r="AK32" s="135"/>
      <c r="AL32" s="135"/>
      <c r="AM32" s="135"/>
      <c r="AN32" s="135"/>
      <c r="AO32" s="135"/>
      <c r="AP32" s="135"/>
      <c r="AQ32" s="135"/>
      <c r="AR32" s="135"/>
      <c r="AS32" s="135" t="str">
        <f t="array" ref="AS32">IFERROR(INDEX(TABLACONSOLIDADA[Buff Act],MATCH("AGROINSUMOScentralPROPIA"&amp;Tabla_Buffers_Agroinsumos[[#This Row],[CODIGO ]],TABLACONSOLIDADA[Bodega]&amp;TABLACONSOLIDADA[Codigo],0)),"")</f>
        <v/>
      </c>
      <c r="AT32" s="111" t="str">
        <f t="array" ref="AT32">IFERROR(INDEX(TABLACONSOLIDADA[Inv Fís Act],MATCH("AGROINSUMOScentralPROPIA"&amp;Tabla_Buffers_Agroinsumos[[#This Row],[CODIGO ]],TABLACONSOLIDADA[Bodega]&amp;TABLACONSOLIDADA[Codigo],0)),"")</f>
        <v/>
      </c>
      <c r="AU32" s="175" t="str">
        <f t="array" ref="AU3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2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2" s="135">
        <f>IFERROR(SUM(Tabla_Buffers_Agroinsumos[[#This Row],[P-MP]:[P-VL]]),"")</f>
        <v>0</v>
      </c>
      <c r="AX32" s="154" t="str">
        <f>IFERROR(Tabla_Buffers_Agroinsumos[[#This Row],[INV FIS PROPIA]]-Tabla_Buffers_Agroinsumos[[#This Row],[BUFFER PROPIA]],"")</f>
        <v/>
      </c>
      <c r="AY32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2" s="135"/>
      <c r="BA32" s="135"/>
      <c r="BB32" s="135"/>
      <c r="BC32" s="135"/>
      <c r="BD32" s="135"/>
      <c r="BE32" s="135"/>
      <c r="BF32" s="135"/>
      <c r="BG32" s="135"/>
      <c r="BH32" s="135"/>
      <c r="BI32" s="153" t="str">
        <f t="array" ref="BI32">IFERROR(INDEX(TABLACONSOLIDADA[Buff Act],MATCH("AGROINSUMOSSTODOMINGO"&amp;Tabla_Buffers_Agroinsumos[[#This Row],[CODIGO ]],TABLACONSOLIDADA[Bodega]&amp;TABLACONSOLIDADA[Codigo],0)),"")</f>
        <v/>
      </c>
      <c r="BJ32" s="111" t="str">
        <f t="array" ref="BJ32">IFERROR(INDEX(TABLACONSOLIDADA[Inv Fís Act],MATCH("AGROINSUMOSSTODOMINGO"&amp;Tabla_Buffers_Agroinsumos[[#This Row],[CODIGO ]],TABLACONSOLIDADA[Bodega]&amp;TABLACONSOLIDADA[Codigo],0)),"")</f>
        <v/>
      </c>
      <c r="BK32" s="175" t="str">
        <f t="array" ref="BK3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2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2" s="153">
        <f>IFERROR(SUM(Tabla_Buffers_Agroinsumos[[#This Row],[SD-MP]:[SD-VL]]),"")</f>
        <v>0</v>
      </c>
      <c r="BN32" s="154"/>
      <c r="BO32" s="154"/>
      <c r="BP32" s="135"/>
      <c r="BQ32" s="135"/>
      <c r="BR32" s="135"/>
      <c r="BS32" s="135"/>
      <c r="BT32" s="135"/>
      <c r="BU32" s="135"/>
      <c r="BV32" s="135"/>
      <c r="BW32" s="135"/>
      <c r="BX32" s="135"/>
      <c r="BY32" s="135" t="str">
        <f t="array" ref="BY32">IFERROR(INDEX(TABLACONSOLIDADA[Buff Act],MATCH("AGROINSUMOSMONCAYOLOPEZ"&amp;Tabla_Buffers_Agroinsumos[[#This Row],[CODIGO ]],TABLACONSOLIDADA[Bodega]&amp;TABLACONSOLIDADA[Codigo],0)),"")</f>
        <v/>
      </c>
      <c r="BZ32" s="111" t="str">
        <f t="array" ref="BZ32">IFERROR(INDEX(TABLACONSOLIDADA[Inv Fís Act],MATCH("AGROINSUMOSMONCAYOLOPEZ"&amp;Tabla_Buffers_Agroinsumos[[#This Row],[CODIGO ]],TABLACONSOLIDADA[Bodega]&amp;TABLACONSOLIDADA[Codigo],0)),"")</f>
        <v/>
      </c>
      <c r="CA32" s="175" t="str">
        <f t="array" ref="CA3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2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2" s="135">
        <f>IFERROR(SUM(Tabla_Buffers_Agroinsumos[[#This Row],[ML-MP]:[ML-VL]]),"")</f>
        <v>0</v>
      </c>
      <c r="CD32" s="154" t="str">
        <f>IFERROR(Tabla_Buffers_Agroinsumos[[#This Row],[INV FIS ML]]-Tabla_Buffers_Agroinsumos[[#This Row],[BUFFER ML]],"")</f>
        <v/>
      </c>
      <c r="CE32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2" s="135"/>
      <c r="CG32" s="135"/>
      <c r="CH32" s="135"/>
      <c r="CI32" s="135"/>
      <c r="CJ32" s="135"/>
      <c r="CK32" s="135"/>
      <c r="CL32" s="135"/>
      <c r="CM32" s="135"/>
      <c r="CN32" s="135"/>
      <c r="CO32" s="135" t="str">
        <f t="array" ref="CO32">IFERROR(INDEX(TABLACONSOLIDADA[Buff Act],MATCH("AGROINSUMOSAGROHERMANOSLEON"&amp;Tabla_Buffers_Agroinsumos[[#This Row],[CODIGO ]],TABLACONSOLIDADA[Bodega]&amp;TABLACONSOLIDADA[Codigo],0)),"")</f>
        <v/>
      </c>
      <c r="CP32" s="111" t="str">
        <f t="array" ref="CP32">IFERROR(INDEX(TABLACONSOLIDADA[Inv Fís Act],MATCH("AGROINSUMOSAGROHERMANOSLEON"&amp;Tabla_Buffers_Agroinsumos[[#This Row],[CODIGO ]],TABLACONSOLIDADA[Bodega]&amp;TABLACONSOLIDADA[Codigo],0)),"")</f>
        <v/>
      </c>
      <c r="CQ32" s="175" t="str">
        <f t="array" ref="CQ3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2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2" s="135">
        <f>IFERROR(SUM(Tabla_Buffers_Agroinsumos[[#This Row],[AL-MP]:[AL-VL]]),"")</f>
        <v>0</v>
      </c>
      <c r="CT32" s="154" t="str">
        <f>IFERROR(Tabla_Buffers_Agroinsumos[[#This Row],[INV FIS AL]]-Tabla_Buffers_Agroinsumos[[#This Row],[BUFFER AL]],"")</f>
        <v/>
      </c>
      <c r="CU32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2" s="135"/>
      <c r="CW32" s="135"/>
      <c r="CX32" s="135"/>
      <c r="CY32" s="135"/>
      <c r="CZ32" s="135"/>
      <c r="DA32" s="135"/>
      <c r="DB32" s="135"/>
      <c r="DC32" s="135"/>
      <c r="DD32" s="135"/>
      <c r="DE32" s="135" t="str">
        <f t="array" ref="DE32">IFERROR(INDEX(TABLACONSOLIDADA[Buff Act],MATCH("AGROINSUMOSAGRONUEVO"&amp;Tabla_Buffers_Agroinsumos[[#This Row],[CODIGO ]],TABLACONSOLIDADA[Bodega]&amp;TABLACONSOLIDADA[Codigo],0)),"")</f>
        <v/>
      </c>
      <c r="DF32" s="111" t="str">
        <f t="array" ref="DF32">IFERROR(INDEX(TABLACONSOLIDADA[Inv Fís Act],MATCH("AGROINSUMOSAGRONUEVO"&amp;Tabla_Buffers_Agroinsumos[[#This Row],[CODIGO ]],TABLACONSOLIDADA[Bodega]&amp;TABLACONSOLIDADA[Codigo],0)),"")</f>
        <v/>
      </c>
      <c r="DG32" s="175" t="str">
        <f t="array" ref="DG3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2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2" s="135">
        <f>IFERROR(SUM(Tabla_Buffers_Agroinsumos[[#This Row],[AN-MP]:[AN-VL]]),"")</f>
        <v>0</v>
      </c>
      <c r="DJ32" s="154" t="str">
        <f>IFERROR(Tabla_Buffers_Agroinsumos[[#This Row],[INV FIS AN]]-Tabla_Buffers_Agroinsumos[[#This Row],[BUFFER AN]],"")</f>
        <v/>
      </c>
      <c r="DK32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2" s="135"/>
      <c r="DM32" s="135"/>
      <c r="DN32" s="135"/>
      <c r="DO32" s="135"/>
      <c r="DP32" s="135"/>
      <c r="DQ32" s="135"/>
      <c r="DR32" s="135"/>
      <c r="DS32" s="135"/>
      <c r="DT32" s="135"/>
      <c r="DU32" s="135" t="str">
        <f t="array" ref="DU32">IFERROR(INDEX(TABLACONSOLIDADA[Buff Act],MATCH("AGROINSUMOSAGROQUIMICOSSUR"&amp;Tabla_Buffers_Agroinsumos[[#This Row],[CODIGO ]],TABLACONSOLIDADA[Bodega]&amp;TABLACONSOLIDADA[Codigo],0)),"")</f>
        <v/>
      </c>
      <c r="DV32" s="111" t="str">
        <f t="array" ref="DV32">IFERROR(INDEX(TABLACONSOLIDADA[Inv Fís Act],MATCH("AGROINSUMOSAGROQUIMICOSSUR"&amp;Tabla_Buffers_Agroinsumos[[#This Row],[CODIGO ]],TABLACONSOLIDADA[Bodega]&amp;TABLACONSOLIDADA[Codigo],0)),"")</f>
        <v/>
      </c>
      <c r="DW32" s="175" t="str">
        <f t="array" ref="DW3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2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2" s="135">
        <f>IFERROR(SUM(Tabla_Buffers_Agroinsumos[[#This Row],[AS-MP]:[AS-VL]]),"")</f>
        <v>0</v>
      </c>
      <c r="DZ32" s="154" t="str">
        <f>IFERROR(Tabla_Buffers_Agroinsumos[[#This Row],[INV FIS AS]]-Tabla_Buffers_Agroinsumos[[#This Row],[BUFFER AS]],"")</f>
        <v/>
      </c>
      <c r="EA32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2" s="135"/>
      <c r="EC32" s="135"/>
      <c r="ED32" s="135"/>
      <c r="EE32" s="135"/>
      <c r="EF32" s="135"/>
      <c r="EG32" s="135"/>
      <c r="EH32" s="135"/>
      <c r="EI32" s="135"/>
      <c r="EJ32" s="135"/>
      <c r="EK32" s="135" t="str">
        <f t="array" ref="EK32">IFERROR(INDEX(TABLACONSOLIDADA[Buff Act],MATCH("AGROINSUMOSLAFINCA"&amp;Tabla_Buffers_Agroinsumos[[#This Row],[CODIGO ]],TABLACONSOLIDADA[Bodega]&amp;TABLACONSOLIDADA[Codigo],0)),"")</f>
        <v/>
      </c>
      <c r="EL32" s="111" t="str">
        <f t="array" ref="EL32">IFERROR(INDEX(TABLACONSOLIDADA[Inv Fís Act],MATCH("AGROINSUMOSLAFINCA"&amp;Tabla_Buffers_Agroinsumos[[#This Row],[CODIGO ]],TABLACONSOLIDADA[Bodega]&amp;TABLACONSOLIDADA[Codigo],0)),"")</f>
        <v/>
      </c>
      <c r="EM32" s="175" t="str">
        <f t="array" ref="EM3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2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2" s="135">
        <f>IFERROR(SUM(Tabla_Buffers_Agroinsumos[[#This Row],[LF-MP]:[LF-VL]]),"")</f>
        <v>0</v>
      </c>
      <c r="EP32" s="154" t="str">
        <f>IFERROR(Tabla_Buffers_Agroinsumos[[#This Row],[INV FIS LF]]-Tabla_Buffers_Agroinsumos[[#This Row],[BUFFER LF]],"")</f>
        <v/>
      </c>
      <c r="EQ32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2" s="135"/>
      <c r="ES32" s="135"/>
      <c r="ET32" s="135"/>
      <c r="EU32" s="135"/>
      <c r="EV32" s="135"/>
      <c r="EW32" s="135"/>
      <c r="EX32" s="135"/>
      <c r="EY32" s="135"/>
      <c r="EZ32" s="135"/>
      <c r="FA32" s="135" t="str">
        <f t="array" ref="FA32">IFERROR(INDEX(TABLACONSOLIDADA[Buff Act],MATCH("AGROINSUMOSVERONICALEDESMA"&amp;Tabla_Buffers_Agroinsumos[[#This Row],[CODIGO ]],TABLACONSOLIDADA[Bodega]&amp;TABLACONSOLIDADA[Codigo],0)),"")</f>
        <v/>
      </c>
      <c r="FB32" s="111" t="str">
        <f t="array" ref="FB32">IFERROR(INDEX(TABLACONSOLIDADA[Inv Fís Act],MATCH("AGROINSUMOSVERONICALEDESMA"&amp;Tabla_Buffers_Agroinsumos[[#This Row],[CODIGO ]],TABLACONSOLIDADA[Bodega]&amp;TABLACONSOLIDADA[Codigo],0)),"")</f>
        <v/>
      </c>
      <c r="FC32" s="175" t="str">
        <f t="array" ref="FC3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2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2" s="135">
        <f>IFERROR(SUM(Tabla_Buffers_Agroinsumos[[#This Row],[VL-MP]:[VL-LF]]),"")</f>
        <v>0</v>
      </c>
      <c r="FF32" s="154" t="str">
        <f>IFERROR(Tabla_Buffers_Agroinsumos[[#This Row],[INV FIS VL]]-Tabla_Buffers_Agroinsumos[[#This Row],[BUFFER VL]],"")</f>
        <v/>
      </c>
      <c r="FG32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2" s="135"/>
      <c r="FI32" s="135"/>
      <c r="FJ32" s="135"/>
      <c r="FK32" s="135"/>
      <c r="FL32" s="135"/>
      <c r="FM32" s="135"/>
      <c r="FN32" s="135"/>
      <c r="FO32" s="135"/>
      <c r="FP32" s="135"/>
    </row>
    <row r="33" spans="1:172">
      <c r="A33" s="7" t="s">
        <v>111</v>
      </c>
      <c r="B33" s="7" t="s">
        <v>112</v>
      </c>
      <c r="C33" s="7" t="s">
        <v>707</v>
      </c>
      <c r="D33" s="7" t="s">
        <v>715</v>
      </c>
      <c r="E33" s="7" t="s">
        <v>975</v>
      </c>
      <c r="F33" s="19" t="s">
        <v>698</v>
      </c>
      <c r="G33" s="19" t="s">
        <v>698</v>
      </c>
      <c r="H33" s="19">
        <f>VLOOKUP(Tabla_Buffers_Agroinsumos[[#This Row],[CODIGO ]],TABLACONSOLIDADA[[Codigo]:[PV]],6,0)</f>
        <v>5.84</v>
      </c>
      <c r="I33" s="19">
        <f>VLOOKUP(Tabla_Buffers_Agroinsumos[[#This Row],[CODIGO ]],TABLACONSOLIDADA[[Codigo]:[PV]],5,0)</f>
        <v>2.34</v>
      </c>
      <c r="J33" s="19" t="s">
        <v>698</v>
      </c>
      <c r="K33" s="19" t="s">
        <v>698</v>
      </c>
      <c r="L33" s="19">
        <f>IFERROR(Tabla_Buffers_Agroinsumos[[#This Row],[BUFFER CENTRAL]]/((Tabla_Buffers_Agroinsumos[[#This Row],[TIEMPO REPOSICION ]]/Tabla_Buffers_Agroinsumos[[#This Row],[FRECUENCIA]])+1),0)</f>
        <v>0</v>
      </c>
      <c r="M33" s="19" t="str">
        <f t="array" ref="M33">IFERROR(INDEX(TABLACONSOLIDADA[Buff Act],MATCH("AGROINSUMOSMATERIAPRIMA"&amp;Tabla_Buffers_Agroinsumos[[#This Row],[CODIGO ]],TABLACONSOLIDADA[Bodega]&amp;TABLACONSOLIDADA[Codigo],0)),"")</f>
        <v/>
      </c>
      <c r="N33" s="157" t="str">
        <f t="array" ref="N33">IFERROR(INDEX(TABLACONSOLIDADA[Inv Fís Act],MATCH("AGROINSUMOSMATERIAPRIMA"&amp;Tabla_Buffers_Agroinsumos[[#This Row],[CODIGO ]],TABLACONSOLIDADA[Bodega]&amp;TABLACONSOLIDADA[Codigo],0)),"")</f>
        <v/>
      </c>
      <c r="O33" s="157" t="str">
        <f t="array" ref="O3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3" s="19">
        <f>IFERROR(SUM(Tabla_Buffers_Agroinsumos[[#This Row],[MP-C]:[MP-VL]]),"")</f>
        <v>0</v>
      </c>
      <c r="R33" s="92" t="str">
        <f>IFERROR(Tabla_Buffers_Agroinsumos[[#This Row],[INV FIS MATERIA PRIMA]]-Tabla_Buffers_Agroinsumos[[#This Row],[BUFFER MATERIA PRIMA]],"")</f>
        <v/>
      </c>
      <c r="S3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3" s="19"/>
      <c r="U33" s="19"/>
      <c r="V33" s="19"/>
      <c r="W33" s="19"/>
      <c r="X33" s="19"/>
      <c r="Y33" s="19"/>
      <c r="Z33" s="19"/>
      <c r="AA33" s="19"/>
      <c r="AB33" s="19"/>
      <c r="AC33" s="152">
        <f t="array" ref="AC33">IFERROR(INDEX(TABLACONSOLIDADA[Buff Act],MATCH("AGROINSUMOSCENTRAL"&amp;Tabla_Buffers_Agroinsumos[[#This Row],[CODIGO ]],TABLACONSOLIDADA[Bodega]&amp;TABLACONSOLIDADA[Codigo],0)),"")</f>
        <v>250</v>
      </c>
      <c r="AD33" s="157">
        <f t="array" ref="AD33">IFERROR(INDEX(TABLACONSOLIDADA[Inv Fís Act],MATCH("AGROINSUMOSCENTRAL"&amp;Tabla_Buffers_Agroinsumos[[#This Row],[CODIGO ]],TABLACONSOLIDADA[Bodega]&amp;TABLACONSOLIDADA[Codigo],0)),"")</f>
        <v>305</v>
      </c>
      <c r="AE33" s="157">
        <f t="array" ref="AE3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305</v>
      </c>
      <c r="AF3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3" s="91">
        <f>IFERROR(SUM(Tabla_Buffers_Agroinsumos[[#This Row],[C-MP]:[C-VL]]),"")</f>
        <v>0</v>
      </c>
      <c r="AH33" s="92">
        <f>IFERROR(Tabla_Buffers_Agroinsumos[[#This Row],[INV FIS CENTRAL]]-Tabla_Buffers_Agroinsumos[[#This Row],[BUFFER CENTRAL]],"")</f>
        <v>55</v>
      </c>
      <c r="AI3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55</v>
      </c>
      <c r="AJ33" s="134"/>
      <c r="AK33" s="134"/>
      <c r="AL33" s="134"/>
      <c r="AM33" s="134"/>
      <c r="AN33" s="134"/>
      <c r="AO33" s="134"/>
      <c r="AP33" s="134"/>
      <c r="AQ33" s="134"/>
      <c r="AR33" s="134"/>
      <c r="AS33" s="134">
        <f t="array" ref="AS33">IFERROR(INDEX(TABLACONSOLIDADA[Buff Act],MATCH("AGROINSUMOScentralPROPIA"&amp;Tabla_Buffers_Agroinsumos[[#This Row],[CODIGO ]],TABLACONSOLIDADA[Bodega]&amp;TABLACONSOLIDADA[Codigo],0)),"")</f>
        <v>126</v>
      </c>
      <c r="AT33" s="157">
        <f t="array" ref="AT33">IFERROR(INDEX(TABLACONSOLIDADA[Inv Fís Act],MATCH("AGROINSUMOScentralPROPIA"&amp;Tabla_Buffers_Agroinsumos[[#This Row],[CODIGO ]],TABLACONSOLIDADA[Bodega]&amp;TABLACONSOLIDADA[Codigo],0)),"")</f>
        <v>0</v>
      </c>
      <c r="AU33" s="157">
        <f t="array" ref="AU3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3" s="134">
        <f>IFERROR(SUM(Tabla_Buffers_Agroinsumos[[#This Row],[P-MP]:[P-VL]]),"")</f>
        <v>0</v>
      </c>
      <c r="AX33" s="92">
        <f>IFERROR(Tabla_Buffers_Agroinsumos[[#This Row],[INV FIS PROPIA]]-Tabla_Buffers_Agroinsumos[[#This Row],[BUFFER PROPIA]],"")</f>
        <v>-126</v>
      </c>
      <c r="AY3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-126</v>
      </c>
      <c r="AZ33" s="134"/>
      <c r="BA33" s="134"/>
      <c r="BB33" s="134"/>
      <c r="BC33" s="134"/>
      <c r="BD33" s="134"/>
      <c r="BE33" s="134"/>
      <c r="BF33" s="134"/>
      <c r="BG33" s="134"/>
      <c r="BH33" s="134"/>
      <c r="BI33" s="91">
        <f t="array" ref="BI33">IFERROR(INDEX(TABLACONSOLIDADA[Buff Act],MATCH("AGROINSUMOSSTODOMINGO"&amp;Tabla_Buffers_Agroinsumos[[#This Row],[CODIGO ]],TABLACONSOLIDADA[Bodega]&amp;TABLACONSOLIDADA[Codigo],0)),"")</f>
        <v>0</v>
      </c>
      <c r="BJ33" s="157">
        <f t="array" ref="BJ33">IFERROR(INDEX(TABLACONSOLIDADA[Inv Fís Act],MATCH("AGROINSUMOSSTODOMINGO"&amp;Tabla_Buffers_Agroinsumos[[#This Row],[CODIGO ]],TABLACONSOLIDADA[Bodega]&amp;TABLACONSOLIDADA[Codigo],0)),"")</f>
        <v>30</v>
      </c>
      <c r="BK33" s="157">
        <f t="array" ref="BK3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30</v>
      </c>
      <c r="BL3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3" s="91">
        <f>IFERROR(SUM(Tabla_Buffers_Agroinsumos[[#This Row],[SD-MP]:[SD-VL]]),"")</f>
        <v>0</v>
      </c>
      <c r="BN33" s="92"/>
      <c r="BO33" s="92"/>
      <c r="BP33" s="134"/>
      <c r="BQ33" s="134"/>
      <c r="BR33" s="134"/>
      <c r="BS33" s="134"/>
      <c r="BT33" s="134"/>
      <c r="BU33" s="134"/>
      <c r="BV33" s="134"/>
      <c r="BW33" s="134"/>
      <c r="BX33" s="134"/>
      <c r="BY33" s="134">
        <f t="array" ref="BY33">IFERROR(INDEX(TABLACONSOLIDADA[Buff Act],MATCH("AGROINSUMOSMONCAYOLOPEZ"&amp;Tabla_Buffers_Agroinsumos[[#This Row],[CODIGO ]],TABLACONSOLIDADA[Bodega]&amp;TABLACONSOLIDADA[Codigo],0)),"")</f>
        <v>0</v>
      </c>
      <c r="BZ33" s="157">
        <f t="array" ref="BZ33">IFERROR(INDEX(TABLACONSOLIDADA[Inv Fís Act],MATCH("AGROINSUMOSMONCAYOLOPEZ"&amp;Tabla_Buffers_Agroinsumos[[#This Row],[CODIGO ]],TABLACONSOLIDADA[Bodega]&amp;TABLACONSOLIDADA[Codigo],0)),"")</f>
        <v>0</v>
      </c>
      <c r="CA33" s="157">
        <f t="array" ref="CA3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3" s="134">
        <f>IFERROR(SUM(Tabla_Buffers_Agroinsumos[[#This Row],[ML-MP]:[ML-VL]]),"")</f>
        <v>0</v>
      </c>
      <c r="CD33" s="92">
        <f>IFERROR(Tabla_Buffers_Agroinsumos[[#This Row],[INV FIS ML]]-Tabla_Buffers_Agroinsumos[[#This Row],[BUFFER ML]],"")</f>
        <v>0</v>
      </c>
      <c r="CE33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3" s="134"/>
      <c r="CG33" s="134"/>
      <c r="CH33" s="134"/>
      <c r="CI33" s="134"/>
      <c r="CJ33" s="134"/>
      <c r="CK33" s="134"/>
      <c r="CL33" s="134"/>
      <c r="CM33" s="134"/>
      <c r="CN33" s="134"/>
      <c r="CO33" s="134">
        <f t="array" ref="CO33">IFERROR(INDEX(TABLACONSOLIDADA[Buff Act],MATCH("AGROINSUMOSAGROHERMANOSLEON"&amp;Tabla_Buffers_Agroinsumos[[#This Row],[CODIGO ]],TABLACONSOLIDADA[Bodega]&amp;TABLACONSOLIDADA[Codigo],0)),"")</f>
        <v>40</v>
      </c>
      <c r="CP33" s="157">
        <f t="array" ref="CP33">IFERROR(INDEX(TABLACONSOLIDADA[Inv Fís Act],MATCH("AGROINSUMOSAGROHERMANOSLEON"&amp;Tabla_Buffers_Agroinsumos[[#This Row],[CODIGO ]],TABLACONSOLIDADA[Bodega]&amp;TABLACONSOLIDADA[Codigo],0)),"")</f>
        <v>61</v>
      </c>
      <c r="CQ33" s="157">
        <f t="array" ref="CQ3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61</v>
      </c>
      <c r="CR3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3" s="134">
        <f>IFERROR(SUM(Tabla_Buffers_Agroinsumos[[#This Row],[AL-MP]:[AL-VL]]),"")</f>
        <v>0</v>
      </c>
      <c r="CT33" s="92">
        <f>IFERROR(Tabla_Buffers_Agroinsumos[[#This Row],[INV FIS AL]]-Tabla_Buffers_Agroinsumos[[#This Row],[BUFFER AL]],"")</f>
        <v>21</v>
      </c>
      <c r="CU33" s="92">
        <f>IFERROR(Tabla_Buffers_Agroinsumos[[#This Row],[INV FIS AL]]+Tabla_Buffers_Agroinsumos[[#This Row],[TRANSFERENCIAS A AL]]-Tabla_Buffers_Agroinsumos[[#This Row],[BUFFER AL]]-Tabla_Buffers_Agroinsumos[[#This Row],[TRANSFERENCIAS DE AL]],"")</f>
        <v>21</v>
      </c>
      <c r="CV33" s="134"/>
      <c r="CW33" s="134"/>
      <c r="CX33" s="134"/>
      <c r="CY33" s="134"/>
      <c r="CZ33" s="134"/>
      <c r="DA33" s="134"/>
      <c r="DB33" s="134"/>
      <c r="DC33" s="134"/>
      <c r="DD33" s="134"/>
      <c r="DE33" s="134">
        <f t="array" ref="DE33">IFERROR(INDEX(TABLACONSOLIDADA[Buff Act],MATCH("AGROINSUMOSAGRONUEVO"&amp;Tabla_Buffers_Agroinsumos[[#This Row],[CODIGO ]],TABLACONSOLIDADA[Bodega]&amp;TABLACONSOLIDADA[Codigo],0)),"")</f>
        <v>0</v>
      </c>
      <c r="DF33" s="157">
        <f t="array" ref="DF33">IFERROR(INDEX(TABLACONSOLIDADA[Inv Fís Act],MATCH("AGROINSUMOSAGRONUEVO"&amp;Tabla_Buffers_Agroinsumos[[#This Row],[CODIGO ]],TABLACONSOLIDADA[Bodega]&amp;TABLACONSOLIDADA[Codigo],0)),"")</f>
        <v>0</v>
      </c>
      <c r="DG33" s="157">
        <f t="array" ref="DG3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3" s="134">
        <f>IFERROR(SUM(Tabla_Buffers_Agroinsumos[[#This Row],[AN-MP]:[AN-VL]]),"")</f>
        <v>0</v>
      </c>
      <c r="DJ33" s="92">
        <f>IFERROR(Tabla_Buffers_Agroinsumos[[#This Row],[INV FIS AN]]-Tabla_Buffers_Agroinsumos[[#This Row],[BUFFER AN]],"")</f>
        <v>0</v>
      </c>
      <c r="DK33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3" s="134"/>
      <c r="DM33" s="134"/>
      <c r="DN33" s="134"/>
      <c r="DO33" s="134"/>
      <c r="DP33" s="134"/>
      <c r="DQ33" s="134"/>
      <c r="DR33" s="134"/>
      <c r="DS33" s="134"/>
      <c r="DT33" s="134"/>
      <c r="DU33" s="134">
        <f t="array" ref="DU33">IFERROR(INDEX(TABLACONSOLIDADA[Buff Act],MATCH("AGROINSUMOSAGROQUIMICOSSUR"&amp;Tabla_Buffers_Agroinsumos[[#This Row],[CODIGO ]],TABLACONSOLIDADA[Bodega]&amp;TABLACONSOLIDADA[Codigo],0)),"")</f>
        <v>0</v>
      </c>
      <c r="DV33" s="157">
        <f t="array" ref="DV33">IFERROR(INDEX(TABLACONSOLIDADA[Inv Fís Act],MATCH("AGROINSUMOSAGROQUIMICOSSUR"&amp;Tabla_Buffers_Agroinsumos[[#This Row],[CODIGO ]],TABLACONSOLIDADA[Bodega]&amp;TABLACONSOLIDADA[Codigo],0)),"")</f>
        <v>0</v>
      </c>
      <c r="DW33" s="157">
        <f t="array" ref="DW3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3" s="134">
        <f>IFERROR(SUM(Tabla_Buffers_Agroinsumos[[#This Row],[AS-MP]:[AS-VL]]),"")</f>
        <v>0</v>
      </c>
      <c r="DZ33" s="92">
        <f>IFERROR(Tabla_Buffers_Agroinsumos[[#This Row],[INV FIS AS]]-Tabla_Buffers_Agroinsumos[[#This Row],[BUFFER AS]],"")</f>
        <v>0</v>
      </c>
      <c r="EA33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3" s="134"/>
      <c r="EC33" s="134"/>
      <c r="ED33" s="134"/>
      <c r="EE33" s="134"/>
      <c r="EF33" s="134"/>
      <c r="EG33" s="134"/>
      <c r="EH33" s="134"/>
      <c r="EI33" s="134"/>
      <c r="EJ33" s="134"/>
      <c r="EK33" s="134">
        <f t="array" ref="EK33">IFERROR(INDEX(TABLACONSOLIDADA[Buff Act],MATCH("AGROINSUMOSLAFINCA"&amp;Tabla_Buffers_Agroinsumos[[#This Row],[CODIGO ]],TABLACONSOLIDADA[Bodega]&amp;TABLACONSOLIDADA[Codigo],0)),"")</f>
        <v>0</v>
      </c>
      <c r="EL33" s="157">
        <f t="array" ref="EL33">IFERROR(INDEX(TABLACONSOLIDADA[Inv Fís Act],MATCH("AGROINSUMOSLAFINCA"&amp;Tabla_Buffers_Agroinsumos[[#This Row],[CODIGO ]],TABLACONSOLIDADA[Bodega]&amp;TABLACONSOLIDADA[Codigo],0)),"")</f>
        <v>0</v>
      </c>
      <c r="EM33" s="157">
        <f t="array" ref="EM3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3" s="134">
        <f>IFERROR(SUM(Tabla_Buffers_Agroinsumos[[#This Row],[LF-MP]:[LF-VL]]),"")</f>
        <v>0</v>
      </c>
      <c r="EP33" s="92">
        <f>IFERROR(Tabla_Buffers_Agroinsumos[[#This Row],[INV FIS LF]]-Tabla_Buffers_Agroinsumos[[#This Row],[BUFFER LF]],"")</f>
        <v>0</v>
      </c>
      <c r="EQ3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3" s="134"/>
      <c r="ES33" s="134"/>
      <c r="ET33" s="134"/>
      <c r="EU33" s="134"/>
      <c r="EV33" s="134"/>
      <c r="EW33" s="134"/>
      <c r="EX33" s="134"/>
      <c r="EY33" s="134"/>
      <c r="EZ33" s="134"/>
      <c r="FA33" s="134">
        <f t="array" ref="FA33">IFERROR(INDEX(TABLACONSOLIDADA[Buff Act],MATCH("AGROINSUMOSVERONICALEDESMA"&amp;Tabla_Buffers_Agroinsumos[[#This Row],[CODIGO ]],TABLACONSOLIDADA[Bodega]&amp;TABLACONSOLIDADA[Codigo],0)),"")</f>
        <v>0</v>
      </c>
      <c r="FB33" s="157">
        <f t="array" ref="FB33">IFERROR(INDEX(TABLACONSOLIDADA[Inv Fís Act],MATCH("AGROINSUMOSVERONICALEDESMA"&amp;Tabla_Buffers_Agroinsumos[[#This Row],[CODIGO ]],TABLACONSOLIDADA[Bodega]&amp;TABLACONSOLIDADA[Codigo],0)),"")</f>
        <v>0</v>
      </c>
      <c r="FC33" s="157">
        <f t="array" ref="FC3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3" s="134">
        <f>IFERROR(SUM(Tabla_Buffers_Agroinsumos[[#This Row],[VL-MP]:[VL-LF]]),"")</f>
        <v>0</v>
      </c>
      <c r="FF33" s="92">
        <f>IFERROR(Tabla_Buffers_Agroinsumos[[#This Row],[INV FIS VL]]-Tabla_Buffers_Agroinsumos[[#This Row],[BUFFER VL]],"")</f>
        <v>0</v>
      </c>
      <c r="FG33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3" s="134"/>
      <c r="FI33" s="134"/>
      <c r="FJ33" s="134"/>
      <c r="FK33" s="134"/>
      <c r="FL33" s="134"/>
      <c r="FM33" s="134"/>
      <c r="FN33" s="134"/>
      <c r="FO33" s="134"/>
      <c r="FP33" s="134"/>
    </row>
    <row r="34" spans="1:172">
      <c r="A34" s="7" t="s">
        <v>113</v>
      </c>
      <c r="B34" s="7" t="s">
        <v>114</v>
      </c>
      <c r="C34" s="7" t="s">
        <v>707</v>
      </c>
      <c r="D34" s="7" t="s">
        <v>715</v>
      </c>
      <c r="E34" s="7" t="s">
        <v>975</v>
      </c>
      <c r="F34" s="19" t="s">
        <v>698</v>
      </c>
      <c r="G34" s="19" t="s">
        <v>698</v>
      </c>
      <c r="H34" s="19">
        <f>VLOOKUP(Tabla_Buffers_Agroinsumos[[#This Row],[CODIGO ]],TABLACONSOLIDADA[[Codigo]:[PV]],6,0)</f>
        <v>9.49</v>
      </c>
      <c r="I34" s="19">
        <f>VLOOKUP(Tabla_Buffers_Agroinsumos[[#This Row],[CODIGO ]],TABLACONSOLIDADA[[Codigo]:[PV]],5,0)</f>
        <v>4.62</v>
      </c>
      <c r="J34" s="19" t="s">
        <v>698</v>
      </c>
      <c r="K34" s="19" t="s">
        <v>698</v>
      </c>
      <c r="L34" s="19">
        <f>IFERROR(Tabla_Buffers_Agroinsumos[[#This Row],[BUFFER CENTRAL]]/((Tabla_Buffers_Agroinsumos[[#This Row],[TIEMPO REPOSICION ]]/Tabla_Buffers_Agroinsumos[[#This Row],[FRECUENCIA]])+1),0)</f>
        <v>0</v>
      </c>
      <c r="M34" s="19" t="str">
        <f t="array" ref="M34">IFERROR(INDEX(TABLACONSOLIDADA[Buff Act],MATCH("AGROINSUMOSMATERIAPRIMA"&amp;Tabla_Buffers_Agroinsumos[[#This Row],[CODIGO ]],TABLACONSOLIDADA[Bodega]&amp;TABLACONSOLIDADA[Codigo],0)),"")</f>
        <v/>
      </c>
      <c r="N34" s="157" t="str">
        <f t="array" ref="N34">IFERROR(INDEX(TABLACONSOLIDADA[Inv Fís Act],MATCH("AGROINSUMOSMATERIAPRIMA"&amp;Tabla_Buffers_Agroinsumos[[#This Row],[CODIGO ]],TABLACONSOLIDADA[Bodega]&amp;TABLACONSOLIDADA[Codigo],0)),"")</f>
        <v/>
      </c>
      <c r="O34" s="157" t="str">
        <f t="array" ref="O3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4" s="19">
        <f>IFERROR(SUM(Tabla_Buffers_Agroinsumos[[#This Row],[MP-C]:[MP-VL]]),"")</f>
        <v>0</v>
      </c>
      <c r="R34" s="92" t="str">
        <f>IFERROR(Tabla_Buffers_Agroinsumos[[#This Row],[INV FIS MATERIA PRIMA]]-Tabla_Buffers_Agroinsumos[[#This Row],[BUFFER MATERIA PRIMA]],"")</f>
        <v/>
      </c>
      <c r="S3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4" s="19"/>
      <c r="U34" s="19"/>
      <c r="V34" s="19"/>
      <c r="W34" s="19"/>
      <c r="X34" s="19"/>
      <c r="Y34" s="19"/>
      <c r="Z34" s="19"/>
      <c r="AA34" s="19"/>
      <c r="AB34" s="19"/>
      <c r="AC34" s="152">
        <f t="array" ref="AC34">IFERROR(INDEX(TABLACONSOLIDADA[Buff Act],MATCH("AGROINSUMOSCENTRAL"&amp;Tabla_Buffers_Agroinsumos[[#This Row],[CODIGO ]],TABLACONSOLIDADA[Bodega]&amp;TABLACONSOLIDADA[Codigo],0)),"")</f>
        <v>110</v>
      </c>
      <c r="AD34" s="157">
        <f t="array" ref="AD34">IFERROR(INDEX(TABLACONSOLIDADA[Inv Fís Act],MATCH("AGROINSUMOSCENTRAL"&amp;Tabla_Buffers_Agroinsumos[[#This Row],[CODIGO ]],TABLACONSOLIDADA[Bodega]&amp;TABLACONSOLIDADA[Codigo],0)),"")</f>
        <v>128</v>
      </c>
      <c r="AE34" s="157">
        <f t="array" ref="AE3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138</v>
      </c>
      <c r="AF3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4" s="91">
        <f>IFERROR(SUM(Tabla_Buffers_Agroinsumos[[#This Row],[C-MP]:[C-VL]]),"")</f>
        <v>0</v>
      </c>
      <c r="AH34" s="92">
        <f>IFERROR(Tabla_Buffers_Agroinsumos[[#This Row],[INV FIS CENTRAL]]-Tabla_Buffers_Agroinsumos[[#This Row],[BUFFER CENTRAL]],"")</f>
        <v>18</v>
      </c>
      <c r="AI3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18</v>
      </c>
      <c r="AJ34" s="134"/>
      <c r="AK34" s="134"/>
      <c r="AL34" s="134"/>
      <c r="AM34" s="134"/>
      <c r="AN34" s="134"/>
      <c r="AO34" s="134"/>
      <c r="AP34" s="134"/>
      <c r="AQ34" s="134"/>
      <c r="AR34" s="134"/>
      <c r="AS34" s="134">
        <f t="array" ref="AS34">IFERROR(INDEX(TABLACONSOLIDADA[Buff Act],MATCH("AGROINSUMOScentralPROPIA"&amp;Tabla_Buffers_Agroinsumos[[#This Row],[CODIGO ]],TABLACONSOLIDADA[Bodega]&amp;TABLACONSOLIDADA[Codigo],0)),"")</f>
        <v>60</v>
      </c>
      <c r="AT34" s="157">
        <f t="array" ref="AT34">IFERROR(INDEX(TABLACONSOLIDADA[Inv Fís Act],MATCH("AGROINSUMOScentralPROPIA"&amp;Tabla_Buffers_Agroinsumos[[#This Row],[CODIGO ]],TABLACONSOLIDADA[Bodega]&amp;TABLACONSOLIDADA[Codigo],0)),"")</f>
        <v>0</v>
      </c>
      <c r="AU34" s="157">
        <f t="array" ref="AU3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4" s="134">
        <f>IFERROR(SUM(Tabla_Buffers_Agroinsumos[[#This Row],[P-MP]:[P-VL]]),"")</f>
        <v>0</v>
      </c>
      <c r="AX34" s="92">
        <f>IFERROR(Tabla_Buffers_Agroinsumos[[#This Row],[INV FIS PROPIA]]-Tabla_Buffers_Agroinsumos[[#This Row],[BUFFER PROPIA]],"")</f>
        <v>-60</v>
      </c>
      <c r="AY3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-60</v>
      </c>
      <c r="AZ34" s="134"/>
      <c r="BA34" s="134"/>
      <c r="BB34" s="134"/>
      <c r="BC34" s="134"/>
      <c r="BD34" s="134"/>
      <c r="BE34" s="134"/>
      <c r="BF34" s="134"/>
      <c r="BG34" s="134"/>
      <c r="BH34" s="134"/>
      <c r="BI34" s="91">
        <f t="array" ref="BI34">IFERROR(INDEX(TABLACONSOLIDADA[Buff Act],MATCH("AGROINSUMOSSTODOMINGO"&amp;Tabla_Buffers_Agroinsumos[[#This Row],[CODIGO ]],TABLACONSOLIDADA[Bodega]&amp;TABLACONSOLIDADA[Codigo],0)),"")</f>
        <v>0</v>
      </c>
      <c r="BJ34" s="157">
        <f t="array" ref="BJ34">IFERROR(INDEX(TABLACONSOLIDADA[Inv Fís Act],MATCH("AGROINSUMOSSTODOMINGO"&amp;Tabla_Buffers_Agroinsumos[[#This Row],[CODIGO ]],TABLACONSOLIDADA[Bodega]&amp;TABLACONSOLIDADA[Codigo],0)),"")</f>
        <v>0</v>
      </c>
      <c r="BK34" s="157">
        <f t="array" ref="BK3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4" s="91">
        <f>IFERROR(SUM(Tabla_Buffers_Agroinsumos[[#This Row],[SD-MP]:[SD-VL]]),"")</f>
        <v>0</v>
      </c>
      <c r="BN34" s="92"/>
      <c r="BO34" s="92"/>
      <c r="BP34" s="134"/>
      <c r="BQ34" s="134"/>
      <c r="BR34" s="134"/>
      <c r="BS34" s="134"/>
      <c r="BT34" s="134"/>
      <c r="BU34" s="134"/>
      <c r="BV34" s="134"/>
      <c r="BW34" s="134"/>
      <c r="BX34" s="134"/>
      <c r="BY34" s="134">
        <f t="array" ref="BY34">IFERROR(INDEX(TABLACONSOLIDADA[Buff Act],MATCH("AGROINSUMOSMONCAYOLOPEZ"&amp;Tabla_Buffers_Agroinsumos[[#This Row],[CODIGO ]],TABLACONSOLIDADA[Bodega]&amp;TABLACONSOLIDADA[Codigo],0)),"")</f>
        <v>0</v>
      </c>
      <c r="BZ34" s="157">
        <f t="array" ref="BZ34">IFERROR(INDEX(TABLACONSOLIDADA[Inv Fís Act],MATCH("AGROINSUMOSMONCAYOLOPEZ"&amp;Tabla_Buffers_Agroinsumos[[#This Row],[CODIGO ]],TABLACONSOLIDADA[Bodega]&amp;TABLACONSOLIDADA[Codigo],0)),"")</f>
        <v>0</v>
      </c>
      <c r="CA34" s="157">
        <f t="array" ref="CA3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4" s="134">
        <f>IFERROR(SUM(Tabla_Buffers_Agroinsumos[[#This Row],[ML-MP]:[ML-VL]]),"")</f>
        <v>0</v>
      </c>
      <c r="CD34" s="92">
        <f>IFERROR(Tabla_Buffers_Agroinsumos[[#This Row],[INV FIS ML]]-Tabla_Buffers_Agroinsumos[[#This Row],[BUFFER ML]],"")</f>
        <v>0</v>
      </c>
      <c r="CE34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4" s="134"/>
      <c r="CG34" s="134"/>
      <c r="CH34" s="134"/>
      <c r="CI34" s="134"/>
      <c r="CJ34" s="134"/>
      <c r="CK34" s="134"/>
      <c r="CL34" s="134"/>
      <c r="CM34" s="134"/>
      <c r="CN34" s="134"/>
      <c r="CO34" s="134">
        <f t="array" ref="CO34">IFERROR(INDEX(TABLACONSOLIDADA[Buff Act],MATCH("AGROINSUMOSAGROHERMANOSLEON"&amp;Tabla_Buffers_Agroinsumos[[#This Row],[CODIGO ]],TABLACONSOLIDADA[Bodega]&amp;TABLACONSOLIDADA[Codigo],0)),"")</f>
        <v>40</v>
      </c>
      <c r="CP34" s="157">
        <f t="array" ref="CP34">IFERROR(INDEX(TABLACONSOLIDADA[Inv Fís Act],MATCH("AGROINSUMOSAGROHERMANOSLEON"&amp;Tabla_Buffers_Agroinsumos[[#This Row],[CODIGO ]],TABLACONSOLIDADA[Bodega]&amp;TABLACONSOLIDADA[Codigo],0)),"")</f>
        <v>52</v>
      </c>
      <c r="CQ34" s="157">
        <f t="array" ref="CQ3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52</v>
      </c>
      <c r="CR3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4" s="134">
        <f>IFERROR(SUM(Tabla_Buffers_Agroinsumos[[#This Row],[AL-MP]:[AL-VL]]),"")</f>
        <v>0</v>
      </c>
      <c r="CT34" s="92">
        <f>IFERROR(Tabla_Buffers_Agroinsumos[[#This Row],[INV FIS AL]]-Tabla_Buffers_Agroinsumos[[#This Row],[BUFFER AL]],"")</f>
        <v>12</v>
      </c>
      <c r="CU34" s="92">
        <f>IFERROR(Tabla_Buffers_Agroinsumos[[#This Row],[INV FIS AL]]+Tabla_Buffers_Agroinsumos[[#This Row],[TRANSFERENCIAS A AL]]-Tabla_Buffers_Agroinsumos[[#This Row],[BUFFER AL]]-Tabla_Buffers_Agroinsumos[[#This Row],[TRANSFERENCIAS DE AL]],"")</f>
        <v>12</v>
      </c>
      <c r="CV34" s="134"/>
      <c r="CW34" s="134"/>
      <c r="CX34" s="134"/>
      <c r="CY34" s="134"/>
      <c r="CZ34" s="134"/>
      <c r="DA34" s="134"/>
      <c r="DB34" s="134"/>
      <c r="DC34" s="134"/>
      <c r="DD34" s="134"/>
      <c r="DE34" s="134">
        <f t="array" ref="DE34">IFERROR(INDEX(TABLACONSOLIDADA[Buff Act],MATCH("AGROINSUMOSAGRONUEVO"&amp;Tabla_Buffers_Agroinsumos[[#This Row],[CODIGO ]],TABLACONSOLIDADA[Bodega]&amp;TABLACONSOLIDADA[Codigo],0)),"")</f>
        <v>15</v>
      </c>
      <c r="DF34" s="157">
        <f t="array" ref="DF34">IFERROR(INDEX(TABLACONSOLIDADA[Inv Fís Act],MATCH("AGROINSUMOSAGRONUEVO"&amp;Tabla_Buffers_Agroinsumos[[#This Row],[CODIGO ]],TABLACONSOLIDADA[Bodega]&amp;TABLACONSOLIDADA[Codigo],0)),"")</f>
        <v>55</v>
      </c>
      <c r="DG34" s="157">
        <f t="array" ref="DG3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55</v>
      </c>
      <c r="DH3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4" s="134">
        <f>IFERROR(SUM(Tabla_Buffers_Agroinsumos[[#This Row],[AN-MP]:[AN-VL]]),"")</f>
        <v>0</v>
      </c>
      <c r="DJ34" s="92">
        <f>IFERROR(Tabla_Buffers_Agroinsumos[[#This Row],[INV FIS AN]]-Tabla_Buffers_Agroinsumos[[#This Row],[BUFFER AN]],"")</f>
        <v>40</v>
      </c>
      <c r="DK34" s="92">
        <f>IFERROR(Tabla_Buffers_Agroinsumos[[#This Row],[INV FIS AN]]+Tabla_Buffers_Agroinsumos[[#This Row],[TRANSFERENCIAS A AN]]-Tabla_Buffers_Agroinsumos[[#This Row],[BUFFER AN]]-Tabla_Buffers_Agroinsumos[[#This Row],[TRANSFERENCIAS DE AN]],"")</f>
        <v>40</v>
      </c>
      <c r="DL34" s="134"/>
      <c r="DM34" s="134"/>
      <c r="DN34" s="134"/>
      <c r="DO34" s="134"/>
      <c r="DP34" s="134"/>
      <c r="DQ34" s="134"/>
      <c r="DR34" s="134"/>
      <c r="DS34" s="134"/>
      <c r="DT34" s="134"/>
      <c r="DU34" s="134">
        <f t="array" ref="DU34">IFERROR(INDEX(TABLACONSOLIDADA[Buff Act],MATCH("AGROINSUMOSAGROQUIMICOSSUR"&amp;Tabla_Buffers_Agroinsumos[[#This Row],[CODIGO ]],TABLACONSOLIDADA[Bodega]&amp;TABLACONSOLIDADA[Codigo],0)),"")</f>
        <v>0</v>
      </c>
      <c r="DV34" s="157">
        <f t="array" ref="DV34">IFERROR(INDEX(TABLACONSOLIDADA[Inv Fís Act],MATCH("AGROINSUMOSAGROQUIMICOSSUR"&amp;Tabla_Buffers_Agroinsumos[[#This Row],[CODIGO ]],TABLACONSOLIDADA[Bodega]&amp;TABLACONSOLIDADA[Codigo],0)),"")</f>
        <v>0</v>
      </c>
      <c r="DW34" s="157">
        <f t="array" ref="DW3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4" s="134">
        <f>IFERROR(SUM(Tabla_Buffers_Agroinsumos[[#This Row],[AS-MP]:[AS-VL]]),"")</f>
        <v>0</v>
      </c>
      <c r="DZ34" s="92">
        <f>IFERROR(Tabla_Buffers_Agroinsumos[[#This Row],[INV FIS AS]]-Tabla_Buffers_Agroinsumos[[#This Row],[BUFFER AS]],"")</f>
        <v>0</v>
      </c>
      <c r="EA34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4" s="134"/>
      <c r="EC34" s="134"/>
      <c r="ED34" s="134"/>
      <c r="EE34" s="134"/>
      <c r="EF34" s="134"/>
      <c r="EG34" s="134"/>
      <c r="EH34" s="134"/>
      <c r="EI34" s="134"/>
      <c r="EJ34" s="134"/>
      <c r="EK34" s="134">
        <f t="array" ref="EK34">IFERROR(INDEX(TABLACONSOLIDADA[Buff Act],MATCH("AGROINSUMOSLAFINCA"&amp;Tabla_Buffers_Agroinsumos[[#This Row],[CODIGO ]],TABLACONSOLIDADA[Bodega]&amp;TABLACONSOLIDADA[Codigo],0)),"")</f>
        <v>0</v>
      </c>
      <c r="EL34" s="157">
        <f t="array" ref="EL34">IFERROR(INDEX(TABLACONSOLIDADA[Inv Fís Act],MATCH("AGROINSUMOSLAFINCA"&amp;Tabla_Buffers_Agroinsumos[[#This Row],[CODIGO ]],TABLACONSOLIDADA[Bodega]&amp;TABLACONSOLIDADA[Codigo],0)),"")</f>
        <v>0</v>
      </c>
      <c r="EM34" s="157">
        <f t="array" ref="EM3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4" s="134">
        <f>IFERROR(SUM(Tabla_Buffers_Agroinsumos[[#This Row],[LF-MP]:[LF-VL]]),"")</f>
        <v>0</v>
      </c>
      <c r="EP34" s="92">
        <f>IFERROR(Tabla_Buffers_Agroinsumos[[#This Row],[INV FIS LF]]-Tabla_Buffers_Agroinsumos[[#This Row],[BUFFER LF]],"")</f>
        <v>0</v>
      </c>
      <c r="EQ34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4" s="134"/>
      <c r="ES34" s="134"/>
      <c r="ET34" s="134"/>
      <c r="EU34" s="134"/>
      <c r="EV34" s="134"/>
      <c r="EW34" s="134"/>
      <c r="EX34" s="134"/>
      <c r="EY34" s="134"/>
      <c r="EZ34" s="134"/>
      <c r="FA34" s="134">
        <f t="array" ref="FA34">IFERROR(INDEX(TABLACONSOLIDADA[Buff Act],MATCH("AGROINSUMOSVERONICALEDESMA"&amp;Tabla_Buffers_Agroinsumos[[#This Row],[CODIGO ]],TABLACONSOLIDADA[Bodega]&amp;TABLACONSOLIDADA[Codigo],0)),"")</f>
        <v>0</v>
      </c>
      <c r="FB34" s="157">
        <f t="array" ref="FB34">IFERROR(INDEX(TABLACONSOLIDADA[Inv Fís Act],MATCH("AGROINSUMOSVERONICALEDESMA"&amp;Tabla_Buffers_Agroinsumos[[#This Row],[CODIGO ]],TABLACONSOLIDADA[Bodega]&amp;TABLACONSOLIDADA[Codigo],0)),"")</f>
        <v>0</v>
      </c>
      <c r="FC34" s="157">
        <f t="array" ref="FC3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4" s="134">
        <f>IFERROR(SUM(Tabla_Buffers_Agroinsumos[[#This Row],[VL-MP]:[VL-LF]]),"")</f>
        <v>0</v>
      </c>
      <c r="FF34" s="92">
        <f>IFERROR(Tabla_Buffers_Agroinsumos[[#This Row],[INV FIS VL]]-Tabla_Buffers_Agroinsumos[[#This Row],[BUFFER VL]],"")</f>
        <v>0</v>
      </c>
      <c r="FG34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4" s="134"/>
      <c r="FI34" s="134"/>
      <c r="FJ34" s="134"/>
      <c r="FK34" s="134"/>
      <c r="FL34" s="134"/>
      <c r="FM34" s="134"/>
      <c r="FN34" s="134"/>
      <c r="FO34" s="134"/>
      <c r="FP34" s="134"/>
    </row>
    <row r="35" spans="1:172">
      <c r="A35" s="7" t="s">
        <v>115</v>
      </c>
      <c r="B35" s="7" t="s">
        <v>116</v>
      </c>
      <c r="C35" s="7" t="s">
        <v>707</v>
      </c>
      <c r="D35" s="7" t="s">
        <v>715</v>
      </c>
      <c r="E35" s="7" t="s">
        <v>975</v>
      </c>
      <c r="F35" s="19" t="s">
        <v>698</v>
      </c>
      <c r="G35" s="19" t="s">
        <v>698</v>
      </c>
      <c r="H35" s="19">
        <f>VLOOKUP(Tabla_Buffers_Agroinsumos[[#This Row],[CODIGO ]],TABLACONSOLIDADA[[Codigo]:[PV]],6,0)</f>
        <v>3.69</v>
      </c>
      <c r="I35" s="19">
        <f>VLOOKUP(Tabla_Buffers_Agroinsumos[[#This Row],[CODIGO ]],TABLACONSOLIDADA[[Codigo]:[PV]],5,0)</f>
        <v>1.63</v>
      </c>
      <c r="J35" s="19" t="s">
        <v>698</v>
      </c>
      <c r="K35" s="19" t="s">
        <v>698</v>
      </c>
      <c r="L35" s="19">
        <f>IFERROR(Tabla_Buffers_Agroinsumos[[#This Row],[BUFFER CENTRAL]]/((Tabla_Buffers_Agroinsumos[[#This Row],[TIEMPO REPOSICION ]]/Tabla_Buffers_Agroinsumos[[#This Row],[FRECUENCIA]])+1),0)</f>
        <v>0</v>
      </c>
      <c r="M35" s="19" t="str">
        <f t="array" ref="M35">IFERROR(INDEX(TABLACONSOLIDADA[Buff Act],MATCH("AGROINSUMOSMATERIAPRIMA"&amp;Tabla_Buffers_Agroinsumos[[#This Row],[CODIGO ]],TABLACONSOLIDADA[Bodega]&amp;TABLACONSOLIDADA[Codigo],0)),"")</f>
        <v/>
      </c>
      <c r="N35" s="157" t="str">
        <f t="array" ref="N35">IFERROR(INDEX(TABLACONSOLIDADA[Inv Fís Act],MATCH("AGROINSUMOSMATERIAPRIMA"&amp;Tabla_Buffers_Agroinsumos[[#This Row],[CODIGO ]],TABLACONSOLIDADA[Bodega]&amp;TABLACONSOLIDADA[Codigo],0)),"")</f>
        <v/>
      </c>
      <c r="O35" s="157" t="str">
        <f t="array" ref="O3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5" s="19">
        <f>IFERROR(SUM(Tabla_Buffers_Agroinsumos[[#This Row],[MP-C]:[MP-VL]]),"")</f>
        <v>0</v>
      </c>
      <c r="R35" s="92" t="str">
        <f>IFERROR(Tabla_Buffers_Agroinsumos[[#This Row],[INV FIS MATERIA PRIMA]]-Tabla_Buffers_Agroinsumos[[#This Row],[BUFFER MATERIA PRIMA]],"")</f>
        <v/>
      </c>
      <c r="S3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5" s="19"/>
      <c r="U35" s="19"/>
      <c r="V35" s="19"/>
      <c r="W35" s="19"/>
      <c r="X35" s="19"/>
      <c r="Y35" s="19"/>
      <c r="Z35" s="19"/>
      <c r="AA35" s="19"/>
      <c r="AB35" s="19"/>
      <c r="AC35" s="152">
        <f t="array" ref="AC35">IFERROR(INDEX(TABLACONSOLIDADA[Buff Act],MATCH("AGROINSUMOSCENTRAL"&amp;Tabla_Buffers_Agroinsumos[[#This Row],[CODIGO ]],TABLACONSOLIDADA[Bodega]&amp;TABLACONSOLIDADA[Codigo],0)),"")</f>
        <v>80</v>
      </c>
      <c r="AD35" s="157">
        <f t="array" ref="AD35">IFERROR(INDEX(TABLACONSOLIDADA[Inv Fís Act],MATCH("AGROINSUMOSCENTRAL"&amp;Tabla_Buffers_Agroinsumos[[#This Row],[CODIGO ]],TABLACONSOLIDADA[Bodega]&amp;TABLACONSOLIDADA[Codigo],0)),"")</f>
        <v>141</v>
      </c>
      <c r="AE35" s="157">
        <f t="array" ref="AE3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171</v>
      </c>
      <c r="AF3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5" s="91">
        <f>IFERROR(SUM(Tabla_Buffers_Agroinsumos[[#This Row],[C-MP]:[C-VL]]),"")</f>
        <v>0</v>
      </c>
      <c r="AH35" s="92">
        <f>IFERROR(Tabla_Buffers_Agroinsumos[[#This Row],[INV FIS CENTRAL]]-Tabla_Buffers_Agroinsumos[[#This Row],[BUFFER CENTRAL]],"")</f>
        <v>61</v>
      </c>
      <c r="AI3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61</v>
      </c>
      <c r="AJ35" s="134"/>
      <c r="AK35" s="134"/>
      <c r="AL35" s="134"/>
      <c r="AM35" s="134"/>
      <c r="AN35" s="134"/>
      <c r="AO35" s="134"/>
      <c r="AP35" s="134"/>
      <c r="AQ35" s="134"/>
      <c r="AR35" s="134"/>
      <c r="AS35" s="134">
        <f t="array" ref="AS35">IFERROR(INDEX(TABLACONSOLIDADA[Buff Act],MATCH("AGROINSUMOScentralPROPIA"&amp;Tabla_Buffers_Agroinsumos[[#This Row],[CODIGO ]],TABLACONSOLIDADA[Bodega]&amp;TABLACONSOLIDADA[Codigo],0)),"")</f>
        <v>36</v>
      </c>
      <c r="AT35" s="157">
        <f t="array" ref="AT35">IFERROR(INDEX(TABLACONSOLIDADA[Inv Fís Act],MATCH("AGROINSUMOScentralPROPIA"&amp;Tabla_Buffers_Agroinsumos[[#This Row],[CODIGO ]],TABLACONSOLIDADA[Bodega]&amp;TABLACONSOLIDADA[Codigo],0)),"")</f>
        <v>0</v>
      </c>
      <c r="AU35" s="157">
        <f t="array" ref="AU3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5" s="134">
        <f>IFERROR(SUM(Tabla_Buffers_Agroinsumos[[#This Row],[P-MP]:[P-VL]]),"")</f>
        <v>0</v>
      </c>
      <c r="AX35" s="92">
        <f>IFERROR(Tabla_Buffers_Agroinsumos[[#This Row],[INV FIS PROPIA]]-Tabla_Buffers_Agroinsumos[[#This Row],[BUFFER PROPIA]],"")</f>
        <v>-36</v>
      </c>
      <c r="AY3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-36</v>
      </c>
      <c r="AZ35" s="134"/>
      <c r="BA35" s="134"/>
      <c r="BB35" s="134"/>
      <c r="BC35" s="134"/>
      <c r="BD35" s="134"/>
      <c r="BE35" s="134"/>
      <c r="BF35" s="134"/>
      <c r="BG35" s="134"/>
      <c r="BH35" s="134"/>
      <c r="BI35" s="91">
        <f t="array" ref="BI35">IFERROR(INDEX(TABLACONSOLIDADA[Buff Act],MATCH("AGROINSUMOSSTODOMINGO"&amp;Tabla_Buffers_Agroinsumos[[#This Row],[CODIGO ]],TABLACONSOLIDADA[Bodega]&amp;TABLACONSOLIDADA[Codigo],0)),"")</f>
        <v>0</v>
      </c>
      <c r="BJ35" s="157">
        <f t="array" ref="BJ35">IFERROR(INDEX(TABLACONSOLIDADA[Inv Fís Act],MATCH("AGROINSUMOSSTODOMINGO"&amp;Tabla_Buffers_Agroinsumos[[#This Row],[CODIGO ]],TABLACONSOLIDADA[Bodega]&amp;TABLACONSOLIDADA[Codigo],0)),"")</f>
        <v>0</v>
      </c>
      <c r="BK35" s="157">
        <f t="array" ref="BK3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5" s="91">
        <f>IFERROR(SUM(Tabla_Buffers_Agroinsumos[[#This Row],[SD-MP]:[SD-VL]]),"")</f>
        <v>0</v>
      </c>
      <c r="BN35" s="92"/>
      <c r="BO35" s="92"/>
      <c r="BP35" s="134"/>
      <c r="BQ35" s="134"/>
      <c r="BR35" s="134"/>
      <c r="BS35" s="134"/>
      <c r="BT35" s="134"/>
      <c r="BU35" s="134"/>
      <c r="BV35" s="134"/>
      <c r="BW35" s="134"/>
      <c r="BX35" s="134"/>
      <c r="BY35" s="134">
        <f t="array" ref="BY35">IFERROR(INDEX(TABLACONSOLIDADA[Buff Act],MATCH("AGROINSUMOSMONCAYOLOPEZ"&amp;Tabla_Buffers_Agroinsumos[[#This Row],[CODIGO ]],TABLACONSOLIDADA[Bodega]&amp;TABLACONSOLIDADA[Codigo],0)),"")</f>
        <v>5</v>
      </c>
      <c r="BZ35" s="157">
        <f t="array" ref="BZ35">IFERROR(INDEX(TABLACONSOLIDADA[Inv Fís Act],MATCH("AGROINSUMOSMONCAYOLOPEZ"&amp;Tabla_Buffers_Agroinsumos[[#This Row],[CODIGO ]],TABLACONSOLIDADA[Bodega]&amp;TABLACONSOLIDADA[Codigo],0)),"")</f>
        <v>5</v>
      </c>
      <c r="CA35" s="157">
        <f t="array" ref="CA3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5</v>
      </c>
      <c r="CB3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5" s="134">
        <f>IFERROR(SUM(Tabla_Buffers_Agroinsumos[[#This Row],[ML-MP]:[ML-VL]]),"")</f>
        <v>0</v>
      </c>
      <c r="CD35" s="92">
        <f>IFERROR(Tabla_Buffers_Agroinsumos[[#This Row],[INV FIS ML]]-Tabla_Buffers_Agroinsumos[[#This Row],[BUFFER ML]],"")</f>
        <v>0</v>
      </c>
      <c r="CE3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5" s="134"/>
      <c r="CG35" s="134"/>
      <c r="CH35" s="134"/>
      <c r="CI35" s="134"/>
      <c r="CJ35" s="134"/>
      <c r="CK35" s="134"/>
      <c r="CL35" s="134"/>
      <c r="CM35" s="134"/>
      <c r="CN35" s="134"/>
      <c r="CO35" s="134">
        <f t="array" ref="CO35">IFERROR(INDEX(TABLACONSOLIDADA[Buff Act],MATCH("AGROINSUMOSAGROHERMANOSLEON"&amp;Tabla_Buffers_Agroinsumos[[#This Row],[CODIGO ]],TABLACONSOLIDADA[Bodega]&amp;TABLACONSOLIDADA[Codigo],0)),"")</f>
        <v>0</v>
      </c>
      <c r="CP35" s="157">
        <f t="array" ref="CP35">IFERROR(INDEX(TABLACONSOLIDADA[Inv Fís Act],MATCH("AGROINSUMOSAGROHERMANOSLEON"&amp;Tabla_Buffers_Agroinsumos[[#This Row],[CODIGO ]],TABLACONSOLIDADA[Bodega]&amp;TABLACONSOLIDADA[Codigo],0)),"")</f>
        <v>0</v>
      </c>
      <c r="CQ35" s="157">
        <f t="array" ref="CQ3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5" s="134">
        <f>IFERROR(SUM(Tabla_Buffers_Agroinsumos[[#This Row],[AL-MP]:[AL-VL]]),"")</f>
        <v>0</v>
      </c>
      <c r="CT35" s="92">
        <f>IFERROR(Tabla_Buffers_Agroinsumos[[#This Row],[INV FIS AL]]-Tabla_Buffers_Agroinsumos[[#This Row],[BUFFER AL]],"")</f>
        <v>0</v>
      </c>
      <c r="CU3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5" s="134"/>
      <c r="CW35" s="134"/>
      <c r="CX35" s="134"/>
      <c r="CY35" s="134"/>
      <c r="CZ35" s="134"/>
      <c r="DA35" s="134"/>
      <c r="DB35" s="134"/>
      <c r="DC35" s="134"/>
      <c r="DD35" s="134"/>
      <c r="DE35" s="134">
        <f t="array" ref="DE35">IFERROR(INDEX(TABLACONSOLIDADA[Buff Act],MATCH("AGROINSUMOSAGRONUEVO"&amp;Tabla_Buffers_Agroinsumos[[#This Row],[CODIGO ]],TABLACONSOLIDADA[Bodega]&amp;TABLACONSOLIDADA[Codigo],0)),"")</f>
        <v>0</v>
      </c>
      <c r="DF35" s="157">
        <f t="array" ref="DF35">IFERROR(INDEX(TABLACONSOLIDADA[Inv Fís Act],MATCH("AGROINSUMOSAGRONUEVO"&amp;Tabla_Buffers_Agroinsumos[[#This Row],[CODIGO ]],TABLACONSOLIDADA[Bodega]&amp;TABLACONSOLIDADA[Codigo],0)),"")</f>
        <v>0</v>
      </c>
      <c r="DG35" s="157">
        <f t="array" ref="DG3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5" s="134">
        <f>IFERROR(SUM(Tabla_Buffers_Agroinsumos[[#This Row],[AN-MP]:[AN-VL]]),"")</f>
        <v>0</v>
      </c>
      <c r="DJ35" s="92">
        <f>IFERROR(Tabla_Buffers_Agroinsumos[[#This Row],[INV FIS AN]]-Tabla_Buffers_Agroinsumos[[#This Row],[BUFFER AN]],"")</f>
        <v>0</v>
      </c>
      <c r="DK3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5" s="134"/>
      <c r="DM35" s="134"/>
      <c r="DN35" s="134"/>
      <c r="DO35" s="134"/>
      <c r="DP35" s="134"/>
      <c r="DQ35" s="134"/>
      <c r="DR35" s="134"/>
      <c r="DS35" s="134"/>
      <c r="DT35" s="134"/>
      <c r="DU35" s="134">
        <f t="array" ref="DU35">IFERROR(INDEX(TABLACONSOLIDADA[Buff Act],MATCH("AGROINSUMOSAGROQUIMICOSSUR"&amp;Tabla_Buffers_Agroinsumos[[#This Row],[CODIGO ]],TABLACONSOLIDADA[Bodega]&amp;TABLACONSOLIDADA[Codigo],0)),"")</f>
        <v>0</v>
      </c>
      <c r="DV35" s="157">
        <f t="array" ref="DV35">IFERROR(INDEX(TABLACONSOLIDADA[Inv Fís Act],MATCH("AGROINSUMOSAGROQUIMICOSSUR"&amp;Tabla_Buffers_Agroinsumos[[#This Row],[CODIGO ]],TABLACONSOLIDADA[Bodega]&amp;TABLACONSOLIDADA[Codigo],0)),"")</f>
        <v>0</v>
      </c>
      <c r="DW35" s="157">
        <f t="array" ref="DW3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5" s="134">
        <f>IFERROR(SUM(Tabla_Buffers_Agroinsumos[[#This Row],[AS-MP]:[AS-VL]]),"")</f>
        <v>0</v>
      </c>
      <c r="DZ35" s="92">
        <f>IFERROR(Tabla_Buffers_Agroinsumos[[#This Row],[INV FIS AS]]-Tabla_Buffers_Agroinsumos[[#This Row],[BUFFER AS]],"")</f>
        <v>0</v>
      </c>
      <c r="EA3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5" s="134"/>
      <c r="EC35" s="134"/>
      <c r="ED35" s="134"/>
      <c r="EE35" s="134"/>
      <c r="EF35" s="134"/>
      <c r="EG35" s="134"/>
      <c r="EH35" s="134"/>
      <c r="EI35" s="134"/>
      <c r="EJ35" s="134"/>
      <c r="EK35" s="134">
        <f t="array" ref="EK35">IFERROR(INDEX(TABLACONSOLIDADA[Buff Act],MATCH("AGROINSUMOSLAFINCA"&amp;Tabla_Buffers_Agroinsumos[[#This Row],[CODIGO ]],TABLACONSOLIDADA[Bodega]&amp;TABLACONSOLIDADA[Codigo],0)),"")</f>
        <v>0</v>
      </c>
      <c r="EL35" s="157">
        <f t="array" ref="EL35">IFERROR(INDEX(TABLACONSOLIDADA[Inv Fís Act],MATCH("AGROINSUMOSLAFINCA"&amp;Tabla_Buffers_Agroinsumos[[#This Row],[CODIGO ]],TABLACONSOLIDADA[Bodega]&amp;TABLACONSOLIDADA[Codigo],0)),"")</f>
        <v>0</v>
      </c>
      <c r="EM35" s="157">
        <f t="array" ref="EM3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5" s="134">
        <f>IFERROR(SUM(Tabla_Buffers_Agroinsumos[[#This Row],[LF-MP]:[LF-VL]]),"")</f>
        <v>0</v>
      </c>
      <c r="EP35" s="92">
        <f>IFERROR(Tabla_Buffers_Agroinsumos[[#This Row],[INV FIS LF]]-Tabla_Buffers_Agroinsumos[[#This Row],[BUFFER LF]],"")</f>
        <v>0</v>
      </c>
      <c r="EQ3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5" s="134"/>
      <c r="ES35" s="134"/>
      <c r="ET35" s="134"/>
      <c r="EU35" s="134"/>
      <c r="EV35" s="134"/>
      <c r="EW35" s="134"/>
      <c r="EX35" s="134"/>
      <c r="EY35" s="134"/>
      <c r="EZ35" s="134"/>
      <c r="FA35" s="134">
        <f t="array" ref="FA35">IFERROR(INDEX(TABLACONSOLIDADA[Buff Act],MATCH("AGROINSUMOSVERONICALEDESMA"&amp;Tabla_Buffers_Agroinsumos[[#This Row],[CODIGO ]],TABLACONSOLIDADA[Bodega]&amp;TABLACONSOLIDADA[Codigo],0)),"")</f>
        <v>21</v>
      </c>
      <c r="FB35" s="157">
        <f t="array" ref="FB35">IFERROR(INDEX(TABLACONSOLIDADA[Inv Fís Act],MATCH("AGROINSUMOSVERONICALEDESMA"&amp;Tabla_Buffers_Agroinsumos[[#This Row],[CODIGO ]],TABLACONSOLIDADA[Bodega]&amp;TABLACONSOLIDADA[Codigo],0)),"")</f>
        <v>21</v>
      </c>
      <c r="FC35" s="157">
        <f t="array" ref="FC3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21</v>
      </c>
      <c r="FD3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5" s="134">
        <f>IFERROR(SUM(Tabla_Buffers_Agroinsumos[[#This Row],[VL-MP]:[VL-LF]]),"")</f>
        <v>0</v>
      </c>
      <c r="FF35" s="92">
        <f>IFERROR(Tabla_Buffers_Agroinsumos[[#This Row],[INV FIS VL]]-Tabla_Buffers_Agroinsumos[[#This Row],[BUFFER VL]],"")</f>
        <v>0</v>
      </c>
      <c r="FG35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5" s="134"/>
      <c r="FI35" s="134"/>
      <c r="FJ35" s="134"/>
      <c r="FK35" s="134"/>
      <c r="FL35" s="134"/>
      <c r="FM35" s="134"/>
      <c r="FN35" s="134"/>
      <c r="FO35" s="134"/>
      <c r="FP35" s="134"/>
    </row>
    <row r="36" spans="1:172">
      <c r="A36" s="7" t="s">
        <v>117</v>
      </c>
      <c r="B36" s="7" t="s">
        <v>118</v>
      </c>
      <c r="C36" s="7" t="s">
        <v>707</v>
      </c>
      <c r="D36" s="7" t="s">
        <v>727</v>
      </c>
      <c r="E36" s="7" t="s">
        <v>975</v>
      </c>
      <c r="F36" s="19" t="s">
        <v>698</v>
      </c>
      <c r="G36" s="19" t="s">
        <v>698</v>
      </c>
      <c r="H36" s="19">
        <f>VLOOKUP(Tabla_Buffers_Agroinsumos[[#This Row],[CODIGO ]],TABLACONSOLIDADA[[Codigo]:[PV]],6,0)</f>
        <v>6.69</v>
      </c>
      <c r="I36" s="19">
        <f>VLOOKUP(Tabla_Buffers_Agroinsumos[[#This Row],[CODIGO ]],TABLACONSOLIDADA[[Codigo]:[PV]],5,0)</f>
        <v>3.09</v>
      </c>
      <c r="J36" s="19" t="s">
        <v>698</v>
      </c>
      <c r="K36" s="19" t="s">
        <v>698</v>
      </c>
      <c r="L36" s="19">
        <f>IFERROR(Tabla_Buffers_Agroinsumos[[#This Row],[BUFFER CENTRAL]]/((Tabla_Buffers_Agroinsumos[[#This Row],[TIEMPO REPOSICION ]]/Tabla_Buffers_Agroinsumos[[#This Row],[FRECUENCIA]])+1),0)</f>
        <v>0</v>
      </c>
      <c r="M36" s="19" t="str">
        <f t="array" ref="M36">IFERROR(INDEX(TABLACONSOLIDADA[Buff Act],MATCH("AGROINSUMOSMATERIAPRIMA"&amp;Tabla_Buffers_Agroinsumos[[#This Row],[CODIGO ]],TABLACONSOLIDADA[Bodega]&amp;TABLACONSOLIDADA[Codigo],0)),"")</f>
        <v/>
      </c>
      <c r="N36" s="157" t="str">
        <f t="array" ref="N36">IFERROR(INDEX(TABLACONSOLIDADA[Inv Fís Act],MATCH("AGROINSUMOSMATERIAPRIMA"&amp;Tabla_Buffers_Agroinsumos[[#This Row],[CODIGO ]],TABLACONSOLIDADA[Bodega]&amp;TABLACONSOLIDADA[Codigo],0)),"")</f>
        <v/>
      </c>
      <c r="O36" s="157" t="str">
        <f t="array" ref="O3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6" s="19">
        <f>IFERROR(SUM(Tabla_Buffers_Agroinsumos[[#This Row],[MP-C]:[MP-VL]]),"")</f>
        <v>0</v>
      </c>
      <c r="R36" s="92" t="str">
        <f>IFERROR(Tabla_Buffers_Agroinsumos[[#This Row],[INV FIS MATERIA PRIMA]]-Tabla_Buffers_Agroinsumos[[#This Row],[BUFFER MATERIA PRIMA]],"")</f>
        <v/>
      </c>
      <c r="S3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6" s="19"/>
      <c r="U36" s="19"/>
      <c r="V36" s="19"/>
      <c r="W36" s="19"/>
      <c r="X36" s="19"/>
      <c r="Y36" s="19"/>
      <c r="Z36" s="19"/>
      <c r="AA36" s="19"/>
      <c r="AB36" s="19"/>
      <c r="AC36" s="152">
        <f t="array" ref="AC36">IFERROR(INDEX(TABLACONSOLIDADA[Buff Act],MATCH("AGROINSUMOSCENTRAL"&amp;Tabla_Buffers_Agroinsumos[[#This Row],[CODIGO ]],TABLACONSOLIDADA[Bodega]&amp;TABLACONSOLIDADA[Codigo],0)),"")</f>
        <v>80</v>
      </c>
      <c r="AD36" s="157">
        <f t="array" ref="AD36">IFERROR(INDEX(TABLACONSOLIDADA[Inv Fís Act],MATCH("AGROINSUMOSCENTRAL"&amp;Tabla_Buffers_Agroinsumos[[#This Row],[CODIGO ]],TABLACONSOLIDADA[Bodega]&amp;TABLACONSOLIDADA[Codigo],0)),"")</f>
        <v>69</v>
      </c>
      <c r="AE36" s="157">
        <f t="array" ref="AE3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79</v>
      </c>
      <c r="AF3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6" s="91">
        <f>IFERROR(SUM(Tabla_Buffers_Agroinsumos[[#This Row],[C-MP]:[C-VL]]),"")</f>
        <v>0</v>
      </c>
      <c r="AH36" s="92">
        <f>IFERROR(Tabla_Buffers_Agroinsumos[[#This Row],[INV FIS CENTRAL]]-Tabla_Buffers_Agroinsumos[[#This Row],[BUFFER CENTRAL]],"")</f>
        <v>-11</v>
      </c>
      <c r="AI36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-11</v>
      </c>
      <c r="AJ36" s="134"/>
      <c r="AK36" s="134"/>
      <c r="AL36" s="134"/>
      <c r="AM36" s="134"/>
      <c r="AN36" s="134"/>
      <c r="AO36" s="134"/>
      <c r="AP36" s="134"/>
      <c r="AQ36" s="134"/>
      <c r="AR36" s="134"/>
      <c r="AS36" s="134">
        <f t="array" ref="AS36">IFERROR(INDEX(TABLACONSOLIDADA[Buff Act],MATCH("AGROINSUMOScentralPROPIA"&amp;Tabla_Buffers_Agroinsumos[[#This Row],[CODIGO ]],TABLACONSOLIDADA[Bodega]&amp;TABLACONSOLIDADA[Codigo],0)),"")</f>
        <v>42</v>
      </c>
      <c r="AT36" s="157">
        <f t="array" ref="AT36">IFERROR(INDEX(TABLACONSOLIDADA[Inv Fís Act],MATCH("AGROINSUMOScentralPROPIA"&amp;Tabla_Buffers_Agroinsumos[[#This Row],[CODIGO ]],TABLACONSOLIDADA[Bodega]&amp;TABLACONSOLIDADA[Codigo],0)),"")</f>
        <v>0</v>
      </c>
      <c r="AU36" s="157">
        <f t="array" ref="AU3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6" s="134">
        <f>IFERROR(SUM(Tabla_Buffers_Agroinsumos[[#This Row],[P-MP]:[P-VL]]),"")</f>
        <v>0</v>
      </c>
      <c r="AX36" s="92">
        <f>IFERROR(Tabla_Buffers_Agroinsumos[[#This Row],[INV FIS PROPIA]]-Tabla_Buffers_Agroinsumos[[#This Row],[BUFFER PROPIA]],"")</f>
        <v>-42</v>
      </c>
      <c r="AY36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-42</v>
      </c>
      <c r="AZ36" s="134"/>
      <c r="BA36" s="134"/>
      <c r="BB36" s="134"/>
      <c r="BC36" s="134"/>
      <c r="BD36" s="134"/>
      <c r="BE36" s="134"/>
      <c r="BF36" s="134"/>
      <c r="BG36" s="134"/>
      <c r="BH36" s="134"/>
      <c r="BI36" s="91">
        <f t="array" ref="BI36">IFERROR(INDEX(TABLACONSOLIDADA[Buff Act],MATCH("AGROINSUMOSSTODOMINGO"&amp;Tabla_Buffers_Agroinsumos[[#This Row],[CODIGO ]],TABLACONSOLIDADA[Bodega]&amp;TABLACONSOLIDADA[Codigo],0)),"")</f>
        <v>0</v>
      </c>
      <c r="BJ36" s="157">
        <f t="array" ref="BJ36">IFERROR(INDEX(TABLACONSOLIDADA[Inv Fís Act],MATCH("AGROINSUMOSSTODOMINGO"&amp;Tabla_Buffers_Agroinsumos[[#This Row],[CODIGO ]],TABLACONSOLIDADA[Bodega]&amp;TABLACONSOLIDADA[Codigo],0)),"")</f>
        <v>0</v>
      </c>
      <c r="BK36" s="157">
        <f t="array" ref="BK3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6" s="91">
        <f>IFERROR(SUM(Tabla_Buffers_Agroinsumos[[#This Row],[SD-MP]:[SD-VL]]),"")</f>
        <v>0</v>
      </c>
      <c r="BN36" s="92"/>
      <c r="BO36" s="92"/>
      <c r="BP36" s="134"/>
      <c r="BQ36" s="134"/>
      <c r="BR36" s="134"/>
      <c r="BS36" s="134"/>
      <c r="BT36" s="134"/>
      <c r="BU36" s="134"/>
      <c r="BV36" s="134"/>
      <c r="BW36" s="134"/>
      <c r="BX36" s="134"/>
      <c r="BY36" s="134">
        <f t="array" ref="BY36">IFERROR(INDEX(TABLACONSOLIDADA[Buff Act],MATCH("AGROINSUMOSMONCAYOLOPEZ"&amp;Tabla_Buffers_Agroinsumos[[#This Row],[CODIGO ]],TABLACONSOLIDADA[Bodega]&amp;TABLACONSOLIDADA[Codigo],0)),"")</f>
        <v>0</v>
      </c>
      <c r="BZ36" s="157">
        <f t="array" ref="BZ36">IFERROR(INDEX(TABLACONSOLIDADA[Inv Fís Act],MATCH("AGROINSUMOSMONCAYOLOPEZ"&amp;Tabla_Buffers_Agroinsumos[[#This Row],[CODIGO ]],TABLACONSOLIDADA[Bodega]&amp;TABLACONSOLIDADA[Codigo],0)),"")</f>
        <v>0</v>
      </c>
      <c r="CA36" s="157">
        <f t="array" ref="CA3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6" s="134">
        <f>IFERROR(SUM(Tabla_Buffers_Agroinsumos[[#This Row],[ML-MP]:[ML-VL]]),"")</f>
        <v>0</v>
      </c>
      <c r="CD36" s="92">
        <f>IFERROR(Tabla_Buffers_Agroinsumos[[#This Row],[INV FIS ML]]-Tabla_Buffers_Agroinsumos[[#This Row],[BUFFER ML]],"")</f>
        <v>0</v>
      </c>
      <c r="CE36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6" s="134"/>
      <c r="CG36" s="134"/>
      <c r="CH36" s="134"/>
      <c r="CI36" s="134"/>
      <c r="CJ36" s="134"/>
      <c r="CK36" s="134"/>
      <c r="CL36" s="134"/>
      <c r="CM36" s="134"/>
      <c r="CN36" s="134"/>
      <c r="CO36" s="134">
        <f t="array" ref="CO36">IFERROR(INDEX(TABLACONSOLIDADA[Buff Act],MATCH("AGROINSUMOSAGROHERMANOSLEON"&amp;Tabla_Buffers_Agroinsumos[[#This Row],[CODIGO ]],TABLACONSOLIDADA[Bodega]&amp;TABLACONSOLIDADA[Codigo],0)),"")</f>
        <v>20</v>
      </c>
      <c r="CP36" s="157">
        <f t="array" ref="CP36">IFERROR(INDEX(TABLACONSOLIDADA[Inv Fís Act],MATCH("AGROINSUMOSAGROHERMANOSLEON"&amp;Tabla_Buffers_Agroinsumos[[#This Row],[CODIGO ]],TABLACONSOLIDADA[Bodega]&amp;TABLACONSOLIDADA[Codigo],0)),"")</f>
        <v>70</v>
      </c>
      <c r="CQ36" s="157">
        <f t="array" ref="CQ3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70</v>
      </c>
      <c r="CR3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6" s="134">
        <f>IFERROR(SUM(Tabla_Buffers_Agroinsumos[[#This Row],[AL-MP]:[AL-VL]]),"")</f>
        <v>0</v>
      </c>
      <c r="CT36" s="92">
        <f>IFERROR(Tabla_Buffers_Agroinsumos[[#This Row],[INV FIS AL]]-Tabla_Buffers_Agroinsumos[[#This Row],[BUFFER AL]],"")</f>
        <v>50</v>
      </c>
      <c r="CU36" s="92">
        <f>IFERROR(Tabla_Buffers_Agroinsumos[[#This Row],[INV FIS AL]]+Tabla_Buffers_Agroinsumos[[#This Row],[TRANSFERENCIAS A AL]]-Tabla_Buffers_Agroinsumos[[#This Row],[BUFFER AL]]-Tabla_Buffers_Agroinsumos[[#This Row],[TRANSFERENCIAS DE AL]],"")</f>
        <v>50</v>
      </c>
      <c r="CV36" s="134"/>
      <c r="CW36" s="134"/>
      <c r="CX36" s="134"/>
      <c r="CY36" s="134"/>
      <c r="CZ36" s="134"/>
      <c r="DA36" s="134"/>
      <c r="DB36" s="134"/>
      <c r="DC36" s="134"/>
      <c r="DD36" s="134"/>
      <c r="DE36" s="134">
        <f t="array" ref="DE36">IFERROR(INDEX(TABLACONSOLIDADA[Buff Act],MATCH("AGROINSUMOSAGRONUEVO"&amp;Tabla_Buffers_Agroinsumos[[#This Row],[CODIGO ]],TABLACONSOLIDADA[Bodega]&amp;TABLACONSOLIDADA[Codigo],0)),"")</f>
        <v>40</v>
      </c>
      <c r="DF36" s="157">
        <f t="array" ref="DF36">IFERROR(INDEX(TABLACONSOLIDADA[Inv Fís Act],MATCH("AGROINSUMOSAGRONUEVO"&amp;Tabla_Buffers_Agroinsumos[[#This Row],[CODIGO ]],TABLACONSOLIDADA[Bodega]&amp;TABLACONSOLIDADA[Codigo],0)),"")</f>
        <v>56</v>
      </c>
      <c r="DG36" s="157">
        <f t="array" ref="DG3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56</v>
      </c>
      <c r="DH3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6" s="134">
        <f>IFERROR(SUM(Tabla_Buffers_Agroinsumos[[#This Row],[AN-MP]:[AN-VL]]),"")</f>
        <v>0</v>
      </c>
      <c r="DJ36" s="92">
        <f>IFERROR(Tabla_Buffers_Agroinsumos[[#This Row],[INV FIS AN]]-Tabla_Buffers_Agroinsumos[[#This Row],[BUFFER AN]],"")</f>
        <v>16</v>
      </c>
      <c r="DK36" s="92">
        <f>IFERROR(Tabla_Buffers_Agroinsumos[[#This Row],[INV FIS AN]]+Tabla_Buffers_Agroinsumos[[#This Row],[TRANSFERENCIAS A AN]]-Tabla_Buffers_Agroinsumos[[#This Row],[BUFFER AN]]-Tabla_Buffers_Agroinsumos[[#This Row],[TRANSFERENCIAS DE AN]],"")</f>
        <v>16</v>
      </c>
      <c r="DL36" s="134"/>
      <c r="DM36" s="134"/>
      <c r="DN36" s="134"/>
      <c r="DO36" s="134"/>
      <c r="DP36" s="134"/>
      <c r="DQ36" s="134"/>
      <c r="DR36" s="134"/>
      <c r="DS36" s="134"/>
      <c r="DT36" s="134"/>
      <c r="DU36" s="134">
        <f t="array" ref="DU36">IFERROR(INDEX(TABLACONSOLIDADA[Buff Act],MATCH("AGROINSUMOSAGROQUIMICOSSUR"&amp;Tabla_Buffers_Agroinsumos[[#This Row],[CODIGO ]],TABLACONSOLIDADA[Bodega]&amp;TABLACONSOLIDADA[Codigo],0)),"")</f>
        <v>0</v>
      </c>
      <c r="DV36" s="157">
        <f t="array" ref="DV36">IFERROR(INDEX(TABLACONSOLIDADA[Inv Fís Act],MATCH("AGROINSUMOSAGROQUIMICOSSUR"&amp;Tabla_Buffers_Agroinsumos[[#This Row],[CODIGO ]],TABLACONSOLIDADA[Bodega]&amp;TABLACONSOLIDADA[Codigo],0)),"")</f>
        <v>0</v>
      </c>
      <c r="DW36" s="157">
        <f t="array" ref="DW3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6" s="134">
        <f>IFERROR(SUM(Tabla_Buffers_Agroinsumos[[#This Row],[AS-MP]:[AS-VL]]),"")</f>
        <v>0</v>
      </c>
      <c r="DZ36" s="92">
        <f>IFERROR(Tabla_Buffers_Agroinsumos[[#This Row],[INV FIS AS]]-Tabla_Buffers_Agroinsumos[[#This Row],[BUFFER AS]],"")</f>
        <v>0</v>
      </c>
      <c r="EA36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6" s="134"/>
      <c r="EC36" s="134"/>
      <c r="ED36" s="134"/>
      <c r="EE36" s="134"/>
      <c r="EF36" s="134"/>
      <c r="EG36" s="134"/>
      <c r="EH36" s="134"/>
      <c r="EI36" s="134"/>
      <c r="EJ36" s="134"/>
      <c r="EK36" s="134">
        <f t="array" ref="EK36">IFERROR(INDEX(TABLACONSOLIDADA[Buff Act],MATCH("AGROINSUMOSLAFINCA"&amp;Tabla_Buffers_Agroinsumos[[#This Row],[CODIGO ]],TABLACONSOLIDADA[Bodega]&amp;TABLACONSOLIDADA[Codigo],0)),"")</f>
        <v>0</v>
      </c>
      <c r="EL36" s="157">
        <f t="array" ref="EL36">IFERROR(INDEX(TABLACONSOLIDADA[Inv Fís Act],MATCH("AGROINSUMOSLAFINCA"&amp;Tabla_Buffers_Agroinsumos[[#This Row],[CODIGO ]],TABLACONSOLIDADA[Bodega]&amp;TABLACONSOLIDADA[Codigo],0)),"")</f>
        <v>0</v>
      </c>
      <c r="EM36" s="157">
        <f t="array" ref="EM3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6" s="134">
        <f>IFERROR(SUM(Tabla_Buffers_Agroinsumos[[#This Row],[LF-MP]:[LF-VL]]),"")</f>
        <v>0</v>
      </c>
      <c r="EP36" s="92">
        <f>IFERROR(Tabla_Buffers_Agroinsumos[[#This Row],[INV FIS LF]]-Tabla_Buffers_Agroinsumos[[#This Row],[BUFFER LF]],"")</f>
        <v>0</v>
      </c>
      <c r="EQ36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6" s="134"/>
      <c r="ES36" s="134"/>
      <c r="ET36" s="134"/>
      <c r="EU36" s="134"/>
      <c r="EV36" s="134"/>
      <c r="EW36" s="134"/>
      <c r="EX36" s="134"/>
      <c r="EY36" s="134"/>
      <c r="EZ36" s="134"/>
      <c r="FA36" s="134">
        <f t="array" ref="FA36">IFERROR(INDEX(TABLACONSOLIDADA[Buff Act],MATCH("AGROINSUMOSVERONICALEDESMA"&amp;Tabla_Buffers_Agroinsumos[[#This Row],[CODIGO ]],TABLACONSOLIDADA[Bodega]&amp;TABLACONSOLIDADA[Codigo],0)),"")</f>
        <v>0</v>
      </c>
      <c r="FB36" s="157">
        <f t="array" ref="FB36">IFERROR(INDEX(TABLACONSOLIDADA[Inv Fís Act],MATCH("AGROINSUMOSVERONICALEDESMA"&amp;Tabla_Buffers_Agroinsumos[[#This Row],[CODIGO ]],TABLACONSOLIDADA[Bodega]&amp;TABLACONSOLIDADA[Codigo],0)),"")</f>
        <v>0</v>
      </c>
      <c r="FC36" s="157">
        <f t="array" ref="FC3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6" s="134">
        <f>IFERROR(SUM(Tabla_Buffers_Agroinsumos[[#This Row],[VL-MP]:[VL-LF]]),"")</f>
        <v>0</v>
      </c>
      <c r="FF36" s="92">
        <f>IFERROR(Tabla_Buffers_Agroinsumos[[#This Row],[INV FIS VL]]-Tabla_Buffers_Agroinsumos[[#This Row],[BUFFER VL]],"")</f>
        <v>0</v>
      </c>
      <c r="FG36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6" s="134"/>
      <c r="FI36" s="134"/>
      <c r="FJ36" s="134"/>
      <c r="FK36" s="134"/>
      <c r="FL36" s="134"/>
      <c r="FM36" s="134"/>
      <c r="FN36" s="134"/>
      <c r="FO36" s="134"/>
      <c r="FP36" s="134"/>
    </row>
    <row r="37" spans="1:172">
      <c r="A37" s="7" t="s">
        <v>119</v>
      </c>
      <c r="B37" s="7" t="s">
        <v>120</v>
      </c>
      <c r="C37" s="7" t="s">
        <v>707</v>
      </c>
      <c r="D37" s="7" t="s">
        <v>715</v>
      </c>
      <c r="E37" s="7" t="s">
        <v>975</v>
      </c>
      <c r="F37" s="19" t="s">
        <v>698</v>
      </c>
      <c r="G37" s="19" t="s">
        <v>698</v>
      </c>
      <c r="H37" s="19">
        <f>VLOOKUP(Tabla_Buffers_Agroinsumos[[#This Row],[CODIGO ]],TABLACONSOLIDADA[[Codigo]:[PV]],6,0)</f>
        <v>5.49</v>
      </c>
      <c r="I37" s="19">
        <f>VLOOKUP(Tabla_Buffers_Agroinsumos[[#This Row],[CODIGO ]],TABLACONSOLIDADA[[Codigo]:[PV]],5,0)</f>
        <v>1.93</v>
      </c>
      <c r="J37" s="19" t="s">
        <v>698</v>
      </c>
      <c r="K37" s="19" t="s">
        <v>698</v>
      </c>
      <c r="L37" s="19">
        <f>IFERROR(Tabla_Buffers_Agroinsumos[[#This Row],[BUFFER CENTRAL]]/((Tabla_Buffers_Agroinsumos[[#This Row],[TIEMPO REPOSICION ]]/Tabla_Buffers_Agroinsumos[[#This Row],[FRECUENCIA]])+1),0)</f>
        <v>0</v>
      </c>
      <c r="M37" s="19" t="str">
        <f t="array" ref="M37">IFERROR(INDEX(TABLACONSOLIDADA[Buff Act],MATCH("AGROINSUMOSMATERIAPRIMA"&amp;Tabla_Buffers_Agroinsumos[[#This Row],[CODIGO ]],TABLACONSOLIDADA[Bodega]&amp;TABLACONSOLIDADA[Codigo],0)),"")</f>
        <v/>
      </c>
      <c r="N37" s="157" t="str">
        <f t="array" ref="N37">IFERROR(INDEX(TABLACONSOLIDADA[Inv Fís Act],MATCH("AGROINSUMOSMATERIAPRIMA"&amp;Tabla_Buffers_Agroinsumos[[#This Row],[CODIGO ]],TABLACONSOLIDADA[Bodega]&amp;TABLACONSOLIDADA[Codigo],0)),"")</f>
        <v/>
      </c>
      <c r="O37" s="157" t="str">
        <f t="array" ref="O3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7" s="19">
        <f>IFERROR(SUM(Tabla_Buffers_Agroinsumos[[#This Row],[MP-C]:[MP-VL]]),"")</f>
        <v>0</v>
      </c>
      <c r="R37" s="92" t="str">
        <f>IFERROR(Tabla_Buffers_Agroinsumos[[#This Row],[INV FIS MATERIA PRIMA]]-Tabla_Buffers_Agroinsumos[[#This Row],[BUFFER MATERIA PRIMA]],"")</f>
        <v/>
      </c>
      <c r="S3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7" s="19"/>
      <c r="U37" s="19"/>
      <c r="V37" s="19"/>
      <c r="W37" s="19"/>
      <c r="X37" s="19"/>
      <c r="Y37" s="19"/>
      <c r="Z37" s="19"/>
      <c r="AA37" s="19"/>
      <c r="AB37" s="19"/>
      <c r="AC37" s="152">
        <f t="array" ref="AC37">IFERROR(INDEX(TABLACONSOLIDADA[Buff Act],MATCH("AGROINSUMOSCENTRAL"&amp;Tabla_Buffers_Agroinsumos[[#This Row],[CODIGO ]],TABLACONSOLIDADA[Bodega]&amp;TABLACONSOLIDADA[Codigo],0)),"")</f>
        <v>350</v>
      </c>
      <c r="AD37" s="157">
        <f t="array" ref="AD37">IFERROR(INDEX(TABLACONSOLIDADA[Inv Fís Act],MATCH("AGROINSUMOSCENTRAL"&amp;Tabla_Buffers_Agroinsumos[[#This Row],[CODIGO ]],TABLACONSOLIDADA[Bodega]&amp;TABLACONSOLIDADA[Codigo],0)),"")</f>
        <v>291</v>
      </c>
      <c r="AE37" s="157">
        <f t="array" ref="AE3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309</v>
      </c>
      <c r="AF3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7" s="91">
        <f>IFERROR(SUM(Tabla_Buffers_Agroinsumos[[#This Row],[C-MP]:[C-VL]]),"")</f>
        <v>0</v>
      </c>
      <c r="AH37" s="92">
        <f>IFERROR(Tabla_Buffers_Agroinsumos[[#This Row],[INV FIS CENTRAL]]-Tabla_Buffers_Agroinsumos[[#This Row],[BUFFER CENTRAL]],"")</f>
        <v>-59</v>
      </c>
      <c r="AI3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-59</v>
      </c>
      <c r="AJ37" s="134"/>
      <c r="AK37" s="134"/>
      <c r="AL37" s="134"/>
      <c r="AM37" s="134"/>
      <c r="AN37" s="134"/>
      <c r="AO37" s="134"/>
      <c r="AP37" s="134"/>
      <c r="AQ37" s="134"/>
      <c r="AR37" s="134"/>
      <c r="AS37" s="134">
        <f t="array" ref="AS37">IFERROR(INDEX(TABLACONSOLIDADA[Buff Act],MATCH("AGROINSUMOScentralPROPIA"&amp;Tabla_Buffers_Agroinsumos[[#This Row],[CODIGO ]],TABLACONSOLIDADA[Bodega]&amp;TABLACONSOLIDADA[Codigo],0)),"")</f>
        <v>180</v>
      </c>
      <c r="AT37" s="157">
        <f t="array" ref="AT37">IFERROR(INDEX(TABLACONSOLIDADA[Inv Fís Act],MATCH("AGROINSUMOScentralPROPIA"&amp;Tabla_Buffers_Agroinsumos[[#This Row],[CODIGO ]],TABLACONSOLIDADA[Bodega]&amp;TABLACONSOLIDADA[Codigo],0)),"")</f>
        <v>0</v>
      </c>
      <c r="AU37" s="157">
        <f t="array" ref="AU3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7" s="134">
        <f>IFERROR(SUM(Tabla_Buffers_Agroinsumos[[#This Row],[P-MP]:[P-VL]]),"")</f>
        <v>0</v>
      </c>
      <c r="AX37" s="92">
        <f>IFERROR(Tabla_Buffers_Agroinsumos[[#This Row],[INV FIS PROPIA]]-Tabla_Buffers_Agroinsumos[[#This Row],[BUFFER PROPIA]],"")</f>
        <v>-180</v>
      </c>
      <c r="AY3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-180</v>
      </c>
      <c r="AZ37" s="134"/>
      <c r="BA37" s="134"/>
      <c r="BB37" s="134"/>
      <c r="BC37" s="134"/>
      <c r="BD37" s="134"/>
      <c r="BE37" s="134"/>
      <c r="BF37" s="134"/>
      <c r="BG37" s="134"/>
      <c r="BH37" s="134"/>
      <c r="BI37" s="91">
        <f t="array" ref="BI37">IFERROR(INDEX(TABLACONSOLIDADA[Buff Act],MATCH("AGROINSUMOSSTODOMINGO"&amp;Tabla_Buffers_Agroinsumos[[#This Row],[CODIGO ]],TABLACONSOLIDADA[Bodega]&amp;TABLACONSOLIDADA[Codigo],0)),"")</f>
        <v>0</v>
      </c>
      <c r="BJ37" s="157">
        <f t="array" ref="BJ37">IFERROR(INDEX(TABLACONSOLIDADA[Inv Fís Act],MATCH("AGROINSUMOSSTODOMINGO"&amp;Tabla_Buffers_Agroinsumos[[#This Row],[CODIGO ]],TABLACONSOLIDADA[Bodega]&amp;TABLACONSOLIDADA[Codigo],0)),"")</f>
        <v>8</v>
      </c>
      <c r="BK37" s="157">
        <f t="array" ref="BK3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8</v>
      </c>
      <c r="BL3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7" s="91">
        <f>IFERROR(SUM(Tabla_Buffers_Agroinsumos[[#This Row],[SD-MP]:[SD-VL]]),"")</f>
        <v>0</v>
      </c>
      <c r="BN37" s="92"/>
      <c r="BO37" s="92"/>
      <c r="BP37" s="134"/>
      <c r="BQ37" s="134"/>
      <c r="BR37" s="134"/>
      <c r="BS37" s="134"/>
      <c r="BT37" s="134"/>
      <c r="BU37" s="134"/>
      <c r="BV37" s="134"/>
      <c r="BW37" s="134"/>
      <c r="BX37" s="134"/>
      <c r="BY37" s="134">
        <f t="array" ref="BY37">IFERROR(INDEX(TABLACONSOLIDADA[Buff Act],MATCH("AGROINSUMOSMONCAYOLOPEZ"&amp;Tabla_Buffers_Agroinsumos[[#This Row],[CODIGO ]],TABLACONSOLIDADA[Bodega]&amp;TABLACONSOLIDADA[Codigo],0)),"")</f>
        <v>15</v>
      </c>
      <c r="BZ37" s="157">
        <f t="array" ref="BZ37">IFERROR(INDEX(TABLACONSOLIDADA[Inv Fís Act],MATCH("AGROINSUMOSMONCAYOLOPEZ"&amp;Tabla_Buffers_Agroinsumos[[#This Row],[CODIGO ]],TABLACONSOLIDADA[Bodega]&amp;TABLACONSOLIDADA[Codigo],0)),"")</f>
        <v>0</v>
      </c>
      <c r="CA37" s="157">
        <f t="array" ref="CA3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7" s="134">
        <f>IFERROR(SUM(Tabla_Buffers_Agroinsumos[[#This Row],[ML-MP]:[ML-VL]]),"")</f>
        <v>0</v>
      </c>
      <c r="CD37" s="92">
        <f>IFERROR(Tabla_Buffers_Agroinsumos[[#This Row],[INV FIS ML]]-Tabla_Buffers_Agroinsumos[[#This Row],[BUFFER ML]],"")</f>
        <v>-15</v>
      </c>
      <c r="CE37" s="92">
        <f>IFERROR(Tabla_Buffers_Agroinsumos[[#This Row],[INV FIS ML]]+Tabla_Buffers_Agroinsumos[[#This Row],[TRANSFERENCIAS A ML]]-Tabla_Buffers_Agroinsumos[[#This Row],[BUFFER ML]]-Tabla_Buffers_Agroinsumos[[#This Row],[TRANSFERENCIAS DE ML]],"")</f>
        <v>-15</v>
      </c>
      <c r="CF37" s="134"/>
      <c r="CG37" s="134"/>
      <c r="CH37" s="134"/>
      <c r="CI37" s="134"/>
      <c r="CJ37" s="134"/>
      <c r="CK37" s="134"/>
      <c r="CL37" s="134"/>
      <c r="CM37" s="134"/>
      <c r="CN37" s="134"/>
      <c r="CO37" s="134">
        <f t="array" ref="CO37">IFERROR(INDEX(TABLACONSOLIDADA[Buff Act],MATCH("AGROINSUMOSAGROHERMANOSLEON"&amp;Tabla_Buffers_Agroinsumos[[#This Row],[CODIGO ]],TABLACONSOLIDADA[Bodega]&amp;TABLACONSOLIDADA[Codigo],0)),"")</f>
        <v>50</v>
      </c>
      <c r="CP37" s="157">
        <f t="array" ref="CP37">IFERROR(INDEX(TABLACONSOLIDADA[Inv Fís Act],MATCH("AGROINSUMOSAGROHERMANOSLEON"&amp;Tabla_Buffers_Agroinsumos[[#This Row],[CODIGO ]],TABLACONSOLIDADA[Bodega]&amp;TABLACONSOLIDADA[Codigo],0)),"")</f>
        <v>98</v>
      </c>
      <c r="CQ37" s="157">
        <f t="array" ref="CQ3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98</v>
      </c>
      <c r="CR3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7" s="134">
        <f>IFERROR(SUM(Tabla_Buffers_Agroinsumos[[#This Row],[AL-MP]:[AL-VL]]),"")</f>
        <v>0</v>
      </c>
      <c r="CT37" s="92">
        <f>IFERROR(Tabla_Buffers_Agroinsumos[[#This Row],[INV FIS AL]]-Tabla_Buffers_Agroinsumos[[#This Row],[BUFFER AL]],"")</f>
        <v>48</v>
      </c>
      <c r="CU37" s="92">
        <f>IFERROR(Tabla_Buffers_Agroinsumos[[#This Row],[INV FIS AL]]+Tabla_Buffers_Agroinsumos[[#This Row],[TRANSFERENCIAS A AL]]-Tabla_Buffers_Agroinsumos[[#This Row],[BUFFER AL]]-Tabla_Buffers_Agroinsumos[[#This Row],[TRANSFERENCIAS DE AL]],"")</f>
        <v>48</v>
      </c>
      <c r="CV37" s="134"/>
      <c r="CW37" s="134"/>
      <c r="CX37" s="134"/>
      <c r="CY37" s="134"/>
      <c r="CZ37" s="134"/>
      <c r="DA37" s="134"/>
      <c r="DB37" s="134"/>
      <c r="DC37" s="134"/>
      <c r="DD37" s="134"/>
      <c r="DE37" s="134">
        <f t="array" ref="DE37">IFERROR(INDEX(TABLACONSOLIDADA[Buff Act],MATCH("AGROINSUMOSAGRONUEVO"&amp;Tabla_Buffers_Agroinsumos[[#This Row],[CODIGO ]],TABLACONSOLIDADA[Bodega]&amp;TABLACONSOLIDADA[Codigo],0)),"")</f>
        <v>0</v>
      </c>
      <c r="DF37" s="157">
        <f t="array" ref="DF37">IFERROR(INDEX(TABLACONSOLIDADA[Inv Fís Act],MATCH("AGROINSUMOSAGRONUEVO"&amp;Tabla_Buffers_Agroinsumos[[#This Row],[CODIGO ]],TABLACONSOLIDADA[Bodega]&amp;TABLACONSOLIDADA[Codigo],0)),"")</f>
        <v>0</v>
      </c>
      <c r="DG37" s="157">
        <f t="array" ref="DG3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7" s="134">
        <f>IFERROR(SUM(Tabla_Buffers_Agroinsumos[[#This Row],[AN-MP]:[AN-VL]]),"")</f>
        <v>0</v>
      </c>
      <c r="DJ37" s="92">
        <f>IFERROR(Tabla_Buffers_Agroinsumos[[#This Row],[INV FIS AN]]-Tabla_Buffers_Agroinsumos[[#This Row],[BUFFER AN]],"")</f>
        <v>0</v>
      </c>
      <c r="DK3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7" s="134"/>
      <c r="DM37" s="134"/>
      <c r="DN37" s="134"/>
      <c r="DO37" s="134"/>
      <c r="DP37" s="134"/>
      <c r="DQ37" s="134"/>
      <c r="DR37" s="134"/>
      <c r="DS37" s="134"/>
      <c r="DT37" s="134"/>
      <c r="DU37" s="134">
        <f t="array" ref="DU37">IFERROR(INDEX(TABLACONSOLIDADA[Buff Act],MATCH("AGROINSUMOSAGROQUIMICOSSUR"&amp;Tabla_Buffers_Agroinsumos[[#This Row],[CODIGO ]],TABLACONSOLIDADA[Bodega]&amp;TABLACONSOLIDADA[Codigo],0)),"")</f>
        <v>0</v>
      </c>
      <c r="DV37" s="157">
        <f t="array" ref="DV37">IFERROR(INDEX(TABLACONSOLIDADA[Inv Fís Act],MATCH("AGROINSUMOSAGROQUIMICOSSUR"&amp;Tabla_Buffers_Agroinsumos[[#This Row],[CODIGO ]],TABLACONSOLIDADA[Bodega]&amp;TABLACONSOLIDADA[Codigo],0)),"")</f>
        <v>0</v>
      </c>
      <c r="DW37" s="157">
        <f t="array" ref="DW3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7" s="134">
        <f>IFERROR(SUM(Tabla_Buffers_Agroinsumos[[#This Row],[AS-MP]:[AS-VL]]),"")</f>
        <v>0</v>
      </c>
      <c r="DZ37" s="92">
        <f>IFERROR(Tabla_Buffers_Agroinsumos[[#This Row],[INV FIS AS]]-Tabla_Buffers_Agroinsumos[[#This Row],[BUFFER AS]],"")</f>
        <v>0</v>
      </c>
      <c r="EA3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7" s="134"/>
      <c r="EC37" s="134"/>
      <c r="ED37" s="134"/>
      <c r="EE37" s="134"/>
      <c r="EF37" s="134"/>
      <c r="EG37" s="134"/>
      <c r="EH37" s="134"/>
      <c r="EI37" s="134"/>
      <c r="EJ37" s="134"/>
      <c r="EK37" s="134">
        <f t="array" ref="EK37">IFERROR(INDEX(TABLACONSOLIDADA[Buff Act],MATCH("AGROINSUMOSLAFINCA"&amp;Tabla_Buffers_Agroinsumos[[#This Row],[CODIGO ]],TABLACONSOLIDADA[Bodega]&amp;TABLACONSOLIDADA[Codigo],0)),"")</f>
        <v>0</v>
      </c>
      <c r="EL37" s="157">
        <f t="array" ref="EL37">IFERROR(INDEX(TABLACONSOLIDADA[Inv Fís Act],MATCH("AGROINSUMOSLAFINCA"&amp;Tabla_Buffers_Agroinsumos[[#This Row],[CODIGO ]],TABLACONSOLIDADA[Bodega]&amp;TABLACONSOLIDADA[Codigo],0)),"")</f>
        <v>0</v>
      </c>
      <c r="EM37" s="157">
        <f t="array" ref="EM3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7" s="134">
        <f>IFERROR(SUM(Tabla_Buffers_Agroinsumos[[#This Row],[LF-MP]:[LF-VL]]),"")</f>
        <v>0</v>
      </c>
      <c r="EP37" s="92">
        <f>IFERROR(Tabla_Buffers_Agroinsumos[[#This Row],[INV FIS LF]]-Tabla_Buffers_Agroinsumos[[#This Row],[BUFFER LF]],"")</f>
        <v>0</v>
      </c>
      <c r="EQ3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7" s="134"/>
      <c r="ES37" s="134"/>
      <c r="ET37" s="134"/>
      <c r="EU37" s="134"/>
      <c r="EV37" s="134"/>
      <c r="EW37" s="134"/>
      <c r="EX37" s="134"/>
      <c r="EY37" s="134"/>
      <c r="EZ37" s="134"/>
      <c r="FA37" s="134">
        <f t="array" ref="FA37">IFERROR(INDEX(TABLACONSOLIDADA[Buff Act],MATCH("AGROINSUMOSVERONICALEDESMA"&amp;Tabla_Buffers_Agroinsumos[[#This Row],[CODIGO ]],TABLACONSOLIDADA[Bodega]&amp;TABLACONSOLIDADA[Codigo],0)),"")</f>
        <v>25</v>
      </c>
      <c r="FB37" s="157">
        <f t="array" ref="FB37">IFERROR(INDEX(TABLACONSOLIDADA[Inv Fís Act],MATCH("AGROINSUMOSVERONICALEDESMA"&amp;Tabla_Buffers_Agroinsumos[[#This Row],[CODIGO ]],TABLACONSOLIDADA[Bodega]&amp;TABLACONSOLIDADA[Codigo],0)),"")</f>
        <v>25</v>
      </c>
      <c r="FC37" s="157">
        <f t="array" ref="FC3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25</v>
      </c>
      <c r="FD3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7" s="134">
        <f>IFERROR(SUM(Tabla_Buffers_Agroinsumos[[#This Row],[VL-MP]:[VL-LF]]),"")</f>
        <v>0</v>
      </c>
      <c r="FF37" s="92">
        <f>IFERROR(Tabla_Buffers_Agroinsumos[[#This Row],[INV FIS VL]]-Tabla_Buffers_Agroinsumos[[#This Row],[BUFFER VL]],"")</f>
        <v>0</v>
      </c>
      <c r="FG3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7" s="134"/>
      <c r="FI37" s="134"/>
      <c r="FJ37" s="134"/>
      <c r="FK37" s="134"/>
      <c r="FL37" s="134"/>
      <c r="FM37" s="134"/>
      <c r="FN37" s="134"/>
      <c r="FO37" s="134"/>
      <c r="FP37" s="134"/>
    </row>
    <row r="38" spans="1:172">
      <c r="A38" s="7" t="s">
        <v>121</v>
      </c>
      <c r="B38" s="7" t="s">
        <v>122</v>
      </c>
      <c r="C38" s="7" t="s">
        <v>707</v>
      </c>
      <c r="D38" s="7" t="s">
        <v>715</v>
      </c>
      <c r="E38" s="7" t="s">
        <v>975</v>
      </c>
      <c r="F38" s="19" t="s">
        <v>698</v>
      </c>
      <c r="G38" s="19" t="s">
        <v>698</v>
      </c>
      <c r="H38" s="19">
        <f>VLOOKUP(Tabla_Buffers_Agroinsumos[[#This Row],[CODIGO ]],TABLACONSOLIDADA[[Codigo]:[PV]],6,0)</f>
        <v>2.79</v>
      </c>
      <c r="I38" s="19">
        <f>VLOOKUP(Tabla_Buffers_Agroinsumos[[#This Row],[CODIGO ]],TABLACONSOLIDADA[[Codigo]:[PV]],5,0)</f>
        <v>1.38</v>
      </c>
      <c r="J38" s="19" t="s">
        <v>698</v>
      </c>
      <c r="K38" s="19" t="s">
        <v>698</v>
      </c>
      <c r="L38" s="19">
        <f>IFERROR(Tabla_Buffers_Agroinsumos[[#This Row],[BUFFER CENTRAL]]/((Tabla_Buffers_Agroinsumos[[#This Row],[TIEMPO REPOSICION ]]/Tabla_Buffers_Agroinsumos[[#This Row],[FRECUENCIA]])+1),0)</f>
        <v>0</v>
      </c>
      <c r="M38" s="19" t="str">
        <f t="array" ref="M38">IFERROR(INDEX(TABLACONSOLIDADA[Buff Act],MATCH("AGROINSUMOSMATERIAPRIMA"&amp;Tabla_Buffers_Agroinsumos[[#This Row],[CODIGO ]],TABLACONSOLIDADA[Bodega]&amp;TABLACONSOLIDADA[Codigo],0)),"")</f>
        <v/>
      </c>
      <c r="N38" s="157" t="str">
        <f t="array" ref="N38">IFERROR(INDEX(TABLACONSOLIDADA[Inv Fís Act],MATCH("AGROINSUMOSMATERIAPRIMA"&amp;Tabla_Buffers_Agroinsumos[[#This Row],[CODIGO ]],TABLACONSOLIDADA[Bodega]&amp;TABLACONSOLIDADA[Codigo],0)),"")</f>
        <v/>
      </c>
      <c r="O38" s="157" t="str">
        <f t="array" ref="O3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8" s="19">
        <f>IFERROR(SUM(Tabla_Buffers_Agroinsumos[[#This Row],[MP-C]:[MP-VL]]),"")</f>
        <v>0</v>
      </c>
      <c r="R38" s="92" t="str">
        <f>IFERROR(Tabla_Buffers_Agroinsumos[[#This Row],[INV FIS MATERIA PRIMA]]-Tabla_Buffers_Agroinsumos[[#This Row],[BUFFER MATERIA PRIMA]],"")</f>
        <v/>
      </c>
      <c r="S3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8" s="19"/>
      <c r="U38" s="19"/>
      <c r="V38" s="19"/>
      <c r="W38" s="19"/>
      <c r="X38" s="19"/>
      <c r="Y38" s="19"/>
      <c r="Z38" s="19"/>
      <c r="AA38" s="19"/>
      <c r="AB38" s="19"/>
      <c r="AC38" s="152">
        <f t="array" ref="AC38">IFERROR(INDEX(TABLACONSOLIDADA[Buff Act],MATCH("AGROINSUMOSCENTRAL"&amp;Tabla_Buffers_Agroinsumos[[#This Row],[CODIGO ]],TABLACONSOLIDADA[Bodega]&amp;TABLACONSOLIDADA[Codigo],0)),"")</f>
        <v>0</v>
      </c>
      <c r="AD38" s="157">
        <f t="array" ref="AD38">IFERROR(INDEX(TABLACONSOLIDADA[Inv Fís Act],MATCH("AGROINSUMOSCENTRAL"&amp;Tabla_Buffers_Agroinsumos[[#This Row],[CODIGO ]],TABLACONSOLIDADA[Bodega]&amp;TABLACONSOLIDADA[Codigo],0)),"")</f>
        <v>2</v>
      </c>
      <c r="AE38" s="157">
        <f t="array" ref="AE3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</v>
      </c>
      <c r="AF3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8" s="91">
        <f>IFERROR(SUM(Tabla_Buffers_Agroinsumos[[#This Row],[C-MP]:[C-VL]]),"")</f>
        <v>0</v>
      </c>
      <c r="AH38" s="92">
        <f>IFERROR(Tabla_Buffers_Agroinsumos[[#This Row],[INV FIS CENTRAL]]-Tabla_Buffers_Agroinsumos[[#This Row],[BUFFER CENTRAL]],"")</f>
        <v>2</v>
      </c>
      <c r="AI3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</v>
      </c>
      <c r="AJ38" s="134"/>
      <c r="AK38" s="134"/>
      <c r="AL38" s="134"/>
      <c r="AM38" s="134"/>
      <c r="AN38" s="134"/>
      <c r="AO38" s="134"/>
      <c r="AP38" s="134"/>
      <c r="AQ38" s="134"/>
      <c r="AR38" s="134"/>
      <c r="AS38" s="134">
        <f t="array" ref="AS38">IFERROR(INDEX(TABLACONSOLIDADA[Buff Act],MATCH("AGROINSUMOScentralPROPIA"&amp;Tabla_Buffers_Agroinsumos[[#This Row],[CODIGO ]],TABLACONSOLIDADA[Bodega]&amp;TABLACONSOLIDADA[Codigo],0)),"")</f>
        <v>0</v>
      </c>
      <c r="AT38" s="157">
        <f t="array" ref="AT38">IFERROR(INDEX(TABLACONSOLIDADA[Inv Fís Act],MATCH("AGROINSUMOScentralPROPIA"&amp;Tabla_Buffers_Agroinsumos[[#This Row],[CODIGO ]],TABLACONSOLIDADA[Bodega]&amp;TABLACONSOLIDADA[Codigo],0)),"")</f>
        <v>0</v>
      </c>
      <c r="AU38" s="157">
        <f t="array" ref="AU3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8" s="134">
        <f>IFERROR(SUM(Tabla_Buffers_Agroinsumos[[#This Row],[P-MP]:[P-VL]]),"")</f>
        <v>0</v>
      </c>
      <c r="AX38" s="92">
        <f>IFERROR(Tabla_Buffers_Agroinsumos[[#This Row],[INV FIS PROPIA]]-Tabla_Buffers_Agroinsumos[[#This Row],[BUFFER PROPIA]],"")</f>
        <v>0</v>
      </c>
      <c r="AY3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8" s="134"/>
      <c r="BA38" s="134"/>
      <c r="BB38" s="134"/>
      <c r="BC38" s="134"/>
      <c r="BD38" s="134"/>
      <c r="BE38" s="134"/>
      <c r="BF38" s="134"/>
      <c r="BG38" s="134"/>
      <c r="BH38" s="134"/>
      <c r="BI38" s="91">
        <f t="array" ref="BI38">IFERROR(INDEX(TABLACONSOLIDADA[Buff Act],MATCH("AGROINSUMOSSTODOMINGO"&amp;Tabla_Buffers_Agroinsumos[[#This Row],[CODIGO ]],TABLACONSOLIDADA[Bodega]&amp;TABLACONSOLIDADA[Codigo],0)),"")</f>
        <v>0</v>
      </c>
      <c r="BJ38" s="157">
        <f t="array" ref="BJ38">IFERROR(INDEX(TABLACONSOLIDADA[Inv Fís Act],MATCH("AGROINSUMOSSTODOMINGO"&amp;Tabla_Buffers_Agroinsumos[[#This Row],[CODIGO ]],TABLACONSOLIDADA[Bodega]&amp;TABLACONSOLIDADA[Codigo],0)),"")</f>
        <v>0</v>
      </c>
      <c r="BK38" s="157">
        <f t="array" ref="BK3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8" s="91">
        <f>IFERROR(SUM(Tabla_Buffers_Agroinsumos[[#This Row],[SD-MP]:[SD-VL]]),"")</f>
        <v>0</v>
      </c>
      <c r="BN38" s="92"/>
      <c r="BO38" s="92"/>
      <c r="BP38" s="134"/>
      <c r="BQ38" s="134"/>
      <c r="BR38" s="134"/>
      <c r="BS38" s="134"/>
      <c r="BT38" s="134"/>
      <c r="BU38" s="134"/>
      <c r="BV38" s="134"/>
      <c r="BW38" s="134"/>
      <c r="BX38" s="134"/>
      <c r="BY38" s="134">
        <f t="array" ref="BY38">IFERROR(INDEX(TABLACONSOLIDADA[Buff Act],MATCH("AGROINSUMOSMONCAYOLOPEZ"&amp;Tabla_Buffers_Agroinsumos[[#This Row],[CODIGO ]],TABLACONSOLIDADA[Bodega]&amp;TABLACONSOLIDADA[Codigo],0)),"")</f>
        <v>0</v>
      </c>
      <c r="BZ38" s="157">
        <f t="array" ref="BZ38">IFERROR(INDEX(TABLACONSOLIDADA[Inv Fís Act],MATCH("AGROINSUMOSMONCAYOLOPEZ"&amp;Tabla_Buffers_Agroinsumos[[#This Row],[CODIGO ]],TABLACONSOLIDADA[Bodega]&amp;TABLACONSOLIDADA[Codigo],0)),"")</f>
        <v>0</v>
      </c>
      <c r="CA38" s="157">
        <f t="array" ref="CA3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8" s="134">
        <f>IFERROR(SUM(Tabla_Buffers_Agroinsumos[[#This Row],[ML-MP]:[ML-VL]]),"")</f>
        <v>0</v>
      </c>
      <c r="CD38" s="92">
        <f>IFERROR(Tabla_Buffers_Agroinsumos[[#This Row],[INV FIS ML]]-Tabla_Buffers_Agroinsumos[[#This Row],[BUFFER ML]],"")</f>
        <v>0</v>
      </c>
      <c r="CE3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8" s="134"/>
      <c r="CG38" s="134"/>
      <c r="CH38" s="134"/>
      <c r="CI38" s="134"/>
      <c r="CJ38" s="134"/>
      <c r="CK38" s="134"/>
      <c r="CL38" s="134"/>
      <c r="CM38" s="134"/>
      <c r="CN38" s="134"/>
      <c r="CO38" s="134">
        <f t="array" ref="CO38">IFERROR(INDEX(TABLACONSOLIDADA[Buff Act],MATCH("AGROINSUMOSAGROHERMANOSLEON"&amp;Tabla_Buffers_Agroinsumos[[#This Row],[CODIGO ]],TABLACONSOLIDADA[Bodega]&amp;TABLACONSOLIDADA[Codigo],0)),"")</f>
        <v>0</v>
      </c>
      <c r="CP38" s="157">
        <f t="array" ref="CP38">IFERROR(INDEX(TABLACONSOLIDADA[Inv Fís Act],MATCH("AGROINSUMOSAGROHERMANOSLEON"&amp;Tabla_Buffers_Agroinsumos[[#This Row],[CODIGO ]],TABLACONSOLIDADA[Bodega]&amp;TABLACONSOLIDADA[Codigo],0)),"")</f>
        <v>0</v>
      </c>
      <c r="CQ38" s="157">
        <f t="array" ref="CQ3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8" s="134">
        <f>IFERROR(SUM(Tabla_Buffers_Agroinsumos[[#This Row],[AL-MP]:[AL-VL]]),"")</f>
        <v>0</v>
      </c>
      <c r="CT38" s="92">
        <f>IFERROR(Tabla_Buffers_Agroinsumos[[#This Row],[INV FIS AL]]-Tabla_Buffers_Agroinsumos[[#This Row],[BUFFER AL]],"")</f>
        <v>0</v>
      </c>
      <c r="CU3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8" s="134"/>
      <c r="CW38" s="134"/>
      <c r="CX38" s="134"/>
      <c r="CY38" s="134"/>
      <c r="CZ38" s="134"/>
      <c r="DA38" s="134"/>
      <c r="DB38" s="134"/>
      <c r="DC38" s="134"/>
      <c r="DD38" s="134"/>
      <c r="DE38" s="134">
        <f t="array" ref="DE38">IFERROR(INDEX(TABLACONSOLIDADA[Buff Act],MATCH("AGROINSUMOSAGRONUEVO"&amp;Tabla_Buffers_Agroinsumos[[#This Row],[CODIGO ]],TABLACONSOLIDADA[Bodega]&amp;TABLACONSOLIDADA[Codigo],0)),"")</f>
        <v>0</v>
      </c>
      <c r="DF38" s="157">
        <f t="array" ref="DF38">IFERROR(INDEX(TABLACONSOLIDADA[Inv Fís Act],MATCH("AGROINSUMOSAGRONUEVO"&amp;Tabla_Buffers_Agroinsumos[[#This Row],[CODIGO ]],TABLACONSOLIDADA[Bodega]&amp;TABLACONSOLIDADA[Codigo],0)),"")</f>
        <v>0</v>
      </c>
      <c r="DG38" s="157">
        <f t="array" ref="DG3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8" s="134">
        <f>IFERROR(SUM(Tabla_Buffers_Agroinsumos[[#This Row],[AN-MP]:[AN-VL]]),"")</f>
        <v>0</v>
      </c>
      <c r="DJ38" s="92">
        <f>IFERROR(Tabla_Buffers_Agroinsumos[[#This Row],[INV FIS AN]]-Tabla_Buffers_Agroinsumos[[#This Row],[BUFFER AN]],"")</f>
        <v>0</v>
      </c>
      <c r="DK3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8" s="134"/>
      <c r="DM38" s="134"/>
      <c r="DN38" s="134"/>
      <c r="DO38" s="134"/>
      <c r="DP38" s="134"/>
      <c r="DQ38" s="134"/>
      <c r="DR38" s="134"/>
      <c r="DS38" s="134"/>
      <c r="DT38" s="134"/>
      <c r="DU38" s="134">
        <f t="array" ref="DU38">IFERROR(INDEX(TABLACONSOLIDADA[Buff Act],MATCH("AGROINSUMOSAGROQUIMICOSSUR"&amp;Tabla_Buffers_Agroinsumos[[#This Row],[CODIGO ]],TABLACONSOLIDADA[Bodega]&amp;TABLACONSOLIDADA[Codigo],0)),"")</f>
        <v>0</v>
      </c>
      <c r="DV38" s="157">
        <f t="array" ref="DV38">IFERROR(INDEX(TABLACONSOLIDADA[Inv Fís Act],MATCH("AGROINSUMOSAGROQUIMICOSSUR"&amp;Tabla_Buffers_Agroinsumos[[#This Row],[CODIGO ]],TABLACONSOLIDADA[Bodega]&amp;TABLACONSOLIDADA[Codigo],0)),"")</f>
        <v>0</v>
      </c>
      <c r="DW38" s="157">
        <f t="array" ref="DW3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8" s="134">
        <f>IFERROR(SUM(Tabla_Buffers_Agroinsumos[[#This Row],[AS-MP]:[AS-VL]]),"")</f>
        <v>0</v>
      </c>
      <c r="DZ38" s="92">
        <f>IFERROR(Tabla_Buffers_Agroinsumos[[#This Row],[INV FIS AS]]-Tabla_Buffers_Agroinsumos[[#This Row],[BUFFER AS]],"")</f>
        <v>0</v>
      </c>
      <c r="EA3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8" s="134"/>
      <c r="EC38" s="134"/>
      <c r="ED38" s="134"/>
      <c r="EE38" s="134"/>
      <c r="EF38" s="134"/>
      <c r="EG38" s="134"/>
      <c r="EH38" s="134"/>
      <c r="EI38" s="134"/>
      <c r="EJ38" s="134"/>
      <c r="EK38" s="134">
        <f t="array" ref="EK38">IFERROR(INDEX(TABLACONSOLIDADA[Buff Act],MATCH("AGROINSUMOSLAFINCA"&amp;Tabla_Buffers_Agroinsumos[[#This Row],[CODIGO ]],TABLACONSOLIDADA[Bodega]&amp;TABLACONSOLIDADA[Codigo],0)),"")</f>
        <v>0</v>
      </c>
      <c r="EL38" s="157">
        <f t="array" ref="EL38">IFERROR(INDEX(TABLACONSOLIDADA[Inv Fís Act],MATCH("AGROINSUMOSLAFINCA"&amp;Tabla_Buffers_Agroinsumos[[#This Row],[CODIGO ]],TABLACONSOLIDADA[Bodega]&amp;TABLACONSOLIDADA[Codigo],0)),"")</f>
        <v>0</v>
      </c>
      <c r="EM38" s="157">
        <f t="array" ref="EM3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8" s="134">
        <f>IFERROR(SUM(Tabla_Buffers_Agroinsumos[[#This Row],[LF-MP]:[LF-VL]]),"")</f>
        <v>0</v>
      </c>
      <c r="EP38" s="92">
        <f>IFERROR(Tabla_Buffers_Agroinsumos[[#This Row],[INV FIS LF]]-Tabla_Buffers_Agroinsumos[[#This Row],[BUFFER LF]],"")</f>
        <v>0</v>
      </c>
      <c r="EQ3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8" s="134"/>
      <c r="ES38" s="134"/>
      <c r="ET38" s="134"/>
      <c r="EU38" s="134"/>
      <c r="EV38" s="134"/>
      <c r="EW38" s="134"/>
      <c r="EX38" s="134"/>
      <c r="EY38" s="134"/>
      <c r="EZ38" s="134"/>
      <c r="FA38" s="134">
        <f t="array" ref="FA38">IFERROR(INDEX(TABLACONSOLIDADA[Buff Act],MATCH("AGROINSUMOSVERONICALEDESMA"&amp;Tabla_Buffers_Agroinsumos[[#This Row],[CODIGO ]],TABLACONSOLIDADA[Bodega]&amp;TABLACONSOLIDADA[Codigo],0)),"")</f>
        <v>0</v>
      </c>
      <c r="FB38" s="157">
        <f t="array" ref="FB38">IFERROR(INDEX(TABLACONSOLIDADA[Inv Fís Act],MATCH("AGROINSUMOSVERONICALEDESMA"&amp;Tabla_Buffers_Agroinsumos[[#This Row],[CODIGO ]],TABLACONSOLIDADA[Bodega]&amp;TABLACONSOLIDADA[Codigo],0)),"")</f>
        <v>0</v>
      </c>
      <c r="FC38" s="157">
        <f t="array" ref="FC3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8" s="134">
        <f>IFERROR(SUM(Tabla_Buffers_Agroinsumos[[#This Row],[VL-MP]:[VL-LF]]),"")</f>
        <v>0</v>
      </c>
      <c r="FF38" s="92">
        <f>IFERROR(Tabla_Buffers_Agroinsumos[[#This Row],[INV FIS VL]]-Tabla_Buffers_Agroinsumos[[#This Row],[BUFFER VL]],"")</f>
        <v>0</v>
      </c>
      <c r="FG3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8" s="134"/>
      <c r="FI38" s="134"/>
      <c r="FJ38" s="134"/>
      <c r="FK38" s="134"/>
      <c r="FL38" s="134"/>
      <c r="FM38" s="134"/>
      <c r="FN38" s="134"/>
      <c r="FO38" s="134"/>
      <c r="FP38" s="134"/>
    </row>
    <row r="39" spans="1:172">
      <c r="A39" s="7" t="s">
        <v>123</v>
      </c>
      <c r="B39" s="7" t="s">
        <v>124</v>
      </c>
      <c r="C39" s="7" t="s">
        <v>707</v>
      </c>
      <c r="D39" s="7" t="s">
        <v>715</v>
      </c>
      <c r="E39" s="7" t="s">
        <v>975</v>
      </c>
      <c r="F39" s="19" t="s">
        <v>698</v>
      </c>
      <c r="G39" s="19" t="s">
        <v>698</v>
      </c>
      <c r="H39" s="19">
        <f>VLOOKUP(Tabla_Buffers_Agroinsumos[[#This Row],[CODIGO ]],TABLACONSOLIDADA[[Codigo]:[PV]],6,0)</f>
        <v>16.989999999999998</v>
      </c>
      <c r="I39" s="19">
        <f>VLOOKUP(Tabla_Buffers_Agroinsumos[[#This Row],[CODIGO ]],TABLACONSOLIDADA[[Codigo]:[PV]],5,0)</f>
        <v>7.04</v>
      </c>
      <c r="J39" s="19" t="s">
        <v>698</v>
      </c>
      <c r="K39" s="19" t="s">
        <v>698</v>
      </c>
      <c r="L39" s="19">
        <f>IFERROR(Tabla_Buffers_Agroinsumos[[#This Row],[BUFFER CENTRAL]]/((Tabla_Buffers_Agroinsumos[[#This Row],[TIEMPO REPOSICION ]]/Tabla_Buffers_Agroinsumos[[#This Row],[FRECUENCIA]])+1),0)</f>
        <v>0</v>
      </c>
      <c r="M39" s="19" t="str">
        <f t="array" ref="M39">IFERROR(INDEX(TABLACONSOLIDADA[Buff Act],MATCH("AGROINSUMOSMATERIAPRIMA"&amp;Tabla_Buffers_Agroinsumos[[#This Row],[CODIGO ]],TABLACONSOLIDADA[Bodega]&amp;TABLACONSOLIDADA[Codigo],0)),"")</f>
        <v/>
      </c>
      <c r="N39" s="157" t="str">
        <f t="array" ref="N39">IFERROR(INDEX(TABLACONSOLIDADA[Inv Fís Act],MATCH("AGROINSUMOSMATERIAPRIMA"&amp;Tabla_Buffers_Agroinsumos[[#This Row],[CODIGO ]],TABLACONSOLIDADA[Bodega]&amp;TABLACONSOLIDADA[Codigo],0)),"")</f>
        <v/>
      </c>
      <c r="O39" s="157" t="str">
        <f t="array" ref="O3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9" s="19">
        <f>IFERROR(SUM(Tabla_Buffers_Agroinsumos[[#This Row],[MP-C]:[MP-VL]]),"")</f>
        <v>0</v>
      </c>
      <c r="R39" s="92" t="str">
        <f>IFERROR(Tabla_Buffers_Agroinsumos[[#This Row],[INV FIS MATERIA PRIMA]]-Tabla_Buffers_Agroinsumos[[#This Row],[BUFFER MATERIA PRIMA]],"")</f>
        <v/>
      </c>
      <c r="S3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9" s="19"/>
      <c r="U39" s="19"/>
      <c r="V39" s="19"/>
      <c r="W39" s="19"/>
      <c r="X39" s="19"/>
      <c r="Y39" s="19"/>
      <c r="Z39" s="19"/>
      <c r="AA39" s="19"/>
      <c r="AB39" s="19"/>
      <c r="AC39" s="152">
        <f t="array" ref="AC39">IFERROR(INDEX(TABLACONSOLIDADA[Buff Act],MATCH("AGROINSUMOSCENTRAL"&amp;Tabla_Buffers_Agroinsumos[[#This Row],[CODIGO ]],TABLACONSOLIDADA[Bodega]&amp;TABLACONSOLIDADA[Codigo],0)),"")</f>
        <v>0</v>
      </c>
      <c r="AD39" s="157">
        <f t="array" ref="AD39">IFERROR(INDEX(TABLACONSOLIDADA[Inv Fís Act],MATCH("AGROINSUMOSCENTRAL"&amp;Tabla_Buffers_Agroinsumos[[#This Row],[CODIGO ]],TABLACONSOLIDADA[Bodega]&amp;TABLACONSOLIDADA[Codigo],0)),"")</f>
        <v>0</v>
      </c>
      <c r="AE39" s="157">
        <f t="array" ref="AE3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9" s="91">
        <f>IFERROR(SUM(Tabla_Buffers_Agroinsumos[[#This Row],[C-MP]:[C-VL]]),"")</f>
        <v>0</v>
      </c>
      <c r="AH39" s="92">
        <f>IFERROR(Tabla_Buffers_Agroinsumos[[#This Row],[INV FIS CENTRAL]]-Tabla_Buffers_Agroinsumos[[#This Row],[BUFFER CENTRAL]],"")</f>
        <v>0</v>
      </c>
      <c r="AI3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9" s="134"/>
      <c r="AK39" s="134"/>
      <c r="AL39" s="134"/>
      <c r="AM39" s="134"/>
      <c r="AN39" s="134"/>
      <c r="AO39" s="134"/>
      <c r="AP39" s="134"/>
      <c r="AQ39" s="134"/>
      <c r="AR39" s="134"/>
      <c r="AS39" s="134">
        <f t="array" ref="AS39">IFERROR(INDEX(TABLACONSOLIDADA[Buff Act],MATCH("AGROINSUMOScentralPROPIA"&amp;Tabla_Buffers_Agroinsumos[[#This Row],[CODIGO ]],TABLACONSOLIDADA[Bodega]&amp;TABLACONSOLIDADA[Codigo],0)),"")</f>
        <v>0</v>
      </c>
      <c r="AT39" s="157">
        <f t="array" ref="AT39">IFERROR(INDEX(TABLACONSOLIDADA[Inv Fís Act],MATCH("AGROINSUMOScentralPROPIA"&amp;Tabla_Buffers_Agroinsumos[[#This Row],[CODIGO ]],TABLACONSOLIDADA[Bodega]&amp;TABLACONSOLIDADA[Codigo],0)),"")</f>
        <v>0</v>
      </c>
      <c r="AU39" s="157">
        <f t="array" ref="AU3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9" s="134">
        <f>IFERROR(SUM(Tabla_Buffers_Agroinsumos[[#This Row],[P-MP]:[P-VL]]),"")</f>
        <v>0</v>
      </c>
      <c r="AX39" s="92">
        <f>IFERROR(Tabla_Buffers_Agroinsumos[[#This Row],[INV FIS PROPIA]]-Tabla_Buffers_Agroinsumos[[#This Row],[BUFFER PROPIA]],"")</f>
        <v>0</v>
      </c>
      <c r="AY3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9" s="134"/>
      <c r="BA39" s="134"/>
      <c r="BB39" s="134"/>
      <c r="BC39" s="134"/>
      <c r="BD39" s="134"/>
      <c r="BE39" s="134"/>
      <c r="BF39" s="134"/>
      <c r="BG39" s="134"/>
      <c r="BH39" s="134"/>
      <c r="BI39" s="91">
        <f t="array" ref="BI39">IFERROR(INDEX(TABLACONSOLIDADA[Buff Act],MATCH("AGROINSUMOSSTODOMINGO"&amp;Tabla_Buffers_Agroinsumos[[#This Row],[CODIGO ]],TABLACONSOLIDADA[Bodega]&amp;TABLACONSOLIDADA[Codigo],0)),"")</f>
        <v>0</v>
      </c>
      <c r="BJ39" s="157">
        <f t="array" ref="BJ39">IFERROR(INDEX(TABLACONSOLIDADA[Inv Fís Act],MATCH("AGROINSUMOSSTODOMINGO"&amp;Tabla_Buffers_Agroinsumos[[#This Row],[CODIGO ]],TABLACONSOLIDADA[Bodega]&amp;TABLACONSOLIDADA[Codigo],0)),"")</f>
        <v>0</v>
      </c>
      <c r="BK39" s="157">
        <f t="array" ref="BK3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9" s="91">
        <f>IFERROR(SUM(Tabla_Buffers_Agroinsumos[[#This Row],[SD-MP]:[SD-VL]]),"")</f>
        <v>0</v>
      </c>
      <c r="BN39" s="92"/>
      <c r="BO39" s="92"/>
      <c r="BP39" s="134"/>
      <c r="BQ39" s="134"/>
      <c r="BR39" s="134"/>
      <c r="BS39" s="134"/>
      <c r="BT39" s="134"/>
      <c r="BU39" s="134"/>
      <c r="BV39" s="134"/>
      <c r="BW39" s="134"/>
      <c r="BX39" s="134"/>
      <c r="BY39" s="134">
        <f t="array" ref="BY39">IFERROR(INDEX(TABLACONSOLIDADA[Buff Act],MATCH("AGROINSUMOSMONCAYOLOPEZ"&amp;Tabla_Buffers_Agroinsumos[[#This Row],[CODIGO ]],TABLACONSOLIDADA[Bodega]&amp;TABLACONSOLIDADA[Codigo],0)),"")</f>
        <v>0</v>
      </c>
      <c r="BZ39" s="157">
        <f t="array" ref="BZ39">IFERROR(INDEX(TABLACONSOLIDADA[Inv Fís Act],MATCH("AGROINSUMOSMONCAYOLOPEZ"&amp;Tabla_Buffers_Agroinsumos[[#This Row],[CODIGO ]],TABLACONSOLIDADA[Bodega]&amp;TABLACONSOLIDADA[Codigo],0)),"")</f>
        <v>0</v>
      </c>
      <c r="CA39" s="157">
        <f t="array" ref="CA3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9" s="134">
        <f>IFERROR(SUM(Tabla_Buffers_Agroinsumos[[#This Row],[ML-MP]:[ML-VL]]),"")</f>
        <v>0</v>
      </c>
      <c r="CD39" s="92">
        <f>IFERROR(Tabla_Buffers_Agroinsumos[[#This Row],[INV FIS ML]]-Tabla_Buffers_Agroinsumos[[#This Row],[BUFFER ML]],"")</f>
        <v>0</v>
      </c>
      <c r="CE3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9" s="134"/>
      <c r="CG39" s="134"/>
      <c r="CH39" s="134"/>
      <c r="CI39" s="134"/>
      <c r="CJ39" s="134"/>
      <c r="CK39" s="134"/>
      <c r="CL39" s="134"/>
      <c r="CM39" s="134"/>
      <c r="CN39" s="134"/>
      <c r="CO39" s="134">
        <f t="array" ref="CO39">IFERROR(INDEX(TABLACONSOLIDADA[Buff Act],MATCH("AGROINSUMOSAGROHERMANOSLEON"&amp;Tabla_Buffers_Agroinsumos[[#This Row],[CODIGO ]],TABLACONSOLIDADA[Bodega]&amp;TABLACONSOLIDADA[Codigo],0)),"")</f>
        <v>0</v>
      </c>
      <c r="CP39" s="157">
        <f t="array" ref="CP39">IFERROR(INDEX(TABLACONSOLIDADA[Inv Fís Act],MATCH("AGROINSUMOSAGROHERMANOSLEON"&amp;Tabla_Buffers_Agroinsumos[[#This Row],[CODIGO ]],TABLACONSOLIDADA[Bodega]&amp;TABLACONSOLIDADA[Codigo],0)),"")</f>
        <v>0</v>
      </c>
      <c r="CQ39" s="157">
        <f t="array" ref="CQ3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9" s="134">
        <f>IFERROR(SUM(Tabla_Buffers_Agroinsumos[[#This Row],[AL-MP]:[AL-VL]]),"")</f>
        <v>0</v>
      </c>
      <c r="CT39" s="92">
        <f>IFERROR(Tabla_Buffers_Agroinsumos[[#This Row],[INV FIS AL]]-Tabla_Buffers_Agroinsumos[[#This Row],[BUFFER AL]],"")</f>
        <v>0</v>
      </c>
      <c r="CU39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9" s="134"/>
      <c r="CW39" s="134"/>
      <c r="CX39" s="134"/>
      <c r="CY39" s="134"/>
      <c r="CZ39" s="134"/>
      <c r="DA39" s="134"/>
      <c r="DB39" s="134"/>
      <c r="DC39" s="134"/>
      <c r="DD39" s="134"/>
      <c r="DE39" s="134">
        <f t="array" ref="DE39">IFERROR(INDEX(TABLACONSOLIDADA[Buff Act],MATCH("AGROINSUMOSAGRONUEVO"&amp;Tabla_Buffers_Agroinsumos[[#This Row],[CODIGO ]],TABLACONSOLIDADA[Bodega]&amp;TABLACONSOLIDADA[Codigo],0)),"")</f>
        <v>0</v>
      </c>
      <c r="DF39" s="157">
        <f t="array" ref="DF39">IFERROR(INDEX(TABLACONSOLIDADA[Inv Fís Act],MATCH("AGROINSUMOSAGRONUEVO"&amp;Tabla_Buffers_Agroinsumos[[#This Row],[CODIGO ]],TABLACONSOLIDADA[Bodega]&amp;TABLACONSOLIDADA[Codigo],0)),"")</f>
        <v>0</v>
      </c>
      <c r="DG39" s="157">
        <f t="array" ref="DG3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9" s="134">
        <f>IFERROR(SUM(Tabla_Buffers_Agroinsumos[[#This Row],[AN-MP]:[AN-VL]]),"")</f>
        <v>0</v>
      </c>
      <c r="DJ39" s="92">
        <f>IFERROR(Tabla_Buffers_Agroinsumos[[#This Row],[INV FIS AN]]-Tabla_Buffers_Agroinsumos[[#This Row],[BUFFER AN]],"")</f>
        <v>0</v>
      </c>
      <c r="DK3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9" s="134"/>
      <c r="DM39" s="134"/>
      <c r="DN39" s="134"/>
      <c r="DO39" s="134"/>
      <c r="DP39" s="134"/>
      <c r="DQ39" s="134"/>
      <c r="DR39" s="134"/>
      <c r="DS39" s="134"/>
      <c r="DT39" s="134"/>
      <c r="DU39" s="134">
        <f t="array" ref="DU39">IFERROR(INDEX(TABLACONSOLIDADA[Buff Act],MATCH("AGROINSUMOSAGROQUIMICOSSUR"&amp;Tabla_Buffers_Agroinsumos[[#This Row],[CODIGO ]],TABLACONSOLIDADA[Bodega]&amp;TABLACONSOLIDADA[Codigo],0)),"")</f>
        <v>0</v>
      </c>
      <c r="DV39" s="157">
        <f t="array" ref="DV39">IFERROR(INDEX(TABLACONSOLIDADA[Inv Fís Act],MATCH("AGROINSUMOSAGROQUIMICOSSUR"&amp;Tabla_Buffers_Agroinsumos[[#This Row],[CODIGO ]],TABLACONSOLIDADA[Bodega]&amp;TABLACONSOLIDADA[Codigo],0)),"")</f>
        <v>0</v>
      </c>
      <c r="DW39" s="157">
        <f t="array" ref="DW3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9" s="134">
        <f>IFERROR(SUM(Tabla_Buffers_Agroinsumos[[#This Row],[AS-MP]:[AS-VL]]),"")</f>
        <v>0</v>
      </c>
      <c r="DZ39" s="92">
        <f>IFERROR(Tabla_Buffers_Agroinsumos[[#This Row],[INV FIS AS]]-Tabla_Buffers_Agroinsumos[[#This Row],[BUFFER AS]],"")</f>
        <v>0</v>
      </c>
      <c r="EA3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9" s="134"/>
      <c r="EC39" s="134"/>
      <c r="ED39" s="134"/>
      <c r="EE39" s="134"/>
      <c r="EF39" s="134"/>
      <c r="EG39" s="134"/>
      <c r="EH39" s="134"/>
      <c r="EI39" s="134"/>
      <c r="EJ39" s="134"/>
      <c r="EK39" s="134">
        <f t="array" ref="EK39">IFERROR(INDEX(TABLACONSOLIDADA[Buff Act],MATCH("AGROINSUMOSLAFINCA"&amp;Tabla_Buffers_Agroinsumos[[#This Row],[CODIGO ]],TABLACONSOLIDADA[Bodega]&amp;TABLACONSOLIDADA[Codigo],0)),"")</f>
        <v>0</v>
      </c>
      <c r="EL39" s="157">
        <f t="array" ref="EL39">IFERROR(INDEX(TABLACONSOLIDADA[Inv Fís Act],MATCH("AGROINSUMOSLAFINCA"&amp;Tabla_Buffers_Agroinsumos[[#This Row],[CODIGO ]],TABLACONSOLIDADA[Bodega]&amp;TABLACONSOLIDADA[Codigo],0)),"")</f>
        <v>0</v>
      </c>
      <c r="EM39" s="157">
        <f t="array" ref="EM3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9" s="134">
        <f>IFERROR(SUM(Tabla_Buffers_Agroinsumos[[#This Row],[LF-MP]:[LF-VL]]),"")</f>
        <v>0</v>
      </c>
      <c r="EP39" s="92">
        <f>IFERROR(Tabla_Buffers_Agroinsumos[[#This Row],[INV FIS LF]]-Tabla_Buffers_Agroinsumos[[#This Row],[BUFFER LF]],"")</f>
        <v>0</v>
      </c>
      <c r="EQ3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9" s="134"/>
      <c r="ES39" s="134"/>
      <c r="ET39" s="134"/>
      <c r="EU39" s="134"/>
      <c r="EV39" s="134"/>
      <c r="EW39" s="134"/>
      <c r="EX39" s="134"/>
      <c r="EY39" s="134"/>
      <c r="EZ39" s="134"/>
      <c r="FA39" s="134">
        <f t="array" ref="FA39">IFERROR(INDEX(TABLACONSOLIDADA[Buff Act],MATCH("AGROINSUMOSVERONICALEDESMA"&amp;Tabla_Buffers_Agroinsumos[[#This Row],[CODIGO ]],TABLACONSOLIDADA[Bodega]&amp;TABLACONSOLIDADA[Codigo],0)),"")</f>
        <v>0</v>
      </c>
      <c r="FB39" s="157">
        <f t="array" ref="FB39">IFERROR(INDEX(TABLACONSOLIDADA[Inv Fís Act],MATCH("AGROINSUMOSVERONICALEDESMA"&amp;Tabla_Buffers_Agroinsumos[[#This Row],[CODIGO ]],TABLACONSOLIDADA[Bodega]&amp;TABLACONSOLIDADA[Codigo],0)),"")</f>
        <v>0</v>
      </c>
      <c r="FC39" s="157">
        <f t="array" ref="FC3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9" s="134">
        <f>IFERROR(SUM(Tabla_Buffers_Agroinsumos[[#This Row],[VL-MP]:[VL-LF]]),"")</f>
        <v>0</v>
      </c>
      <c r="FF39" s="92">
        <f>IFERROR(Tabla_Buffers_Agroinsumos[[#This Row],[INV FIS VL]]-Tabla_Buffers_Agroinsumos[[#This Row],[BUFFER VL]],"")</f>
        <v>0</v>
      </c>
      <c r="FG3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9" s="134"/>
      <c r="FI39" s="134"/>
      <c r="FJ39" s="134"/>
      <c r="FK39" s="134"/>
      <c r="FL39" s="134"/>
      <c r="FM39" s="134"/>
      <c r="FN39" s="134"/>
      <c r="FO39" s="134"/>
      <c r="FP39" s="134"/>
    </row>
    <row r="40" spans="1:172">
      <c r="A40" s="7" t="s">
        <v>125</v>
      </c>
      <c r="B40" s="7" t="s">
        <v>126</v>
      </c>
      <c r="C40" s="7" t="s">
        <v>707</v>
      </c>
      <c r="D40" s="7" t="s">
        <v>715</v>
      </c>
      <c r="E40" s="7" t="s">
        <v>975</v>
      </c>
      <c r="F40" s="19" t="s">
        <v>698</v>
      </c>
      <c r="G40" s="19" t="s">
        <v>698</v>
      </c>
      <c r="H40" s="19">
        <f>VLOOKUP(Tabla_Buffers_Agroinsumos[[#This Row],[CODIGO ]],TABLACONSOLIDADA[[Codigo]:[PV]],6,0)</f>
        <v>4.99</v>
      </c>
      <c r="I40" s="19">
        <f>VLOOKUP(Tabla_Buffers_Agroinsumos[[#This Row],[CODIGO ]],TABLACONSOLIDADA[[Codigo]:[PV]],5,0)</f>
        <v>2.54</v>
      </c>
      <c r="J40" s="19" t="s">
        <v>698</v>
      </c>
      <c r="K40" s="19" t="s">
        <v>698</v>
      </c>
      <c r="L40" s="19">
        <f>IFERROR(Tabla_Buffers_Agroinsumos[[#This Row],[BUFFER CENTRAL]]/((Tabla_Buffers_Agroinsumos[[#This Row],[TIEMPO REPOSICION ]]/Tabla_Buffers_Agroinsumos[[#This Row],[FRECUENCIA]])+1),0)</f>
        <v>0</v>
      </c>
      <c r="M40" s="19" t="str">
        <f t="array" ref="M40">IFERROR(INDEX(TABLACONSOLIDADA[Buff Act],MATCH("AGROINSUMOSMATERIAPRIMA"&amp;Tabla_Buffers_Agroinsumos[[#This Row],[CODIGO ]],TABLACONSOLIDADA[Bodega]&amp;TABLACONSOLIDADA[Codigo],0)),"")</f>
        <v/>
      </c>
      <c r="N40" s="157" t="str">
        <f t="array" ref="N40">IFERROR(INDEX(TABLACONSOLIDADA[Inv Fís Act],MATCH("AGROINSUMOSMATERIAPRIMA"&amp;Tabla_Buffers_Agroinsumos[[#This Row],[CODIGO ]],TABLACONSOLIDADA[Bodega]&amp;TABLACONSOLIDADA[Codigo],0)),"")</f>
        <v/>
      </c>
      <c r="O40" s="157" t="str">
        <f t="array" ref="O4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0" s="19">
        <f>IFERROR(SUM(Tabla_Buffers_Agroinsumos[[#This Row],[MP-C]:[MP-VL]]),"")</f>
        <v>0</v>
      </c>
      <c r="R40" s="92" t="str">
        <f>IFERROR(Tabla_Buffers_Agroinsumos[[#This Row],[INV FIS MATERIA PRIMA]]-Tabla_Buffers_Agroinsumos[[#This Row],[BUFFER MATERIA PRIMA]],"")</f>
        <v/>
      </c>
      <c r="S4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0" s="19"/>
      <c r="U40" s="19"/>
      <c r="V40" s="19"/>
      <c r="W40" s="19"/>
      <c r="X40" s="19"/>
      <c r="Y40" s="19"/>
      <c r="Z40" s="19"/>
      <c r="AA40" s="19"/>
      <c r="AB40" s="19"/>
      <c r="AC40" s="152">
        <f t="array" ref="AC40">IFERROR(INDEX(TABLACONSOLIDADA[Buff Act],MATCH("AGROINSUMOSCENTRAL"&amp;Tabla_Buffers_Agroinsumos[[#This Row],[CODIGO ]],TABLACONSOLIDADA[Bodega]&amp;TABLACONSOLIDADA[Codigo],0)),"")</f>
        <v>120</v>
      </c>
      <c r="AD40" s="157">
        <f t="array" ref="AD40">IFERROR(INDEX(TABLACONSOLIDADA[Inv Fís Act],MATCH("AGROINSUMOSCENTRAL"&amp;Tabla_Buffers_Agroinsumos[[#This Row],[CODIGO ]],TABLACONSOLIDADA[Bodega]&amp;TABLACONSOLIDADA[Codigo],0)),"")</f>
        <v>68</v>
      </c>
      <c r="AE40" s="157">
        <f t="array" ref="AE4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68</v>
      </c>
      <c r="AF4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0" s="91">
        <f>IFERROR(SUM(Tabla_Buffers_Agroinsumos[[#This Row],[C-MP]:[C-VL]]),"")</f>
        <v>0</v>
      </c>
      <c r="AH40" s="92">
        <f>IFERROR(Tabla_Buffers_Agroinsumos[[#This Row],[INV FIS CENTRAL]]-Tabla_Buffers_Agroinsumos[[#This Row],[BUFFER CENTRAL]],"")</f>
        <v>-52</v>
      </c>
      <c r="AI4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-52</v>
      </c>
      <c r="AJ40" s="134"/>
      <c r="AK40" s="134"/>
      <c r="AL40" s="134"/>
      <c r="AM40" s="134"/>
      <c r="AN40" s="134"/>
      <c r="AO40" s="134"/>
      <c r="AP40" s="134"/>
      <c r="AQ40" s="134"/>
      <c r="AR40" s="134"/>
      <c r="AS40" s="134">
        <f t="array" ref="AS40">IFERROR(INDEX(TABLACONSOLIDADA[Buff Act],MATCH("AGROINSUMOScentralPROPIA"&amp;Tabla_Buffers_Agroinsumos[[#This Row],[CODIGO ]],TABLACONSOLIDADA[Bodega]&amp;TABLACONSOLIDADA[Codigo],0)),"")</f>
        <v>36</v>
      </c>
      <c r="AT40" s="157">
        <f t="array" ref="AT40">IFERROR(INDEX(TABLACONSOLIDADA[Inv Fís Act],MATCH("AGROINSUMOScentralPROPIA"&amp;Tabla_Buffers_Agroinsumos[[#This Row],[CODIGO ]],TABLACONSOLIDADA[Bodega]&amp;TABLACONSOLIDADA[Codigo],0)),"")</f>
        <v>0</v>
      </c>
      <c r="AU40" s="157">
        <f t="array" ref="AU4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4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0" s="134">
        <f>IFERROR(SUM(Tabla_Buffers_Agroinsumos[[#This Row],[P-MP]:[P-VL]]),"")</f>
        <v>0</v>
      </c>
      <c r="AX40" s="92">
        <f>IFERROR(Tabla_Buffers_Agroinsumos[[#This Row],[INV FIS PROPIA]]-Tabla_Buffers_Agroinsumos[[#This Row],[BUFFER PROPIA]],"")</f>
        <v>-36</v>
      </c>
      <c r="AY4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-36</v>
      </c>
      <c r="AZ40" s="134"/>
      <c r="BA40" s="134"/>
      <c r="BB40" s="134"/>
      <c r="BC40" s="134"/>
      <c r="BD40" s="134"/>
      <c r="BE40" s="134"/>
      <c r="BF40" s="134"/>
      <c r="BG40" s="134"/>
      <c r="BH40" s="134"/>
      <c r="BI40" s="91">
        <f t="array" ref="BI40">IFERROR(INDEX(TABLACONSOLIDADA[Buff Act],MATCH("AGROINSUMOSSTODOMINGO"&amp;Tabla_Buffers_Agroinsumos[[#This Row],[CODIGO ]],TABLACONSOLIDADA[Bodega]&amp;TABLACONSOLIDADA[Codigo],0)),"")</f>
        <v>0</v>
      </c>
      <c r="BJ40" s="157">
        <f t="array" ref="BJ40">IFERROR(INDEX(TABLACONSOLIDADA[Inv Fís Act],MATCH("AGROINSUMOSSTODOMINGO"&amp;Tabla_Buffers_Agroinsumos[[#This Row],[CODIGO ]],TABLACONSOLIDADA[Bodega]&amp;TABLACONSOLIDADA[Codigo],0)),"")</f>
        <v>0</v>
      </c>
      <c r="BK40" s="157">
        <f t="array" ref="BK4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4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0" s="91">
        <f>IFERROR(SUM(Tabla_Buffers_Agroinsumos[[#This Row],[SD-MP]:[SD-VL]]),"")</f>
        <v>0</v>
      </c>
      <c r="BN40" s="92"/>
      <c r="BO40" s="92"/>
      <c r="BP40" s="134"/>
      <c r="BQ40" s="134"/>
      <c r="BR40" s="134"/>
      <c r="BS40" s="134"/>
      <c r="BT40" s="134"/>
      <c r="BU40" s="134"/>
      <c r="BV40" s="134"/>
      <c r="BW40" s="134"/>
      <c r="BX40" s="134"/>
      <c r="BY40" s="134">
        <f t="array" ref="BY40">IFERROR(INDEX(TABLACONSOLIDADA[Buff Act],MATCH("AGROINSUMOSMONCAYOLOPEZ"&amp;Tabla_Buffers_Agroinsumos[[#This Row],[CODIGO ]],TABLACONSOLIDADA[Bodega]&amp;TABLACONSOLIDADA[Codigo],0)),"")</f>
        <v>0</v>
      </c>
      <c r="BZ40" s="157">
        <f t="array" ref="BZ40">IFERROR(INDEX(TABLACONSOLIDADA[Inv Fís Act],MATCH("AGROINSUMOSMONCAYOLOPEZ"&amp;Tabla_Buffers_Agroinsumos[[#This Row],[CODIGO ]],TABLACONSOLIDADA[Bodega]&amp;TABLACONSOLIDADA[Codigo],0)),"")</f>
        <v>0</v>
      </c>
      <c r="CA40" s="157">
        <f t="array" ref="CA4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4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0" s="134">
        <f>IFERROR(SUM(Tabla_Buffers_Agroinsumos[[#This Row],[ML-MP]:[ML-VL]]),"")</f>
        <v>0</v>
      </c>
      <c r="CD40" s="92">
        <f>IFERROR(Tabla_Buffers_Agroinsumos[[#This Row],[INV FIS ML]]-Tabla_Buffers_Agroinsumos[[#This Row],[BUFFER ML]],"")</f>
        <v>0</v>
      </c>
      <c r="CE4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40" s="134"/>
      <c r="CG40" s="134"/>
      <c r="CH40" s="134"/>
      <c r="CI40" s="134"/>
      <c r="CJ40" s="134"/>
      <c r="CK40" s="134"/>
      <c r="CL40" s="134"/>
      <c r="CM40" s="134"/>
      <c r="CN40" s="134"/>
      <c r="CO40" s="134">
        <f t="array" ref="CO40">IFERROR(INDEX(TABLACONSOLIDADA[Buff Act],MATCH("AGROINSUMOSAGROHERMANOSLEON"&amp;Tabla_Buffers_Agroinsumos[[#This Row],[CODIGO ]],TABLACONSOLIDADA[Bodega]&amp;TABLACONSOLIDADA[Codigo],0)),"")</f>
        <v>20</v>
      </c>
      <c r="CP40" s="157">
        <f t="array" ref="CP40">IFERROR(INDEX(TABLACONSOLIDADA[Inv Fís Act],MATCH("AGROINSUMOSAGROHERMANOSLEON"&amp;Tabla_Buffers_Agroinsumos[[#This Row],[CODIGO ]],TABLACONSOLIDADA[Bodega]&amp;TABLACONSOLIDADA[Codigo],0)),"")</f>
        <v>60</v>
      </c>
      <c r="CQ40" s="157">
        <f t="array" ref="CQ4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60</v>
      </c>
      <c r="CR4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0" s="134">
        <f>IFERROR(SUM(Tabla_Buffers_Agroinsumos[[#This Row],[AL-MP]:[AL-VL]]),"")</f>
        <v>0</v>
      </c>
      <c r="CT40" s="92">
        <f>IFERROR(Tabla_Buffers_Agroinsumos[[#This Row],[INV FIS AL]]-Tabla_Buffers_Agroinsumos[[#This Row],[BUFFER AL]],"")</f>
        <v>40</v>
      </c>
      <c r="CU40" s="92">
        <f>IFERROR(Tabla_Buffers_Agroinsumos[[#This Row],[INV FIS AL]]+Tabla_Buffers_Agroinsumos[[#This Row],[TRANSFERENCIAS A AL]]-Tabla_Buffers_Agroinsumos[[#This Row],[BUFFER AL]]-Tabla_Buffers_Agroinsumos[[#This Row],[TRANSFERENCIAS DE AL]],"")</f>
        <v>40</v>
      </c>
      <c r="CV40" s="134"/>
      <c r="CW40" s="134"/>
      <c r="CX40" s="134"/>
      <c r="CY40" s="134"/>
      <c r="CZ40" s="134"/>
      <c r="DA40" s="134"/>
      <c r="DB40" s="134"/>
      <c r="DC40" s="134"/>
      <c r="DD40" s="134"/>
      <c r="DE40" s="134">
        <f t="array" ref="DE40">IFERROR(INDEX(TABLACONSOLIDADA[Buff Act],MATCH("AGROINSUMOSAGRONUEVO"&amp;Tabla_Buffers_Agroinsumos[[#This Row],[CODIGO ]],TABLACONSOLIDADA[Bodega]&amp;TABLACONSOLIDADA[Codigo],0)),"")</f>
        <v>0</v>
      </c>
      <c r="DF40" s="157">
        <f t="array" ref="DF40">IFERROR(INDEX(TABLACONSOLIDADA[Inv Fís Act],MATCH("AGROINSUMOSAGRONUEVO"&amp;Tabla_Buffers_Agroinsumos[[#This Row],[CODIGO ]],TABLACONSOLIDADA[Bodega]&amp;TABLACONSOLIDADA[Codigo],0)),"")</f>
        <v>0</v>
      </c>
      <c r="DG40" s="157">
        <f t="array" ref="DG4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4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0" s="134">
        <f>IFERROR(SUM(Tabla_Buffers_Agroinsumos[[#This Row],[AN-MP]:[AN-VL]]),"")</f>
        <v>0</v>
      </c>
      <c r="DJ40" s="92">
        <f>IFERROR(Tabla_Buffers_Agroinsumos[[#This Row],[INV FIS AN]]-Tabla_Buffers_Agroinsumos[[#This Row],[BUFFER AN]],"")</f>
        <v>0</v>
      </c>
      <c r="DK4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40" s="134"/>
      <c r="DM40" s="134"/>
      <c r="DN40" s="134"/>
      <c r="DO40" s="134"/>
      <c r="DP40" s="134"/>
      <c r="DQ40" s="134"/>
      <c r="DR40" s="134"/>
      <c r="DS40" s="134"/>
      <c r="DT40" s="134"/>
      <c r="DU40" s="134">
        <f t="array" ref="DU40">IFERROR(INDEX(TABLACONSOLIDADA[Buff Act],MATCH("AGROINSUMOSAGROQUIMICOSSUR"&amp;Tabla_Buffers_Agroinsumos[[#This Row],[CODIGO ]],TABLACONSOLIDADA[Bodega]&amp;TABLACONSOLIDADA[Codigo],0)),"")</f>
        <v>0</v>
      </c>
      <c r="DV40" s="157">
        <f t="array" ref="DV40">IFERROR(INDEX(TABLACONSOLIDADA[Inv Fís Act],MATCH("AGROINSUMOSAGROQUIMICOSSUR"&amp;Tabla_Buffers_Agroinsumos[[#This Row],[CODIGO ]],TABLACONSOLIDADA[Bodega]&amp;TABLACONSOLIDADA[Codigo],0)),"")</f>
        <v>0</v>
      </c>
      <c r="DW40" s="157">
        <f t="array" ref="DW4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4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0" s="134">
        <f>IFERROR(SUM(Tabla_Buffers_Agroinsumos[[#This Row],[AS-MP]:[AS-VL]]),"")</f>
        <v>0</v>
      </c>
      <c r="DZ40" s="92">
        <f>IFERROR(Tabla_Buffers_Agroinsumos[[#This Row],[INV FIS AS]]-Tabla_Buffers_Agroinsumos[[#This Row],[BUFFER AS]],"")</f>
        <v>0</v>
      </c>
      <c r="EA4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40" s="134"/>
      <c r="EC40" s="134"/>
      <c r="ED40" s="134"/>
      <c r="EE40" s="134"/>
      <c r="EF40" s="134"/>
      <c r="EG40" s="134"/>
      <c r="EH40" s="134"/>
      <c r="EI40" s="134"/>
      <c r="EJ40" s="134"/>
      <c r="EK40" s="134">
        <f t="array" ref="EK40">IFERROR(INDEX(TABLACONSOLIDADA[Buff Act],MATCH("AGROINSUMOSLAFINCA"&amp;Tabla_Buffers_Agroinsumos[[#This Row],[CODIGO ]],TABLACONSOLIDADA[Bodega]&amp;TABLACONSOLIDADA[Codigo],0)),"")</f>
        <v>0</v>
      </c>
      <c r="EL40" s="157">
        <f t="array" ref="EL40">IFERROR(INDEX(TABLACONSOLIDADA[Inv Fís Act],MATCH("AGROINSUMOSLAFINCA"&amp;Tabla_Buffers_Agroinsumos[[#This Row],[CODIGO ]],TABLACONSOLIDADA[Bodega]&amp;TABLACONSOLIDADA[Codigo],0)),"")</f>
        <v>0</v>
      </c>
      <c r="EM40" s="157">
        <f t="array" ref="EM4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4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0" s="134">
        <f>IFERROR(SUM(Tabla_Buffers_Agroinsumos[[#This Row],[LF-MP]:[LF-VL]]),"")</f>
        <v>0</v>
      </c>
      <c r="EP40" s="92">
        <f>IFERROR(Tabla_Buffers_Agroinsumos[[#This Row],[INV FIS LF]]-Tabla_Buffers_Agroinsumos[[#This Row],[BUFFER LF]],"")</f>
        <v>0</v>
      </c>
      <c r="EQ40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40" s="134"/>
      <c r="ES40" s="134"/>
      <c r="ET40" s="134"/>
      <c r="EU40" s="134"/>
      <c r="EV40" s="134"/>
      <c r="EW40" s="134"/>
      <c r="EX40" s="134"/>
      <c r="EY40" s="134"/>
      <c r="EZ40" s="134"/>
      <c r="FA40" s="134">
        <f t="array" ref="FA40">IFERROR(INDEX(TABLACONSOLIDADA[Buff Act],MATCH("AGROINSUMOSVERONICALEDESMA"&amp;Tabla_Buffers_Agroinsumos[[#This Row],[CODIGO ]],TABLACONSOLIDADA[Bodega]&amp;TABLACONSOLIDADA[Codigo],0)),"")</f>
        <v>0</v>
      </c>
      <c r="FB40" s="157">
        <f t="array" ref="FB40">IFERROR(INDEX(TABLACONSOLIDADA[Inv Fís Act],MATCH("AGROINSUMOSVERONICALEDESMA"&amp;Tabla_Buffers_Agroinsumos[[#This Row],[CODIGO ]],TABLACONSOLIDADA[Bodega]&amp;TABLACONSOLIDADA[Codigo],0)),"")</f>
        <v>0</v>
      </c>
      <c r="FC40" s="157">
        <f t="array" ref="FC4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4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0" s="134">
        <f>IFERROR(SUM(Tabla_Buffers_Agroinsumos[[#This Row],[VL-MP]:[VL-LF]]),"")</f>
        <v>0</v>
      </c>
      <c r="FF40" s="92">
        <f>IFERROR(Tabla_Buffers_Agroinsumos[[#This Row],[INV FIS VL]]-Tabla_Buffers_Agroinsumos[[#This Row],[BUFFER VL]],"")</f>
        <v>0</v>
      </c>
      <c r="FG4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40" s="134"/>
      <c r="FI40" s="134"/>
      <c r="FJ40" s="134"/>
      <c r="FK40" s="134"/>
      <c r="FL40" s="134"/>
      <c r="FM40" s="134"/>
      <c r="FN40" s="134"/>
      <c r="FO40" s="134"/>
      <c r="FP40" s="134"/>
    </row>
    <row r="41" spans="1:172">
      <c r="A41" s="7" t="s">
        <v>127</v>
      </c>
      <c r="B41" s="7" t="s">
        <v>942</v>
      </c>
      <c r="C41" s="7" t="s">
        <v>712</v>
      </c>
      <c r="D41" s="7" t="s">
        <v>715</v>
      </c>
      <c r="E41" s="7" t="s">
        <v>975</v>
      </c>
      <c r="F41" s="19" t="s">
        <v>698</v>
      </c>
      <c r="G41" s="19" t="s">
        <v>698</v>
      </c>
      <c r="H41" s="19">
        <f>VLOOKUP(Tabla_Buffers_Agroinsumos[[#This Row],[CODIGO ]],TABLACONSOLIDADA[[Codigo]:[PV]],6,0)</f>
        <v>3.49</v>
      </c>
      <c r="I41" s="19">
        <f>VLOOKUP(Tabla_Buffers_Agroinsumos[[#This Row],[CODIGO ]],TABLACONSOLIDADA[[Codigo]:[PV]],5,0)</f>
        <v>1.52</v>
      </c>
      <c r="J41" s="19" t="s">
        <v>698</v>
      </c>
      <c r="K41" s="19" t="s">
        <v>698</v>
      </c>
      <c r="L41" s="19">
        <f>IFERROR(Tabla_Buffers_Agroinsumos[[#This Row],[BUFFER CENTRAL]]/((Tabla_Buffers_Agroinsumos[[#This Row],[TIEMPO REPOSICION ]]/Tabla_Buffers_Agroinsumos[[#This Row],[FRECUENCIA]])+1),0)</f>
        <v>0</v>
      </c>
      <c r="M41" s="19" t="str">
        <f t="array" ref="M41">IFERROR(INDEX(TABLACONSOLIDADA[Buff Act],MATCH("AGROINSUMOSMATERIAPRIMA"&amp;Tabla_Buffers_Agroinsumos[[#This Row],[CODIGO ]],TABLACONSOLIDADA[Bodega]&amp;TABLACONSOLIDADA[Codigo],0)),"")</f>
        <v/>
      </c>
      <c r="N41" s="157" t="str">
        <f t="array" ref="N41">IFERROR(INDEX(TABLACONSOLIDADA[Inv Fís Act],MATCH("AGROINSUMOSMATERIAPRIMA"&amp;Tabla_Buffers_Agroinsumos[[#This Row],[CODIGO ]],TABLACONSOLIDADA[Bodega]&amp;TABLACONSOLIDADA[Codigo],0)),"")</f>
        <v/>
      </c>
      <c r="O41" s="157" t="str">
        <f t="array" ref="O4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1" s="19">
        <f>IFERROR(SUM(Tabla_Buffers_Agroinsumos[[#This Row],[MP-C]:[MP-VL]]),"")</f>
        <v>0</v>
      </c>
      <c r="R41" s="92" t="str">
        <f>IFERROR(Tabla_Buffers_Agroinsumos[[#This Row],[INV FIS MATERIA PRIMA]]-Tabla_Buffers_Agroinsumos[[#This Row],[BUFFER MATERIA PRIMA]],"")</f>
        <v/>
      </c>
      <c r="S4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1" s="19"/>
      <c r="U41" s="19"/>
      <c r="V41" s="19"/>
      <c r="W41" s="19"/>
      <c r="X41" s="19"/>
      <c r="Y41" s="19"/>
      <c r="Z41" s="19"/>
      <c r="AA41" s="19"/>
      <c r="AB41" s="19"/>
      <c r="AC41" s="152">
        <f t="array" ref="AC41">IFERROR(INDEX(TABLACONSOLIDADA[Buff Act],MATCH("AGROINSUMOSCENTRAL"&amp;Tabla_Buffers_Agroinsumos[[#This Row],[CODIGO ]],TABLACONSOLIDADA[Bodega]&amp;TABLACONSOLIDADA[Codigo],0)),"")</f>
        <v>0</v>
      </c>
      <c r="AD41" s="157">
        <f t="array" ref="AD41">IFERROR(INDEX(TABLACONSOLIDADA[Inv Fís Act],MATCH("AGROINSUMOSCENTRAL"&amp;Tabla_Buffers_Agroinsumos[[#This Row],[CODIGO ]],TABLACONSOLIDADA[Bodega]&amp;TABLACONSOLIDADA[Codigo],0)),"")</f>
        <v>0</v>
      </c>
      <c r="AE41" s="157">
        <f t="array" ref="AE4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4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1" s="91">
        <f>IFERROR(SUM(Tabla_Buffers_Agroinsumos[[#This Row],[C-MP]:[C-VL]]),"")</f>
        <v>0</v>
      </c>
      <c r="AH41" s="92">
        <f>IFERROR(Tabla_Buffers_Agroinsumos[[#This Row],[INV FIS CENTRAL]]-Tabla_Buffers_Agroinsumos[[#This Row],[BUFFER CENTRAL]],"")</f>
        <v>0</v>
      </c>
      <c r="AI4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41" s="134"/>
      <c r="AK41" s="134"/>
      <c r="AL41" s="134"/>
      <c r="AM41" s="134"/>
      <c r="AN41" s="134"/>
      <c r="AO41" s="134"/>
      <c r="AP41" s="134"/>
      <c r="AQ41" s="134"/>
      <c r="AR41" s="134"/>
      <c r="AS41" s="134">
        <f t="array" ref="AS41">IFERROR(INDEX(TABLACONSOLIDADA[Buff Act],MATCH("AGROINSUMOScentralPROPIA"&amp;Tabla_Buffers_Agroinsumos[[#This Row],[CODIGO ]],TABLACONSOLIDADA[Bodega]&amp;TABLACONSOLIDADA[Codigo],0)),"")</f>
        <v>0</v>
      </c>
      <c r="AT41" s="157">
        <f t="array" ref="AT41">IFERROR(INDEX(TABLACONSOLIDADA[Inv Fís Act],MATCH("AGROINSUMOScentralPROPIA"&amp;Tabla_Buffers_Agroinsumos[[#This Row],[CODIGO ]],TABLACONSOLIDADA[Bodega]&amp;TABLACONSOLIDADA[Codigo],0)),"")</f>
        <v>0</v>
      </c>
      <c r="AU41" s="157">
        <f t="array" ref="AU4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4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1" s="134">
        <f>IFERROR(SUM(Tabla_Buffers_Agroinsumos[[#This Row],[P-MP]:[P-VL]]),"")</f>
        <v>0</v>
      </c>
      <c r="AX41" s="92">
        <f>IFERROR(Tabla_Buffers_Agroinsumos[[#This Row],[INV FIS PROPIA]]-Tabla_Buffers_Agroinsumos[[#This Row],[BUFFER PROPIA]],"")</f>
        <v>0</v>
      </c>
      <c r="AY4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41" s="134"/>
      <c r="BA41" s="134"/>
      <c r="BB41" s="134"/>
      <c r="BC41" s="134"/>
      <c r="BD41" s="134"/>
      <c r="BE41" s="134"/>
      <c r="BF41" s="134"/>
      <c r="BG41" s="134"/>
      <c r="BH41" s="134"/>
      <c r="BI41" s="91" t="str">
        <f t="array" ref="BI41">IFERROR(INDEX(TABLACONSOLIDADA[Buff Act],MATCH("AGROINSUMOSSTODOMINGO"&amp;Tabla_Buffers_Agroinsumos[[#This Row],[CODIGO ]],TABLACONSOLIDADA[Bodega]&amp;TABLACONSOLIDADA[Codigo],0)),"")</f>
        <v/>
      </c>
      <c r="BJ41" s="157" t="str">
        <f t="array" ref="BJ41">IFERROR(INDEX(TABLACONSOLIDADA[Inv Fís Act],MATCH("AGROINSUMOSSTODOMINGO"&amp;Tabla_Buffers_Agroinsumos[[#This Row],[CODIGO ]],TABLACONSOLIDADA[Bodega]&amp;TABLACONSOLIDADA[Codigo],0)),"")</f>
        <v/>
      </c>
      <c r="BK41" s="157" t="str">
        <f t="array" ref="BK4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1" s="91">
        <f>IFERROR(SUM(Tabla_Buffers_Agroinsumos[[#This Row],[SD-MP]:[SD-VL]]),"")</f>
        <v>0</v>
      </c>
      <c r="BN41" s="92"/>
      <c r="BO41" s="92"/>
      <c r="BP41" s="134"/>
      <c r="BQ41" s="134"/>
      <c r="BR41" s="134"/>
      <c r="BS41" s="134"/>
      <c r="BT41" s="134"/>
      <c r="BU41" s="134"/>
      <c r="BV41" s="134"/>
      <c r="BW41" s="134"/>
      <c r="BX41" s="134"/>
      <c r="BY41" s="134">
        <f t="array" ref="BY41">IFERROR(INDEX(TABLACONSOLIDADA[Buff Act],MATCH("AGROINSUMOSMONCAYOLOPEZ"&amp;Tabla_Buffers_Agroinsumos[[#This Row],[CODIGO ]],TABLACONSOLIDADA[Bodega]&amp;TABLACONSOLIDADA[Codigo],0)),"")</f>
        <v>0</v>
      </c>
      <c r="BZ41" s="157">
        <f t="array" ref="BZ41">IFERROR(INDEX(TABLACONSOLIDADA[Inv Fís Act],MATCH("AGROINSUMOSMONCAYOLOPEZ"&amp;Tabla_Buffers_Agroinsumos[[#This Row],[CODIGO ]],TABLACONSOLIDADA[Bodega]&amp;TABLACONSOLIDADA[Codigo],0)),"")</f>
        <v>0</v>
      </c>
      <c r="CA41" s="157">
        <f t="array" ref="CA4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4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1" s="134">
        <f>IFERROR(SUM(Tabla_Buffers_Agroinsumos[[#This Row],[ML-MP]:[ML-VL]]),"")</f>
        <v>0</v>
      </c>
      <c r="CD41" s="92">
        <f>IFERROR(Tabla_Buffers_Agroinsumos[[#This Row],[INV FIS ML]]-Tabla_Buffers_Agroinsumos[[#This Row],[BUFFER ML]],"")</f>
        <v>0</v>
      </c>
      <c r="CE41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41" s="134"/>
      <c r="CG41" s="134"/>
      <c r="CH41" s="134"/>
      <c r="CI41" s="134"/>
      <c r="CJ41" s="134"/>
      <c r="CK41" s="134"/>
      <c r="CL41" s="134"/>
      <c r="CM41" s="134"/>
      <c r="CN41" s="134"/>
      <c r="CO41" s="134">
        <f t="array" ref="CO41">IFERROR(INDEX(TABLACONSOLIDADA[Buff Act],MATCH("AGROINSUMOSAGROHERMANOSLEON"&amp;Tabla_Buffers_Agroinsumos[[#This Row],[CODIGO ]],TABLACONSOLIDADA[Bodega]&amp;TABLACONSOLIDADA[Codigo],0)),"")</f>
        <v>0</v>
      </c>
      <c r="CP41" s="157">
        <f t="array" ref="CP41">IFERROR(INDEX(TABLACONSOLIDADA[Inv Fís Act],MATCH("AGROINSUMOSAGROHERMANOSLEON"&amp;Tabla_Buffers_Agroinsumos[[#This Row],[CODIGO ]],TABLACONSOLIDADA[Bodega]&amp;TABLACONSOLIDADA[Codigo],0)),"")</f>
        <v>0</v>
      </c>
      <c r="CQ41" s="157">
        <f t="array" ref="CQ4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4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1" s="134">
        <f>IFERROR(SUM(Tabla_Buffers_Agroinsumos[[#This Row],[AL-MP]:[AL-VL]]),"")</f>
        <v>0</v>
      </c>
      <c r="CT41" s="92">
        <f>IFERROR(Tabla_Buffers_Agroinsumos[[#This Row],[INV FIS AL]]-Tabla_Buffers_Agroinsumos[[#This Row],[BUFFER AL]],"")</f>
        <v>0</v>
      </c>
      <c r="CU41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41" s="134"/>
      <c r="CW41" s="134"/>
      <c r="CX41" s="134"/>
      <c r="CY41" s="134"/>
      <c r="CZ41" s="134"/>
      <c r="DA41" s="134"/>
      <c r="DB41" s="134"/>
      <c r="DC41" s="134"/>
      <c r="DD41" s="134"/>
      <c r="DE41" s="134">
        <f t="array" ref="DE41">IFERROR(INDEX(TABLACONSOLIDADA[Buff Act],MATCH("AGROINSUMOSAGRONUEVO"&amp;Tabla_Buffers_Agroinsumos[[#This Row],[CODIGO ]],TABLACONSOLIDADA[Bodega]&amp;TABLACONSOLIDADA[Codigo],0)),"")</f>
        <v>0</v>
      </c>
      <c r="DF41" s="157">
        <f t="array" ref="DF41">IFERROR(INDEX(TABLACONSOLIDADA[Inv Fís Act],MATCH("AGROINSUMOSAGRONUEVO"&amp;Tabla_Buffers_Agroinsumos[[#This Row],[CODIGO ]],TABLACONSOLIDADA[Bodega]&amp;TABLACONSOLIDADA[Codigo],0)),"")</f>
        <v>0</v>
      </c>
      <c r="DG41" s="157">
        <f t="array" ref="DG4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4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1" s="134">
        <f>IFERROR(SUM(Tabla_Buffers_Agroinsumos[[#This Row],[AN-MP]:[AN-VL]]),"")</f>
        <v>0</v>
      </c>
      <c r="DJ41" s="92">
        <f>IFERROR(Tabla_Buffers_Agroinsumos[[#This Row],[INV FIS AN]]-Tabla_Buffers_Agroinsumos[[#This Row],[BUFFER AN]],"")</f>
        <v>0</v>
      </c>
      <c r="DK41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41" s="134"/>
      <c r="DM41" s="134"/>
      <c r="DN41" s="134"/>
      <c r="DO41" s="134"/>
      <c r="DP41" s="134"/>
      <c r="DQ41" s="134"/>
      <c r="DR41" s="134"/>
      <c r="DS41" s="134"/>
      <c r="DT41" s="134"/>
      <c r="DU41" s="134">
        <f t="array" ref="DU41">IFERROR(INDEX(TABLACONSOLIDADA[Buff Act],MATCH("AGROINSUMOSAGROQUIMICOSSUR"&amp;Tabla_Buffers_Agroinsumos[[#This Row],[CODIGO ]],TABLACONSOLIDADA[Bodega]&amp;TABLACONSOLIDADA[Codigo],0)),"")</f>
        <v>0</v>
      </c>
      <c r="DV41" s="157">
        <f t="array" ref="DV41">IFERROR(INDEX(TABLACONSOLIDADA[Inv Fís Act],MATCH("AGROINSUMOSAGROQUIMICOSSUR"&amp;Tabla_Buffers_Agroinsumos[[#This Row],[CODIGO ]],TABLACONSOLIDADA[Bodega]&amp;TABLACONSOLIDADA[Codigo],0)),"")</f>
        <v>0</v>
      </c>
      <c r="DW41" s="157">
        <f t="array" ref="DW4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4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1" s="134">
        <f>IFERROR(SUM(Tabla_Buffers_Agroinsumos[[#This Row],[AS-MP]:[AS-VL]]),"")</f>
        <v>0</v>
      </c>
      <c r="DZ41" s="92">
        <f>IFERROR(Tabla_Buffers_Agroinsumos[[#This Row],[INV FIS AS]]-Tabla_Buffers_Agroinsumos[[#This Row],[BUFFER AS]],"")</f>
        <v>0</v>
      </c>
      <c r="EA41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41" s="134"/>
      <c r="EC41" s="134"/>
      <c r="ED41" s="134"/>
      <c r="EE41" s="134"/>
      <c r="EF41" s="134"/>
      <c r="EG41" s="134"/>
      <c r="EH41" s="134"/>
      <c r="EI41" s="134"/>
      <c r="EJ41" s="134"/>
      <c r="EK41" s="134">
        <f t="array" ref="EK41">IFERROR(INDEX(TABLACONSOLIDADA[Buff Act],MATCH("AGROINSUMOSLAFINCA"&amp;Tabla_Buffers_Agroinsumos[[#This Row],[CODIGO ]],TABLACONSOLIDADA[Bodega]&amp;TABLACONSOLIDADA[Codigo],0)),"")</f>
        <v>0</v>
      </c>
      <c r="EL41" s="157">
        <f t="array" ref="EL41">IFERROR(INDEX(TABLACONSOLIDADA[Inv Fís Act],MATCH("AGROINSUMOSLAFINCA"&amp;Tabla_Buffers_Agroinsumos[[#This Row],[CODIGO ]],TABLACONSOLIDADA[Bodega]&amp;TABLACONSOLIDADA[Codigo],0)),"")</f>
        <v>0</v>
      </c>
      <c r="EM41" s="157">
        <f t="array" ref="EM4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4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1" s="134">
        <f>IFERROR(SUM(Tabla_Buffers_Agroinsumos[[#This Row],[LF-MP]:[LF-VL]]),"")</f>
        <v>0</v>
      </c>
      <c r="EP41" s="92">
        <f>IFERROR(Tabla_Buffers_Agroinsumos[[#This Row],[INV FIS LF]]-Tabla_Buffers_Agroinsumos[[#This Row],[BUFFER LF]],"")</f>
        <v>0</v>
      </c>
      <c r="EQ41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41" s="134"/>
      <c r="ES41" s="134"/>
      <c r="ET41" s="134"/>
      <c r="EU41" s="134"/>
      <c r="EV41" s="134"/>
      <c r="EW41" s="134"/>
      <c r="EX41" s="134"/>
      <c r="EY41" s="134"/>
      <c r="EZ41" s="134"/>
      <c r="FA41" s="134">
        <f t="array" ref="FA41">IFERROR(INDEX(TABLACONSOLIDADA[Buff Act],MATCH("AGROINSUMOSVERONICALEDESMA"&amp;Tabla_Buffers_Agroinsumos[[#This Row],[CODIGO ]],TABLACONSOLIDADA[Bodega]&amp;TABLACONSOLIDADA[Codigo],0)),"")</f>
        <v>0</v>
      </c>
      <c r="FB41" s="157">
        <f t="array" ref="FB41">IFERROR(INDEX(TABLACONSOLIDADA[Inv Fís Act],MATCH("AGROINSUMOSVERONICALEDESMA"&amp;Tabla_Buffers_Agroinsumos[[#This Row],[CODIGO ]],TABLACONSOLIDADA[Bodega]&amp;TABLACONSOLIDADA[Codigo],0)),"")</f>
        <v>0</v>
      </c>
      <c r="FC41" s="157">
        <f t="array" ref="FC4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4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1" s="134">
        <f>IFERROR(SUM(Tabla_Buffers_Agroinsumos[[#This Row],[VL-MP]:[VL-LF]]),"")</f>
        <v>0</v>
      </c>
      <c r="FF41" s="92">
        <f>IFERROR(Tabla_Buffers_Agroinsumos[[#This Row],[INV FIS VL]]-Tabla_Buffers_Agroinsumos[[#This Row],[BUFFER VL]],"")</f>
        <v>0</v>
      </c>
      <c r="FG41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41" s="134"/>
      <c r="FI41" s="134"/>
      <c r="FJ41" s="134"/>
      <c r="FK41" s="134"/>
      <c r="FL41" s="134"/>
      <c r="FM41" s="134"/>
      <c r="FN41" s="134"/>
      <c r="FO41" s="134"/>
      <c r="FP41" s="134"/>
    </row>
    <row r="42" spans="1:172">
      <c r="A42" s="7" t="s">
        <v>128</v>
      </c>
      <c r="B42" s="7" t="s">
        <v>129</v>
      </c>
      <c r="C42" s="7" t="s">
        <v>712</v>
      </c>
      <c r="D42" s="7" t="s">
        <v>715</v>
      </c>
      <c r="E42" s="7" t="s">
        <v>975</v>
      </c>
      <c r="F42" s="19" t="s">
        <v>698</v>
      </c>
      <c r="G42" s="19" t="s">
        <v>698</v>
      </c>
      <c r="H42" s="19">
        <f>VLOOKUP(Tabla_Buffers_Agroinsumos[[#This Row],[CODIGO ]],TABLACONSOLIDADA[[Codigo]:[PV]],6,0)</f>
        <v>26.4</v>
      </c>
      <c r="I42" s="19">
        <f>VLOOKUP(Tabla_Buffers_Agroinsumos[[#This Row],[CODIGO ]],TABLACONSOLIDADA[[Codigo]:[PV]],5,0)</f>
        <v>13.29</v>
      </c>
      <c r="J42" s="19" t="s">
        <v>698</v>
      </c>
      <c r="K42" s="19" t="s">
        <v>698</v>
      </c>
      <c r="L42" s="19">
        <f>IFERROR(Tabla_Buffers_Agroinsumos[[#This Row],[BUFFER CENTRAL]]/((Tabla_Buffers_Agroinsumos[[#This Row],[TIEMPO REPOSICION ]]/Tabla_Buffers_Agroinsumos[[#This Row],[FRECUENCIA]])+1),0)</f>
        <v>0</v>
      </c>
      <c r="M42" s="19" t="str">
        <f t="array" ref="M42">IFERROR(INDEX(TABLACONSOLIDADA[Buff Act],MATCH("AGROINSUMOSMATERIAPRIMA"&amp;Tabla_Buffers_Agroinsumos[[#This Row],[CODIGO ]],TABLACONSOLIDADA[Bodega]&amp;TABLACONSOLIDADA[Codigo],0)),"")</f>
        <v/>
      </c>
      <c r="N42" s="157" t="str">
        <f t="array" ref="N42">IFERROR(INDEX(TABLACONSOLIDADA[Inv Fís Act],MATCH("AGROINSUMOSMATERIAPRIMA"&amp;Tabla_Buffers_Agroinsumos[[#This Row],[CODIGO ]],TABLACONSOLIDADA[Bodega]&amp;TABLACONSOLIDADA[Codigo],0)),"")</f>
        <v/>
      </c>
      <c r="O42" s="157" t="str">
        <f t="array" ref="O4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2" s="19">
        <f>IFERROR(SUM(Tabla_Buffers_Agroinsumos[[#This Row],[MP-C]:[MP-VL]]),"")</f>
        <v>0</v>
      </c>
      <c r="R42" s="92" t="str">
        <f>IFERROR(Tabla_Buffers_Agroinsumos[[#This Row],[INV FIS MATERIA PRIMA]]-Tabla_Buffers_Agroinsumos[[#This Row],[BUFFER MATERIA PRIMA]],"")</f>
        <v/>
      </c>
      <c r="S42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2" s="19"/>
      <c r="U42" s="19"/>
      <c r="V42" s="19"/>
      <c r="W42" s="19"/>
      <c r="X42" s="19"/>
      <c r="Y42" s="19"/>
      <c r="Z42" s="19"/>
      <c r="AA42" s="19"/>
      <c r="AB42" s="19"/>
      <c r="AC42" s="152">
        <f t="array" ref="AC42">IFERROR(INDEX(TABLACONSOLIDADA[Buff Act],MATCH("AGROINSUMOSCENTRAL"&amp;Tabla_Buffers_Agroinsumos[[#This Row],[CODIGO ]],TABLACONSOLIDADA[Bodega]&amp;TABLACONSOLIDADA[Codigo],0)),"")</f>
        <v>0</v>
      </c>
      <c r="AD42" s="157">
        <f t="array" ref="AD42">IFERROR(INDEX(TABLACONSOLIDADA[Inv Fís Act],MATCH("AGROINSUMOSCENTRAL"&amp;Tabla_Buffers_Agroinsumos[[#This Row],[CODIGO ]],TABLACONSOLIDADA[Bodega]&amp;TABLACONSOLIDADA[Codigo],0)),"")</f>
        <v>0</v>
      </c>
      <c r="AE42" s="157">
        <f t="array" ref="AE4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4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2" s="91">
        <f>IFERROR(SUM(Tabla_Buffers_Agroinsumos[[#This Row],[C-MP]:[C-VL]]),"")</f>
        <v>0</v>
      </c>
      <c r="AH42" s="92">
        <f>IFERROR(Tabla_Buffers_Agroinsumos[[#This Row],[INV FIS CENTRAL]]-Tabla_Buffers_Agroinsumos[[#This Row],[BUFFER CENTRAL]],"")</f>
        <v>0</v>
      </c>
      <c r="AI42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42" s="134"/>
      <c r="AK42" s="134"/>
      <c r="AL42" s="134"/>
      <c r="AM42" s="134"/>
      <c r="AN42" s="134"/>
      <c r="AO42" s="134"/>
      <c r="AP42" s="134"/>
      <c r="AQ42" s="134"/>
      <c r="AR42" s="134"/>
      <c r="AS42" s="134">
        <f t="array" ref="AS42">IFERROR(INDEX(TABLACONSOLIDADA[Buff Act],MATCH("AGROINSUMOScentralPROPIA"&amp;Tabla_Buffers_Agroinsumos[[#This Row],[CODIGO ]],TABLACONSOLIDADA[Bodega]&amp;TABLACONSOLIDADA[Codigo],0)),"")</f>
        <v>0</v>
      </c>
      <c r="AT42" s="157">
        <f t="array" ref="AT42">IFERROR(INDEX(TABLACONSOLIDADA[Inv Fís Act],MATCH("AGROINSUMOScentralPROPIA"&amp;Tabla_Buffers_Agroinsumos[[#This Row],[CODIGO ]],TABLACONSOLIDADA[Bodega]&amp;TABLACONSOLIDADA[Codigo],0)),"")</f>
        <v>0</v>
      </c>
      <c r="AU42" s="157">
        <f t="array" ref="AU4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4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2" s="134">
        <f>IFERROR(SUM(Tabla_Buffers_Agroinsumos[[#This Row],[P-MP]:[P-VL]]),"")</f>
        <v>0</v>
      </c>
      <c r="AX42" s="92">
        <f>IFERROR(Tabla_Buffers_Agroinsumos[[#This Row],[INV FIS PROPIA]]-Tabla_Buffers_Agroinsumos[[#This Row],[BUFFER PROPIA]],"")</f>
        <v>0</v>
      </c>
      <c r="AY42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42" s="134"/>
      <c r="BA42" s="134"/>
      <c r="BB42" s="134"/>
      <c r="BC42" s="134"/>
      <c r="BD42" s="134"/>
      <c r="BE42" s="134"/>
      <c r="BF42" s="134"/>
      <c r="BG42" s="134"/>
      <c r="BH42" s="134"/>
      <c r="BI42" s="91" t="str">
        <f t="array" ref="BI42">IFERROR(INDEX(TABLACONSOLIDADA[Buff Act],MATCH("AGROINSUMOSSTODOMINGO"&amp;Tabla_Buffers_Agroinsumos[[#This Row],[CODIGO ]],TABLACONSOLIDADA[Bodega]&amp;TABLACONSOLIDADA[Codigo],0)),"")</f>
        <v/>
      </c>
      <c r="BJ42" s="157" t="str">
        <f t="array" ref="BJ42">IFERROR(INDEX(TABLACONSOLIDADA[Inv Fís Act],MATCH("AGROINSUMOSSTODOMINGO"&amp;Tabla_Buffers_Agroinsumos[[#This Row],[CODIGO ]],TABLACONSOLIDADA[Bodega]&amp;TABLACONSOLIDADA[Codigo],0)),"")</f>
        <v/>
      </c>
      <c r="BK42" s="157" t="str">
        <f t="array" ref="BK4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2" s="91">
        <f>IFERROR(SUM(Tabla_Buffers_Agroinsumos[[#This Row],[SD-MP]:[SD-VL]]),"")</f>
        <v>0</v>
      </c>
      <c r="BN42" s="92"/>
      <c r="BO42" s="92"/>
      <c r="BP42" s="134"/>
      <c r="BQ42" s="134"/>
      <c r="BR42" s="134"/>
      <c r="BS42" s="134"/>
      <c r="BT42" s="134"/>
      <c r="BU42" s="134"/>
      <c r="BV42" s="134"/>
      <c r="BW42" s="134"/>
      <c r="BX42" s="134"/>
      <c r="BY42" s="134">
        <f t="array" ref="BY42">IFERROR(INDEX(TABLACONSOLIDADA[Buff Act],MATCH("AGROINSUMOSMONCAYOLOPEZ"&amp;Tabla_Buffers_Agroinsumos[[#This Row],[CODIGO ]],TABLACONSOLIDADA[Bodega]&amp;TABLACONSOLIDADA[Codigo],0)),"")</f>
        <v>0</v>
      </c>
      <c r="BZ42" s="157">
        <f t="array" ref="BZ42">IFERROR(INDEX(TABLACONSOLIDADA[Inv Fís Act],MATCH("AGROINSUMOSMONCAYOLOPEZ"&amp;Tabla_Buffers_Agroinsumos[[#This Row],[CODIGO ]],TABLACONSOLIDADA[Bodega]&amp;TABLACONSOLIDADA[Codigo],0)),"")</f>
        <v>0</v>
      </c>
      <c r="CA42" s="157">
        <f t="array" ref="CA4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4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2" s="134">
        <f>IFERROR(SUM(Tabla_Buffers_Agroinsumos[[#This Row],[ML-MP]:[ML-VL]]),"")</f>
        <v>0</v>
      </c>
      <c r="CD42" s="92">
        <f>IFERROR(Tabla_Buffers_Agroinsumos[[#This Row],[INV FIS ML]]-Tabla_Buffers_Agroinsumos[[#This Row],[BUFFER ML]],"")</f>
        <v>0</v>
      </c>
      <c r="CE42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42" s="134"/>
      <c r="CG42" s="134"/>
      <c r="CH42" s="134"/>
      <c r="CI42" s="134"/>
      <c r="CJ42" s="134"/>
      <c r="CK42" s="134"/>
      <c r="CL42" s="134"/>
      <c r="CM42" s="134"/>
      <c r="CN42" s="134"/>
      <c r="CO42" s="134">
        <f t="array" ref="CO42">IFERROR(INDEX(TABLACONSOLIDADA[Buff Act],MATCH("AGROINSUMOSAGROHERMANOSLEON"&amp;Tabla_Buffers_Agroinsumos[[#This Row],[CODIGO ]],TABLACONSOLIDADA[Bodega]&amp;TABLACONSOLIDADA[Codigo],0)),"")</f>
        <v>0</v>
      </c>
      <c r="CP42" s="157">
        <f t="array" ref="CP42">IFERROR(INDEX(TABLACONSOLIDADA[Inv Fís Act],MATCH("AGROINSUMOSAGROHERMANOSLEON"&amp;Tabla_Buffers_Agroinsumos[[#This Row],[CODIGO ]],TABLACONSOLIDADA[Bodega]&amp;TABLACONSOLIDADA[Codigo],0)),"")</f>
        <v>19</v>
      </c>
      <c r="CQ42" s="157">
        <f t="array" ref="CQ4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19</v>
      </c>
      <c r="CR4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2" s="134">
        <f>IFERROR(SUM(Tabla_Buffers_Agroinsumos[[#This Row],[AL-MP]:[AL-VL]]),"")</f>
        <v>0</v>
      </c>
      <c r="CT42" s="92">
        <f>IFERROR(Tabla_Buffers_Agroinsumos[[#This Row],[INV FIS AL]]-Tabla_Buffers_Agroinsumos[[#This Row],[BUFFER AL]],"")</f>
        <v>19</v>
      </c>
      <c r="CU42" s="92">
        <f>IFERROR(Tabla_Buffers_Agroinsumos[[#This Row],[INV FIS AL]]+Tabla_Buffers_Agroinsumos[[#This Row],[TRANSFERENCIAS A AL]]-Tabla_Buffers_Agroinsumos[[#This Row],[BUFFER AL]]-Tabla_Buffers_Agroinsumos[[#This Row],[TRANSFERENCIAS DE AL]],"")</f>
        <v>19</v>
      </c>
      <c r="CV42" s="134"/>
      <c r="CW42" s="134"/>
      <c r="CX42" s="134"/>
      <c r="CY42" s="134"/>
      <c r="CZ42" s="134"/>
      <c r="DA42" s="134"/>
      <c r="DB42" s="134"/>
      <c r="DC42" s="134"/>
      <c r="DD42" s="134"/>
      <c r="DE42" s="134">
        <f t="array" ref="DE42">IFERROR(INDEX(TABLACONSOLIDADA[Buff Act],MATCH("AGROINSUMOSAGRONUEVO"&amp;Tabla_Buffers_Agroinsumos[[#This Row],[CODIGO ]],TABLACONSOLIDADA[Bodega]&amp;TABLACONSOLIDADA[Codigo],0)),"")</f>
        <v>0</v>
      </c>
      <c r="DF42" s="157">
        <f t="array" ref="DF42">IFERROR(INDEX(TABLACONSOLIDADA[Inv Fís Act],MATCH("AGROINSUMOSAGRONUEVO"&amp;Tabla_Buffers_Agroinsumos[[#This Row],[CODIGO ]],TABLACONSOLIDADA[Bodega]&amp;TABLACONSOLIDADA[Codigo],0)),"")</f>
        <v>0</v>
      </c>
      <c r="DG42" s="157">
        <f t="array" ref="DG4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4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2" s="134">
        <f>IFERROR(SUM(Tabla_Buffers_Agroinsumos[[#This Row],[AN-MP]:[AN-VL]]),"")</f>
        <v>0</v>
      </c>
      <c r="DJ42" s="92">
        <f>IFERROR(Tabla_Buffers_Agroinsumos[[#This Row],[INV FIS AN]]-Tabla_Buffers_Agroinsumos[[#This Row],[BUFFER AN]],"")</f>
        <v>0</v>
      </c>
      <c r="DK42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42" s="134"/>
      <c r="DM42" s="134"/>
      <c r="DN42" s="134"/>
      <c r="DO42" s="134"/>
      <c r="DP42" s="134"/>
      <c r="DQ42" s="134"/>
      <c r="DR42" s="134"/>
      <c r="DS42" s="134"/>
      <c r="DT42" s="134"/>
      <c r="DU42" s="134">
        <f t="array" ref="DU42">IFERROR(INDEX(TABLACONSOLIDADA[Buff Act],MATCH("AGROINSUMOSAGROQUIMICOSSUR"&amp;Tabla_Buffers_Agroinsumos[[#This Row],[CODIGO ]],TABLACONSOLIDADA[Bodega]&amp;TABLACONSOLIDADA[Codigo],0)),"")</f>
        <v>0</v>
      </c>
      <c r="DV42" s="157">
        <f t="array" ref="DV42">IFERROR(INDEX(TABLACONSOLIDADA[Inv Fís Act],MATCH("AGROINSUMOSAGROQUIMICOSSUR"&amp;Tabla_Buffers_Agroinsumos[[#This Row],[CODIGO ]],TABLACONSOLIDADA[Bodega]&amp;TABLACONSOLIDADA[Codigo],0)),"")</f>
        <v>0</v>
      </c>
      <c r="DW42" s="157">
        <f t="array" ref="DW4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4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2" s="134">
        <f>IFERROR(SUM(Tabla_Buffers_Agroinsumos[[#This Row],[AS-MP]:[AS-VL]]),"")</f>
        <v>0</v>
      </c>
      <c r="DZ42" s="92">
        <f>IFERROR(Tabla_Buffers_Agroinsumos[[#This Row],[INV FIS AS]]-Tabla_Buffers_Agroinsumos[[#This Row],[BUFFER AS]],"")</f>
        <v>0</v>
      </c>
      <c r="EA42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42" s="134"/>
      <c r="EC42" s="134"/>
      <c r="ED42" s="134"/>
      <c r="EE42" s="134"/>
      <c r="EF42" s="134"/>
      <c r="EG42" s="134"/>
      <c r="EH42" s="134"/>
      <c r="EI42" s="134"/>
      <c r="EJ42" s="134"/>
      <c r="EK42" s="134">
        <f t="array" ref="EK42">IFERROR(INDEX(TABLACONSOLIDADA[Buff Act],MATCH("AGROINSUMOSLAFINCA"&amp;Tabla_Buffers_Agroinsumos[[#This Row],[CODIGO ]],TABLACONSOLIDADA[Bodega]&amp;TABLACONSOLIDADA[Codigo],0)),"")</f>
        <v>0</v>
      </c>
      <c r="EL42" s="157">
        <f t="array" ref="EL42">IFERROR(INDEX(TABLACONSOLIDADA[Inv Fís Act],MATCH("AGROINSUMOSLAFINCA"&amp;Tabla_Buffers_Agroinsumos[[#This Row],[CODIGO ]],TABLACONSOLIDADA[Bodega]&amp;TABLACONSOLIDADA[Codigo],0)),"")</f>
        <v>0</v>
      </c>
      <c r="EM42" s="157">
        <f t="array" ref="EM4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4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2" s="134">
        <f>IFERROR(SUM(Tabla_Buffers_Agroinsumos[[#This Row],[LF-MP]:[LF-VL]]),"")</f>
        <v>0</v>
      </c>
      <c r="EP42" s="92">
        <f>IFERROR(Tabla_Buffers_Agroinsumos[[#This Row],[INV FIS LF]]-Tabla_Buffers_Agroinsumos[[#This Row],[BUFFER LF]],"")</f>
        <v>0</v>
      </c>
      <c r="EQ42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42" s="134"/>
      <c r="ES42" s="134"/>
      <c r="ET42" s="134"/>
      <c r="EU42" s="134"/>
      <c r="EV42" s="134"/>
      <c r="EW42" s="134"/>
      <c r="EX42" s="134"/>
      <c r="EY42" s="134"/>
      <c r="EZ42" s="134"/>
      <c r="FA42" s="134">
        <f t="array" ref="FA42">IFERROR(INDEX(TABLACONSOLIDADA[Buff Act],MATCH("AGROINSUMOSVERONICALEDESMA"&amp;Tabla_Buffers_Agroinsumos[[#This Row],[CODIGO ]],TABLACONSOLIDADA[Bodega]&amp;TABLACONSOLIDADA[Codigo],0)),"")</f>
        <v>0</v>
      </c>
      <c r="FB42" s="157">
        <f t="array" ref="FB42">IFERROR(INDEX(TABLACONSOLIDADA[Inv Fís Act],MATCH("AGROINSUMOSVERONICALEDESMA"&amp;Tabla_Buffers_Agroinsumos[[#This Row],[CODIGO ]],TABLACONSOLIDADA[Bodega]&amp;TABLACONSOLIDADA[Codigo],0)),"")</f>
        <v>0</v>
      </c>
      <c r="FC42" s="157">
        <f t="array" ref="FC4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4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2" s="134">
        <f>IFERROR(SUM(Tabla_Buffers_Agroinsumos[[#This Row],[VL-MP]:[VL-LF]]),"")</f>
        <v>0</v>
      </c>
      <c r="FF42" s="92">
        <f>IFERROR(Tabla_Buffers_Agroinsumos[[#This Row],[INV FIS VL]]-Tabla_Buffers_Agroinsumos[[#This Row],[BUFFER VL]],"")</f>
        <v>0</v>
      </c>
      <c r="FG42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42" s="134"/>
      <c r="FI42" s="134"/>
      <c r="FJ42" s="134"/>
      <c r="FK42" s="134"/>
      <c r="FL42" s="134"/>
      <c r="FM42" s="134"/>
      <c r="FN42" s="134"/>
      <c r="FO42" s="134"/>
      <c r="FP42" s="134"/>
    </row>
    <row r="43" spans="1:172">
      <c r="A43" s="7" t="s">
        <v>925</v>
      </c>
      <c r="B43" s="7" t="s">
        <v>943</v>
      </c>
      <c r="C43" s="7" t="s">
        <v>944</v>
      </c>
      <c r="D43" s="7" t="s">
        <v>715</v>
      </c>
      <c r="E43" s="7" t="s">
        <v>975</v>
      </c>
      <c r="F43" s="19" t="s">
        <v>698</v>
      </c>
      <c r="G43" s="19" t="s">
        <v>698</v>
      </c>
      <c r="H43" s="19">
        <f>VLOOKUP(Tabla_Buffers_Agroinsumos[[#This Row],[CODIGO ]],TABLACONSOLIDADA[[Codigo]:[PV]],6,0)</f>
        <v>0</v>
      </c>
      <c r="I43" s="19">
        <f>VLOOKUP(Tabla_Buffers_Agroinsumos[[#This Row],[CODIGO ]],TABLACONSOLIDADA[[Codigo]:[PV]],5,0)</f>
        <v>60.43</v>
      </c>
      <c r="J43" s="19" t="s">
        <v>698</v>
      </c>
      <c r="K43" s="19" t="s">
        <v>698</v>
      </c>
      <c r="L43" s="19">
        <f>IFERROR(Tabla_Buffers_Agroinsumos[[#This Row],[BUFFER CENTRAL]]/((Tabla_Buffers_Agroinsumos[[#This Row],[TIEMPO REPOSICION ]]/Tabla_Buffers_Agroinsumos[[#This Row],[FRECUENCIA]])+1),0)</f>
        <v>0</v>
      </c>
      <c r="M43" s="19" t="str">
        <f t="array" ref="M43">IFERROR(INDEX(TABLACONSOLIDADA[Buff Act],MATCH("AGROINSUMOSMATERIAPRIMA"&amp;Tabla_Buffers_Agroinsumos[[#This Row],[CODIGO ]],TABLACONSOLIDADA[Bodega]&amp;TABLACONSOLIDADA[Codigo],0)),"")</f>
        <v/>
      </c>
      <c r="N43" s="157" t="str">
        <f t="array" ref="N43">IFERROR(INDEX(TABLACONSOLIDADA[Inv Fís Act],MATCH("AGROINSUMOSMATERIAPRIMA"&amp;Tabla_Buffers_Agroinsumos[[#This Row],[CODIGO ]],TABLACONSOLIDADA[Bodega]&amp;TABLACONSOLIDADA[Codigo],0)),"")</f>
        <v/>
      </c>
      <c r="O43" s="157" t="str">
        <f t="array" ref="O4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3" s="19">
        <f>IFERROR(SUM(Tabla_Buffers_Agroinsumos[[#This Row],[MP-C]:[MP-VL]]),"")</f>
        <v>0</v>
      </c>
      <c r="R43" s="92" t="str">
        <f>IFERROR(Tabla_Buffers_Agroinsumos[[#This Row],[INV FIS MATERIA PRIMA]]-Tabla_Buffers_Agroinsumos[[#This Row],[BUFFER MATERIA PRIMA]],"")</f>
        <v/>
      </c>
      <c r="S4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3" s="19"/>
      <c r="U43" s="19"/>
      <c r="V43" s="19"/>
      <c r="W43" s="19"/>
      <c r="X43" s="19"/>
      <c r="Y43" s="19"/>
      <c r="Z43" s="19"/>
      <c r="AA43" s="19"/>
      <c r="AB43" s="19"/>
      <c r="AC43" s="152">
        <f t="array" ref="AC43">IFERROR(INDEX(TABLACONSOLIDADA[Buff Act],MATCH("AGROINSUMOSCENTRAL"&amp;Tabla_Buffers_Agroinsumos[[#This Row],[CODIGO ]],TABLACONSOLIDADA[Bodega]&amp;TABLACONSOLIDADA[Codigo],0)),"")</f>
        <v>3</v>
      </c>
      <c r="AD43" s="157">
        <f t="array" ref="AD43">IFERROR(INDEX(TABLACONSOLIDADA[Inv Fís Act],MATCH("AGROINSUMOSCENTRAL"&amp;Tabla_Buffers_Agroinsumos[[#This Row],[CODIGO ]],TABLACONSOLIDADA[Bodega]&amp;TABLACONSOLIDADA[Codigo],0)),"")</f>
        <v>5</v>
      </c>
      <c r="AE43" s="157">
        <f t="array" ref="AE4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5</v>
      </c>
      <c r="AF4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3" s="91">
        <f>IFERROR(SUM(Tabla_Buffers_Agroinsumos[[#This Row],[C-MP]:[C-VL]]),"")</f>
        <v>0</v>
      </c>
      <c r="AH43" s="92">
        <f>IFERROR(Tabla_Buffers_Agroinsumos[[#This Row],[INV FIS CENTRAL]]-Tabla_Buffers_Agroinsumos[[#This Row],[BUFFER CENTRAL]],"")</f>
        <v>2</v>
      </c>
      <c r="AI4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</v>
      </c>
      <c r="AJ43" s="134"/>
      <c r="AK43" s="134"/>
      <c r="AL43" s="134"/>
      <c r="AM43" s="134"/>
      <c r="AN43" s="134"/>
      <c r="AO43" s="134"/>
      <c r="AP43" s="134"/>
      <c r="AQ43" s="134"/>
      <c r="AR43" s="134"/>
      <c r="AS43" s="134">
        <f t="array" ref="AS43">IFERROR(INDEX(TABLACONSOLIDADA[Buff Act],MATCH("AGROINSUMOScentralPROPIA"&amp;Tabla_Buffers_Agroinsumos[[#This Row],[CODIGO ]],TABLACONSOLIDADA[Bodega]&amp;TABLACONSOLIDADA[Codigo],0)),"")</f>
        <v>1</v>
      </c>
      <c r="AT43" s="157">
        <f t="array" ref="AT43">IFERROR(INDEX(TABLACONSOLIDADA[Inv Fís Act],MATCH("AGROINSUMOScentralPROPIA"&amp;Tabla_Buffers_Agroinsumos[[#This Row],[CODIGO ]],TABLACONSOLIDADA[Bodega]&amp;TABLACONSOLIDADA[Codigo],0)),"")</f>
        <v>0</v>
      </c>
      <c r="AU43" s="157">
        <f t="array" ref="AU4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4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3" s="134">
        <f>IFERROR(SUM(Tabla_Buffers_Agroinsumos[[#This Row],[P-MP]:[P-VL]]),"")</f>
        <v>0</v>
      </c>
      <c r="AX43" s="92">
        <f>IFERROR(Tabla_Buffers_Agroinsumos[[#This Row],[INV FIS PROPIA]]-Tabla_Buffers_Agroinsumos[[#This Row],[BUFFER PROPIA]],"")</f>
        <v>-1</v>
      </c>
      <c r="AY4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</v>
      </c>
      <c r="AZ43" s="134"/>
      <c r="BA43" s="134"/>
      <c r="BB43" s="134"/>
      <c r="BC43" s="134"/>
      <c r="BD43" s="134"/>
      <c r="BE43" s="134"/>
      <c r="BF43" s="134"/>
      <c r="BG43" s="134"/>
      <c r="BH43" s="134"/>
      <c r="BI43" s="91" t="str">
        <f t="array" ref="BI43">IFERROR(INDEX(TABLACONSOLIDADA[Buff Act],MATCH("AGROINSUMOSSTODOMINGO"&amp;Tabla_Buffers_Agroinsumos[[#This Row],[CODIGO ]],TABLACONSOLIDADA[Bodega]&amp;TABLACONSOLIDADA[Codigo],0)),"")</f>
        <v/>
      </c>
      <c r="BJ43" s="157" t="str">
        <f t="array" ref="BJ43">IFERROR(INDEX(TABLACONSOLIDADA[Inv Fís Act],MATCH("AGROINSUMOSSTODOMINGO"&amp;Tabla_Buffers_Agroinsumos[[#This Row],[CODIGO ]],TABLACONSOLIDADA[Bodega]&amp;TABLACONSOLIDADA[Codigo],0)),"")</f>
        <v/>
      </c>
      <c r="BK43" s="157" t="str">
        <f t="array" ref="BK4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3" s="91">
        <f>IFERROR(SUM(Tabla_Buffers_Agroinsumos[[#This Row],[SD-MP]:[SD-VL]]),"")</f>
        <v>0</v>
      </c>
      <c r="BN43" s="92"/>
      <c r="BO43" s="92"/>
      <c r="BP43" s="134"/>
      <c r="BQ43" s="134"/>
      <c r="BR43" s="134"/>
      <c r="BS43" s="134"/>
      <c r="BT43" s="134"/>
      <c r="BU43" s="134"/>
      <c r="BV43" s="134"/>
      <c r="BW43" s="134"/>
      <c r="BX43" s="134"/>
      <c r="BY43" s="134" t="str">
        <f t="array" ref="BY43">IFERROR(INDEX(TABLACONSOLIDADA[Buff Act],MATCH("AGROINSUMOSMONCAYOLOPEZ"&amp;Tabla_Buffers_Agroinsumos[[#This Row],[CODIGO ]],TABLACONSOLIDADA[Bodega]&amp;TABLACONSOLIDADA[Codigo],0)),"")</f>
        <v/>
      </c>
      <c r="BZ43" s="157" t="str">
        <f t="array" ref="BZ43">IFERROR(INDEX(TABLACONSOLIDADA[Inv Fís Act],MATCH("AGROINSUMOSMONCAYOLOPEZ"&amp;Tabla_Buffers_Agroinsumos[[#This Row],[CODIGO ]],TABLACONSOLIDADA[Bodega]&amp;TABLACONSOLIDADA[Codigo],0)),"")</f>
        <v/>
      </c>
      <c r="CA43" s="157" t="str">
        <f t="array" ref="CA4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3" s="134">
        <f>IFERROR(SUM(Tabla_Buffers_Agroinsumos[[#This Row],[ML-MP]:[ML-VL]]),"")</f>
        <v>0</v>
      </c>
      <c r="CD43" s="92" t="str">
        <f>IFERROR(Tabla_Buffers_Agroinsumos[[#This Row],[INV FIS ML]]-Tabla_Buffers_Agroinsumos[[#This Row],[BUFFER ML]],"")</f>
        <v/>
      </c>
      <c r="CE4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3" s="134"/>
      <c r="CG43" s="134"/>
      <c r="CH43" s="134"/>
      <c r="CI43" s="134"/>
      <c r="CJ43" s="134"/>
      <c r="CK43" s="134"/>
      <c r="CL43" s="134"/>
      <c r="CM43" s="134"/>
      <c r="CN43" s="134"/>
      <c r="CO43" s="134" t="str">
        <f t="array" ref="CO43">IFERROR(INDEX(TABLACONSOLIDADA[Buff Act],MATCH("AGROINSUMOSAGROHERMANOSLEON"&amp;Tabla_Buffers_Agroinsumos[[#This Row],[CODIGO ]],TABLACONSOLIDADA[Bodega]&amp;TABLACONSOLIDADA[Codigo],0)),"")</f>
        <v/>
      </c>
      <c r="CP43" s="157" t="str">
        <f t="array" ref="CP43">IFERROR(INDEX(TABLACONSOLIDADA[Inv Fís Act],MATCH("AGROINSUMOSAGROHERMANOSLEON"&amp;Tabla_Buffers_Agroinsumos[[#This Row],[CODIGO ]],TABLACONSOLIDADA[Bodega]&amp;TABLACONSOLIDADA[Codigo],0)),"")</f>
        <v/>
      </c>
      <c r="CQ43" s="157" t="str">
        <f t="array" ref="CQ4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3" s="134">
        <f>IFERROR(SUM(Tabla_Buffers_Agroinsumos[[#This Row],[AL-MP]:[AL-VL]]),"")</f>
        <v>0</v>
      </c>
      <c r="CT43" s="92" t="str">
        <f>IFERROR(Tabla_Buffers_Agroinsumos[[#This Row],[INV FIS AL]]-Tabla_Buffers_Agroinsumos[[#This Row],[BUFFER AL]],"")</f>
        <v/>
      </c>
      <c r="CU4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3" s="134"/>
      <c r="CW43" s="134"/>
      <c r="CX43" s="134"/>
      <c r="CY43" s="134"/>
      <c r="CZ43" s="134"/>
      <c r="DA43" s="134"/>
      <c r="DB43" s="134"/>
      <c r="DC43" s="134"/>
      <c r="DD43" s="134"/>
      <c r="DE43" s="134" t="str">
        <f t="array" ref="DE43">IFERROR(INDEX(TABLACONSOLIDADA[Buff Act],MATCH("AGROINSUMOSAGRONUEVO"&amp;Tabla_Buffers_Agroinsumos[[#This Row],[CODIGO ]],TABLACONSOLIDADA[Bodega]&amp;TABLACONSOLIDADA[Codigo],0)),"")</f>
        <v/>
      </c>
      <c r="DF43" s="157" t="str">
        <f t="array" ref="DF43">IFERROR(INDEX(TABLACONSOLIDADA[Inv Fís Act],MATCH("AGROINSUMOSAGRONUEVO"&amp;Tabla_Buffers_Agroinsumos[[#This Row],[CODIGO ]],TABLACONSOLIDADA[Bodega]&amp;TABLACONSOLIDADA[Codigo],0)),"")</f>
        <v/>
      </c>
      <c r="DG43" s="157" t="str">
        <f t="array" ref="DG4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3" s="134">
        <f>IFERROR(SUM(Tabla_Buffers_Agroinsumos[[#This Row],[AN-MP]:[AN-VL]]),"")</f>
        <v>0</v>
      </c>
      <c r="DJ43" s="92" t="str">
        <f>IFERROR(Tabla_Buffers_Agroinsumos[[#This Row],[INV FIS AN]]-Tabla_Buffers_Agroinsumos[[#This Row],[BUFFER AN]],"")</f>
        <v/>
      </c>
      <c r="DK4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3" s="134"/>
      <c r="DM43" s="134"/>
      <c r="DN43" s="134"/>
      <c r="DO43" s="134"/>
      <c r="DP43" s="134"/>
      <c r="DQ43" s="134"/>
      <c r="DR43" s="134"/>
      <c r="DS43" s="134"/>
      <c r="DT43" s="134"/>
      <c r="DU43" s="134" t="str">
        <f t="array" ref="DU43">IFERROR(INDEX(TABLACONSOLIDADA[Buff Act],MATCH("AGROINSUMOSAGROQUIMICOSSUR"&amp;Tabla_Buffers_Agroinsumos[[#This Row],[CODIGO ]],TABLACONSOLIDADA[Bodega]&amp;TABLACONSOLIDADA[Codigo],0)),"")</f>
        <v/>
      </c>
      <c r="DV43" s="157" t="str">
        <f t="array" ref="DV43">IFERROR(INDEX(TABLACONSOLIDADA[Inv Fís Act],MATCH("AGROINSUMOSAGROQUIMICOSSUR"&amp;Tabla_Buffers_Agroinsumos[[#This Row],[CODIGO ]],TABLACONSOLIDADA[Bodega]&amp;TABLACONSOLIDADA[Codigo],0)),"")</f>
        <v/>
      </c>
      <c r="DW43" s="157" t="str">
        <f t="array" ref="DW4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3" s="134">
        <f>IFERROR(SUM(Tabla_Buffers_Agroinsumos[[#This Row],[AS-MP]:[AS-VL]]),"")</f>
        <v>0</v>
      </c>
      <c r="DZ43" s="92" t="str">
        <f>IFERROR(Tabla_Buffers_Agroinsumos[[#This Row],[INV FIS AS]]-Tabla_Buffers_Agroinsumos[[#This Row],[BUFFER AS]],"")</f>
        <v/>
      </c>
      <c r="EA4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3" s="134"/>
      <c r="EC43" s="134"/>
      <c r="ED43" s="134"/>
      <c r="EE43" s="134"/>
      <c r="EF43" s="134"/>
      <c r="EG43" s="134"/>
      <c r="EH43" s="134"/>
      <c r="EI43" s="134"/>
      <c r="EJ43" s="134"/>
      <c r="EK43" s="134">
        <f t="array" ref="EK43">IFERROR(INDEX(TABLACONSOLIDADA[Buff Act],MATCH("AGROINSUMOSLAFINCA"&amp;Tabla_Buffers_Agroinsumos[[#This Row],[CODIGO ]],TABLACONSOLIDADA[Bodega]&amp;TABLACONSOLIDADA[Codigo],0)),"")</f>
        <v>0</v>
      </c>
      <c r="EL43" s="157">
        <f t="array" ref="EL43">IFERROR(INDEX(TABLACONSOLIDADA[Inv Fís Act],MATCH("AGROINSUMOSLAFINCA"&amp;Tabla_Buffers_Agroinsumos[[#This Row],[CODIGO ]],TABLACONSOLIDADA[Bodega]&amp;TABLACONSOLIDADA[Codigo],0)),"")</f>
        <v>0</v>
      </c>
      <c r="EM43" s="157">
        <f t="array" ref="EM4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4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3" s="134">
        <f>IFERROR(SUM(Tabla_Buffers_Agroinsumos[[#This Row],[LF-MP]:[LF-VL]]),"")</f>
        <v>0</v>
      </c>
      <c r="EP43" s="92">
        <f>IFERROR(Tabla_Buffers_Agroinsumos[[#This Row],[INV FIS LF]]-Tabla_Buffers_Agroinsumos[[#This Row],[BUFFER LF]],"")</f>
        <v>0</v>
      </c>
      <c r="EQ4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43" s="134"/>
      <c r="ES43" s="134"/>
      <c r="ET43" s="134"/>
      <c r="EU43" s="134"/>
      <c r="EV43" s="134"/>
      <c r="EW43" s="134"/>
      <c r="EX43" s="134"/>
      <c r="EY43" s="134"/>
      <c r="EZ43" s="134"/>
      <c r="FA43" s="134" t="str">
        <f t="array" ref="FA43">IFERROR(INDEX(TABLACONSOLIDADA[Buff Act],MATCH("AGROINSUMOSVERONICALEDESMA"&amp;Tabla_Buffers_Agroinsumos[[#This Row],[CODIGO ]],TABLACONSOLIDADA[Bodega]&amp;TABLACONSOLIDADA[Codigo],0)),"")</f>
        <v/>
      </c>
      <c r="FB43" s="157" t="str">
        <f t="array" ref="FB43">IFERROR(INDEX(TABLACONSOLIDADA[Inv Fís Act],MATCH("AGROINSUMOSVERONICALEDESMA"&amp;Tabla_Buffers_Agroinsumos[[#This Row],[CODIGO ]],TABLACONSOLIDADA[Bodega]&amp;TABLACONSOLIDADA[Codigo],0)),"")</f>
        <v/>
      </c>
      <c r="FC43" s="157" t="str">
        <f t="array" ref="FC4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3" s="134">
        <f>IFERROR(SUM(Tabla_Buffers_Agroinsumos[[#This Row],[VL-MP]:[VL-LF]]),"")</f>
        <v>0</v>
      </c>
      <c r="FF43" s="92" t="str">
        <f>IFERROR(Tabla_Buffers_Agroinsumos[[#This Row],[INV FIS VL]]-Tabla_Buffers_Agroinsumos[[#This Row],[BUFFER VL]],"")</f>
        <v/>
      </c>
      <c r="FG4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3" s="134"/>
      <c r="FI43" s="134"/>
      <c r="FJ43" s="134"/>
      <c r="FK43" s="134"/>
      <c r="FL43" s="134"/>
      <c r="FM43" s="134"/>
      <c r="FN43" s="134"/>
      <c r="FO43" s="134"/>
      <c r="FP43" s="134"/>
    </row>
    <row r="44" spans="1:172">
      <c r="A44" s="7" t="s">
        <v>130</v>
      </c>
      <c r="B44" s="7" t="s">
        <v>131</v>
      </c>
      <c r="C44" s="7" t="s">
        <v>707</v>
      </c>
      <c r="D44" s="7" t="s">
        <v>715</v>
      </c>
      <c r="E44" s="7" t="s">
        <v>975</v>
      </c>
      <c r="F44" s="19" t="s">
        <v>698</v>
      </c>
      <c r="G44" s="19" t="s">
        <v>698</v>
      </c>
      <c r="H44" s="19">
        <f>VLOOKUP(Tabla_Buffers_Agroinsumos[[#This Row],[CODIGO ]],TABLACONSOLIDADA[[Codigo]:[PV]],6,0)</f>
        <v>4.25</v>
      </c>
      <c r="I44" s="19">
        <f>VLOOKUP(Tabla_Buffers_Agroinsumos[[#This Row],[CODIGO ]],TABLACONSOLIDADA[[Codigo]:[PV]],5,0)</f>
        <v>1.64</v>
      </c>
      <c r="J44" s="19" t="s">
        <v>698</v>
      </c>
      <c r="K44" s="19" t="s">
        <v>698</v>
      </c>
      <c r="L44" s="19">
        <f>IFERROR(Tabla_Buffers_Agroinsumos[[#This Row],[BUFFER CENTRAL]]/((Tabla_Buffers_Agroinsumos[[#This Row],[TIEMPO REPOSICION ]]/Tabla_Buffers_Agroinsumos[[#This Row],[FRECUENCIA]])+1),0)</f>
        <v>0</v>
      </c>
      <c r="M44" s="19" t="str">
        <f t="array" ref="M44">IFERROR(INDEX(TABLACONSOLIDADA[Buff Act],MATCH("AGROINSUMOSMATERIAPRIMA"&amp;Tabla_Buffers_Agroinsumos[[#This Row],[CODIGO ]],TABLACONSOLIDADA[Bodega]&amp;TABLACONSOLIDADA[Codigo],0)),"")</f>
        <v/>
      </c>
      <c r="N44" s="157" t="str">
        <f t="array" ref="N44">IFERROR(INDEX(TABLACONSOLIDADA[Inv Fís Act],MATCH("AGROINSUMOSMATERIAPRIMA"&amp;Tabla_Buffers_Agroinsumos[[#This Row],[CODIGO ]],TABLACONSOLIDADA[Bodega]&amp;TABLACONSOLIDADA[Codigo],0)),"")</f>
        <v/>
      </c>
      <c r="O44" s="157" t="str">
        <f t="array" ref="O4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4" s="19">
        <f>IFERROR(SUM(Tabla_Buffers_Agroinsumos[[#This Row],[MP-C]:[MP-VL]]),"")</f>
        <v>0</v>
      </c>
      <c r="R44" s="92" t="str">
        <f>IFERROR(Tabla_Buffers_Agroinsumos[[#This Row],[INV FIS MATERIA PRIMA]]-Tabla_Buffers_Agroinsumos[[#This Row],[BUFFER MATERIA PRIMA]],"")</f>
        <v/>
      </c>
      <c r="S4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4" s="19"/>
      <c r="U44" s="19"/>
      <c r="V44" s="19"/>
      <c r="W44" s="19"/>
      <c r="X44" s="19"/>
      <c r="Y44" s="19"/>
      <c r="Z44" s="19"/>
      <c r="AA44" s="19"/>
      <c r="AB44" s="19"/>
      <c r="AC44" s="152">
        <f t="array" ref="AC44">IFERROR(INDEX(TABLACONSOLIDADA[Buff Act],MATCH("AGROINSUMOSCENTRAL"&amp;Tabla_Buffers_Agroinsumos[[#This Row],[CODIGO ]],TABLACONSOLIDADA[Bodega]&amp;TABLACONSOLIDADA[Codigo],0)),"")</f>
        <v>600</v>
      </c>
      <c r="AD44" s="157">
        <f t="array" ref="AD44">IFERROR(INDEX(TABLACONSOLIDADA[Inv Fís Act],MATCH("AGROINSUMOSCENTRAL"&amp;Tabla_Buffers_Agroinsumos[[#This Row],[CODIGO ]],TABLACONSOLIDADA[Bodega]&amp;TABLACONSOLIDADA[Codigo],0)),"")</f>
        <v>534</v>
      </c>
      <c r="AE44" s="157">
        <f t="array" ref="AE4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695</v>
      </c>
      <c r="AF4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4" s="91">
        <f>IFERROR(SUM(Tabla_Buffers_Agroinsumos[[#This Row],[C-MP]:[C-VL]]),"")</f>
        <v>0</v>
      </c>
      <c r="AH44" s="92">
        <f>IFERROR(Tabla_Buffers_Agroinsumos[[#This Row],[INV FIS CENTRAL]]-Tabla_Buffers_Agroinsumos[[#This Row],[BUFFER CENTRAL]],"")</f>
        <v>-66</v>
      </c>
      <c r="AI4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-66</v>
      </c>
      <c r="AJ44" s="134"/>
      <c r="AK44" s="134"/>
      <c r="AL44" s="134"/>
      <c r="AM44" s="134"/>
      <c r="AN44" s="134"/>
      <c r="AO44" s="134"/>
      <c r="AP44" s="134"/>
      <c r="AQ44" s="134"/>
      <c r="AR44" s="134"/>
      <c r="AS44" s="134">
        <f t="array" ref="AS44">IFERROR(INDEX(TABLACONSOLIDADA[Buff Act],MATCH("AGROINSUMOScentralPROPIA"&amp;Tabla_Buffers_Agroinsumos[[#This Row],[CODIGO ]],TABLACONSOLIDADA[Bodega]&amp;TABLACONSOLIDADA[Codigo],0)),"")</f>
        <v>240</v>
      </c>
      <c r="AT44" s="157">
        <f t="array" ref="AT44">IFERROR(INDEX(TABLACONSOLIDADA[Inv Fís Act],MATCH("AGROINSUMOScentralPROPIA"&amp;Tabla_Buffers_Agroinsumos[[#This Row],[CODIGO ]],TABLACONSOLIDADA[Bodega]&amp;TABLACONSOLIDADA[Codigo],0)),"")</f>
        <v>0</v>
      </c>
      <c r="AU44" s="157">
        <f t="array" ref="AU4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4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4" s="134">
        <f>IFERROR(SUM(Tabla_Buffers_Agroinsumos[[#This Row],[P-MP]:[P-VL]]),"")</f>
        <v>0</v>
      </c>
      <c r="AX44" s="92">
        <f>IFERROR(Tabla_Buffers_Agroinsumos[[#This Row],[INV FIS PROPIA]]-Tabla_Buffers_Agroinsumos[[#This Row],[BUFFER PROPIA]],"")</f>
        <v>-240</v>
      </c>
      <c r="AY4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-240</v>
      </c>
      <c r="AZ44" s="134"/>
      <c r="BA44" s="134"/>
      <c r="BB44" s="134"/>
      <c r="BC44" s="134"/>
      <c r="BD44" s="134"/>
      <c r="BE44" s="134"/>
      <c r="BF44" s="134"/>
      <c r="BG44" s="134"/>
      <c r="BH44" s="134"/>
      <c r="BI44" s="91">
        <f t="array" ref="BI44">IFERROR(INDEX(TABLACONSOLIDADA[Buff Act],MATCH("AGROINSUMOSSTODOMINGO"&amp;Tabla_Buffers_Agroinsumos[[#This Row],[CODIGO ]],TABLACONSOLIDADA[Bodega]&amp;TABLACONSOLIDADA[Codigo],0)),"")</f>
        <v>200</v>
      </c>
      <c r="BJ44" s="157">
        <f t="array" ref="BJ44">IFERROR(INDEX(TABLACONSOLIDADA[Inv Fís Act],MATCH("AGROINSUMOSSTODOMINGO"&amp;Tabla_Buffers_Agroinsumos[[#This Row],[CODIGO ]],TABLACONSOLIDADA[Bodega]&amp;TABLACONSOLIDADA[Codigo],0)),"")</f>
        <v>55</v>
      </c>
      <c r="BK44" s="157">
        <f t="array" ref="BK4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55</v>
      </c>
      <c r="BL4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4" s="91">
        <f>IFERROR(SUM(Tabla_Buffers_Agroinsumos[[#This Row],[SD-MP]:[SD-VL]]),"")</f>
        <v>0</v>
      </c>
      <c r="BN44" s="92"/>
      <c r="BO44" s="92"/>
      <c r="BP44" s="134"/>
      <c r="BQ44" s="134"/>
      <c r="BR44" s="134"/>
      <c r="BS44" s="134"/>
      <c r="BT44" s="134"/>
      <c r="BU44" s="134"/>
      <c r="BV44" s="134"/>
      <c r="BW44" s="134"/>
      <c r="BX44" s="134"/>
      <c r="BY44" s="134">
        <f t="array" ref="BY44">IFERROR(INDEX(TABLACONSOLIDADA[Buff Act],MATCH("AGROINSUMOSMONCAYOLOPEZ"&amp;Tabla_Buffers_Agroinsumos[[#This Row],[CODIGO ]],TABLACONSOLIDADA[Bodega]&amp;TABLACONSOLIDADA[Codigo],0)),"")</f>
        <v>15</v>
      </c>
      <c r="BZ44" s="157">
        <f t="array" ref="BZ44">IFERROR(INDEX(TABLACONSOLIDADA[Inv Fís Act],MATCH("AGROINSUMOSMONCAYOLOPEZ"&amp;Tabla_Buffers_Agroinsumos[[#This Row],[CODIGO ]],TABLACONSOLIDADA[Bodega]&amp;TABLACONSOLIDADA[Codigo],0)),"")</f>
        <v>19</v>
      </c>
      <c r="CA44" s="157">
        <f t="array" ref="CA4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19</v>
      </c>
      <c r="CB4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4" s="134">
        <f>IFERROR(SUM(Tabla_Buffers_Agroinsumos[[#This Row],[ML-MP]:[ML-VL]]),"")</f>
        <v>0</v>
      </c>
      <c r="CD44" s="92">
        <f>IFERROR(Tabla_Buffers_Agroinsumos[[#This Row],[INV FIS ML]]-Tabla_Buffers_Agroinsumos[[#This Row],[BUFFER ML]],"")</f>
        <v>4</v>
      </c>
      <c r="CE44" s="92">
        <f>IFERROR(Tabla_Buffers_Agroinsumos[[#This Row],[INV FIS ML]]+Tabla_Buffers_Agroinsumos[[#This Row],[TRANSFERENCIAS A ML]]-Tabla_Buffers_Agroinsumos[[#This Row],[BUFFER ML]]-Tabla_Buffers_Agroinsumos[[#This Row],[TRANSFERENCIAS DE ML]],"")</f>
        <v>4</v>
      </c>
      <c r="CF44" s="134"/>
      <c r="CG44" s="134"/>
      <c r="CH44" s="134"/>
      <c r="CI44" s="134"/>
      <c r="CJ44" s="134"/>
      <c r="CK44" s="134"/>
      <c r="CL44" s="134"/>
      <c r="CM44" s="134"/>
      <c r="CN44" s="134"/>
      <c r="CO44" s="134">
        <f t="array" ref="CO44">IFERROR(INDEX(TABLACONSOLIDADA[Buff Act],MATCH("AGROINSUMOSAGROHERMANOSLEON"&amp;Tabla_Buffers_Agroinsumos[[#This Row],[CODIGO ]],TABLACONSOLIDADA[Bodega]&amp;TABLACONSOLIDADA[Codigo],0)),"")</f>
        <v>40</v>
      </c>
      <c r="CP44" s="157">
        <f t="array" ref="CP44">IFERROR(INDEX(TABLACONSOLIDADA[Inv Fís Act],MATCH("AGROINSUMOSAGROHERMANOSLEON"&amp;Tabla_Buffers_Agroinsumos[[#This Row],[CODIGO ]],TABLACONSOLIDADA[Bodega]&amp;TABLACONSOLIDADA[Codigo],0)),"")</f>
        <v>66</v>
      </c>
      <c r="CQ44" s="157">
        <f t="array" ref="CQ4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66</v>
      </c>
      <c r="CR4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4" s="134">
        <f>IFERROR(SUM(Tabla_Buffers_Agroinsumos[[#This Row],[AL-MP]:[AL-VL]]),"")</f>
        <v>0</v>
      </c>
      <c r="CT44" s="92">
        <f>IFERROR(Tabla_Buffers_Agroinsumos[[#This Row],[INV FIS AL]]-Tabla_Buffers_Agroinsumos[[#This Row],[BUFFER AL]],"")</f>
        <v>26</v>
      </c>
      <c r="CU44" s="92">
        <f>IFERROR(Tabla_Buffers_Agroinsumos[[#This Row],[INV FIS AL]]+Tabla_Buffers_Agroinsumos[[#This Row],[TRANSFERENCIAS A AL]]-Tabla_Buffers_Agroinsumos[[#This Row],[BUFFER AL]]-Tabla_Buffers_Agroinsumos[[#This Row],[TRANSFERENCIAS DE AL]],"")</f>
        <v>26</v>
      </c>
      <c r="CV44" s="134"/>
      <c r="CW44" s="134"/>
      <c r="CX44" s="134"/>
      <c r="CY44" s="134"/>
      <c r="CZ44" s="134"/>
      <c r="DA44" s="134"/>
      <c r="DB44" s="134"/>
      <c r="DC44" s="134"/>
      <c r="DD44" s="134"/>
      <c r="DE44" s="134">
        <f t="array" ref="DE44">IFERROR(INDEX(TABLACONSOLIDADA[Buff Act],MATCH("AGROINSUMOSAGRONUEVO"&amp;Tabla_Buffers_Agroinsumos[[#This Row],[CODIGO ]],TABLACONSOLIDADA[Bodega]&amp;TABLACONSOLIDADA[Codigo],0)),"")</f>
        <v>10</v>
      </c>
      <c r="DF44" s="157">
        <f t="array" ref="DF44">IFERROR(INDEX(TABLACONSOLIDADA[Inv Fís Act],MATCH("AGROINSUMOSAGRONUEVO"&amp;Tabla_Buffers_Agroinsumos[[#This Row],[CODIGO ]],TABLACONSOLIDADA[Bodega]&amp;TABLACONSOLIDADA[Codigo],0)),"")</f>
        <v>13</v>
      </c>
      <c r="DG44" s="157">
        <f t="array" ref="DG4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13</v>
      </c>
      <c r="DH4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4" s="134">
        <f>IFERROR(SUM(Tabla_Buffers_Agroinsumos[[#This Row],[AN-MP]:[AN-VL]]),"")</f>
        <v>0</v>
      </c>
      <c r="DJ44" s="92">
        <f>IFERROR(Tabla_Buffers_Agroinsumos[[#This Row],[INV FIS AN]]-Tabla_Buffers_Agroinsumos[[#This Row],[BUFFER AN]],"")</f>
        <v>3</v>
      </c>
      <c r="DK44" s="92">
        <f>IFERROR(Tabla_Buffers_Agroinsumos[[#This Row],[INV FIS AN]]+Tabla_Buffers_Agroinsumos[[#This Row],[TRANSFERENCIAS A AN]]-Tabla_Buffers_Agroinsumos[[#This Row],[BUFFER AN]]-Tabla_Buffers_Agroinsumos[[#This Row],[TRANSFERENCIAS DE AN]],"")</f>
        <v>3</v>
      </c>
      <c r="DL44" s="134"/>
      <c r="DM44" s="134"/>
      <c r="DN44" s="134"/>
      <c r="DO44" s="134"/>
      <c r="DP44" s="134"/>
      <c r="DQ44" s="134"/>
      <c r="DR44" s="134"/>
      <c r="DS44" s="134"/>
      <c r="DT44" s="134"/>
      <c r="DU44" s="134">
        <f t="array" ref="DU44">IFERROR(INDEX(TABLACONSOLIDADA[Buff Act],MATCH("AGROINSUMOSAGROQUIMICOSSUR"&amp;Tabla_Buffers_Agroinsumos[[#This Row],[CODIGO ]],TABLACONSOLIDADA[Bodega]&amp;TABLACONSOLIDADA[Codigo],0)),"")</f>
        <v>0</v>
      </c>
      <c r="DV44" s="157">
        <f t="array" ref="DV44">IFERROR(INDEX(TABLACONSOLIDADA[Inv Fís Act],MATCH("AGROINSUMOSAGROQUIMICOSSUR"&amp;Tabla_Buffers_Agroinsumos[[#This Row],[CODIGO ]],TABLACONSOLIDADA[Bodega]&amp;TABLACONSOLIDADA[Codigo],0)),"")</f>
        <v>0</v>
      </c>
      <c r="DW44" s="157">
        <f t="array" ref="DW4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4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4" s="134">
        <f>IFERROR(SUM(Tabla_Buffers_Agroinsumos[[#This Row],[AS-MP]:[AS-VL]]),"")</f>
        <v>0</v>
      </c>
      <c r="DZ44" s="92">
        <f>IFERROR(Tabla_Buffers_Agroinsumos[[#This Row],[INV FIS AS]]-Tabla_Buffers_Agroinsumos[[#This Row],[BUFFER AS]],"")</f>
        <v>0</v>
      </c>
      <c r="EA44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44" s="134"/>
      <c r="EC44" s="134"/>
      <c r="ED44" s="134"/>
      <c r="EE44" s="134"/>
      <c r="EF44" s="134"/>
      <c r="EG44" s="134"/>
      <c r="EH44" s="134"/>
      <c r="EI44" s="134"/>
      <c r="EJ44" s="134"/>
      <c r="EK44" s="134">
        <f t="array" ref="EK44">IFERROR(INDEX(TABLACONSOLIDADA[Buff Act],MATCH("AGROINSUMOSLAFINCA"&amp;Tabla_Buffers_Agroinsumos[[#This Row],[CODIGO ]],TABLACONSOLIDADA[Bodega]&amp;TABLACONSOLIDADA[Codigo],0)),"")</f>
        <v>35</v>
      </c>
      <c r="EL44" s="157">
        <f t="array" ref="EL44">IFERROR(INDEX(TABLACONSOLIDADA[Inv Fís Act],MATCH("AGROINSUMOSLAFINCA"&amp;Tabla_Buffers_Agroinsumos[[#This Row],[CODIGO ]],TABLACONSOLIDADA[Bodega]&amp;TABLACONSOLIDADA[Codigo],0)),"")</f>
        <v>50</v>
      </c>
      <c r="EM44" s="157">
        <f t="array" ref="EM4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50</v>
      </c>
      <c r="EN4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4" s="134">
        <f>IFERROR(SUM(Tabla_Buffers_Agroinsumos[[#This Row],[LF-MP]:[LF-VL]]),"")</f>
        <v>0</v>
      </c>
      <c r="EP44" s="92">
        <f>IFERROR(Tabla_Buffers_Agroinsumos[[#This Row],[INV FIS LF]]-Tabla_Buffers_Agroinsumos[[#This Row],[BUFFER LF]],"")</f>
        <v>15</v>
      </c>
      <c r="EQ44" s="92">
        <f>IFERROR(Tabla_Buffers_Agroinsumos[[#This Row],[INV FIS LF]]+Tabla_Buffers_Agroinsumos[[#This Row],[TRANSFERENCIAS A LF]]-Tabla_Buffers_Agroinsumos[[#This Row],[BUFFER LF]]-Tabla_Buffers_Agroinsumos[[#This Row],[TRANSFERENCIAS DE LF]],"")</f>
        <v>15</v>
      </c>
      <c r="ER44" s="134"/>
      <c r="ES44" s="134"/>
      <c r="ET44" s="134"/>
      <c r="EU44" s="134"/>
      <c r="EV44" s="134"/>
      <c r="EW44" s="134"/>
      <c r="EX44" s="134"/>
      <c r="EY44" s="134"/>
      <c r="EZ44" s="134"/>
      <c r="FA44" s="134">
        <f t="array" ref="FA44">IFERROR(INDEX(TABLACONSOLIDADA[Buff Act],MATCH("AGROINSUMOSVERONICALEDESMA"&amp;Tabla_Buffers_Agroinsumos[[#This Row],[CODIGO ]],TABLACONSOLIDADA[Bodega]&amp;TABLACONSOLIDADA[Codigo],0)),"")</f>
        <v>21</v>
      </c>
      <c r="FB44" s="157">
        <f t="array" ref="FB44">IFERROR(INDEX(TABLACONSOLIDADA[Inv Fís Act],MATCH("AGROINSUMOSVERONICALEDESMA"&amp;Tabla_Buffers_Agroinsumos[[#This Row],[CODIGO ]],TABLACONSOLIDADA[Bodega]&amp;TABLACONSOLIDADA[Codigo],0)),"")</f>
        <v>21</v>
      </c>
      <c r="FC44" s="157">
        <f t="array" ref="FC4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21</v>
      </c>
      <c r="FD4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4" s="134">
        <f>IFERROR(SUM(Tabla_Buffers_Agroinsumos[[#This Row],[VL-MP]:[VL-LF]]),"")</f>
        <v>0</v>
      </c>
      <c r="FF44" s="92">
        <f>IFERROR(Tabla_Buffers_Agroinsumos[[#This Row],[INV FIS VL]]-Tabla_Buffers_Agroinsumos[[#This Row],[BUFFER VL]],"")</f>
        <v>0</v>
      </c>
      <c r="FG44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44" s="134"/>
      <c r="FI44" s="134"/>
      <c r="FJ44" s="134"/>
      <c r="FK44" s="134"/>
      <c r="FL44" s="134"/>
      <c r="FM44" s="134"/>
      <c r="FN44" s="134"/>
      <c r="FO44" s="134"/>
      <c r="FP44" s="134"/>
    </row>
    <row r="45" spans="1:172">
      <c r="A45" s="7" t="s">
        <v>132</v>
      </c>
      <c r="B45" s="7" t="s">
        <v>133</v>
      </c>
      <c r="C45" s="7" t="s">
        <v>707</v>
      </c>
      <c r="D45" s="7" t="s">
        <v>715</v>
      </c>
      <c r="E45" s="7" t="s">
        <v>975</v>
      </c>
      <c r="F45" s="19" t="s">
        <v>698</v>
      </c>
      <c r="G45" s="19" t="s">
        <v>698</v>
      </c>
      <c r="H45" s="19">
        <f>VLOOKUP(Tabla_Buffers_Agroinsumos[[#This Row],[CODIGO ]],TABLACONSOLIDADA[[Codigo]:[PV]],6,0)</f>
        <v>26.99</v>
      </c>
      <c r="I45" s="19">
        <f>VLOOKUP(Tabla_Buffers_Agroinsumos[[#This Row],[CODIGO ]],TABLACONSOLIDADA[[Codigo]:[PV]],5,0)</f>
        <v>12.43</v>
      </c>
      <c r="J45" s="19" t="s">
        <v>698</v>
      </c>
      <c r="K45" s="19" t="s">
        <v>698</v>
      </c>
      <c r="L45" s="19">
        <f>IFERROR(Tabla_Buffers_Agroinsumos[[#This Row],[BUFFER CENTRAL]]/((Tabla_Buffers_Agroinsumos[[#This Row],[TIEMPO REPOSICION ]]/Tabla_Buffers_Agroinsumos[[#This Row],[FRECUENCIA]])+1),0)</f>
        <v>0</v>
      </c>
      <c r="M45" s="19" t="str">
        <f t="array" ref="M45">IFERROR(INDEX(TABLACONSOLIDADA[Buff Act],MATCH("AGROINSUMOSMATERIAPRIMA"&amp;Tabla_Buffers_Agroinsumos[[#This Row],[CODIGO ]],TABLACONSOLIDADA[Bodega]&amp;TABLACONSOLIDADA[Codigo],0)),"")</f>
        <v/>
      </c>
      <c r="N45" s="157" t="str">
        <f t="array" ref="N45">IFERROR(INDEX(TABLACONSOLIDADA[Inv Fís Act],MATCH("AGROINSUMOSMATERIAPRIMA"&amp;Tabla_Buffers_Agroinsumos[[#This Row],[CODIGO ]],TABLACONSOLIDADA[Bodega]&amp;TABLACONSOLIDADA[Codigo],0)),"")</f>
        <v/>
      </c>
      <c r="O45" s="157" t="str">
        <f t="array" ref="O4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5" s="19">
        <f>IFERROR(SUM(Tabla_Buffers_Agroinsumos[[#This Row],[MP-C]:[MP-VL]]),"")</f>
        <v>0</v>
      </c>
      <c r="R45" s="92" t="str">
        <f>IFERROR(Tabla_Buffers_Agroinsumos[[#This Row],[INV FIS MATERIA PRIMA]]-Tabla_Buffers_Agroinsumos[[#This Row],[BUFFER MATERIA PRIMA]],"")</f>
        <v/>
      </c>
      <c r="S4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5" s="19"/>
      <c r="U45" s="19"/>
      <c r="V45" s="19"/>
      <c r="W45" s="19"/>
      <c r="X45" s="19"/>
      <c r="Y45" s="19"/>
      <c r="Z45" s="19"/>
      <c r="AA45" s="19"/>
      <c r="AB45" s="19"/>
      <c r="AC45" s="152">
        <f t="array" ref="AC45">IFERROR(INDEX(TABLACONSOLIDADA[Buff Act],MATCH("AGROINSUMOSCENTRAL"&amp;Tabla_Buffers_Agroinsumos[[#This Row],[CODIGO ]],TABLACONSOLIDADA[Bodega]&amp;TABLACONSOLIDADA[Codigo],0)),"")</f>
        <v>20</v>
      </c>
      <c r="AD45" s="157">
        <f t="array" ref="AD45">IFERROR(INDEX(TABLACONSOLIDADA[Inv Fís Act],MATCH("AGROINSUMOSCENTRAL"&amp;Tabla_Buffers_Agroinsumos[[#This Row],[CODIGO ]],TABLACONSOLIDADA[Bodega]&amp;TABLACONSOLIDADA[Codigo],0)),"")</f>
        <v>115</v>
      </c>
      <c r="AE45" s="157">
        <f t="array" ref="AE4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115</v>
      </c>
      <c r="AF4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5" s="91">
        <f>IFERROR(SUM(Tabla_Buffers_Agroinsumos[[#This Row],[C-MP]:[C-VL]]),"")</f>
        <v>0</v>
      </c>
      <c r="AH45" s="92">
        <f>IFERROR(Tabla_Buffers_Agroinsumos[[#This Row],[INV FIS CENTRAL]]-Tabla_Buffers_Agroinsumos[[#This Row],[BUFFER CENTRAL]],"")</f>
        <v>95</v>
      </c>
      <c r="AI4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95</v>
      </c>
      <c r="AJ45" s="134"/>
      <c r="AK45" s="134"/>
      <c r="AL45" s="134"/>
      <c r="AM45" s="134"/>
      <c r="AN45" s="134"/>
      <c r="AO45" s="134"/>
      <c r="AP45" s="134"/>
      <c r="AQ45" s="134"/>
      <c r="AR45" s="134"/>
      <c r="AS45" s="134">
        <f t="array" ref="AS45">IFERROR(INDEX(TABLACONSOLIDADA[Buff Act],MATCH("AGROINSUMOScentralPROPIA"&amp;Tabla_Buffers_Agroinsumos[[#This Row],[CODIGO ]],TABLACONSOLIDADA[Bodega]&amp;TABLACONSOLIDADA[Codigo],0)),"")</f>
        <v>18</v>
      </c>
      <c r="AT45" s="157">
        <f t="array" ref="AT45">IFERROR(INDEX(TABLACONSOLIDADA[Inv Fís Act],MATCH("AGROINSUMOScentralPROPIA"&amp;Tabla_Buffers_Agroinsumos[[#This Row],[CODIGO ]],TABLACONSOLIDADA[Bodega]&amp;TABLACONSOLIDADA[Codigo],0)),"")</f>
        <v>0</v>
      </c>
      <c r="AU45" s="157">
        <f t="array" ref="AU4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4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5" s="134">
        <f>IFERROR(SUM(Tabla_Buffers_Agroinsumos[[#This Row],[P-MP]:[P-VL]]),"")</f>
        <v>0</v>
      </c>
      <c r="AX45" s="92">
        <f>IFERROR(Tabla_Buffers_Agroinsumos[[#This Row],[INV FIS PROPIA]]-Tabla_Buffers_Agroinsumos[[#This Row],[BUFFER PROPIA]],"")</f>
        <v>-18</v>
      </c>
      <c r="AY4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-18</v>
      </c>
      <c r="AZ45" s="134"/>
      <c r="BA45" s="134"/>
      <c r="BB45" s="134"/>
      <c r="BC45" s="134"/>
      <c r="BD45" s="134"/>
      <c r="BE45" s="134"/>
      <c r="BF45" s="134"/>
      <c r="BG45" s="134"/>
      <c r="BH45" s="134"/>
      <c r="BI45" s="91">
        <f t="array" ref="BI45">IFERROR(INDEX(TABLACONSOLIDADA[Buff Act],MATCH("AGROINSUMOSSTODOMINGO"&amp;Tabla_Buffers_Agroinsumos[[#This Row],[CODIGO ]],TABLACONSOLIDADA[Bodega]&amp;TABLACONSOLIDADA[Codigo],0)),"")</f>
        <v>0</v>
      </c>
      <c r="BJ45" s="157">
        <f t="array" ref="BJ45">IFERROR(INDEX(TABLACONSOLIDADA[Inv Fís Act],MATCH("AGROINSUMOSSTODOMINGO"&amp;Tabla_Buffers_Agroinsumos[[#This Row],[CODIGO ]],TABLACONSOLIDADA[Bodega]&amp;TABLACONSOLIDADA[Codigo],0)),"")</f>
        <v>0</v>
      </c>
      <c r="BK45" s="157">
        <f t="array" ref="BK4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4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5" s="91">
        <f>IFERROR(SUM(Tabla_Buffers_Agroinsumos[[#This Row],[SD-MP]:[SD-VL]]),"")</f>
        <v>0</v>
      </c>
      <c r="BN45" s="92"/>
      <c r="BO45" s="92"/>
      <c r="BP45" s="134"/>
      <c r="BQ45" s="134"/>
      <c r="BR45" s="134"/>
      <c r="BS45" s="134"/>
      <c r="BT45" s="134"/>
      <c r="BU45" s="134"/>
      <c r="BV45" s="134"/>
      <c r="BW45" s="134"/>
      <c r="BX45" s="134"/>
      <c r="BY45" s="134">
        <f t="array" ref="BY45">IFERROR(INDEX(TABLACONSOLIDADA[Buff Act],MATCH("AGROINSUMOSMONCAYOLOPEZ"&amp;Tabla_Buffers_Agroinsumos[[#This Row],[CODIGO ]],TABLACONSOLIDADA[Bodega]&amp;TABLACONSOLIDADA[Codigo],0)),"")</f>
        <v>0</v>
      </c>
      <c r="BZ45" s="157">
        <f t="array" ref="BZ45">IFERROR(INDEX(TABLACONSOLIDADA[Inv Fís Act],MATCH("AGROINSUMOSMONCAYOLOPEZ"&amp;Tabla_Buffers_Agroinsumos[[#This Row],[CODIGO ]],TABLACONSOLIDADA[Bodega]&amp;TABLACONSOLIDADA[Codigo],0)),"")</f>
        <v>0</v>
      </c>
      <c r="CA45" s="157">
        <f t="array" ref="CA4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4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5" s="134">
        <f>IFERROR(SUM(Tabla_Buffers_Agroinsumos[[#This Row],[ML-MP]:[ML-VL]]),"")</f>
        <v>0</v>
      </c>
      <c r="CD45" s="92">
        <f>IFERROR(Tabla_Buffers_Agroinsumos[[#This Row],[INV FIS ML]]-Tabla_Buffers_Agroinsumos[[#This Row],[BUFFER ML]],"")</f>
        <v>0</v>
      </c>
      <c r="CE4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45" s="134"/>
      <c r="CG45" s="134"/>
      <c r="CH45" s="134"/>
      <c r="CI45" s="134"/>
      <c r="CJ45" s="134"/>
      <c r="CK45" s="134"/>
      <c r="CL45" s="134"/>
      <c r="CM45" s="134"/>
      <c r="CN45" s="134"/>
      <c r="CO45" s="134">
        <f t="array" ref="CO45">IFERROR(INDEX(TABLACONSOLIDADA[Buff Act],MATCH("AGROINSUMOSAGROHERMANOSLEON"&amp;Tabla_Buffers_Agroinsumos[[#This Row],[CODIGO ]],TABLACONSOLIDADA[Bodega]&amp;TABLACONSOLIDADA[Codigo],0)),"")</f>
        <v>0</v>
      </c>
      <c r="CP45" s="157">
        <f t="array" ref="CP45">IFERROR(INDEX(TABLACONSOLIDADA[Inv Fís Act],MATCH("AGROINSUMOSAGROHERMANOSLEON"&amp;Tabla_Buffers_Agroinsumos[[#This Row],[CODIGO ]],TABLACONSOLIDADA[Bodega]&amp;TABLACONSOLIDADA[Codigo],0)),"")</f>
        <v>0</v>
      </c>
      <c r="CQ45" s="157">
        <f t="array" ref="CQ4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4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5" s="134">
        <f>IFERROR(SUM(Tabla_Buffers_Agroinsumos[[#This Row],[AL-MP]:[AL-VL]]),"")</f>
        <v>0</v>
      </c>
      <c r="CT45" s="92">
        <f>IFERROR(Tabla_Buffers_Agroinsumos[[#This Row],[INV FIS AL]]-Tabla_Buffers_Agroinsumos[[#This Row],[BUFFER AL]],"")</f>
        <v>0</v>
      </c>
      <c r="CU4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45" s="134"/>
      <c r="CW45" s="134"/>
      <c r="CX45" s="134"/>
      <c r="CY45" s="134"/>
      <c r="CZ45" s="134"/>
      <c r="DA45" s="134"/>
      <c r="DB45" s="134"/>
      <c r="DC45" s="134"/>
      <c r="DD45" s="134"/>
      <c r="DE45" s="134">
        <f t="array" ref="DE45">IFERROR(INDEX(TABLACONSOLIDADA[Buff Act],MATCH("AGROINSUMOSAGRONUEVO"&amp;Tabla_Buffers_Agroinsumos[[#This Row],[CODIGO ]],TABLACONSOLIDADA[Bodega]&amp;TABLACONSOLIDADA[Codigo],0)),"")</f>
        <v>0</v>
      </c>
      <c r="DF45" s="157">
        <f t="array" ref="DF45">IFERROR(INDEX(TABLACONSOLIDADA[Inv Fís Act],MATCH("AGROINSUMOSAGRONUEVO"&amp;Tabla_Buffers_Agroinsumos[[#This Row],[CODIGO ]],TABLACONSOLIDADA[Bodega]&amp;TABLACONSOLIDADA[Codigo],0)),"")</f>
        <v>0</v>
      </c>
      <c r="DG45" s="157">
        <f t="array" ref="DG4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4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5" s="134">
        <f>IFERROR(SUM(Tabla_Buffers_Agroinsumos[[#This Row],[AN-MP]:[AN-VL]]),"")</f>
        <v>0</v>
      </c>
      <c r="DJ45" s="92">
        <f>IFERROR(Tabla_Buffers_Agroinsumos[[#This Row],[INV FIS AN]]-Tabla_Buffers_Agroinsumos[[#This Row],[BUFFER AN]],"")</f>
        <v>0</v>
      </c>
      <c r="DK4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45" s="134"/>
      <c r="DM45" s="134"/>
      <c r="DN45" s="134"/>
      <c r="DO45" s="134"/>
      <c r="DP45" s="134"/>
      <c r="DQ45" s="134"/>
      <c r="DR45" s="134"/>
      <c r="DS45" s="134"/>
      <c r="DT45" s="134"/>
      <c r="DU45" s="134">
        <f t="array" ref="DU45">IFERROR(INDEX(TABLACONSOLIDADA[Buff Act],MATCH("AGROINSUMOSAGROQUIMICOSSUR"&amp;Tabla_Buffers_Agroinsumos[[#This Row],[CODIGO ]],TABLACONSOLIDADA[Bodega]&amp;TABLACONSOLIDADA[Codigo],0)),"")</f>
        <v>0</v>
      </c>
      <c r="DV45" s="157">
        <f t="array" ref="DV45">IFERROR(INDEX(TABLACONSOLIDADA[Inv Fís Act],MATCH("AGROINSUMOSAGROQUIMICOSSUR"&amp;Tabla_Buffers_Agroinsumos[[#This Row],[CODIGO ]],TABLACONSOLIDADA[Bodega]&amp;TABLACONSOLIDADA[Codigo],0)),"")</f>
        <v>0</v>
      </c>
      <c r="DW45" s="157">
        <f t="array" ref="DW4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4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5" s="134">
        <f>IFERROR(SUM(Tabla_Buffers_Agroinsumos[[#This Row],[AS-MP]:[AS-VL]]),"")</f>
        <v>0</v>
      </c>
      <c r="DZ45" s="92">
        <f>IFERROR(Tabla_Buffers_Agroinsumos[[#This Row],[INV FIS AS]]-Tabla_Buffers_Agroinsumos[[#This Row],[BUFFER AS]],"")</f>
        <v>0</v>
      </c>
      <c r="EA4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45" s="134"/>
      <c r="EC45" s="134"/>
      <c r="ED45" s="134"/>
      <c r="EE45" s="134"/>
      <c r="EF45" s="134"/>
      <c r="EG45" s="134"/>
      <c r="EH45" s="134"/>
      <c r="EI45" s="134"/>
      <c r="EJ45" s="134"/>
      <c r="EK45" s="134">
        <f t="array" ref="EK45">IFERROR(INDEX(TABLACONSOLIDADA[Buff Act],MATCH("AGROINSUMOSLAFINCA"&amp;Tabla_Buffers_Agroinsumos[[#This Row],[CODIGO ]],TABLACONSOLIDADA[Bodega]&amp;TABLACONSOLIDADA[Codigo],0)),"")</f>
        <v>0</v>
      </c>
      <c r="EL45" s="157">
        <f t="array" ref="EL45">IFERROR(INDEX(TABLACONSOLIDADA[Inv Fís Act],MATCH("AGROINSUMOSLAFINCA"&amp;Tabla_Buffers_Agroinsumos[[#This Row],[CODIGO ]],TABLACONSOLIDADA[Bodega]&amp;TABLACONSOLIDADA[Codigo],0)),"")</f>
        <v>0</v>
      </c>
      <c r="EM45" s="157">
        <f t="array" ref="EM4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4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5" s="134">
        <f>IFERROR(SUM(Tabla_Buffers_Agroinsumos[[#This Row],[LF-MP]:[LF-VL]]),"")</f>
        <v>0</v>
      </c>
      <c r="EP45" s="92">
        <f>IFERROR(Tabla_Buffers_Agroinsumos[[#This Row],[INV FIS LF]]-Tabla_Buffers_Agroinsumos[[#This Row],[BUFFER LF]],"")</f>
        <v>0</v>
      </c>
      <c r="EQ4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45" s="134"/>
      <c r="ES45" s="134"/>
      <c r="ET45" s="134"/>
      <c r="EU45" s="134"/>
      <c r="EV45" s="134"/>
      <c r="EW45" s="134"/>
      <c r="EX45" s="134"/>
      <c r="EY45" s="134"/>
      <c r="EZ45" s="134"/>
      <c r="FA45" s="134">
        <f t="array" ref="FA45">IFERROR(INDEX(TABLACONSOLIDADA[Buff Act],MATCH("AGROINSUMOSVERONICALEDESMA"&amp;Tabla_Buffers_Agroinsumos[[#This Row],[CODIGO ]],TABLACONSOLIDADA[Bodega]&amp;TABLACONSOLIDADA[Codigo],0)),"")</f>
        <v>2</v>
      </c>
      <c r="FB45" s="157">
        <f t="array" ref="FB45">IFERROR(INDEX(TABLACONSOLIDADA[Inv Fís Act],MATCH("AGROINSUMOSVERONICALEDESMA"&amp;Tabla_Buffers_Agroinsumos[[#This Row],[CODIGO ]],TABLACONSOLIDADA[Bodega]&amp;TABLACONSOLIDADA[Codigo],0)),"")</f>
        <v>-2</v>
      </c>
      <c r="FC45" s="157">
        <f t="array" ref="FC4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2</v>
      </c>
      <c r="FD4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5" s="134">
        <f>IFERROR(SUM(Tabla_Buffers_Agroinsumos[[#This Row],[VL-MP]:[VL-LF]]),"")</f>
        <v>0</v>
      </c>
      <c r="FF45" s="92">
        <f>IFERROR(Tabla_Buffers_Agroinsumos[[#This Row],[INV FIS VL]]-Tabla_Buffers_Agroinsumos[[#This Row],[BUFFER VL]],"")</f>
        <v>-4</v>
      </c>
      <c r="FG45" s="92">
        <f>IFERROR(Tabla_Buffers_Agroinsumos[[#This Row],[INV FIS VL]]+Tabla_Buffers_Agroinsumos[[#This Row],[TRANSFERENCIAS A VL]]-Tabla_Buffers_Agroinsumos[[#This Row],[BUFFER VL]]-Tabla_Buffers_Agroinsumos[[#This Row],[TRANSFERENCIAS DE VL]],"")</f>
        <v>-4</v>
      </c>
      <c r="FH45" s="134"/>
      <c r="FI45" s="134"/>
      <c r="FJ45" s="134"/>
      <c r="FK45" s="134"/>
      <c r="FL45" s="134"/>
      <c r="FM45" s="134"/>
      <c r="FN45" s="134"/>
      <c r="FO45" s="134"/>
      <c r="FP45" s="134"/>
    </row>
    <row r="46" spans="1:172">
      <c r="A46" s="7" t="s">
        <v>134</v>
      </c>
      <c r="B46" s="7" t="s">
        <v>135</v>
      </c>
      <c r="C46" s="7" t="s">
        <v>707</v>
      </c>
      <c r="D46" s="7" t="s">
        <v>715</v>
      </c>
      <c r="E46" s="7" t="s">
        <v>975</v>
      </c>
      <c r="F46" s="19" t="s">
        <v>698</v>
      </c>
      <c r="G46" s="19" t="s">
        <v>698</v>
      </c>
      <c r="H46" s="19">
        <f>VLOOKUP(Tabla_Buffers_Agroinsumos[[#This Row],[CODIGO ]],TABLACONSOLIDADA[[Codigo]:[PV]],6,0)</f>
        <v>7.59</v>
      </c>
      <c r="I46" s="19">
        <f>VLOOKUP(Tabla_Buffers_Agroinsumos[[#This Row],[CODIGO ]],TABLACONSOLIDADA[[Codigo]:[PV]],5,0)</f>
        <v>3.47</v>
      </c>
      <c r="J46" s="19" t="s">
        <v>698</v>
      </c>
      <c r="K46" s="19" t="s">
        <v>698</v>
      </c>
      <c r="L46" s="19">
        <f>IFERROR(Tabla_Buffers_Agroinsumos[[#This Row],[BUFFER CENTRAL]]/((Tabla_Buffers_Agroinsumos[[#This Row],[TIEMPO REPOSICION ]]/Tabla_Buffers_Agroinsumos[[#This Row],[FRECUENCIA]])+1),0)</f>
        <v>0</v>
      </c>
      <c r="M46" s="19" t="str">
        <f t="array" ref="M46">IFERROR(INDEX(TABLACONSOLIDADA[Buff Act],MATCH("AGROINSUMOSMATERIAPRIMA"&amp;Tabla_Buffers_Agroinsumos[[#This Row],[CODIGO ]],TABLACONSOLIDADA[Bodega]&amp;TABLACONSOLIDADA[Codigo],0)),"")</f>
        <v/>
      </c>
      <c r="N46" s="157" t="str">
        <f t="array" ref="N46">IFERROR(INDEX(TABLACONSOLIDADA[Inv Fís Act],MATCH("AGROINSUMOSMATERIAPRIMA"&amp;Tabla_Buffers_Agroinsumos[[#This Row],[CODIGO ]],TABLACONSOLIDADA[Bodega]&amp;TABLACONSOLIDADA[Codigo],0)),"")</f>
        <v/>
      </c>
      <c r="O46" s="157" t="str">
        <f t="array" ref="O4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6" s="19">
        <f>IFERROR(SUM(Tabla_Buffers_Agroinsumos[[#This Row],[MP-C]:[MP-VL]]),"")</f>
        <v>0</v>
      </c>
      <c r="R46" s="92" t="str">
        <f>IFERROR(Tabla_Buffers_Agroinsumos[[#This Row],[INV FIS MATERIA PRIMA]]-Tabla_Buffers_Agroinsumos[[#This Row],[BUFFER MATERIA PRIMA]],"")</f>
        <v/>
      </c>
      <c r="S4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6" s="19"/>
      <c r="U46" s="19"/>
      <c r="V46" s="19"/>
      <c r="W46" s="19"/>
      <c r="X46" s="19"/>
      <c r="Y46" s="19"/>
      <c r="Z46" s="19"/>
      <c r="AA46" s="19"/>
      <c r="AB46" s="19"/>
      <c r="AC46" s="152">
        <f t="array" ref="AC46">IFERROR(INDEX(TABLACONSOLIDADA[Buff Act],MATCH("AGROINSUMOSCENTRAL"&amp;Tabla_Buffers_Agroinsumos[[#This Row],[CODIGO ]],TABLACONSOLIDADA[Bodega]&amp;TABLACONSOLIDADA[Codigo],0)),"")</f>
        <v>320</v>
      </c>
      <c r="AD46" s="157">
        <f t="array" ref="AD46">IFERROR(INDEX(TABLACONSOLIDADA[Inv Fís Act],MATCH("AGROINSUMOSCENTRAL"&amp;Tabla_Buffers_Agroinsumos[[#This Row],[CODIGO ]],TABLACONSOLIDADA[Bodega]&amp;TABLACONSOLIDADA[Codigo],0)),"")</f>
        <v>316</v>
      </c>
      <c r="AE46" s="157">
        <f t="array" ref="AE4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346</v>
      </c>
      <c r="AF4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6" s="91">
        <f>IFERROR(SUM(Tabla_Buffers_Agroinsumos[[#This Row],[C-MP]:[C-VL]]),"")</f>
        <v>0</v>
      </c>
      <c r="AH46" s="92">
        <f>IFERROR(Tabla_Buffers_Agroinsumos[[#This Row],[INV FIS CENTRAL]]-Tabla_Buffers_Agroinsumos[[#This Row],[BUFFER CENTRAL]],"")</f>
        <v>-4</v>
      </c>
      <c r="AI46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-4</v>
      </c>
      <c r="AJ46" s="134"/>
      <c r="AK46" s="134"/>
      <c r="AL46" s="134"/>
      <c r="AM46" s="134"/>
      <c r="AN46" s="134"/>
      <c r="AO46" s="134"/>
      <c r="AP46" s="134"/>
      <c r="AQ46" s="134"/>
      <c r="AR46" s="134"/>
      <c r="AS46" s="134">
        <f t="array" ref="AS46">IFERROR(INDEX(TABLACONSOLIDADA[Buff Act],MATCH("AGROINSUMOScentralPROPIA"&amp;Tabla_Buffers_Agroinsumos[[#This Row],[CODIGO ]],TABLACONSOLIDADA[Bodega]&amp;TABLACONSOLIDADA[Codigo],0)),"")</f>
        <v>120</v>
      </c>
      <c r="AT46" s="157">
        <f t="array" ref="AT46">IFERROR(INDEX(TABLACONSOLIDADA[Inv Fís Act],MATCH("AGROINSUMOScentralPROPIA"&amp;Tabla_Buffers_Agroinsumos[[#This Row],[CODIGO ]],TABLACONSOLIDADA[Bodega]&amp;TABLACONSOLIDADA[Codigo],0)),"")</f>
        <v>0</v>
      </c>
      <c r="AU46" s="157">
        <f t="array" ref="AU4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4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6" s="134">
        <f>IFERROR(SUM(Tabla_Buffers_Agroinsumos[[#This Row],[P-MP]:[P-VL]]),"")</f>
        <v>0</v>
      </c>
      <c r="AX46" s="92">
        <f>IFERROR(Tabla_Buffers_Agroinsumos[[#This Row],[INV FIS PROPIA]]-Tabla_Buffers_Agroinsumos[[#This Row],[BUFFER PROPIA]],"")</f>
        <v>-120</v>
      </c>
      <c r="AY46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-120</v>
      </c>
      <c r="AZ46" s="134"/>
      <c r="BA46" s="134"/>
      <c r="BB46" s="134"/>
      <c r="BC46" s="134"/>
      <c r="BD46" s="134"/>
      <c r="BE46" s="134"/>
      <c r="BF46" s="134"/>
      <c r="BG46" s="134"/>
      <c r="BH46" s="134"/>
      <c r="BI46" s="91">
        <f t="array" ref="BI46">IFERROR(INDEX(TABLACONSOLIDADA[Buff Act],MATCH("AGROINSUMOSSTODOMINGO"&amp;Tabla_Buffers_Agroinsumos[[#This Row],[CODIGO ]],TABLACONSOLIDADA[Bodega]&amp;TABLACONSOLIDADA[Codigo],0)),"")</f>
        <v>0</v>
      </c>
      <c r="BJ46" s="157">
        <f t="array" ref="BJ46">IFERROR(INDEX(TABLACONSOLIDADA[Inv Fís Act],MATCH("AGROINSUMOSSTODOMINGO"&amp;Tabla_Buffers_Agroinsumos[[#This Row],[CODIGO ]],TABLACONSOLIDADA[Bodega]&amp;TABLACONSOLIDADA[Codigo],0)),"")</f>
        <v>0</v>
      </c>
      <c r="BK46" s="157">
        <f t="array" ref="BK4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4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6" s="91">
        <f>IFERROR(SUM(Tabla_Buffers_Agroinsumos[[#This Row],[SD-MP]:[SD-VL]]),"")</f>
        <v>0</v>
      </c>
      <c r="BN46" s="92"/>
      <c r="BO46" s="92"/>
      <c r="BP46" s="134"/>
      <c r="BQ46" s="134"/>
      <c r="BR46" s="134"/>
      <c r="BS46" s="134"/>
      <c r="BT46" s="134"/>
      <c r="BU46" s="134"/>
      <c r="BV46" s="134"/>
      <c r="BW46" s="134"/>
      <c r="BX46" s="134"/>
      <c r="BY46" s="134">
        <f t="array" ref="BY46">IFERROR(INDEX(TABLACONSOLIDADA[Buff Act],MATCH("AGROINSUMOSMONCAYOLOPEZ"&amp;Tabla_Buffers_Agroinsumos[[#This Row],[CODIGO ]],TABLACONSOLIDADA[Bodega]&amp;TABLACONSOLIDADA[Codigo],0)),"")</f>
        <v>8</v>
      </c>
      <c r="BZ46" s="157">
        <f t="array" ref="BZ46">IFERROR(INDEX(TABLACONSOLIDADA[Inv Fís Act],MATCH("AGROINSUMOSMONCAYOLOPEZ"&amp;Tabla_Buffers_Agroinsumos[[#This Row],[CODIGO ]],TABLACONSOLIDADA[Bodega]&amp;TABLACONSOLIDADA[Codigo],0)),"")</f>
        <v>13</v>
      </c>
      <c r="CA46" s="157">
        <f t="array" ref="CA4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13</v>
      </c>
      <c r="CB4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6" s="134">
        <f>IFERROR(SUM(Tabla_Buffers_Agroinsumos[[#This Row],[ML-MP]:[ML-VL]]),"")</f>
        <v>0</v>
      </c>
      <c r="CD46" s="92">
        <f>IFERROR(Tabla_Buffers_Agroinsumos[[#This Row],[INV FIS ML]]-Tabla_Buffers_Agroinsumos[[#This Row],[BUFFER ML]],"")</f>
        <v>5</v>
      </c>
      <c r="CE46" s="92">
        <f>IFERROR(Tabla_Buffers_Agroinsumos[[#This Row],[INV FIS ML]]+Tabla_Buffers_Agroinsumos[[#This Row],[TRANSFERENCIAS A ML]]-Tabla_Buffers_Agroinsumos[[#This Row],[BUFFER ML]]-Tabla_Buffers_Agroinsumos[[#This Row],[TRANSFERENCIAS DE ML]],"")</f>
        <v>5</v>
      </c>
      <c r="CF46" s="134"/>
      <c r="CG46" s="134"/>
      <c r="CH46" s="134"/>
      <c r="CI46" s="134"/>
      <c r="CJ46" s="134"/>
      <c r="CK46" s="134"/>
      <c r="CL46" s="134"/>
      <c r="CM46" s="134"/>
      <c r="CN46" s="134"/>
      <c r="CO46" s="134">
        <f t="array" ref="CO46">IFERROR(INDEX(TABLACONSOLIDADA[Buff Act],MATCH("AGROINSUMOSAGROHERMANOSLEON"&amp;Tabla_Buffers_Agroinsumos[[#This Row],[CODIGO ]],TABLACONSOLIDADA[Bodega]&amp;TABLACONSOLIDADA[Codigo],0)),"")</f>
        <v>60</v>
      </c>
      <c r="CP46" s="157">
        <f t="array" ref="CP46">IFERROR(INDEX(TABLACONSOLIDADA[Inv Fís Act],MATCH("AGROINSUMOSAGROHERMANOSLEON"&amp;Tabla_Buffers_Agroinsumos[[#This Row],[CODIGO ]],TABLACONSOLIDADA[Bodega]&amp;TABLACONSOLIDADA[Codigo],0)),"")</f>
        <v>60</v>
      </c>
      <c r="CQ46" s="157">
        <f t="array" ref="CQ4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60</v>
      </c>
      <c r="CR4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6" s="134">
        <f>IFERROR(SUM(Tabla_Buffers_Agroinsumos[[#This Row],[AL-MP]:[AL-VL]]),"")</f>
        <v>0</v>
      </c>
      <c r="CT46" s="92">
        <f>IFERROR(Tabla_Buffers_Agroinsumos[[#This Row],[INV FIS AL]]-Tabla_Buffers_Agroinsumos[[#This Row],[BUFFER AL]],"")</f>
        <v>0</v>
      </c>
      <c r="CU46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46" s="134"/>
      <c r="CW46" s="134"/>
      <c r="CX46" s="134"/>
      <c r="CY46" s="134"/>
      <c r="CZ46" s="134"/>
      <c r="DA46" s="134"/>
      <c r="DB46" s="134"/>
      <c r="DC46" s="134"/>
      <c r="DD46" s="134"/>
      <c r="DE46" s="134">
        <f t="array" ref="DE46">IFERROR(INDEX(TABLACONSOLIDADA[Buff Act],MATCH("AGROINSUMOSAGRONUEVO"&amp;Tabla_Buffers_Agroinsumos[[#This Row],[CODIGO ]],TABLACONSOLIDADA[Bodega]&amp;TABLACONSOLIDADA[Codigo],0)),"")</f>
        <v>15</v>
      </c>
      <c r="DF46" s="157">
        <f t="array" ref="DF46">IFERROR(INDEX(TABLACONSOLIDADA[Inv Fís Act],MATCH("AGROINSUMOSAGRONUEVO"&amp;Tabla_Buffers_Agroinsumos[[#This Row],[CODIGO ]],TABLACONSOLIDADA[Bodega]&amp;TABLACONSOLIDADA[Codigo],0)),"")</f>
        <v>15</v>
      </c>
      <c r="DG46" s="157">
        <f t="array" ref="DG4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15</v>
      </c>
      <c r="DH4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6" s="134">
        <f>IFERROR(SUM(Tabla_Buffers_Agroinsumos[[#This Row],[AN-MP]:[AN-VL]]),"")</f>
        <v>0</v>
      </c>
      <c r="DJ46" s="92">
        <f>IFERROR(Tabla_Buffers_Agroinsumos[[#This Row],[INV FIS AN]]-Tabla_Buffers_Agroinsumos[[#This Row],[BUFFER AN]],"")</f>
        <v>0</v>
      </c>
      <c r="DK46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46" s="134"/>
      <c r="DM46" s="134"/>
      <c r="DN46" s="134"/>
      <c r="DO46" s="134"/>
      <c r="DP46" s="134"/>
      <c r="DQ46" s="134"/>
      <c r="DR46" s="134"/>
      <c r="DS46" s="134"/>
      <c r="DT46" s="134"/>
      <c r="DU46" s="134">
        <f t="array" ref="DU46">IFERROR(INDEX(TABLACONSOLIDADA[Buff Act],MATCH("AGROINSUMOSAGROQUIMICOSSUR"&amp;Tabla_Buffers_Agroinsumos[[#This Row],[CODIGO ]],TABLACONSOLIDADA[Bodega]&amp;TABLACONSOLIDADA[Codigo],0)),"")</f>
        <v>0</v>
      </c>
      <c r="DV46" s="157">
        <f t="array" ref="DV46">IFERROR(INDEX(TABLACONSOLIDADA[Inv Fís Act],MATCH("AGROINSUMOSAGROQUIMICOSSUR"&amp;Tabla_Buffers_Agroinsumos[[#This Row],[CODIGO ]],TABLACONSOLIDADA[Bodega]&amp;TABLACONSOLIDADA[Codigo],0)),"")</f>
        <v>0</v>
      </c>
      <c r="DW46" s="157">
        <f t="array" ref="DW4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4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6" s="134">
        <f>IFERROR(SUM(Tabla_Buffers_Agroinsumos[[#This Row],[AS-MP]:[AS-VL]]),"")</f>
        <v>0</v>
      </c>
      <c r="DZ46" s="92">
        <f>IFERROR(Tabla_Buffers_Agroinsumos[[#This Row],[INV FIS AS]]-Tabla_Buffers_Agroinsumos[[#This Row],[BUFFER AS]],"")</f>
        <v>0</v>
      </c>
      <c r="EA46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46" s="134"/>
      <c r="EC46" s="134"/>
      <c r="ED46" s="134"/>
      <c r="EE46" s="134"/>
      <c r="EF46" s="134"/>
      <c r="EG46" s="134"/>
      <c r="EH46" s="134"/>
      <c r="EI46" s="134"/>
      <c r="EJ46" s="134"/>
      <c r="EK46" s="134">
        <f t="array" ref="EK46">IFERROR(INDEX(TABLACONSOLIDADA[Buff Act],MATCH("AGROINSUMOSLAFINCA"&amp;Tabla_Buffers_Agroinsumos[[#This Row],[CODIGO ]],TABLACONSOLIDADA[Bodega]&amp;TABLACONSOLIDADA[Codigo],0)),"")</f>
        <v>0</v>
      </c>
      <c r="EL46" s="157">
        <f t="array" ref="EL46">IFERROR(INDEX(TABLACONSOLIDADA[Inv Fís Act],MATCH("AGROINSUMOSLAFINCA"&amp;Tabla_Buffers_Agroinsumos[[#This Row],[CODIGO ]],TABLACONSOLIDADA[Bodega]&amp;TABLACONSOLIDADA[Codigo],0)),"")</f>
        <v>0</v>
      </c>
      <c r="EM46" s="157">
        <f t="array" ref="EM4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4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6" s="134">
        <f>IFERROR(SUM(Tabla_Buffers_Agroinsumos[[#This Row],[LF-MP]:[LF-VL]]),"")</f>
        <v>0</v>
      </c>
      <c r="EP46" s="92">
        <f>IFERROR(Tabla_Buffers_Agroinsumos[[#This Row],[INV FIS LF]]-Tabla_Buffers_Agroinsumos[[#This Row],[BUFFER LF]],"")</f>
        <v>0</v>
      </c>
      <c r="EQ46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46" s="134"/>
      <c r="ES46" s="134"/>
      <c r="ET46" s="134"/>
      <c r="EU46" s="134"/>
      <c r="EV46" s="134"/>
      <c r="EW46" s="134"/>
      <c r="EX46" s="134"/>
      <c r="EY46" s="134"/>
      <c r="EZ46" s="134"/>
      <c r="FA46" s="134">
        <f t="array" ref="FA46">IFERROR(INDEX(TABLACONSOLIDADA[Buff Act],MATCH("AGROINSUMOSVERONICALEDESMA"&amp;Tabla_Buffers_Agroinsumos[[#This Row],[CODIGO ]],TABLACONSOLIDADA[Bodega]&amp;TABLACONSOLIDADA[Codigo],0)),"")</f>
        <v>21</v>
      </c>
      <c r="FB46" s="157">
        <f t="array" ref="FB46">IFERROR(INDEX(TABLACONSOLIDADA[Inv Fís Act],MATCH("AGROINSUMOSVERONICALEDESMA"&amp;Tabla_Buffers_Agroinsumos[[#This Row],[CODIGO ]],TABLACONSOLIDADA[Bodega]&amp;TABLACONSOLIDADA[Codigo],0)),"")</f>
        <v>21</v>
      </c>
      <c r="FC46" s="157">
        <f t="array" ref="FC4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21</v>
      </c>
      <c r="FD4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6" s="134">
        <f>IFERROR(SUM(Tabla_Buffers_Agroinsumos[[#This Row],[VL-MP]:[VL-LF]]),"")</f>
        <v>0</v>
      </c>
      <c r="FF46" s="92">
        <f>IFERROR(Tabla_Buffers_Agroinsumos[[#This Row],[INV FIS VL]]-Tabla_Buffers_Agroinsumos[[#This Row],[BUFFER VL]],"")</f>
        <v>0</v>
      </c>
      <c r="FG46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46" s="134"/>
      <c r="FI46" s="134"/>
      <c r="FJ46" s="134"/>
      <c r="FK46" s="134"/>
      <c r="FL46" s="134"/>
      <c r="FM46" s="134"/>
      <c r="FN46" s="134"/>
      <c r="FO46" s="134"/>
      <c r="FP46" s="134"/>
    </row>
    <row r="47" spans="1:172">
      <c r="A47" s="7" t="s">
        <v>136</v>
      </c>
      <c r="B47" s="7" t="s">
        <v>137</v>
      </c>
      <c r="C47" s="7" t="s">
        <v>709</v>
      </c>
      <c r="D47" s="7" t="s">
        <v>761</v>
      </c>
      <c r="E47" s="7" t="s">
        <v>863</v>
      </c>
      <c r="F47" s="19" t="s">
        <v>805</v>
      </c>
      <c r="G47" s="19" t="s">
        <v>802</v>
      </c>
      <c r="H47" s="19">
        <f>VLOOKUP(Tabla_Buffers_Agroinsumos[[#This Row],[CODIGO ]],TABLACONSOLIDADA[[Codigo]:[PV]],6,0)</f>
        <v>0</v>
      </c>
      <c r="I47" s="19">
        <f>VLOOKUP(Tabla_Buffers_Agroinsumos[[#This Row],[CODIGO ]],TABLACONSOLIDADA[[Codigo]:[PV]],5,0)</f>
        <v>62.27</v>
      </c>
      <c r="J47" s="19">
        <v>8</v>
      </c>
      <c r="K47" s="19">
        <v>4</v>
      </c>
      <c r="L47" s="19">
        <f>IFERROR(Tabla_Buffers_Agroinsumos[[#This Row],[BUFFER CENTRAL]]/((Tabla_Buffers_Agroinsumos[[#This Row],[TIEMPO REPOSICION ]]/Tabla_Buffers_Agroinsumos[[#This Row],[FRECUENCIA]])+1),0)</f>
        <v>0</v>
      </c>
      <c r="M47" s="19">
        <f t="array" ref="M47">IFERROR(INDEX(TABLACONSOLIDADA[Buff Act],MATCH("AGROINSUMOSMATERIAPRIMA"&amp;Tabla_Buffers_Agroinsumos[[#This Row],[CODIGO ]],TABLACONSOLIDADA[Bodega]&amp;TABLACONSOLIDADA[Codigo],0)),"")</f>
        <v>0</v>
      </c>
      <c r="N47" s="157">
        <f t="array" ref="N47">IFERROR(INDEX(TABLACONSOLIDADA[Inv Fís Act],MATCH("AGROINSUMOSMATERIAPRIMA"&amp;Tabla_Buffers_Agroinsumos[[#This Row],[CODIGO ]],TABLACONSOLIDADA[Bodega]&amp;TABLACONSOLIDADA[Codigo],0)),"")</f>
        <v>23.75</v>
      </c>
      <c r="O47" s="157">
        <f t="array" ref="O4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23.75</v>
      </c>
      <c r="P4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7" s="19">
        <f>IFERROR(SUM(Tabla_Buffers_Agroinsumos[[#This Row],[MP-C]:[MP-VL]]),"")</f>
        <v>0</v>
      </c>
      <c r="R47" s="92">
        <f>IFERROR(Tabla_Buffers_Agroinsumos[[#This Row],[INV FIS MATERIA PRIMA]]-Tabla_Buffers_Agroinsumos[[#This Row],[BUFFER MATERIA PRIMA]],"")</f>
        <v>23.75</v>
      </c>
      <c r="S4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23.75</v>
      </c>
      <c r="T47" s="19"/>
      <c r="U47" s="19"/>
      <c r="V47" s="19"/>
      <c r="W47" s="19"/>
      <c r="X47" s="19"/>
      <c r="Y47" s="19"/>
      <c r="Z47" s="19"/>
      <c r="AA47" s="19"/>
      <c r="AB47" s="19"/>
      <c r="AC47" s="152" t="str">
        <f t="array" ref="AC47">IFERROR(INDEX(TABLACONSOLIDADA[Buff Act],MATCH("AGROINSUMOSCENTRAL"&amp;Tabla_Buffers_Agroinsumos[[#This Row],[CODIGO ]],TABLACONSOLIDADA[Bodega]&amp;TABLACONSOLIDADA[Codigo],0)),"")</f>
        <v/>
      </c>
      <c r="AD47" s="157" t="str">
        <f t="array" ref="AD47">IFERROR(INDEX(TABLACONSOLIDADA[Inv Fís Act],MATCH("AGROINSUMOSCENTRAL"&amp;Tabla_Buffers_Agroinsumos[[#This Row],[CODIGO ]],TABLACONSOLIDADA[Bodega]&amp;TABLACONSOLIDADA[Codigo],0)),"")</f>
        <v/>
      </c>
      <c r="AE47" s="157" t="str">
        <f t="array" ref="AE4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7" s="91">
        <f>IFERROR(SUM(Tabla_Buffers_Agroinsumos[[#This Row],[C-MP]:[C-VL]]),"")</f>
        <v>0</v>
      </c>
      <c r="AH47" s="92" t="str">
        <f>IFERROR(Tabla_Buffers_Agroinsumos[[#This Row],[INV FIS CENTRAL]]-Tabla_Buffers_Agroinsumos[[#This Row],[BUFFER CENTRAL]],"")</f>
        <v/>
      </c>
      <c r="AI4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7" s="134"/>
      <c r="AK47" s="134"/>
      <c r="AL47" s="134"/>
      <c r="AM47" s="134"/>
      <c r="AN47" s="134"/>
      <c r="AO47" s="134"/>
      <c r="AP47" s="134"/>
      <c r="AQ47" s="134"/>
      <c r="AR47" s="134"/>
      <c r="AS47" s="134" t="str">
        <f t="array" ref="AS47">IFERROR(INDEX(TABLACONSOLIDADA[Buff Act],MATCH("AGROINSUMOScentralPROPIA"&amp;Tabla_Buffers_Agroinsumos[[#This Row],[CODIGO ]],TABLACONSOLIDADA[Bodega]&amp;TABLACONSOLIDADA[Codigo],0)),"")</f>
        <v/>
      </c>
      <c r="AT47" s="157" t="str">
        <f t="array" ref="AT47">IFERROR(INDEX(TABLACONSOLIDADA[Inv Fís Act],MATCH("AGROINSUMOScentralPROPIA"&amp;Tabla_Buffers_Agroinsumos[[#This Row],[CODIGO ]],TABLACONSOLIDADA[Bodega]&amp;TABLACONSOLIDADA[Codigo],0)),"")</f>
        <v/>
      </c>
      <c r="AU47" s="157" t="str">
        <f t="array" ref="AU4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7" s="134">
        <f>IFERROR(SUM(Tabla_Buffers_Agroinsumos[[#This Row],[P-MP]:[P-VL]]),"")</f>
        <v>0</v>
      </c>
      <c r="AX47" s="92" t="str">
        <f>IFERROR(Tabla_Buffers_Agroinsumos[[#This Row],[INV FIS PROPIA]]-Tabla_Buffers_Agroinsumos[[#This Row],[BUFFER PROPIA]],"")</f>
        <v/>
      </c>
      <c r="AY4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7" s="134"/>
      <c r="BA47" s="134"/>
      <c r="BB47" s="134"/>
      <c r="BC47" s="134"/>
      <c r="BD47" s="134"/>
      <c r="BE47" s="134"/>
      <c r="BF47" s="134"/>
      <c r="BG47" s="134"/>
      <c r="BH47" s="134"/>
      <c r="BI47" s="91" t="str">
        <f t="array" ref="BI47">IFERROR(INDEX(TABLACONSOLIDADA[Buff Act],MATCH("AGROINSUMOSSTODOMINGO"&amp;Tabla_Buffers_Agroinsumos[[#This Row],[CODIGO ]],TABLACONSOLIDADA[Bodega]&amp;TABLACONSOLIDADA[Codigo],0)),"")</f>
        <v/>
      </c>
      <c r="BJ47" s="157" t="str">
        <f t="array" ref="BJ47">IFERROR(INDEX(TABLACONSOLIDADA[Inv Fís Act],MATCH("AGROINSUMOSSTODOMINGO"&amp;Tabla_Buffers_Agroinsumos[[#This Row],[CODIGO ]],TABLACONSOLIDADA[Bodega]&amp;TABLACONSOLIDADA[Codigo],0)),"")</f>
        <v/>
      </c>
      <c r="BK47" s="157" t="str">
        <f t="array" ref="BK4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7" s="91">
        <f>IFERROR(SUM(Tabla_Buffers_Agroinsumos[[#This Row],[SD-MP]:[SD-VL]]),"")</f>
        <v>0</v>
      </c>
      <c r="BN47" s="92"/>
      <c r="BO47" s="92"/>
      <c r="BP47" s="134"/>
      <c r="BQ47" s="134"/>
      <c r="BR47" s="134"/>
      <c r="BS47" s="134"/>
      <c r="BT47" s="134"/>
      <c r="BU47" s="134"/>
      <c r="BV47" s="134"/>
      <c r="BW47" s="134"/>
      <c r="BX47" s="134"/>
      <c r="BY47" s="134" t="str">
        <f t="array" ref="BY47">IFERROR(INDEX(TABLACONSOLIDADA[Buff Act],MATCH("AGROINSUMOSMONCAYOLOPEZ"&amp;Tabla_Buffers_Agroinsumos[[#This Row],[CODIGO ]],TABLACONSOLIDADA[Bodega]&amp;TABLACONSOLIDADA[Codigo],0)),"")</f>
        <v/>
      </c>
      <c r="BZ47" s="157" t="str">
        <f t="array" ref="BZ47">IFERROR(INDEX(TABLACONSOLIDADA[Inv Fís Act],MATCH("AGROINSUMOSMONCAYOLOPEZ"&amp;Tabla_Buffers_Agroinsumos[[#This Row],[CODIGO ]],TABLACONSOLIDADA[Bodega]&amp;TABLACONSOLIDADA[Codigo],0)),"")</f>
        <v/>
      </c>
      <c r="CA47" s="157" t="str">
        <f t="array" ref="CA4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7" s="134">
        <f>IFERROR(SUM(Tabla_Buffers_Agroinsumos[[#This Row],[ML-MP]:[ML-VL]]),"")</f>
        <v>0</v>
      </c>
      <c r="CD47" s="92" t="str">
        <f>IFERROR(Tabla_Buffers_Agroinsumos[[#This Row],[INV FIS ML]]-Tabla_Buffers_Agroinsumos[[#This Row],[BUFFER ML]],"")</f>
        <v/>
      </c>
      <c r="CE4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7" s="134"/>
      <c r="CG47" s="134"/>
      <c r="CH47" s="134"/>
      <c r="CI47" s="134"/>
      <c r="CJ47" s="134"/>
      <c r="CK47" s="134"/>
      <c r="CL47" s="134"/>
      <c r="CM47" s="134"/>
      <c r="CN47" s="134"/>
      <c r="CO47" s="134" t="str">
        <f t="array" ref="CO47">IFERROR(INDEX(TABLACONSOLIDADA[Buff Act],MATCH("AGROINSUMOSAGROHERMANOSLEON"&amp;Tabla_Buffers_Agroinsumos[[#This Row],[CODIGO ]],TABLACONSOLIDADA[Bodega]&amp;TABLACONSOLIDADA[Codigo],0)),"")</f>
        <v/>
      </c>
      <c r="CP47" s="157" t="str">
        <f t="array" ref="CP47">IFERROR(INDEX(TABLACONSOLIDADA[Inv Fís Act],MATCH("AGROINSUMOSAGROHERMANOSLEON"&amp;Tabla_Buffers_Agroinsumos[[#This Row],[CODIGO ]],TABLACONSOLIDADA[Bodega]&amp;TABLACONSOLIDADA[Codigo],0)),"")</f>
        <v/>
      </c>
      <c r="CQ47" s="157" t="str">
        <f t="array" ref="CQ4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7" s="134">
        <f>IFERROR(SUM(Tabla_Buffers_Agroinsumos[[#This Row],[AL-MP]:[AL-VL]]),"")</f>
        <v>0</v>
      </c>
      <c r="CT47" s="92" t="str">
        <f>IFERROR(Tabla_Buffers_Agroinsumos[[#This Row],[INV FIS AL]]-Tabla_Buffers_Agroinsumos[[#This Row],[BUFFER AL]],"")</f>
        <v/>
      </c>
      <c r="CU4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7" s="134"/>
      <c r="CW47" s="134"/>
      <c r="CX47" s="134"/>
      <c r="CY47" s="134"/>
      <c r="CZ47" s="134"/>
      <c r="DA47" s="134"/>
      <c r="DB47" s="134"/>
      <c r="DC47" s="134"/>
      <c r="DD47" s="134"/>
      <c r="DE47" s="134" t="str">
        <f t="array" ref="DE47">IFERROR(INDEX(TABLACONSOLIDADA[Buff Act],MATCH("AGROINSUMOSAGRONUEVO"&amp;Tabla_Buffers_Agroinsumos[[#This Row],[CODIGO ]],TABLACONSOLIDADA[Bodega]&amp;TABLACONSOLIDADA[Codigo],0)),"")</f>
        <v/>
      </c>
      <c r="DF47" s="157" t="str">
        <f t="array" ref="DF47">IFERROR(INDEX(TABLACONSOLIDADA[Inv Fís Act],MATCH("AGROINSUMOSAGRONUEVO"&amp;Tabla_Buffers_Agroinsumos[[#This Row],[CODIGO ]],TABLACONSOLIDADA[Bodega]&amp;TABLACONSOLIDADA[Codigo],0)),"")</f>
        <v/>
      </c>
      <c r="DG47" s="157" t="str">
        <f t="array" ref="DG4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7" s="134">
        <f>IFERROR(SUM(Tabla_Buffers_Agroinsumos[[#This Row],[AN-MP]:[AN-VL]]),"")</f>
        <v>0</v>
      </c>
      <c r="DJ47" s="92" t="str">
        <f>IFERROR(Tabla_Buffers_Agroinsumos[[#This Row],[INV FIS AN]]-Tabla_Buffers_Agroinsumos[[#This Row],[BUFFER AN]],"")</f>
        <v/>
      </c>
      <c r="DK4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7" s="134"/>
      <c r="DM47" s="134"/>
      <c r="DN47" s="134"/>
      <c r="DO47" s="134"/>
      <c r="DP47" s="134"/>
      <c r="DQ47" s="134"/>
      <c r="DR47" s="134"/>
      <c r="DS47" s="134"/>
      <c r="DT47" s="134"/>
      <c r="DU47" s="134" t="str">
        <f t="array" ref="DU47">IFERROR(INDEX(TABLACONSOLIDADA[Buff Act],MATCH("AGROINSUMOSAGROQUIMICOSSUR"&amp;Tabla_Buffers_Agroinsumos[[#This Row],[CODIGO ]],TABLACONSOLIDADA[Bodega]&amp;TABLACONSOLIDADA[Codigo],0)),"")</f>
        <v/>
      </c>
      <c r="DV47" s="157" t="str">
        <f t="array" ref="DV47">IFERROR(INDEX(TABLACONSOLIDADA[Inv Fís Act],MATCH("AGROINSUMOSAGROQUIMICOSSUR"&amp;Tabla_Buffers_Agroinsumos[[#This Row],[CODIGO ]],TABLACONSOLIDADA[Bodega]&amp;TABLACONSOLIDADA[Codigo],0)),"")</f>
        <v/>
      </c>
      <c r="DW47" s="157" t="str">
        <f t="array" ref="DW4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7" s="134">
        <f>IFERROR(SUM(Tabla_Buffers_Agroinsumos[[#This Row],[AS-MP]:[AS-VL]]),"")</f>
        <v>0</v>
      </c>
      <c r="DZ47" s="92" t="str">
        <f>IFERROR(Tabla_Buffers_Agroinsumos[[#This Row],[INV FIS AS]]-Tabla_Buffers_Agroinsumos[[#This Row],[BUFFER AS]],"")</f>
        <v/>
      </c>
      <c r="EA4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7" s="134"/>
      <c r="EC47" s="134"/>
      <c r="ED47" s="134"/>
      <c r="EE47" s="134"/>
      <c r="EF47" s="134"/>
      <c r="EG47" s="134"/>
      <c r="EH47" s="134"/>
      <c r="EI47" s="134"/>
      <c r="EJ47" s="134"/>
      <c r="EK47" s="134" t="str">
        <f t="array" ref="EK47">IFERROR(INDEX(TABLACONSOLIDADA[Buff Act],MATCH("AGROINSUMOSLAFINCA"&amp;Tabla_Buffers_Agroinsumos[[#This Row],[CODIGO ]],TABLACONSOLIDADA[Bodega]&amp;TABLACONSOLIDADA[Codigo],0)),"")</f>
        <v/>
      </c>
      <c r="EL47" s="157" t="str">
        <f t="array" ref="EL47">IFERROR(INDEX(TABLACONSOLIDADA[Inv Fís Act],MATCH("AGROINSUMOSLAFINCA"&amp;Tabla_Buffers_Agroinsumos[[#This Row],[CODIGO ]],TABLACONSOLIDADA[Bodega]&amp;TABLACONSOLIDADA[Codigo],0)),"")</f>
        <v/>
      </c>
      <c r="EM47" s="157" t="str">
        <f t="array" ref="EM4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7" s="134">
        <f>IFERROR(SUM(Tabla_Buffers_Agroinsumos[[#This Row],[LF-MP]:[LF-VL]]),"")</f>
        <v>0</v>
      </c>
      <c r="EP47" s="92" t="str">
        <f>IFERROR(Tabla_Buffers_Agroinsumos[[#This Row],[INV FIS LF]]-Tabla_Buffers_Agroinsumos[[#This Row],[BUFFER LF]],"")</f>
        <v/>
      </c>
      <c r="EQ4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7" s="134"/>
      <c r="ES47" s="134"/>
      <c r="ET47" s="134"/>
      <c r="EU47" s="134"/>
      <c r="EV47" s="134"/>
      <c r="EW47" s="134"/>
      <c r="EX47" s="134"/>
      <c r="EY47" s="134"/>
      <c r="EZ47" s="134"/>
      <c r="FA47" s="134" t="str">
        <f t="array" ref="FA47">IFERROR(INDEX(TABLACONSOLIDADA[Buff Act],MATCH("AGROINSUMOSVERONICALEDESMA"&amp;Tabla_Buffers_Agroinsumos[[#This Row],[CODIGO ]],TABLACONSOLIDADA[Bodega]&amp;TABLACONSOLIDADA[Codigo],0)),"")</f>
        <v/>
      </c>
      <c r="FB47" s="157" t="str">
        <f t="array" ref="FB47">IFERROR(INDEX(TABLACONSOLIDADA[Inv Fís Act],MATCH("AGROINSUMOSVERONICALEDESMA"&amp;Tabla_Buffers_Agroinsumos[[#This Row],[CODIGO ]],TABLACONSOLIDADA[Bodega]&amp;TABLACONSOLIDADA[Codigo],0)),"")</f>
        <v/>
      </c>
      <c r="FC47" s="157" t="str">
        <f t="array" ref="FC4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7" s="134">
        <f>IFERROR(SUM(Tabla_Buffers_Agroinsumos[[#This Row],[VL-MP]:[VL-LF]]),"")</f>
        <v>0</v>
      </c>
      <c r="FF47" s="92" t="str">
        <f>IFERROR(Tabla_Buffers_Agroinsumos[[#This Row],[INV FIS VL]]-Tabla_Buffers_Agroinsumos[[#This Row],[BUFFER VL]],"")</f>
        <v/>
      </c>
      <c r="FG4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7" s="134"/>
      <c r="FI47" s="134"/>
      <c r="FJ47" s="134"/>
      <c r="FK47" s="134"/>
      <c r="FL47" s="134"/>
      <c r="FM47" s="134"/>
      <c r="FN47" s="134"/>
      <c r="FO47" s="134"/>
      <c r="FP47" s="134"/>
    </row>
    <row r="48" spans="1:172">
      <c r="A48" s="7" t="s">
        <v>138</v>
      </c>
      <c r="B48" s="7" t="s">
        <v>139</v>
      </c>
      <c r="C48" s="7" t="s">
        <v>707</v>
      </c>
      <c r="D48" s="7" t="s">
        <v>732</v>
      </c>
      <c r="E48" s="7" t="s">
        <v>975</v>
      </c>
      <c r="F48" s="19" t="s">
        <v>698</v>
      </c>
      <c r="G48" s="19" t="s">
        <v>698</v>
      </c>
      <c r="H48" s="19">
        <f>VLOOKUP(Tabla_Buffers_Agroinsumos[[#This Row],[CODIGO ]],TABLACONSOLIDADA[[Codigo]:[PV]],6,0)</f>
        <v>25</v>
      </c>
      <c r="I48" s="19">
        <f>VLOOKUP(Tabla_Buffers_Agroinsumos[[#This Row],[CODIGO ]],TABLACONSOLIDADA[[Codigo]:[PV]],5,0)</f>
        <v>15.11</v>
      </c>
      <c r="J48" s="19" t="s">
        <v>698</v>
      </c>
      <c r="K48" s="19" t="s">
        <v>698</v>
      </c>
      <c r="L48" s="19">
        <f>IFERROR(Tabla_Buffers_Agroinsumos[[#This Row],[BUFFER CENTRAL]]/((Tabla_Buffers_Agroinsumos[[#This Row],[TIEMPO REPOSICION ]]/Tabla_Buffers_Agroinsumos[[#This Row],[FRECUENCIA]])+1),0)</f>
        <v>0</v>
      </c>
      <c r="M48" s="19" t="str">
        <f t="array" ref="M48">IFERROR(INDEX(TABLACONSOLIDADA[Buff Act],MATCH("AGROINSUMOSMATERIAPRIMA"&amp;Tabla_Buffers_Agroinsumos[[#This Row],[CODIGO ]],TABLACONSOLIDADA[Bodega]&amp;TABLACONSOLIDADA[Codigo],0)),"")</f>
        <v/>
      </c>
      <c r="N48" s="157" t="str">
        <f t="array" ref="N48">IFERROR(INDEX(TABLACONSOLIDADA[Inv Fís Act],MATCH("AGROINSUMOSMATERIAPRIMA"&amp;Tabla_Buffers_Agroinsumos[[#This Row],[CODIGO ]],TABLACONSOLIDADA[Bodega]&amp;TABLACONSOLIDADA[Codigo],0)),"")</f>
        <v/>
      </c>
      <c r="O48" s="157" t="str">
        <f t="array" ref="O4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8" s="19">
        <f>IFERROR(SUM(Tabla_Buffers_Agroinsumos[[#This Row],[MP-C]:[MP-VL]]),"")</f>
        <v>0</v>
      </c>
      <c r="R48" s="92" t="str">
        <f>IFERROR(Tabla_Buffers_Agroinsumos[[#This Row],[INV FIS MATERIA PRIMA]]-Tabla_Buffers_Agroinsumos[[#This Row],[BUFFER MATERIA PRIMA]],"")</f>
        <v/>
      </c>
      <c r="S4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8" s="19"/>
      <c r="U48" s="19"/>
      <c r="V48" s="19"/>
      <c r="W48" s="19"/>
      <c r="X48" s="19"/>
      <c r="Y48" s="19"/>
      <c r="Z48" s="19"/>
      <c r="AA48" s="19"/>
      <c r="AB48" s="19"/>
      <c r="AC48" s="152">
        <f t="array" ref="AC48">IFERROR(INDEX(TABLACONSOLIDADA[Buff Act],MATCH("AGROINSUMOSCENTRAL"&amp;Tabla_Buffers_Agroinsumos[[#This Row],[CODIGO ]],TABLACONSOLIDADA[Bodega]&amp;TABLACONSOLIDADA[Codigo],0)),"")</f>
        <v>0</v>
      </c>
      <c r="AD48" s="157">
        <f t="array" ref="AD48">IFERROR(INDEX(TABLACONSOLIDADA[Inv Fís Act],MATCH("AGROINSUMOSCENTRAL"&amp;Tabla_Buffers_Agroinsumos[[#This Row],[CODIGO ]],TABLACONSOLIDADA[Bodega]&amp;TABLACONSOLIDADA[Codigo],0)),"")</f>
        <v>0</v>
      </c>
      <c r="AE48" s="157">
        <f t="array" ref="AE4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4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8" s="91">
        <f>IFERROR(SUM(Tabla_Buffers_Agroinsumos[[#This Row],[C-MP]:[C-VL]]),"")</f>
        <v>0</v>
      </c>
      <c r="AH48" s="92">
        <f>IFERROR(Tabla_Buffers_Agroinsumos[[#This Row],[INV FIS CENTRAL]]-Tabla_Buffers_Agroinsumos[[#This Row],[BUFFER CENTRAL]],"")</f>
        <v>0</v>
      </c>
      <c r="AI4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48" s="134"/>
      <c r="AK48" s="134"/>
      <c r="AL48" s="134"/>
      <c r="AM48" s="134"/>
      <c r="AN48" s="134"/>
      <c r="AO48" s="134"/>
      <c r="AP48" s="134"/>
      <c r="AQ48" s="134"/>
      <c r="AR48" s="134"/>
      <c r="AS48" s="134">
        <f t="array" ref="AS48">IFERROR(INDEX(TABLACONSOLIDADA[Buff Act],MATCH("AGROINSUMOScentralPROPIA"&amp;Tabla_Buffers_Agroinsumos[[#This Row],[CODIGO ]],TABLACONSOLIDADA[Bodega]&amp;TABLACONSOLIDADA[Codigo],0)),"")</f>
        <v>0</v>
      </c>
      <c r="AT48" s="157">
        <f t="array" ref="AT48">IFERROR(INDEX(TABLACONSOLIDADA[Inv Fís Act],MATCH("AGROINSUMOScentralPROPIA"&amp;Tabla_Buffers_Agroinsumos[[#This Row],[CODIGO ]],TABLACONSOLIDADA[Bodega]&amp;TABLACONSOLIDADA[Codigo],0)),"")</f>
        <v>0</v>
      </c>
      <c r="AU48" s="157">
        <f t="array" ref="AU4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4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8" s="134">
        <f>IFERROR(SUM(Tabla_Buffers_Agroinsumos[[#This Row],[P-MP]:[P-VL]]),"")</f>
        <v>0</v>
      </c>
      <c r="AX48" s="92">
        <f>IFERROR(Tabla_Buffers_Agroinsumos[[#This Row],[INV FIS PROPIA]]-Tabla_Buffers_Agroinsumos[[#This Row],[BUFFER PROPIA]],"")</f>
        <v>0</v>
      </c>
      <c r="AY4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48" s="134"/>
      <c r="BA48" s="134"/>
      <c r="BB48" s="134"/>
      <c r="BC48" s="134"/>
      <c r="BD48" s="134"/>
      <c r="BE48" s="134"/>
      <c r="BF48" s="134"/>
      <c r="BG48" s="134"/>
      <c r="BH48" s="134"/>
      <c r="BI48" s="91">
        <f t="array" ref="BI48">IFERROR(INDEX(TABLACONSOLIDADA[Buff Act],MATCH("AGROINSUMOSSTODOMINGO"&amp;Tabla_Buffers_Agroinsumos[[#This Row],[CODIGO ]],TABLACONSOLIDADA[Bodega]&amp;TABLACONSOLIDADA[Codigo],0)),"")</f>
        <v>0</v>
      </c>
      <c r="BJ48" s="157">
        <f t="array" ref="BJ48">IFERROR(INDEX(TABLACONSOLIDADA[Inv Fís Act],MATCH("AGROINSUMOSSTODOMINGO"&amp;Tabla_Buffers_Agroinsumos[[#This Row],[CODIGO ]],TABLACONSOLIDADA[Bodega]&amp;TABLACONSOLIDADA[Codigo],0)),"")</f>
        <v>0</v>
      </c>
      <c r="BK48" s="157">
        <f t="array" ref="BK4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4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8" s="91">
        <f>IFERROR(SUM(Tabla_Buffers_Agroinsumos[[#This Row],[SD-MP]:[SD-VL]]),"")</f>
        <v>0</v>
      </c>
      <c r="BN48" s="92"/>
      <c r="BO48" s="92"/>
      <c r="BP48" s="134"/>
      <c r="BQ48" s="134"/>
      <c r="BR48" s="134"/>
      <c r="BS48" s="134"/>
      <c r="BT48" s="134"/>
      <c r="BU48" s="134"/>
      <c r="BV48" s="134"/>
      <c r="BW48" s="134"/>
      <c r="BX48" s="134"/>
      <c r="BY48" s="134">
        <f t="array" ref="BY48">IFERROR(INDEX(TABLACONSOLIDADA[Buff Act],MATCH("AGROINSUMOSMONCAYOLOPEZ"&amp;Tabla_Buffers_Agroinsumos[[#This Row],[CODIGO ]],TABLACONSOLIDADA[Bodega]&amp;TABLACONSOLIDADA[Codigo],0)),"")</f>
        <v>0</v>
      </c>
      <c r="BZ48" s="157">
        <f t="array" ref="BZ48">IFERROR(INDEX(TABLACONSOLIDADA[Inv Fís Act],MATCH("AGROINSUMOSMONCAYOLOPEZ"&amp;Tabla_Buffers_Agroinsumos[[#This Row],[CODIGO ]],TABLACONSOLIDADA[Bodega]&amp;TABLACONSOLIDADA[Codigo],0)),"")</f>
        <v>0</v>
      </c>
      <c r="CA48" s="157">
        <f t="array" ref="CA4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4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8" s="134">
        <f>IFERROR(SUM(Tabla_Buffers_Agroinsumos[[#This Row],[ML-MP]:[ML-VL]]),"")</f>
        <v>0</v>
      </c>
      <c r="CD48" s="92">
        <f>IFERROR(Tabla_Buffers_Agroinsumos[[#This Row],[INV FIS ML]]-Tabla_Buffers_Agroinsumos[[#This Row],[BUFFER ML]],"")</f>
        <v>0</v>
      </c>
      <c r="CE4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48" s="134"/>
      <c r="CG48" s="134"/>
      <c r="CH48" s="134"/>
      <c r="CI48" s="134"/>
      <c r="CJ48" s="134"/>
      <c r="CK48" s="134"/>
      <c r="CL48" s="134"/>
      <c r="CM48" s="134"/>
      <c r="CN48" s="134"/>
      <c r="CO48" s="134">
        <f t="array" ref="CO48">IFERROR(INDEX(TABLACONSOLIDADA[Buff Act],MATCH("AGROINSUMOSAGROHERMANOSLEON"&amp;Tabla_Buffers_Agroinsumos[[#This Row],[CODIGO ]],TABLACONSOLIDADA[Bodega]&amp;TABLACONSOLIDADA[Codigo],0)),"")</f>
        <v>0</v>
      </c>
      <c r="CP48" s="157">
        <f t="array" ref="CP48">IFERROR(INDEX(TABLACONSOLIDADA[Inv Fís Act],MATCH("AGROINSUMOSAGROHERMANOSLEON"&amp;Tabla_Buffers_Agroinsumos[[#This Row],[CODIGO ]],TABLACONSOLIDADA[Bodega]&amp;TABLACONSOLIDADA[Codigo],0)),"")</f>
        <v>0</v>
      </c>
      <c r="CQ48" s="157">
        <f t="array" ref="CQ4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4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8" s="134">
        <f>IFERROR(SUM(Tabla_Buffers_Agroinsumos[[#This Row],[AL-MP]:[AL-VL]]),"")</f>
        <v>0</v>
      </c>
      <c r="CT48" s="92">
        <f>IFERROR(Tabla_Buffers_Agroinsumos[[#This Row],[INV FIS AL]]-Tabla_Buffers_Agroinsumos[[#This Row],[BUFFER AL]],"")</f>
        <v>0</v>
      </c>
      <c r="CU4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48" s="134"/>
      <c r="CW48" s="134"/>
      <c r="CX48" s="134"/>
      <c r="CY48" s="134"/>
      <c r="CZ48" s="134"/>
      <c r="DA48" s="134"/>
      <c r="DB48" s="134"/>
      <c r="DC48" s="134"/>
      <c r="DD48" s="134"/>
      <c r="DE48" s="134">
        <f t="array" ref="DE48">IFERROR(INDEX(TABLACONSOLIDADA[Buff Act],MATCH("AGROINSUMOSAGRONUEVO"&amp;Tabla_Buffers_Agroinsumos[[#This Row],[CODIGO ]],TABLACONSOLIDADA[Bodega]&amp;TABLACONSOLIDADA[Codigo],0)),"")</f>
        <v>0</v>
      </c>
      <c r="DF48" s="157">
        <f t="array" ref="DF48">IFERROR(INDEX(TABLACONSOLIDADA[Inv Fís Act],MATCH("AGROINSUMOSAGRONUEVO"&amp;Tabla_Buffers_Agroinsumos[[#This Row],[CODIGO ]],TABLACONSOLIDADA[Bodega]&amp;TABLACONSOLIDADA[Codigo],0)),"")</f>
        <v>0</v>
      </c>
      <c r="DG48" s="157">
        <f t="array" ref="DG4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4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8" s="134">
        <f>IFERROR(SUM(Tabla_Buffers_Agroinsumos[[#This Row],[AN-MP]:[AN-VL]]),"")</f>
        <v>0</v>
      </c>
      <c r="DJ48" s="92">
        <f>IFERROR(Tabla_Buffers_Agroinsumos[[#This Row],[INV FIS AN]]-Tabla_Buffers_Agroinsumos[[#This Row],[BUFFER AN]],"")</f>
        <v>0</v>
      </c>
      <c r="DK4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48" s="134"/>
      <c r="DM48" s="134"/>
      <c r="DN48" s="134"/>
      <c r="DO48" s="134"/>
      <c r="DP48" s="134"/>
      <c r="DQ48" s="134"/>
      <c r="DR48" s="134"/>
      <c r="DS48" s="134"/>
      <c r="DT48" s="134"/>
      <c r="DU48" s="134">
        <f t="array" ref="DU48">IFERROR(INDEX(TABLACONSOLIDADA[Buff Act],MATCH("AGROINSUMOSAGROQUIMICOSSUR"&amp;Tabla_Buffers_Agroinsumos[[#This Row],[CODIGO ]],TABLACONSOLIDADA[Bodega]&amp;TABLACONSOLIDADA[Codigo],0)),"")</f>
        <v>0</v>
      </c>
      <c r="DV48" s="157">
        <f t="array" ref="DV48">IFERROR(INDEX(TABLACONSOLIDADA[Inv Fís Act],MATCH("AGROINSUMOSAGROQUIMICOSSUR"&amp;Tabla_Buffers_Agroinsumos[[#This Row],[CODIGO ]],TABLACONSOLIDADA[Bodega]&amp;TABLACONSOLIDADA[Codigo],0)),"")</f>
        <v>0</v>
      </c>
      <c r="DW48" s="157">
        <f t="array" ref="DW4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4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8" s="134">
        <f>IFERROR(SUM(Tabla_Buffers_Agroinsumos[[#This Row],[AS-MP]:[AS-VL]]),"")</f>
        <v>0</v>
      </c>
      <c r="DZ48" s="92">
        <f>IFERROR(Tabla_Buffers_Agroinsumos[[#This Row],[INV FIS AS]]-Tabla_Buffers_Agroinsumos[[#This Row],[BUFFER AS]],"")</f>
        <v>0</v>
      </c>
      <c r="EA4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48" s="134"/>
      <c r="EC48" s="134"/>
      <c r="ED48" s="134"/>
      <c r="EE48" s="134"/>
      <c r="EF48" s="134"/>
      <c r="EG48" s="134"/>
      <c r="EH48" s="134"/>
      <c r="EI48" s="134"/>
      <c r="EJ48" s="134"/>
      <c r="EK48" s="134">
        <f t="array" ref="EK48">IFERROR(INDEX(TABLACONSOLIDADA[Buff Act],MATCH("AGROINSUMOSLAFINCA"&amp;Tabla_Buffers_Agroinsumos[[#This Row],[CODIGO ]],TABLACONSOLIDADA[Bodega]&amp;TABLACONSOLIDADA[Codigo],0)),"")</f>
        <v>0</v>
      </c>
      <c r="EL48" s="157">
        <f t="array" ref="EL48">IFERROR(INDEX(TABLACONSOLIDADA[Inv Fís Act],MATCH("AGROINSUMOSLAFINCA"&amp;Tabla_Buffers_Agroinsumos[[#This Row],[CODIGO ]],TABLACONSOLIDADA[Bodega]&amp;TABLACONSOLIDADA[Codigo],0)),"")</f>
        <v>0</v>
      </c>
      <c r="EM48" s="157">
        <f t="array" ref="EM4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4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8" s="134">
        <f>IFERROR(SUM(Tabla_Buffers_Agroinsumos[[#This Row],[LF-MP]:[LF-VL]]),"")</f>
        <v>0</v>
      </c>
      <c r="EP48" s="92">
        <f>IFERROR(Tabla_Buffers_Agroinsumos[[#This Row],[INV FIS LF]]-Tabla_Buffers_Agroinsumos[[#This Row],[BUFFER LF]],"")</f>
        <v>0</v>
      </c>
      <c r="EQ4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48" s="134"/>
      <c r="ES48" s="134"/>
      <c r="ET48" s="134"/>
      <c r="EU48" s="134"/>
      <c r="EV48" s="134"/>
      <c r="EW48" s="134"/>
      <c r="EX48" s="134"/>
      <c r="EY48" s="134"/>
      <c r="EZ48" s="134"/>
      <c r="FA48" s="134">
        <f t="array" ref="FA48">IFERROR(INDEX(TABLACONSOLIDADA[Buff Act],MATCH("AGROINSUMOSVERONICALEDESMA"&amp;Tabla_Buffers_Agroinsumos[[#This Row],[CODIGO ]],TABLACONSOLIDADA[Bodega]&amp;TABLACONSOLIDADA[Codigo],0)),"")</f>
        <v>0</v>
      </c>
      <c r="FB48" s="157">
        <f t="array" ref="FB48">IFERROR(INDEX(TABLACONSOLIDADA[Inv Fís Act],MATCH("AGROINSUMOSVERONICALEDESMA"&amp;Tabla_Buffers_Agroinsumos[[#This Row],[CODIGO ]],TABLACONSOLIDADA[Bodega]&amp;TABLACONSOLIDADA[Codigo],0)),"")</f>
        <v>0</v>
      </c>
      <c r="FC48" s="157">
        <f t="array" ref="FC4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4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8" s="134">
        <f>IFERROR(SUM(Tabla_Buffers_Agroinsumos[[#This Row],[VL-MP]:[VL-LF]]),"")</f>
        <v>0</v>
      </c>
      <c r="FF48" s="92">
        <f>IFERROR(Tabla_Buffers_Agroinsumos[[#This Row],[INV FIS VL]]-Tabla_Buffers_Agroinsumos[[#This Row],[BUFFER VL]],"")</f>
        <v>0</v>
      </c>
      <c r="FG4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48" s="134"/>
      <c r="FI48" s="134"/>
      <c r="FJ48" s="134"/>
      <c r="FK48" s="134"/>
      <c r="FL48" s="134"/>
      <c r="FM48" s="134"/>
      <c r="FN48" s="134"/>
      <c r="FO48" s="134"/>
      <c r="FP48" s="134"/>
    </row>
    <row r="49" spans="1:172">
      <c r="A49" s="7" t="s">
        <v>140</v>
      </c>
      <c r="B49" s="7" t="s">
        <v>141</v>
      </c>
      <c r="C49" s="7" t="s">
        <v>707</v>
      </c>
      <c r="D49" s="7" t="s">
        <v>732</v>
      </c>
      <c r="E49" s="7" t="s">
        <v>975</v>
      </c>
      <c r="F49" s="19" t="s">
        <v>698</v>
      </c>
      <c r="G49" s="19" t="s">
        <v>698</v>
      </c>
      <c r="H49" s="19">
        <f>VLOOKUP(Tabla_Buffers_Agroinsumos[[#This Row],[CODIGO ]],TABLACONSOLIDADA[[Codigo]:[PV]],6,0)</f>
        <v>372</v>
      </c>
      <c r="I49" s="19">
        <f>VLOOKUP(Tabla_Buffers_Agroinsumos[[#This Row],[CODIGO ]],TABLACONSOLIDADA[[Codigo]:[PV]],5,0)</f>
        <v>267</v>
      </c>
      <c r="J49" s="19" t="s">
        <v>698</v>
      </c>
      <c r="K49" s="19" t="s">
        <v>698</v>
      </c>
      <c r="L49" s="19">
        <f>IFERROR(Tabla_Buffers_Agroinsumos[[#This Row],[BUFFER CENTRAL]]/((Tabla_Buffers_Agroinsumos[[#This Row],[TIEMPO REPOSICION ]]/Tabla_Buffers_Agroinsumos[[#This Row],[FRECUENCIA]])+1),0)</f>
        <v>0</v>
      </c>
      <c r="M49" s="19" t="str">
        <f t="array" ref="M49">IFERROR(INDEX(TABLACONSOLIDADA[Buff Act],MATCH("AGROINSUMOSMATERIAPRIMA"&amp;Tabla_Buffers_Agroinsumos[[#This Row],[CODIGO ]],TABLACONSOLIDADA[Bodega]&amp;TABLACONSOLIDADA[Codigo],0)),"")</f>
        <v/>
      </c>
      <c r="N49" s="157" t="str">
        <f t="array" ref="N49">IFERROR(INDEX(TABLACONSOLIDADA[Inv Fís Act],MATCH("AGROINSUMOSMATERIAPRIMA"&amp;Tabla_Buffers_Agroinsumos[[#This Row],[CODIGO ]],TABLACONSOLIDADA[Bodega]&amp;TABLACONSOLIDADA[Codigo],0)),"")</f>
        <v/>
      </c>
      <c r="O49" s="157" t="str">
        <f t="array" ref="O4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9" s="19">
        <f>IFERROR(SUM(Tabla_Buffers_Agroinsumos[[#This Row],[MP-C]:[MP-VL]]),"")</f>
        <v>0</v>
      </c>
      <c r="R49" s="92" t="str">
        <f>IFERROR(Tabla_Buffers_Agroinsumos[[#This Row],[INV FIS MATERIA PRIMA]]-Tabla_Buffers_Agroinsumos[[#This Row],[BUFFER MATERIA PRIMA]],"")</f>
        <v/>
      </c>
      <c r="S4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9" s="19"/>
      <c r="U49" s="19"/>
      <c r="V49" s="19"/>
      <c r="W49" s="19"/>
      <c r="X49" s="19"/>
      <c r="Y49" s="19"/>
      <c r="Z49" s="19"/>
      <c r="AA49" s="19"/>
      <c r="AB49" s="19"/>
      <c r="AC49" s="152">
        <f t="array" ref="AC49">IFERROR(INDEX(TABLACONSOLIDADA[Buff Act],MATCH("AGROINSUMOSCENTRAL"&amp;Tabla_Buffers_Agroinsumos[[#This Row],[CODIGO ]],TABLACONSOLIDADA[Bodega]&amp;TABLACONSOLIDADA[Codigo],0)),"")</f>
        <v>0</v>
      </c>
      <c r="AD49" s="157">
        <f t="array" ref="AD49">IFERROR(INDEX(TABLACONSOLIDADA[Inv Fís Act],MATCH("AGROINSUMOSCENTRAL"&amp;Tabla_Buffers_Agroinsumos[[#This Row],[CODIGO ]],TABLACONSOLIDADA[Bodega]&amp;TABLACONSOLIDADA[Codigo],0)),"")</f>
        <v>3</v>
      </c>
      <c r="AE49" s="157">
        <f t="array" ref="AE4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</v>
      </c>
      <c r="AF4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9" s="91">
        <f>IFERROR(SUM(Tabla_Buffers_Agroinsumos[[#This Row],[C-MP]:[C-VL]]),"")</f>
        <v>0</v>
      </c>
      <c r="AH49" s="92">
        <f>IFERROR(Tabla_Buffers_Agroinsumos[[#This Row],[INV FIS CENTRAL]]-Tabla_Buffers_Agroinsumos[[#This Row],[BUFFER CENTRAL]],"")</f>
        <v>3</v>
      </c>
      <c r="AI4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3</v>
      </c>
      <c r="AJ49" s="134"/>
      <c r="AK49" s="134"/>
      <c r="AL49" s="134"/>
      <c r="AM49" s="134"/>
      <c r="AN49" s="134"/>
      <c r="AO49" s="134"/>
      <c r="AP49" s="134"/>
      <c r="AQ49" s="134"/>
      <c r="AR49" s="134"/>
      <c r="AS49" s="134">
        <f t="array" ref="AS49">IFERROR(INDEX(TABLACONSOLIDADA[Buff Act],MATCH("AGROINSUMOScentralPROPIA"&amp;Tabla_Buffers_Agroinsumos[[#This Row],[CODIGO ]],TABLACONSOLIDADA[Bodega]&amp;TABLACONSOLIDADA[Codigo],0)),"")</f>
        <v>1</v>
      </c>
      <c r="AT49" s="157">
        <f t="array" ref="AT49">IFERROR(INDEX(TABLACONSOLIDADA[Inv Fís Act],MATCH("AGROINSUMOScentralPROPIA"&amp;Tabla_Buffers_Agroinsumos[[#This Row],[CODIGO ]],TABLACONSOLIDADA[Bodega]&amp;TABLACONSOLIDADA[Codigo],0)),"")</f>
        <v>0</v>
      </c>
      <c r="AU49" s="157">
        <f t="array" ref="AU4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4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9" s="134">
        <f>IFERROR(SUM(Tabla_Buffers_Agroinsumos[[#This Row],[P-MP]:[P-VL]]),"")</f>
        <v>0</v>
      </c>
      <c r="AX49" s="92">
        <f>IFERROR(Tabla_Buffers_Agroinsumos[[#This Row],[INV FIS PROPIA]]-Tabla_Buffers_Agroinsumos[[#This Row],[BUFFER PROPIA]],"")</f>
        <v>-1</v>
      </c>
      <c r="AY4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</v>
      </c>
      <c r="AZ49" s="134"/>
      <c r="BA49" s="134"/>
      <c r="BB49" s="134"/>
      <c r="BC49" s="134"/>
      <c r="BD49" s="134"/>
      <c r="BE49" s="134"/>
      <c r="BF49" s="134"/>
      <c r="BG49" s="134"/>
      <c r="BH49" s="134"/>
      <c r="BI49" s="91">
        <f t="array" ref="BI49">IFERROR(INDEX(TABLACONSOLIDADA[Buff Act],MATCH("AGROINSUMOSSTODOMINGO"&amp;Tabla_Buffers_Agroinsumos[[#This Row],[CODIGO ]],TABLACONSOLIDADA[Bodega]&amp;TABLACONSOLIDADA[Codigo],0)),"")</f>
        <v>0</v>
      </c>
      <c r="BJ49" s="157">
        <f t="array" ref="BJ49">IFERROR(INDEX(TABLACONSOLIDADA[Inv Fís Act],MATCH("AGROINSUMOSSTODOMINGO"&amp;Tabla_Buffers_Agroinsumos[[#This Row],[CODIGO ]],TABLACONSOLIDADA[Bodega]&amp;TABLACONSOLIDADA[Codigo],0)),"")</f>
        <v>0</v>
      </c>
      <c r="BK49" s="157">
        <f t="array" ref="BK4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4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9" s="91">
        <f>IFERROR(SUM(Tabla_Buffers_Agroinsumos[[#This Row],[SD-MP]:[SD-VL]]),"")</f>
        <v>0</v>
      </c>
      <c r="BN49" s="92"/>
      <c r="BO49" s="92"/>
      <c r="BP49" s="134"/>
      <c r="BQ49" s="134"/>
      <c r="BR49" s="134"/>
      <c r="BS49" s="134"/>
      <c r="BT49" s="134"/>
      <c r="BU49" s="134"/>
      <c r="BV49" s="134"/>
      <c r="BW49" s="134"/>
      <c r="BX49" s="134"/>
      <c r="BY49" s="134">
        <f t="array" ref="BY49">IFERROR(INDEX(TABLACONSOLIDADA[Buff Act],MATCH("AGROINSUMOSMONCAYOLOPEZ"&amp;Tabla_Buffers_Agroinsumos[[#This Row],[CODIGO ]],TABLACONSOLIDADA[Bodega]&amp;TABLACONSOLIDADA[Codigo],0)),"")</f>
        <v>0</v>
      </c>
      <c r="BZ49" s="157">
        <f t="array" ref="BZ49">IFERROR(INDEX(TABLACONSOLIDADA[Inv Fís Act],MATCH("AGROINSUMOSMONCAYOLOPEZ"&amp;Tabla_Buffers_Agroinsumos[[#This Row],[CODIGO ]],TABLACONSOLIDADA[Bodega]&amp;TABLACONSOLIDADA[Codigo],0)),"")</f>
        <v>0</v>
      </c>
      <c r="CA49" s="157">
        <f t="array" ref="CA4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4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9" s="134">
        <f>IFERROR(SUM(Tabla_Buffers_Agroinsumos[[#This Row],[ML-MP]:[ML-VL]]),"")</f>
        <v>0</v>
      </c>
      <c r="CD49" s="92">
        <f>IFERROR(Tabla_Buffers_Agroinsumos[[#This Row],[INV FIS ML]]-Tabla_Buffers_Agroinsumos[[#This Row],[BUFFER ML]],"")</f>
        <v>0</v>
      </c>
      <c r="CE4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49" s="134"/>
      <c r="CG49" s="134"/>
      <c r="CH49" s="134"/>
      <c r="CI49" s="134"/>
      <c r="CJ49" s="134"/>
      <c r="CK49" s="134"/>
      <c r="CL49" s="134"/>
      <c r="CM49" s="134"/>
      <c r="CN49" s="134"/>
      <c r="CO49" s="134">
        <f t="array" ref="CO49">IFERROR(INDEX(TABLACONSOLIDADA[Buff Act],MATCH("AGROINSUMOSAGROHERMANOSLEON"&amp;Tabla_Buffers_Agroinsumos[[#This Row],[CODIGO ]],TABLACONSOLIDADA[Bodega]&amp;TABLACONSOLIDADA[Codigo],0)),"")</f>
        <v>0</v>
      </c>
      <c r="CP49" s="157">
        <f t="array" ref="CP49">IFERROR(INDEX(TABLACONSOLIDADA[Inv Fís Act],MATCH("AGROINSUMOSAGROHERMANOSLEON"&amp;Tabla_Buffers_Agroinsumos[[#This Row],[CODIGO ]],TABLACONSOLIDADA[Bodega]&amp;TABLACONSOLIDADA[Codigo],0)),"")</f>
        <v>0</v>
      </c>
      <c r="CQ49" s="157">
        <f t="array" ref="CQ4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4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9" s="134">
        <f>IFERROR(SUM(Tabla_Buffers_Agroinsumos[[#This Row],[AL-MP]:[AL-VL]]),"")</f>
        <v>0</v>
      </c>
      <c r="CT49" s="92">
        <f>IFERROR(Tabla_Buffers_Agroinsumos[[#This Row],[INV FIS AL]]-Tabla_Buffers_Agroinsumos[[#This Row],[BUFFER AL]],"")</f>
        <v>0</v>
      </c>
      <c r="CU49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49" s="134"/>
      <c r="CW49" s="134"/>
      <c r="CX49" s="134"/>
      <c r="CY49" s="134"/>
      <c r="CZ49" s="134"/>
      <c r="DA49" s="134"/>
      <c r="DB49" s="134"/>
      <c r="DC49" s="134"/>
      <c r="DD49" s="134"/>
      <c r="DE49" s="134">
        <f t="array" ref="DE49">IFERROR(INDEX(TABLACONSOLIDADA[Buff Act],MATCH("AGROINSUMOSAGRONUEVO"&amp;Tabla_Buffers_Agroinsumos[[#This Row],[CODIGO ]],TABLACONSOLIDADA[Bodega]&amp;TABLACONSOLIDADA[Codigo],0)),"")</f>
        <v>0</v>
      </c>
      <c r="DF49" s="157">
        <f t="array" ref="DF49">IFERROR(INDEX(TABLACONSOLIDADA[Inv Fís Act],MATCH("AGROINSUMOSAGRONUEVO"&amp;Tabla_Buffers_Agroinsumos[[#This Row],[CODIGO ]],TABLACONSOLIDADA[Bodega]&amp;TABLACONSOLIDADA[Codigo],0)),"")</f>
        <v>0</v>
      </c>
      <c r="DG49" s="157">
        <f t="array" ref="DG4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4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9" s="134">
        <f>IFERROR(SUM(Tabla_Buffers_Agroinsumos[[#This Row],[AN-MP]:[AN-VL]]),"")</f>
        <v>0</v>
      </c>
      <c r="DJ49" s="92">
        <f>IFERROR(Tabla_Buffers_Agroinsumos[[#This Row],[INV FIS AN]]-Tabla_Buffers_Agroinsumos[[#This Row],[BUFFER AN]],"")</f>
        <v>0</v>
      </c>
      <c r="DK4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49" s="134"/>
      <c r="DM49" s="134"/>
      <c r="DN49" s="134"/>
      <c r="DO49" s="134"/>
      <c r="DP49" s="134"/>
      <c r="DQ49" s="134"/>
      <c r="DR49" s="134"/>
      <c r="DS49" s="134"/>
      <c r="DT49" s="134"/>
      <c r="DU49" s="134">
        <f t="array" ref="DU49">IFERROR(INDEX(TABLACONSOLIDADA[Buff Act],MATCH("AGROINSUMOSAGROQUIMICOSSUR"&amp;Tabla_Buffers_Agroinsumos[[#This Row],[CODIGO ]],TABLACONSOLIDADA[Bodega]&amp;TABLACONSOLIDADA[Codigo],0)),"")</f>
        <v>0</v>
      </c>
      <c r="DV49" s="157">
        <f t="array" ref="DV49">IFERROR(INDEX(TABLACONSOLIDADA[Inv Fís Act],MATCH("AGROINSUMOSAGROQUIMICOSSUR"&amp;Tabla_Buffers_Agroinsumos[[#This Row],[CODIGO ]],TABLACONSOLIDADA[Bodega]&amp;TABLACONSOLIDADA[Codigo],0)),"")</f>
        <v>0</v>
      </c>
      <c r="DW49" s="157">
        <f t="array" ref="DW4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4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9" s="134">
        <f>IFERROR(SUM(Tabla_Buffers_Agroinsumos[[#This Row],[AS-MP]:[AS-VL]]),"")</f>
        <v>0</v>
      </c>
      <c r="DZ49" s="92">
        <f>IFERROR(Tabla_Buffers_Agroinsumos[[#This Row],[INV FIS AS]]-Tabla_Buffers_Agroinsumos[[#This Row],[BUFFER AS]],"")</f>
        <v>0</v>
      </c>
      <c r="EA4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49" s="134"/>
      <c r="EC49" s="134"/>
      <c r="ED49" s="134"/>
      <c r="EE49" s="134"/>
      <c r="EF49" s="134"/>
      <c r="EG49" s="134"/>
      <c r="EH49" s="134"/>
      <c r="EI49" s="134"/>
      <c r="EJ49" s="134"/>
      <c r="EK49" s="134">
        <f t="array" ref="EK49">IFERROR(INDEX(TABLACONSOLIDADA[Buff Act],MATCH("AGROINSUMOSLAFINCA"&amp;Tabla_Buffers_Agroinsumos[[#This Row],[CODIGO ]],TABLACONSOLIDADA[Bodega]&amp;TABLACONSOLIDADA[Codigo],0)),"")</f>
        <v>0</v>
      </c>
      <c r="EL49" s="157">
        <f t="array" ref="EL49">IFERROR(INDEX(TABLACONSOLIDADA[Inv Fís Act],MATCH("AGROINSUMOSLAFINCA"&amp;Tabla_Buffers_Agroinsumos[[#This Row],[CODIGO ]],TABLACONSOLIDADA[Bodega]&amp;TABLACONSOLIDADA[Codigo],0)),"")</f>
        <v>0</v>
      </c>
      <c r="EM49" s="157">
        <f t="array" ref="EM4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4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9" s="134">
        <f>IFERROR(SUM(Tabla_Buffers_Agroinsumos[[#This Row],[LF-MP]:[LF-VL]]),"")</f>
        <v>0</v>
      </c>
      <c r="EP49" s="92">
        <f>IFERROR(Tabla_Buffers_Agroinsumos[[#This Row],[INV FIS LF]]-Tabla_Buffers_Agroinsumos[[#This Row],[BUFFER LF]],"")</f>
        <v>0</v>
      </c>
      <c r="EQ4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49" s="134"/>
      <c r="ES49" s="134"/>
      <c r="ET49" s="134"/>
      <c r="EU49" s="134"/>
      <c r="EV49" s="134"/>
      <c r="EW49" s="134"/>
      <c r="EX49" s="134"/>
      <c r="EY49" s="134"/>
      <c r="EZ49" s="134"/>
      <c r="FA49" s="134">
        <f t="array" ref="FA49">IFERROR(INDEX(TABLACONSOLIDADA[Buff Act],MATCH("AGROINSUMOSVERONICALEDESMA"&amp;Tabla_Buffers_Agroinsumos[[#This Row],[CODIGO ]],TABLACONSOLIDADA[Bodega]&amp;TABLACONSOLIDADA[Codigo],0)),"")</f>
        <v>0</v>
      </c>
      <c r="FB49" s="157">
        <f t="array" ref="FB49">IFERROR(INDEX(TABLACONSOLIDADA[Inv Fís Act],MATCH("AGROINSUMOSVERONICALEDESMA"&amp;Tabla_Buffers_Agroinsumos[[#This Row],[CODIGO ]],TABLACONSOLIDADA[Bodega]&amp;TABLACONSOLIDADA[Codigo],0)),"")</f>
        <v>0</v>
      </c>
      <c r="FC49" s="157">
        <f t="array" ref="FC4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4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9" s="134">
        <f>IFERROR(SUM(Tabla_Buffers_Agroinsumos[[#This Row],[VL-MP]:[VL-LF]]),"")</f>
        <v>0</v>
      </c>
      <c r="FF49" s="92">
        <f>IFERROR(Tabla_Buffers_Agroinsumos[[#This Row],[INV FIS VL]]-Tabla_Buffers_Agroinsumos[[#This Row],[BUFFER VL]],"")</f>
        <v>0</v>
      </c>
      <c r="FG4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49" s="134"/>
      <c r="FI49" s="134"/>
      <c r="FJ49" s="134"/>
      <c r="FK49" s="134"/>
      <c r="FL49" s="134"/>
      <c r="FM49" s="134"/>
      <c r="FN49" s="134"/>
      <c r="FO49" s="134"/>
      <c r="FP49" s="134"/>
    </row>
    <row r="50" spans="1:172">
      <c r="A50" s="7" t="s">
        <v>142</v>
      </c>
      <c r="B50" s="7" t="s">
        <v>143</v>
      </c>
      <c r="C50" s="7" t="s">
        <v>709</v>
      </c>
      <c r="D50" s="7" t="s">
        <v>719</v>
      </c>
      <c r="E50" s="7" t="s">
        <v>975</v>
      </c>
      <c r="F50" s="19" t="s">
        <v>698</v>
      </c>
      <c r="G50" s="19" t="s">
        <v>698</v>
      </c>
      <c r="H50" s="19">
        <f>VLOOKUP(Tabla_Buffers_Agroinsumos[[#This Row],[CODIGO ]],TABLACONSOLIDADA[[Codigo]:[PV]],6,0)</f>
        <v>3.2</v>
      </c>
      <c r="I50" s="19">
        <f>VLOOKUP(Tabla_Buffers_Agroinsumos[[#This Row],[CODIGO ]],TABLACONSOLIDADA[[Codigo]:[PV]],5,0)</f>
        <v>0.91</v>
      </c>
      <c r="J50" s="19" t="s">
        <v>698</v>
      </c>
      <c r="K50" s="19" t="s">
        <v>698</v>
      </c>
      <c r="L50" s="19">
        <f>IFERROR(Tabla_Buffers_Agroinsumos[[#This Row],[BUFFER CENTRAL]]/((Tabla_Buffers_Agroinsumos[[#This Row],[TIEMPO REPOSICION ]]/Tabla_Buffers_Agroinsumos[[#This Row],[FRECUENCIA]])+1),0)</f>
        <v>0</v>
      </c>
      <c r="M50" s="19" t="str">
        <f t="array" ref="M50">IFERROR(INDEX(TABLACONSOLIDADA[Buff Act],MATCH("AGROINSUMOSMATERIAPRIMA"&amp;Tabla_Buffers_Agroinsumos[[#This Row],[CODIGO ]],TABLACONSOLIDADA[Bodega]&amp;TABLACONSOLIDADA[Codigo],0)),"")</f>
        <v/>
      </c>
      <c r="N50" s="157" t="str">
        <f t="array" ref="N50">IFERROR(INDEX(TABLACONSOLIDADA[Inv Fís Act],MATCH("AGROINSUMOSMATERIAPRIMA"&amp;Tabla_Buffers_Agroinsumos[[#This Row],[CODIGO ]],TABLACONSOLIDADA[Bodega]&amp;TABLACONSOLIDADA[Codigo],0)),"")</f>
        <v/>
      </c>
      <c r="O50" s="157" t="str">
        <f t="array" ref="O5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5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50" s="19">
        <f>IFERROR(SUM(Tabla_Buffers_Agroinsumos[[#This Row],[MP-C]:[MP-VL]]),"")</f>
        <v>0</v>
      </c>
      <c r="R50" s="92" t="str">
        <f>IFERROR(Tabla_Buffers_Agroinsumos[[#This Row],[INV FIS MATERIA PRIMA]]-Tabla_Buffers_Agroinsumos[[#This Row],[BUFFER MATERIA PRIMA]],"")</f>
        <v/>
      </c>
      <c r="S5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50" s="19"/>
      <c r="U50" s="19"/>
      <c r="V50" s="19"/>
      <c r="W50" s="19"/>
      <c r="X50" s="19"/>
      <c r="Y50" s="19"/>
      <c r="Z50" s="19"/>
      <c r="AA50" s="19"/>
      <c r="AB50" s="19"/>
      <c r="AC50" s="152">
        <f t="array" ref="AC50">IFERROR(INDEX(TABLACONSOLIDADA[Buff Act],MATCH("AGROINSUMOSCENTRAL"&amp;Tabla_Buffers_Agroinsumos[[#This Row],[CODIGO ]],TABLACONSOLIDADA[Bodega]&amp;TABLACONSOLIDADA[Codigo],0)),"")</f>
        <v>600</v>
      </c>
      <c r="AD50" s="157">
        <f t="array" ref="AD50">IFERROR(INDEX(TABLACONSOLIDADA[Inv Fís Act],MATCH("AGROINSUMOSCENTRAL"&amp;Tabla_Buffers_Agroinsumos[[#This Row],[CODIGO ]],TABLACONSOLIDADA[Bodega]&amp;TABLACONSOLIDADA[Codigo],0)),"")</f>
        <v>38</v>
      </c>
      <c r="AE50" s="157">
        <f t="array" ref="AE5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489</v>
      </c>
      <c r="AF5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50" s="91">
        <f>IFERROR(SUM(Tabla_Buffers_Agroinsumos[[#This Row],[C-MP]:[C-VL]]),"")</f>
        <v>0</v>
      </c>
      <c r="AH50" s="92">
        <f>IFERROR(Tabla_Buffers_Agroinsumos[[#This Row],[INV FIS CENTRAL]]-Tabla_Buffers_Agroinsumos[[#This Row],[BUFFER CENTRAL]],"")</f>
        <v>-562</v>
      </c>
      <c r="AI5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-562</v>
      </c>
      <c r="AJ50" s="134"/>
      <c r="AK50" s="134"/>
      <c r="AL50" s="134"/>
      <c r="AM50" s="134"/>
      <c r="AN50" s="134"/>
      <c r="AO50" s="134"/>
      <c r="AP50" s="134"/>
      <c r="AQ50" s="134"/>
      <c r="AR50" s="134"/>
      <c r="AS50" s="134">
        <f t="array" ref="AS50">IFERROR(INDEX(TABLACONSOLIDADA[Buff Act],MATCH("AGROINSUMOScentralPROPIA"&amp;Tabla_Buffers_Agroinsumos[[#This Row],[CODIGO ]],TABLACONSOLIDADA[Bodega]&amp;TABLACONSOLIDADA[Codigo],0)),"")</f>
        <v>36</v>
      </c>
      <c r="AT50" s="157">
        <f t="array" ref="AT50">IFERROR(INDEX(TABLACONSOLIDADA[Inv Fís Act],MATCH("AGROINSUMOScentralPROPIA"&amp;Tabla_Buffers_Agroinsumos[[#This Row],[CODIGO ]],TABLACONSOLIDADA[Bodega]&amp;TABLACONSOLIDADA[Codigo],0)),"")</f>
        <v>0</v>
      </c>
      <c r="AU50" s="157">
        <f t="array" ref="AU5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5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50" s="134">
        <f>IFERROR(SUM(Tabla_Buffers_Agroinsumos[[#This Row],[P-MP]:[P-VL]]),"")</f>
        <v>0</v>
      </c>
      <c r="AX50" s="92">
        <f>IFERROR(Tabla_Buffers_Agroinsumos[[#This Row],[INV FIS PROPIA]]-Tabla_Buffers_Agroinsumos[[#This Row],[BUFFER PROPIA]],"")</f>
        <v>-36</v>
      </c>
      <c r="AY5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-36</v>
      </c>
      <c r="AZ50" s="134"/>
      <c r="BA50" s="134"/>
      <c r="BB50" s="134"/>
      <c r="BC50" s="134"/>
      <c r="BD50" s="134"/>
      <c r="BE50" s="134"/>
      <c r="BF50" s="134"/>
      <c r="BG50" s="134"/>
      <c r="BH50" s="134"/>
      <c r="BI50" s="91">
        <f t="array" ref="BI50">IFERROR(INDEX(TABLACONSOLIDADA[Buff Act],MATCH("AGROINSUMOSSTODOMINGO"&amp;Tabla_Buffers_Agroinsumos[[#This Row],[CODIGO ]],TABLACONSOLIDADA[Bodega]&amp;TABLACONSOLIDADA[Codigo],0)),"")</f>
        <v>230</v>
      </c>
      <c r="BJ50" s="157">
        <f t="array" ref="BJ50">IFERROR(INDEX(TABLACONSOLIDADA[Inv Fís Act],MATCH("AGROINSUMOSSTODOMINGO"&amp;Tabla_Buffers_Agroinsumos[[#This Row],[CODIGO ]],TABLACONSOLIDADA[Bodega]&amp;TABLACONSOLIDADA[Codigo],0)),"")</f>
        <v>66</v>
      </c>
      <c r="BK50" s="157">
        <f t="array" ref="BK5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66</v>
      </c>
      <c r="BL5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50" s="91">
        <f>IFERROR(SUM(Tabla_Buffers_Agroinsumos[[#This Row],[SD-MP]:[SD-VL]]),"")</f>
        <v>0</v>
      </c>
      <c r="BN50" s="92"/>
      <c r="BO50" s="92"/>
      <c r="BP50" s="134"/>
      <c r="BQ50" s="134"/>
      <c r="BR50" s="134"/>
      <c r="BS50" s="134"/>
      <c r="BT50" s="134"/>
      <c r="BU50" s="134"/>
      <c r="BV50" s="134"/>
      <c r="BW50" s="134"/>
      <c r="BX50" s="134"/>
      <c r="BY50" s="134">
        <f t="array" ref="BY50">IFERROR(INDEX(TABLACONSOLIDADA[Buff Act],MATCH("AGROINSUMOSMONCAYOLOPEZ"&amp;Tabla_Buffers_Agroinsumos[[#This Row],[CODIGO ]],TABLACONSOLIDADA[Bodega]&amp;TABLACONSOLIDADA[Codigo],0)),"")</f>
        <v>0</v>
      </c>
      <c r="BZ50" s="157">
        <f t="array" ref="BZ50">IFERROR(INDEX(TABLACONSOLIDADA[Inv Fís Act],MATCH("AGROINSUMOSMONCAYOLOPEZ"&amp;Tabla_Buffers_Agroinsumos[[#This Row],[CODIGO ]],TABLACONSOLIDADA[Bodega]&amp;TABLACONSOLIDADA[Codigo],0)),"")</f>
        <v>0</v>
      </c>
      <c r="CA50" s="157">
        <f t="array" ref="CA5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5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50" s="134">
        <f>IFERROR(SUM(Tabla_Buffers_Agroinsumos[[#This Row],[ML-MP]:[ML-VL]]),"")</f>
        <v>0</v>
      </c>
      <c r="CD50" s="92">
        <f>IFERROR(Tabla_Buffers_Agroinsumos[[#This Row],[INV FIS ML]]-Tabla_Buffers_Agroinsumos[[#This Row],[BUFFER ML]],"")</f>
        <v>0</v>
      </c>
      <c r="CE5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50" s="134"/>
      <c r="CG50" s="134"/>
      <c r="CH50" s="134"/>
      <c r="CI50" s="134"/>
      <c r="CJ50" s="134"/>
      <c r="CK50" s="134"/>
      <c r="CL50" s="134"/>
      <c r="CM50" s="134"/>
      <c r="CN50" s="134"/>
      <c r="CO50" s="134">
        <f t="array" ref="CO50">IFERROR(INDEX(TABLACONSOLIDADA[Buff Act],MATCH("AGROINSUMOSAGROHERMANOSLEON"&amp;Tabla_Buffers_Agroinsumos[[#This Row],[CODIGO ]],TABLACONSOLIDADA[Bodega]&amp;TABLACONSOLIDADA[Codigo],0)),"")</f>
        <v>0</v>
      </c>
      <c r="CP50" s="157">
        <f t="array" ref="CP50">IFERROR(INDEX(TABLACONSOLIDADA[Inv Fís Act],MATCH("AGROINSUMOSAGROHERMANOSLEON"&amp;Tabla_Buffers_Agroinsumos[[#This Row],[CODIGO ]],TABLACONSOLIDADA[Bodega]&amp;TABLACONSOLIDADA[Codigo],0)),"")</f>
        <v>0</v>
      </c>
      <c r="CQ50" s="157">
        <f t="array" ref="CQ5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5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50" s="134">
        <f>IFERROR(SUM(Tabla_Buffers_Agroinsumos[[#This Row],[AL-MP]:[AL-VL]]),"")</f>
        <v>0</v>
      </c>
      <c r="CT50" s="92">
        <f>IFERROR(Tabla_Buffers_Agroinsumos[[#This Row],[INV FIS AL]]-Tabla_Buffers_Agroinsumos[[#This Row],[BUFFER AL]],"")</f>
        <v>0</v>
      </c>
      <c r="CU50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50" s="134"/>
      <c r="CW50" s="134"/>
      <c r="CX50" s="134"/>
      <c r="CY50" s="134"/>
      <c r="CZ50" s="134"/>
      <c r="DA50" s="134"/>
      <c r="DB50" s="134"/>
      <c r="DC50" s="134"/>
      <c r="DD50" s="134"/>
      <c r="DE50" s="134">
        <f t="array" ref="DE50">IFERROR(INDEX(TABLACONSOLIDADA[Buff Act],MATCH("AGROINSUMOSAGRONUEVO"&amp;Tabla_Buffers_Agroinsumos[[#This Row],[CODIGO ]],TABLACONSOLIDADA[Bodega]&amp;TABLACONSOLIDADA[Codigo],0)),"")</f>
        <v>0</v>
      </c>
      <c r="DF50" s="157">
        <f t="array" ref="DF50">IFERROR(INDEX(TABLACONSOLIDADA[Inv Fís Act],MATCH("AGROINSUMOSAGRONUEVO"&amp;Tabla_Buffers_Agroinsumos[[#This Row],[CODIGO ]],TABLACONSOLIDADA[Bodega]&amp;TABLACONSOLIDADA[Codigo],0)),"")</f>
        <v>0</v>
      </c>
      <c r="DG50" s="157">
        <f t="array" ref="DG5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5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50" s="134">
        <f>IFERROR(SUM(Tabla_Buffers_Agroinsumos[[#This Row],[AN-MP]:[AN-VL]]),"")</f>
        <v>0</v>
      </c>
      <c r="DJ50" s="92">
        <f>IFERROR(Tabla_Buffers_Agroinsumos[[#This Row],[INV FIS AN]]-Tabla_Buffers_Agroinsumos[[#This Row],[BUFFER AN]],"")</f>
        <v>0</v>
      </c>
      <c r="DK5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50" s="134"/>
      <c r="DM50" s="134"/>
      <c r="DN50" s="134"/>
      <c r="DO50" s="134"/>
      <c r="DP50" s="134"/>
      <c r="DQ50" s="134"/>
      <c r="DR50" s="134"/>
      <c r="DS50" s="134"/>
      <c r="DT50" s="134"/>
      <c r="DU50" s="134">
        <f t="array" ref="DU50">IFERROR(INDEX(TABLACONSOLIDADA[Buff Act],MATCH("AGROINSUMOSAGROQUIMICOSSUR"&amp;Tabla_Buffers_Agroinsumos[[#This Row],[CODIGO ]],TABLACONSOLIDADA[Bodega]&amp;TABLACONSOLIDADA[Codigo],0)),"")</f>
        <v>0</v>
      </c>
      <c r="DV50" s="157">
        <f t="array" ref="DV50">IFERROR(INDEX(TABLACONSOLIDADA[Inv Fís Act],MATCH("AGROINSUMOSAGROQUIMICOSSUR"&amp;Tabla_Buffers_Agroinsumos[[#This Row],[CODIGO ]],TABLACONSOLIDADA[Bodega]&amp;TABLACONSOLIDADA[Codigo],0)),"")</f>
        <v>0</v>
      </c>
      <c r="DW50" s="157">
        <f t="array" ref="DW5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5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50" s="134">
        <f>IFERROR(SUM(Tabla_Buffers_Agroinsumos[[#This Row],[AS-MP]:[AS-VL]]),"")</f>
        <v>0</v>
      </c>
      <c r="DZ50" s="92">
        <f>IFERROR(Tabla_Buffers_Agroinsumos[[#This Row],[INV FIS AS]]-Tabla_Buffers_Agroinsumos[[#This Row],[BUFFER AS]],"")</f>
        <v>0</v>
      </c>
      <c r="EA5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50" s="134"/>
      <c r="EC50" s="134"/>
      <c r="ED50" s="134"/>
      <c r="EE50" s="134"/>
      <c r="EF50" s="134"/>
      <c r="EG50" s="134"/>
      <c r="EH50" s="134"/>
      <c r="EI50" s="134"/>
      <c r="EJ50" s="134"/>
      <c r="EK50" s="134">
        <f t="array" ref="EK50">IFERROR(INDEX(TABLACONSOLIDADA[Buff Act],MATCH("AGROINSUMOSLAFINCA"&amp;Tabla_Buffers_Agroinsumos[[#This Row],[CODIGO ]],TABLACONSOLIDADA[Bodega]&amp;TABLACONSOLIDADA[Codigo],0)),"")</f>
        <v>50</v>
      </c>
      <c r="EL50" s="157">
        <f t="array" ref="EL50">IFERROR(INDEX(TABLACONSOLIDADA[Inv Fís Act],MATCH("AGROINSUMOSLAFINCA"&amp;Tabla_Buffers_Agroinsumos[[#This Row],[CODIGO ]],TABLACONSOLIDADA[Bodega]&amp;TABLACONSOLIDADA[Codigo],0)),"")</f>
        <v>26</v>
      </c>
      <c r="EM50" s="157">
        <f t="array" ref="EM5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26</v>
      </c>
      <c r="EN5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50" s="134">
        <f>IFERROR(SUM(Tabla_Buffers_Agroinsumos[[#This Row],[LF-MP]:[LF-VL]]),"")</f>
        <v>0</v>
      </c>
      <c r="EP50" s="92">
        <f>IFERROR(Tabla_Buffers_Agroinsumos[[#This Row],[INV FIS LF]]-Tabla_Buffers_Agroinsumos[[#This Row],[BUFFER LF]],"")</f>
        <v>-24</v>
      </c>
      <c r="EQ50" s="92">
        <f>IFERROR(Tabla_Buffers_Agroinsumos[[#This Row],[INV FIS LF]]+Tabla_Buffers_Agroinsumos[[#This Row],[TRANSFERENCIAS A LF]]-Tabla_Buffers_Agroinsumos[[#This Row],[BUFFER LF]]-Tabla_Buffers_Agroinsumos[[#This Row],[TRANSFERENCIAS DE LF]],"")</f>
        <v>-24</v>
      </c>
      <c r="ER50" s="134"/>
      <c r="ES50" s="134"/>
      <c r="ET50" s="134"/>
      <c r="EU50" s="134"/>
      <c r="EV50" s="134"/>
      <c r="EW50" s="134"/>
      <c r="EX50" s="134"/>
      <c r="EY50" s="134"/>
      <c r="EZ50" s="134"/>
      <c r="FA50" s="134">
        <f t="array" ref="FA50">IFERROR(INDEX(TABLACONSOLIDADA[Buff Act],MATCH("AGROINSUMOSVERONICALEDESMA"&amp;Tabla_Buffers_Agroinsumos[[#This Row],[CODIGO ]],TABLACONSOLIDADA[Bodega]&amp;TABLACONSOLIDADA[Codigo],0)),"")</f>
        <v>0</v>
      </c>
      <c r="FB50" s="157">
        <f t="array" ref="FB50">IFERROR(INDEX(TABLACONSOLIDADA[Inv Fís Act],MATCH("AGROINSUMOSVERONICALEDESMA"&amp;Tabla_Buffers_Agroinsumos[[#This Row],[CODIGO ]],TABLACONSOLIDADA[Bodega]&amp;TABLACONSOLIDADA[Codigo],0)),"")</f>
        <v>0</v>
      </c>
      <c r="FC50" s="157">
        <f t="array" ref="FC5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5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50" s="134">
        <f>IFERROR(SUM(Tabla_Buffers_Agroinsumos[[#This Row],[VL-MP]:[VL-LF]]),"")</f>
        <v>0</v>
      </c>
      <c r="FF50" s="92">
        <f>IFERROR(Tabla_Buffers_Agroinsumos[[#This Row],[INV FIS VL]]-Tabla_Buffers_Agroinsumos[[#This Row],[BUFFER VL]],"")</f>
        <v>0</v>
      </c>
      <c r="FG5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50" s="134"/>
      <c r="FI50" s="134"/>
      <c r="FJ50" s="134"/>
      <c r="FK50" s="134"/>
      <c r="FL50" s="134"/>
      <c r="FM50" s="134"/>
      <c r="FN50" s="134"/>
      <c r="FO50" s="134"/>
      <c r="FP50" s="134"/>
    </row>
    <row r="51" spans="1:172">
      <c r="A51" s="7" t="s">
        <v>144</v>
      </c>
      <c r="B51" s="7" t="s">
        <v>145</v>
      </c>
      <c r="C51" s="7" t="s">
        <v>709</v>
      </c>
      <c r="D51" s="7" t="s">
        <v>719</v>
      </c>
      <c r="E51" s="7" t="s">
        <v>975</v>
      </c>
      <c r="F51" s="19" t="s">
        <v>698</v>
      </c>
      <c r="G51" s="19" t="s">
        <v>698</v>
      </c>
      <c r="H51" s="19">
        <f>VLOOKUP(Tabla_Buffers_Agroinsumos[[#This Row],[CODIGO ]],TABLACONSOLIDADA[[Codigo]:[PV]],6,0)</f>
        <v>6.69</v>
      </c>
      <c r="I51" s="19">
        <f>VLOOKUP(Tabla_Buffers_Agroinsumos[[#This Row],[CODIGO ]],TABLACONSOLIDADA[[Codigo]:[PV]],5,0)</f>
        <v>2.79</v>
      </c>
      <c r="J51" s="19" t="s">
        <v>698</v>
      </c>
      <c r="K51" s="19" t="s">
        <v>698</v>
      </c>
      <c r="L51" s="19">
        <f>IFERROR(Tabla_Buffers_Agroinsumos[[#This Row],[BUFFER CENTRAL]]/((Tabla_Buffers_Agroinsumos[[#This Row],[TIEMPO REPOSICION ]]/Tabla_Buffers_Agroinsumos[[#This Row],[FRECUENCIA]])+1),0)</f>
        <v>0</v>
      </c>
      <c r="M51" s="19" t="str">
        <f t="array" ref="M51">IFERROR(INDEX(TABLACONSOLIDADA[Buff Act],MATCH("AGROINSUMOSMATERIAPRIMA"&amp;Tabla_Buffers_Agroinsumos[[#This Row],[CODIGO ]],TABLACONSOLIDADA[Bodega]&amp;TABLACONSOLIDADA[Codigo],0)),"")</f>
        <v/>
      </c>
      <c r="N51" s="157" t="str">
        <f t="array" ref="N51">IFERROR(INDEX(TABLACONSOLIDADA[Inv Fís Act],MATCH("AGROINSUMOSMATERIAPRIMA"&amp;Tabla_Buffers_Agroinsumos[[#This Row],[CODIGO ]],TABLACONSOLIDADA[Bodega]&amp;TABLACONSOLIDADA[Codigo],0)),"")</f>
        <v/>
      </c>
      <c r="O51" s="157" t="str">
        <f t="array" ref="O5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5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51" s="19">
        <f>IFERROR(SUM(Tabla_Buffers_Agroinsumos[[#This Row],[MP-C]:[MP-VL]]),"")</f>
        <v>0</v>
      </c>
      <c r="R51" s="92" t="str">
        <f>IFERROR(Tabla_Buffers_Agroinsumos[[#This Row],[INV FIS MATERIA PRIMA]]-Tabla_Buffers_Agroinsumos[[#This Row],[BUFFER MATERIA PRIMA]],"")</f>
        <v/>
      </c>
      <c r="S5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51" s="19"/>
      <c r="U51" s="19"/>
      <c r="V51" s="19"/>
      <c r="W51" s="19"/>
      <c r="X51" s="19"/>
      <c r="Y51" s="19"/>
      <c r="Z51" s="19"/>
      <c r="AA51" s="19"/>
      <c r="AB51" s="19"/>
      <c r="AC51" s="152">
        <f t="array" ref="AC51">IFERROR(INDEX(TABLACONSOLIDADA[Buff Act],MATCH("AGROINSUMOSCENTRAL"&amp;Tabla_Buffers_Agroinsumos[[#This Row],[CODIGO ]],TABLACONSOLIDADA[Bodega]&amp;TABLACONSOLIDADA[Codigo],0)),"")</f>
        <v>250</v>
      </c>
      <c r="AD51" s="157">
        <f t="array" ref="AD51">IFERROR(INDEX(TABLACONSOLIDADA[Inv Fís Act],MATCH("AGROINSUMOSCENTRAL"&amp;Tabla_Buffers_Agroinsumos[[#This Row],[CODIGO ]],TABLACONSOLIDADA[Bodega]&amp;TABLACONSOLIDADA[Codigo],0)),"")</f>
        <v>335</v>
      </c>
      <c r="AE51" s="157">
        <f t="array" ref="AE5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335</v>
      </c>
      <c r="AF5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51" s="91">
        <f>IFERROR(SUM(Tabla_Buffers_Agroinsumos[[#This Row],[C-MP]:[C-VL]]),"")</f>
        <v>0</v>
      </c>
      <c r="AH51" s="92">
        <f>IFERROR(Tabla_Buffers_Agroinsumos[[#This Row],[INV FIS CENTRAL]]-Tabla_Buffers_Agroinsumos[[#This Row],[BUFFER CENTRAL]],"")</f>
        <v>85</v>
      </c>
      <c r="AI5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85</v>
      </c>
      <c r="AJ51" s="134"/>
      <c r="AK51" s="134"/>
      <c r="AL51" s="134"/>
      <c r="AM51" s="134"/>
      <c r="AN51" s="134"/>
      <c r="AO51" s="134"/>
      <c r="AP51" s="134"/>
      <c r="AQ51" s="134"/>
      <c r="AR51" s="134"/>
      <c r="AS51" s="134">
        <f t="array" ref="AS51">IFERROR(INDEX(TABLACONSOLIDADA[Buff Act],MATCH("AGROINSUMOScentralPROPIA"&amp;Tabla_Buffers_Agroinsumos[[#This Row],[CODIGO ]],TABLACONSOLIDADA[Bodega]&amp;TABLACONSOLIDADA[Codigo],0)),"")</f>
        <v>120</v>
      </c>
      <c r="AT51" s="157">
        <f t="array" ref="AT51">IFERROR(INDEX(TABLACONSOLIDADA[Inv Fís Act],MATCH("AGROINSUMOScentralPROPIA"&amp;Tabla_Buffers_Agroinsumos[[#This Row],[CODIGO ]],TABLACONSOLIDADA[Bodega]&amp;TABLACONSOLIDADA[Codigo],0)),"")</f>
        <v>0</v>
      </c>
      <c r="AU51" s="157">
        <f t="array" ref="AU5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5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51" s="134">
        <f>IFERROR(SUM(Tabla_Buffers_Agroinsumos[[#This Row],[P-MP]:[P-VL]]),"")</f>
        <v>0</v>
      </c>
      <c r="AX51" s="92">
        <f>IFERROR(Tabla_Buffers_Agroinsumos[[#This Row],[INV FIS PROPIA]]-Tabla_Buffers_Agroinsumos[[#This Row],[BUFFER PROPIA]],"")</f>
        <v>-120</v>
      </c>
      <c r="AY5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-120</v>
      </c>
      <c r="AZ51" s="134"/>
      <c r="BA51" s="134"/>
      <c r="BB51" s="134"/>
      <c r="BC51" s="134"/>
      <c r="BD51" s="134"/>
      <c r="BE51" s="134"/>
      <c r="BF51" s="134"/>
      <c r="BG51" s="134"/>
      <c r="BH51" s="134"/>
      <c r="BI51" s="91">
        <f t="array" ref="BI51">IFERROR(INDEX(TABLACONSOLIDADA[Buff Act],MATCH("AGROINSUMOSSTODOMINGO"&amp;Tabla_Buffers_Agroinsumos[[#This Row],[CODIGO ]],TABLACONSOLIDADA[Bodega]&amp;TABLACONSOLIDADA[Codigo],0)),"")</f>
        <v>0</v>
      </c>
      <c r="BJ51" s="157">
        <f t="array" ref="BJ51">IFERROR(INDEX(TABLACONSOLIDADA[Inv Fís Act],MATCH("AGROINSUMOSSTODOMINGO"&amp;Tabla_Buffers_Agroinsumos[[#This Row],[CODIGO ]],TABLACONSOLIDADA[Bodega]&amp;TABLACONSOLIDADA[Codigo],0)),"")</f>
        <v>0</v>
      </c>
      <c r="BK51" s="157">
        <f t="array" ref="BK5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5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51" s="91">
        <f>IFERROR(SUM(Tabla_Buffers_Agroinsumos[[#This Row],[SD-MP]:[SD-VL]]),"")</f>
        <v>0</v>
      </c>
      <c r="BN51" s="92"/>
      <c r="BO51" s="92"/>
      <c r="BP51" s="134"/>
      <c r="BQ51" s="134"/>
      <c r="BR51" s="134"/>
      <c r="BS51" s="134"/>
      <c r="BT51" s="134"/>
      <c r="BU51" s="134"/>
      <c r="BV51" s="134"/>
      <c r="BW51" s="134"/>
      <c r="BX51" s="134"/>
      <c r="BY51" s="134">
        <f t="array" ref="BY51">IFERROR(INDEX(TABLACONSOLIDADA[Buff Act],MATCH("AGROINSUMOSMONCAYOLOPEZ"&amp;Tabla_Buffers_Agroinsumos[[#This Row],[CODIGO ]],TABLACONSOLIDADA[Bodega]&amp;TABLACONSOLIDADA[Codigo],0)),"")</f>
        <v>0</v>
      </c>
      <c r="BZ51" s="157">
        <f t="array" ref="BZ51">IFERROR(INDEX(TABLACONSOLIDADA[Inv Fís Act],MATCH("AGROINSUMOSMONCAYOLOPEZ"&amp;Tabla_Buffers_Agroinsumos[[#This Row],[CODIGO ]],TABLACONSOLIDADA[Bodega]&amp;TABLACONSOLIDADA[Codigo],0)),"")</f>
        <v>0</v>
      </c>
      <c r="CA51" s="157">
        <f t="array" ref="CA5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5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51" s="134">
        <f>IFERROR(SUM(Tabla_Buffers_Agroinsumos[[#This Row],[ML-MP]:[ML-VL]]),"")</f>
        <v>0</v>
      </c>
      <c r="CD51" s="92">
        <f>IFERROR(Tabla_Buffers_Agroinsumos[[#This Row],[INV FIS ML]]-Tabla_Buffers_Agroinsumos[[#This Row],[BUFFER ML]],"")</f>
        <v>0</v>
      </c>
      <c r="CE51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51" s="134"/>
      <c r="CG51" s="134"/>
      <c r="CH51" s="134"/>
      <c r="CI51" s="134"/>
      <c r="CJ51" s="134"/>
      <c r="CK51" s="134"/>
      <c r="CL51" s="134"/>
      <c r="CM51" s="134"/>
      <c r="CN51" s="134"/>
      <c r="CO51" s="134">
        <f t="array" ref="CO51">IFERROR(INDEX(TABLACONSOLIDADA[Buff Act],MATCH("AGROINSUMOSAGROHERMANOSLEON"&amp;Tabla_Buffers_Agroinsumos[[#This Row],[CODIGO ]],TABLACONSOLIDADA[Bodega]&amp;TABLACONSOLIDADA[Codigo],0)),"")</f>
        <v>0</v>
      </c>
      <c r="CP51" s="157">
        <f t="array" ref="CP51">IFERROR(INDEX(TABLACONSOLIDADA[Inv Fís Act],MATCH("AGROINSUMOSAGROHERMANOSLEON"&amp;Tabla_Buffers_Agroinsumos[[#This Row],[CODIGO ]],TABLACONSOLIDADA[Bodega]&amp;TABLACONSOLIDADA[Codigo],0)),"")</f>
        <v>0</v>
      </c>
      <c r="CQ51" s="157">
        <f t="array" ref="CQ5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5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51" s="134">
        <f>IFERROR(SUM(Tabla_Buffers_Agroinsumos[[#This Row],[AL-MP]:[AL-VL]]),"")</f>
        <v>0</v>
      </c>
      <c r="CT51" s="92">
        <f>IFERROR(Tabla_Buffers_Agroinsumos[[#This Row],[INV FIS AL]]-Tabla_Buffers_Agroinsumos[[#This Row],[BUFFER AL]],"")</f>
        <v>0</v>
      </c>
      <c r="CU51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51" s="134"/>
      <c r="CW51" s="134"/>
      <c r="CX51" s="134"/>
      <c r="CY51" s="134"/>
      <c r="CZ51" s="134"/>
      <c r="DA51" s="134"/>
      <c r="DB51" s="134"/>
      <c r="DC51" s="134"/>
      <c r="DD51" s="134"/>
      <c r="DE51" s="134">
        <f t="array" ref="DE51">IFERROR(INDEX(TABLACONSOLIDADA[Buff Act],MATCH("AGROINSUMOSAGRONUEVO"&amp;Tabla_Buffers_Agroinsumos[[#This Row],[CODIGO ]],TABLACONSOLIDADA[Bodega]&amp;TABLACONSOLIDADA[Codigo],0)),"")</f>
        <v>0</v>
      </c>
      <c r="DF51" s="157">
        <f t="array" ref="DF51">IFERROR(INDEX(TABLACONSOLIDADA[Inv Fís Act],MATCH("AGROINSUMOSAGRONUEVO"&amp;Tabla_Buffers_Agroinsumos[[#This Row],[CODIGO ]],TABLACONSOLIDADA[Bodega]&amp;TABLACONSOLIDADA[Codigo],0)),"")</f>
        <v>0</v>
      </c>
      <c r="DG51" s="157">
        <f t="array" ref="DG5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5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51" s="134">
        <f>IFERROR(SUM(Tabla_Buffers_Agroinsumos[[#This Row],[AN-MP]:[AN-VL]]),"")</f>
        <v>0</v>
      </c>
      <c r="DJ51" s="92">
        <f>IFERROR(Tabla_Buffers_Agroinsumos[[#This Row],[INV FIS AN]]-Tabla_Buffers_Agroinsumos[[#This Row],[BUFFER AN]],"")</f>
        <v>0</v>
      </c>
      <c r="DK51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51" s="134"/>
      <c r="DM51" s="134"/>
      <c r="DN51" s="134"/>
      <c r="DO51" s="134"/>
      <c r="DP51" s="134"/>
      <c r="DQ51" s="134"/>
      <c r="DR51" s="134"/>
      <c r="DS51" s="134"/>
      <c r="DT51" s="134"/>
      <c r="DU51" s="134">
        <f t="array" ref="DU51">IFERROR(INDEX(TABLACONSOLIDADA[Buff Act],MATCH("AGROINSUMOSAGROQUIMICOSSUR"&amp;Tabla_Buffers_Agroinsumos[[#This Row],[CODIGO ]],TABLACONSOLIDADA[Bodega]&amp;TABLACONSOLIDADA[Codigo],0)),"")</f>
        <v>0</v>
      </c>
      <c r="DV51" s="157">
        <f t="array" ref="DV51">IFERROR(INDEX(TABLACONSOLIDADA[Inv Fís Act],MATCH("AGROINSUMOSAGROQUIMICOSSUR"&amp;Tabla_Buffers_Agroinsumos[[#This Row],[CODIGO ]],TABLACONSOLIDADA[Bodega]&amp;TABLACONSOLIDADA[Codigo],0)),"")</f>
        <v>0</v>
      </c>
      <c r="DW51" s="157">
        <f t="array" ref="DW5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5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51" s="134">
        <f>IFERROR(SUM(Tabla_Buffers_Agroinsumos[[#This Row],[AS-MP]:[AS-VL]]),"")</f>
        <v>0</v>
      </c>
      <c r="DZ51" s="92">
        <f>IFERROR(Tabla_Buffers_Agroinsumos[[#This Row],[INV FIS AS]]-Tabla_Buffers_Agroinsumos[[#This Row],[BUFFER AS]],"")</f>
        <v>0</v>
      </c>
      <c r="EA51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51" s="134"/>
      <c r="EC51" s="134"/>
      <c r="ED51" s="134"/>
      <c r="EE51" s="134"/>
      <c r="EF51" s="134"/>
      <c r="EG51" s="134"/>
      <c r="EH51" s="134"/>
      <c r="EI51" s="134"/>
      <c r="EJ51" s="134"/>
      <c r="EK51" s="134">
        <f t="array" ref="EK51">IFERROR(INDEX(TABLACONSOLIDADA[Buff Act],MATCH("AGROINSUMOSLAFINCA"&amp;Tabla_Buffers_Agroinsumos[[#This Row],[CODIGO ]],TABLACONSOLIDADA[Bodega]&amp;TABLACONSOLIDADA[Codigo],0)),"")</f>
        <v>50</v>
      </c>
      <c r="EL51" s="157">
        <f t="array" ref="EL51">IFERROR(INDEX(TABLACONSOLIDADA[Inv Fís Act],MATCH("AGROINSUMOSLAFINCA"&amp;Tabla_Buffers_Agroinsumos[[#This Row],[CODIGO ]],TABLACONSOLIDADA[Bodega]&amp;TABLACONSOLIDADA[Codigo],0)),"")</f>
        <v>77</v>
      </c>
      <c r="EM51" s="157">
        <f t="array" ref="EM5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77</v>
      </c>
      <c r="EN5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51" s="134">
        <f>IFERROR(SUM(Tabla_Buffers_Agroinsumos[[#This Row],[LF-MP]:[LF-VL]]),"")</f>
        <v>0</v>
      </c>
      <c r="EP51" s="92">
        <f>IFERROR(Tabla_Buffers_Agroinsumos[[#This Row],[INV FIS LF]]-Tabla_Buffers_Agroinsumos[[#This Row],[BUFFER LF]],"")</f>
        <v>27</v>
      </c>
      <c r="EQ51" s="92">
        <f>IFERROR(Tabla_Buffers_Agroinsumos[[#This Row],[INV FIS LF]]+Tabla_Buffers_Agroinsumos[[#This Row],[TRANSFERENCIAS A LF]]-Tabla_Buffers_Agroinsumos[[#This Row],[BUFFER LF]]-Tabla_Buffers_Agroinsumos[[#This Row],[TRANSFERENCIAS DE LF]],"")</f>
        <v>27</v>
      </c>
      <c r="ER51" s="134"/>
      <c r="ES51" s="134"/>
      <c r="ET51" s="134"/>
      <c r="EU51" s="134"/>
      <c r="EV51" s="134"/>
      <c r="EW51" s="134"/>
      <c r="EX51" s="134"/>
      <c r="EY51" s="134"/>
      <c r="EZ51" s="134"/>
      <c r="FA51" s="134">
        <f t="array" ref="FA51">IFERROR(INDEX(TABLACONSOLIDADA[Buff Act],MATCH("AGROINSUMOSVERONICALEDESMA"&amp;Tabla_Buffers_Agroinsumos[[#This Row],[CODIGO ]],TABLACONSOLIDADA[Bodega]&amp;TABLACONSOLIDADA[Codigo],0)),"")</f>
        <v>21</v>
      </c>
      <c r="FB51" s="157">
        <f t="array" ref="FB51">IFERROR(INDEX(TABLACONSOLIDADA[Inv Fís Act],MATCH("AGROINSUMOSVERONICALEDESMA"&amp;Tabla_Buffers_Agroinsumos[[#This Row],[CODIGO ]],TABLACONSOLIDADA[Bodega]&amp;TABLACONSOLIDADA[Codigo],0)),"")</f>
        <v>0</v>
      </c>
      <c r="FC51" s="157">
        <f t="array" ref="FC5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21</v>
      </c>
      <c r="FD5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51" s="134">
        <f>IFERROR(SUM(Tabla_Buffers_Agroinsumos[[#This Row],[VL-MP]:[VL-LF]]),"")</f>
        <v>0</v>
      </c>
      <c r="FF51" s="92">
        <f>IFERROR(Tabla_Buffers_Agroinsumos[[#This Row],[INV FIS VL]]-Tabla_Buffers_Agroinsumos[[#This Row],[BUFFER VL]],"")</f>
        <v>-21</v>
      </c>
      <c r="FG51" s="92">
        <f>IFERROR(Tabla_Buffers_Agroinsumos[[#This Row],[INV FIS VL]]+Tabla_Buffers_Agroinsumos[[#This Row],[TRANSFERENCIAS A VL]]-Tabla_Buffers_Agroinsumos[[#This Row],[BUFFER VL]]-Tabla_Buffers_Agroinsumos[[#This Row],[TRANSFERENCIAS DE VL]],"")</f>
        <v>-21</v>
      </c>
      <c r="FH51" s="134"/>
      <c r="FI51" s="134"/>
      <c r="FJ51" s="134"/>
      <c r="FK51" s="134"/>
      <c r="FL51" s="134"/>
      <c r="FM51" s="134"/>
      <c r="FN51" s="134"/>
      <c r="FO51" s="134"/>
      <c r="FP51" s="134"/>
    </row>
    <row r="52" spans="1:172">
      <c r="A52" s="7" t="s">
        <v>146</v>
      </c>
      <c r="B52" s="7" t="s">
        <v>147</v>
      </c>
      <c r="C52" s="7" t="s">
        <v>709</v>
      </c>
      <c r="D52" s="7" t="s">
        <v>719</v>
      </c>
      <c r="E52" s="7" t="s">
        <v>975</v>
      </c>
      <c r="F52" s="19" t="s">
        <v>698</v>
      </c>
      <c r="G52" s="19" t="s">
        <v>698</v>
      </c>
      <c r="H52" s="19">
        <f>VLOOKUP(Tabla_Buffers_Agroinsumos[[#This Row],[CODIGO ]],TABLACONSOLIDADA[[Codigo]:[PV]],6,0)</f>
        <v>12.39</v>
      </c>
      <c r="I52" s="19">
        <f>VLOOKUP(Tabla_Buffers_Agroinsumos[[#This Row],[CODIGO ]],TABLACONSOLIDADA[[Codigo]:[PV]],5,0)</f>
        <v>4.42</v>
      </c>
      <c r="J52" s="19" t="s">
        <v>698</v>
      </c>
      <c r="K52" s="19" t="s">
        <v>698</v>
      </c>
      <c r="L52" s="19">
        <f>IFERROR(Tabla_Buffers_Agroinsumos[[#This Row],[BUFFER CENTRAL]]/((Tabla_Buffers_Agroinsumos[[#This Row],[TIEMPO REPOSICION ]]/Tabla_Buffers_Agroinsumos[[#This Row],[FRECUENCIA]])+1),0)</f>
        <v>0</v>
      </c>
      <c r="M52" s="19" t="str">
        <f t="array" ref="M52">IFERROR(INDEX(TABLACONSOLIDADA[Buff Act],MATCH("AGROINSUMOSMATERIAPRIMA"&amp;Tabla_Buffers_Agroinsumos[[#This Row],[CODIGO ]],TABLACONSOLIDADA[Bodega]&amp;TABLACONSOLIDADA[Codigo],0)),"")</f>
        <v/>
      </c>
      <c r="N52" s="157" t="str">
        <f t="array" ref="N52">IFERROR(INDEX(TABLACONSOLIDADA[Inv Fís Act],MATCH("AGROINSUMOSMATERIAPRIMA"&amp;Tabla_Buffers_Agroinsumos[[#This Row],[CODIGO ]],TABLACONSOLIDADA[Bodega]&amp;TABLACONSOLIDADA[Codigo],0)),"")</f>
        <v/>
      </c>
      <c r="O52" s="157" t="str">
        <f t="array" ref="O5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5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52" s="19">
        <f>IFERROR(SUM(Tabla_Buffers_Agroinsumos[[#This Row],[MP-C]:[MP-VL]]),"")</f>
        <v>0</v>
      </c>
      <c r="R52" s="92" t="str">
        <f>IFERROR(Tabla_Buffers_Agroinsumos[[#This Row],[INV FIS MATERIA PRIMA]]-Tabla_Buffers_Agroinsumos[[#This Row],[BUFFER MATERIA PRIMA]],"")</f>
        <v/>
      </c>
      <c r="S52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52" s="19"/>
      <c r="U52" s="19"/>
      <c r="V52" s="19"/>
      <c r="W52" s="19"/>
      <c r="X52" s="19"/>
      <c r="Y52" s="19"/>
      <c r="Z52" s="19"/>
      <c r="AA52" s="19"/>
      <c r="AB52" s="19"/>
      <c r="AC52" s="152">
        <f t="array" ref="AC52">IFERROR(INDEX(TABLACONSOLIDADA[Buff Act],MATCH("AGROINSUMOSCENTRAL"&amp;Tabla_Buffers_Agroinsumos[[#This Row],[CODIGO ]],TABLACONSOLIDADA[Bodega]&amp;TABLACONSOLIDADA[Codigo],0)),"")</f>
        <v>20</v>
      </c>
      <c r="AD52" s="157">
        <f t="array" ref="AD52">IFERROR(INDEX(TABLACONSOLIDADA[Inv Fís Act],MATCH("AGROINSUMOSCENTRAL"&amp;Tabla_Buffers_Agroinsumos[[#This Row],[CODIGO ]],TABLACONSOLIDADA[Bodega]&amp;TABLACONSOLIDADA[Codigo],0)),"")</f>
        <v>41</v>
      </c>
      <c r="AE52" s="157">
        <f t="array" ref="AE5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41</v>
      </c>
      <c r="AF5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52" s="91">
        <f>IFERROR(SUM(Tabla_Buffers_Agroinsumos[[#This Row],[C-MP]:[C-VL]]),"")</f>
        <v>0</v>
      </c>
      <c r="AH52" s="92">
        <f>IFERROR(Tabla_Buffers_Agroinsumos[[#This Row],[INV FIS CENTRAL]]-Tabla_Buffers_Agroinsumos[[#This Row],[BUFFER CENTRAL]],"")</f>
        <v>21</v>
      </c>
      <c r="AI52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21</v>
      </c>
      <c r="AJ52" s="134"/>
      <c r="AK52" s="134"/>
      <c r="AL52" s="134"/>
      <c r="AM52" s="134"/>
      <c r="AN52" s="134"/>
      <c r="AO52" s="134"/>
      <c r="AP52" s="134"/>
      <c r="AQ52" s="134"/>
      <c r="AR52" s="134"/>
      <c r="AS52" s="134">
        <f t="array" ref="AS52">IFERROR(INDEX(TABLACONSOLIDADA[Buff Act],MATCH("AGROINSUMOScentralPROPIA"&amp;Tabla_Buffers_Agroinsumos[[#This Row],[CODIGO ]],TABLACONSOLIDADA[Bodega]&amp;TABLACONSOLIDADA[Codigo],0)),"")</f>
        <v>6</v>
      </c>
      <c r="AT52" s="157">
        <f t="array" ref="AT52">IFERROR(INDEX(TABLACONSOLIDADA[Inv Fís Act],MATCH("AGROINSUMOScentralPROPIA"&amp;Tabla_Buffers_Agroinsumos[[#This Row],[CODIGO ]],TABLACONSOLIDADA[Bodega]&amp;TABLACONSOLIDADA[Codigo],0)),"")</f>
        <v>0</v>
      </c>
      <c r="AU52" s="157">
        <f t="array" ref="AU5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5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52" s="134">
        <f>IFERROR(SUM(Tabla_Buffers_Agroinsumos[[#This Row],[P-MP]:[P-VL]]),"")</f>
        <v>0</v>
      </c>
      <c r="AX52" s="92">
        <f>IFERROR(Tabla_Buffers_Agroinsumos[[#This Row],[INV FIS PROPIA]]-Tabla_Buffers_Agroinsumos[[#This Row],[BUFFER PROPIA]],"")</f>
        <v>-6</v>
      </c>
      <c r="AY52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</v>
      </c>
      <c r="AZ52" s="134"/>
      <c r="BA52" s="134"/>
      <c r="BB52" s="134"/>
      <c r="BC52" s="134"/>
      <c r="BD52" s="134"/>
      <c r="BE52" s="134"/>
      <c r="BF52" s="134"/>
      <c r="BG52" s="134"/>
      <c r="BH52" s="134"/>
      <c r="BI52" s="91">
        <f t="array" ref="BI52">IFERROR(INDEX(TABLACONSOLIDADA[Buff Act],MATCH("AGROINSUMOSSTODOMINGO"&amp;Tabla_Buffers_Agroinsumos[[#This Row],[CODIGO ]],TABLACONSOLIDADA[Bodega]&amp;TABLACONSOLIDADA[Codigo],0)),"")</f>
        <v>0</v>
      </c>
      <c r="BJ52" s="157">
        <f t="array" ref="BJ52">IFERROR(INDEX(TABLACONSOLIDADA[Inv Fís Act],MATCH("AGROINSUMOSSTODOMINGO"&amp;Tabla_Buffers_Agroinsumos[[#This Row],[CODIGO ]],TABLACONSOLIDADA[Bodega]&amp;TABLACONSOLIDADA[Codigo],0)),"")</f>
        <v>0</v>
      </c>
      <c r="BK52" s="157">
        <f t="array" ref="BK5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5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52" s="91">
        <f>IFERROR(SUM(Tabla_Buffers_Agroinsumos[[#This Row],[SD-MP]:[SD-VL]]),"")</f>
        <v>0</v>
      </c>
      <c r="BN52" s="92"/>
      <c r="BO52" s="92"/>
      <c r="BP52" s="134"/>
      <c r="BQ52" s="134"/>
      <c r="BR52" s="134"/>
      <c r="BS52" s="134"/>
      <c r="BT52" s="134"/>
      <c r="BU52" s="134"/>
      <c r="BV52" s="134"/>
      <c r="BW52" s="134"/>
      <c r="BX52" s="134"/>
      <c r="BY52" s="134">
        <f t="array" ref="BY52">IFERROR(INDEX(TABLACONSOLIDADA[Buff Act],MATCH("AGROINSUMOSMONCAYOLOPEZ"&amp;Tabla_Buffers_Agroinsumos[[#This Row],[CODIGO ]],TABLACONSOLIDADA[Bodega]&amp;TABLACONSOLIDADA[Codigo],0)),"")</f>
        <v>0</v>
      </c>
      <c r="BZ52" s="157">
        <f t="array" ref="BZ52">IFERROR(INDEX(TABLACONSOLIDADA[Inv Fís Act],MATCH("AGROINSUMOSMONCAYOLOPEZ"&amp;Tabla_Buffers_Agroinsumos[[#This Row],[CODIGO ]],TABLACONSOLIDADA[Bodega]&amp;TABLACONSOLIDADA[Codigo],0)),"")</f>
        <v>0</v>
      </c>
      <c r="CA52" s="157">
        <f t="array" ref="CA5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5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52" s="134">
        <f>IFERROR(SUM(Tabla_Buffers_Agroinsumos[[#This Row],[ML-MP]:[ML-VL]]),"")</f>
        <v>0</v>
      </c>
      <c r="CD52" s="92">
        <f>IFERROR(Tabla_Buffers_Agroinsumos[[#This Row],[INV FIS ML]]-Tabla_Buffers_Agroinsumos[[#This Row],[BUFFER ML]],"")</f>
        <v>0</v>
      </c>
      <c r="CE52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52" s="134"/>
      <c r="CG52" s="134"/>
      <c r="CH52" s="134"/>
      <c r="CI52" s="134"/>
      <c r="CJ52" s="134"/>
      <c r="CK52" s="134"/>
      <c r="CL52" s="134"/>
      <c r="CM52" s="134"/>
      <c r="CN52" s="134"/>
      <c r="CO52" s="134">
        <f t="array" ref="CO52">IFERROR(INDEX(TABLACONSOLIDADA[Buff Act],MATCH("AGROINSUMOSAGROHERMANOSLEON"&amp;Tabla_Buffers_Agroinsumos[[#This Row],[CODIGO ]],TABLACONSOLIDADA[Bodega]&amp;TABLACONSOLIDADA[Codigo],0)),"")</f>
        <v>0</v>
      </c>
      <c r="CP52" s="157">
        <f t="array" ref="CP52">IFERROR(INDEX(TABLACONSOLIDADA[Inv Fís Act],MATCH("AGROINSUMOSAGROHERMANOSLEON"&amp;Tabla_Buffers_Agroinsumos[[#This Row],[CODIGO ]],TABLACONSOLIDADA[Bodega]&amp;TABLACONSOLIDADA[Codigo],0)),"")</f>
        <v>0</v>
      </c>
      <c r="CQ52" s="157">
        <f t="array" ref="CQ5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5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52" s="134">
        <f>IFERROR(SUM(Tabla_Buffers_Agroinsumos[[#This Row],[AL-MP]:[AL-VL]]),"")</f>
        <v>0</v>
      </c>
      <c r="CT52" s="92">
        <f>IFERROR(Tabla_Buffers_Agroinsumos[[#This Row],[INV FIS AL]]-Tabla_Buffers_Agroinsumos[[#This Row],[BUFFER AL]],"")</f>
        <v>0</v>
      </c>
      <c r="CU52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52" s="134"/>
      <c r="CW52" s="134"/>
      <c r="CX52" s="134"/>
      <c r="CY52" s="134"/>
      <c r="CZ52" s="134"/>
      <c r="DA52" s="134"/>
      <c r="DB52" s="134"/>
      <c r="DC52" s="134"/>
      <c r="DD52" s="134"/>
      <c r="DE52" s="134">
        <f t="array" ref="DE52">IFERROR(INDEX(TABLACONSOLIDADA[Buff Act],MATCH("AGROINSUMOSAGRONUEVO"&amp;Tabla_Buffers_Agroinsumos[[#This Row],[CODIGO ]],TABLACONSOLIDADA[Bodega]&amp;TABLACONSOLIDADA[Codigo],0)),"")</f>
        <v>0</v>
      </c>
      <c r="DF52" s="157">
        <f t="array" ref="DF52">IFERROR(INDEX(TABLACONSOLIDADA[Inv Fís Act],MATCH("AGROINSUMOSAGRONUEVO"&amp;Tabla_Buffers_Agroinsumos[[#This Row],[CODIGO ]],TABLACONSOLIDADA[Bodega]&amp;TABLACONSOLIDADA[Codigo],0)),"")</f>
        <v>0</v>
      </c>
      <c r="DG52" s="157">
        <f t="array" ref="DG5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5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52" s="134">
        <f>IFERROR(SUM(Tabla_Buffers_Agroinsumos[[#This Row],[AN-MP]:[AN-VL]]),"")</f>
        <v>0</v>
      </c>
      <c r="DJ52" s="92">
        <f>IFERROR(Tabla_Buffers_Agroinsumos[[#This Row],[INV FIS AN]]-Tabla_Buffers_Agroinsumos[[#This Row],[BUFFER AN]],"")</f>
        <v>0</v>
      </c>
      <c r="DK52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52" s="134"/>
      <c r="DM52" s="134"/>
      <c r="DN52" s="134"/>
      <c r="DO52" s="134"/>
      <c r="DP52" s="134"/>
      <c r="DQ52" s="134"/>
      <c r="DR52" s="134"/>
      <c r="DS52" s="134"/>
      <c r="DT52" s="134"/>
      <c r="DU52" s="134">
        <f t="array" ref="DU52">IFERROR(INDEX(TABLACONSOLIDADA[Buff Act],MATCH("AGROINSUMOSAGROQUIMICOSSUR"&amp;Tabla_Buffers_Agroinsumos[[#This Row],[CODIGO ]],TABLACONSOLIDADA[Bodega]&amp;TABLACONSOLIDADA[Codigo],0)),"")</f>
        <v>0</v>
      </c>
      <c r="DV52" s="157">
        <f t="array" ref="DV52">IFERROR(INDEX(TABLACONSOLIDADA[Inv Fís Act],MATCH("AGROINSUMOSAGROQUIMICOSSUR"&amp;Tabla_Buffers_Agroinsumos[[#This Row],[CODIGO ]],TABLACONSOLIDADA[Bodega]&amp;TABLACONSOLIDADA[Codigo],0)),"")</f>
        <v>0</v>
      </c>
      <c r="DW52" s="157">
        <f t="array" ref="DW5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5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52" s="134">
        <f>IFERROR(SUM(Tabla_Buffers_Agroinsumos[[#This Row],[AS-MP]:[AS-VL]]),"")</f>
        <v>0</v>
      </c>
      <c r="DZ52" s="92">
        <f>IFERROR(Tabla_Buffers_Agroinsumos[[#This Row],[INV FIS AS]]-Tabla_Buffers_Agroinsumos[[#This Row],[BUFFER AS]],"")</f>
        <v>0</v>
      </c>
      <c r="EA52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52" s="134"/>
      <c r="EC52" s="134"/>
      <c r="ED52" s="134"/>
      <c r="EE52" s="134"/>
      <c r="EF52" s="134"/>
      <c r="EG52" s="134"/>
      <c r="EH52" s="134"/>
      <c r="EI52" s="134"/>
      <c r="EJ52" s="134"/>
      <c r="EK52" s="134">
        <f t="array" ref="EK52">IFERROR(INDEX(TABLACONSOLIDADA[Buff Act],MATCH("AGROINSUMOSLAFINCA"&amp;Tabla_Buffers_Agroinsumos[[#This Row],[CODIGO ]],TABLACONSOLIDADA[Bodega]&amp;TABLACONSOLIDADA[Codigo],0)),"")</f>
        <v>20</v>
      </c>
      <c r="EL52" s="157">
        <f t="array" ref="EL52">IFERROR(INDEX(TABLACONSOLIDADA[Inv Fís Act],MATCH("AGROINSUMOSLAFINCA"&amp;Tabla_Buffers_Agroinsumos[[#This Row],[CODIGO ]],TABLACONSOLIDADA[Bodega]&amp;TABLACONSOLIDADA[Codigo],0)),"")</f>
        <v>20</v>
      </c>
      <c r="EM52" s="157">
        <f t="array" ref="EM5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20</v>
      </c>
      <c r="EN5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52" s="134">
        <f>IFERROR(SUM(Tabla_Buffers_Agroinsumos[[#This Row],[LF-MP]:[LF-VL]]),"")</f>
        <v>0</v>
      </c>
      <c r="EP52" s="92">
        <f>IFERROR(Tabla_Buffers_Agroinsumos[[#This Row],[INV FIS LF]]-Tabla_Buffers_Agroinsumos[[#This Row],[BUFFER LF]],"")</f>
        <v>0</v>
      </c>
      <c r="EQ52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52" s="134"/>
      <c r="ES52" s="134"/>
      <c r="ET52" s="134"/>
      <c r="EU52" s="134"/>
      <c r="EV52" s="134"/>
      <c r="EW52" s="134"/>
      <c r="EX52" s="134"/>
      <c r="EY52" s="134"/>
      <c r="EZ52" s="134"/>
      <c r="FA52" s="134">
        <f t="array" ref="FA52">IFERROR(INDEX(TABLACONSOLIDADA[Buff Act],MATCH("AGROINSUMOSVERONICALEDESMA"&amp;Tabla_Buffers_Agroinsumos[[#This Row],[CODIGO ]],TABLACONSOLIDADA[Bodega]&amp;TABLACONSOLIDADA[Codigo],0)),"")</f>
        <v>0</v>
      </c>
      <c r="FB52" s="157">
        <f t="array" ref="FB52">IFERROR(INDEX(TABLACONSOLIDADA[Inv Fís Act],MATCH("AGROINSUMOSVERONICALEDESMA"&amp;Tabla_Buffers_Agroinsumos[[#This Row],[CODIGO ]],TABLACONSOLIDADA[Bodega]&amp;TABLACONSOLIDADA[Codigo],0)),"")</f>
        <v>0</v>
      </c>
      <c r="FC52" s="157">
        <f t="array" ref="FC5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5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52" s="134">
        <f>IFERROR(SUM(Tabla_Buffers_Agroinsumos[[#This Row],[VL-MP]:[VL-LF]]),"")</f>
        <v>0</v>
      </c>
      <c r="FF52" s="92">
        <f>IFERROR(Tabla_Buffers_Agroinsumos[[#This Row],[INV FIS VL]]-Tabla_Buffers_Agroinsumos[[#This Row],[BUFFER VL]],"")</f>
        <v>0</v>
      </c>
      <c r="FG52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52" s="134"/>
      <c r="FI52" s="134"/>
      <c r="FJ52" s="134"/>
      <c r="FK52" s="134"/>
      <c r="FL52" s="134"/>
      <c r="FM52" s="134"/>
      <c r="FN52" s="134"/>
      <c r="FO52" s="134"/>
      <c r="FP52" s="134"/>
    </row>
    <row r="53" spans="1:172">
      <c r="A53" s="7" t="s">
        <v>148</v>
      </c>
      <c r="B53" s="7" t="s">
        <v>149</v>
      </c>
      <c r="C53" s="7" t="s">
        <v>709</v>
      </c>
      <c r="D53" s="7" t="s">
        <v>719</v>
      </c>
      <c r="E53" s="7" t="s">
        <v>975</v>
      </c>
      <c r="F53" s="19" t="s">
        <v>698</v>
      </c>
      <c r="G53" s="19" t="s">
        <v>698</v>
      </c>
      <c r="H53" s="19">
        <f>VLOOKUP(Tabla_Buffers_Agroinsumos[[#This Row],[CODIGO ]],TABLACONSOLIDADA[[Codigo]:[PV]],6,0)</f>
        <v>23.9</v>
      </c>
      <c r="I53" s="19">
        <f>VLOOKUP(Tabla_Buffers_Agroinsumos[[#This Row],[CODIGO ]],TABLACONSOLIDADA[[Codigo]:[PV]],5,0)</f>
        <v>11.54</v>
      </c>
      <c r="J53" s="19" t="s">
        <v>698</v>
      </c>
      <c r="K53" s="19" t="s">
        <v>698</v>
      </c>
      <c r="L53" s="19">
        <f>IFERROR(Tabla_Buffers_Agroinsumos[[#This Row],[BUFFER CENTRAL]]/((Tabla_Buffers_Agroinsumos[[#This Row],[TIEMPO REPOSICION ]]/Tabla_Buffers_Agroinsumos[[#This Row],[FRECUENCIA]])+1),0)</f>
        <v>0</v>
      </c>
      <c r="M53" s="19" t="str">
        <f t="array" ref="M53">IFERROR(INDEX(TABLACONSOLIDADA[Buff Act],MATCH("AGROINSUMOSMATERIAPRIMA"&amp;Tabla_Buffers_Agroinsumos[[#This Row],[CODIGO ]],TABLACONSOLIDADA[Bodega]&amp;TABLACONSOLIDADA[Codigo],0)),"")</f>
        <v/>
      </c>
      <c r="N53" s="157" t="str">
        <f t="array" ref="N53">IFERROR(INDEX(TABLACONSOLIDADA[Inv Fís Act],MATCH("AGROINSUMOSMATERIAPRIMA"&amp;Tabla_Buffers_Agroinsumos[[#This Row],[CODIGO ]],TABLACONSOLIDADA[Bodega]&amp;TABLACONSOLIDADA[Codigo],0)),"")</f>
        <v/>
      </c>
      <c r="O53" s="157" t="str">
        <f t="array" ref="O5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5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53" s="19">
        <f>IFERROR(SUM(Tabla_Buffers_Agroinsumos[[#This Row],[MP-C]:[MP-VL]]),"")</f>
        <v>0</v>
      </c>
      <c r="R53" s="92" t="str">
        <f>IFERROR(Tabla_Buffers_Agroinsumos[[#This Row],[INV FIS MATERIA PRIMA]]-Tabla_Buffers_Agroinsumos[[#This Row],[BUFFER MATERIA PRIMA]],"")</f>
        <v/>
      </c>
      <c r="S5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53" s="19"/>
      <c r="U53" s="19"/>
      <c r="V53" s="19"/>
      <c r="W53" s="19"/>
      <c r="X53" s="19"/>
      <c r="Y53" s="19"/>
      <c r="Z53" s="19"/>
      <c r="AA53" s="19"/>
      <c r="AB53" s="19"/>
      <c r="AC53" s="152">
        <f t="array" ref="AC53">IFERROR(INDEX(TABLACONSOLIDADA[Buff Act],MATCH("AGROINSUMOSCENTRAL"&amp;Tabla_Buffers_Agroinsumos[[#This Row],[CODIGO ]],TABLACONSOLIDADA[Bodega]&amp;TABLACONSOLIDADA[Codigo],0)),"")</f>
        <v>120</v>
      </c>
      <c r="AD53" s="157">
        <f t="array" ref="AD53">IFERROR(INDEX(TABLACONSOLIDADA[Inv Fís Act],MATCH("AGROINSUMOSCENTRAL"&amp;Tabla_Buffers_Agroinsumos[[#This Row],[CODIGO ]],TABLACONSOLIDADA[Bodega]&amp;TABLACONSOLIDADA[Codigo],0)),"")</f>
        <v>200</v>
      </c>
      <c r="AE53" s="157">
        <f t="array" ref="AE5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215</v>
      </c>
      <c r="AF5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53" s="91">
        <f>IFERROR(SUM(Tabla_Buffers_Agroinsumos[[#This Row],[C-MP]:[C-VL]]),"")</f>
        <v>0</v>
      </c>
      <c r="AH53" s="92">
        <f>IFERROR(Tabla_Buffers_Agroinsumos[[#This Row],[INV FIS CENTRAL]]-Tabla_Buffers_Agroinsumos[[#This Row],[BUFFER CENTRAL]],"")</f>
        <v>80</v>
      </c>
      <c r="AI5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80</v>
      </c>
      <c r="AJ53" s="134"/>
      <c r="AK53" s="134"/>
      <c r="AL53" s="134"/>
      <c r="AM53" s="134"/>
      <c r="AN53" s="134"/>
      <c r="AO53" s="134"/>
      <c r="AP53" s="134"/>
      <c r="AQ53" s="134"/>
      <c r="AR53" s="134"/>
      <c r="AS53" s="134">
        <f t="array" ref="AS53">IFERROR(INDEX(TABLACONSOLIDADA[Buff Act],MATCH("AGROINSUMOScentralPROPIA"&amp;Tabla_Buffers_Agroinsumos[[#This Row],[CODIGO ]],TABLACONSOLIDADA[Bodega]&amp;TABLACONSOLIDADA[Codigo],0)),"")</f>
        <v>75</v>
      </c>
      <c r="AT53" s="157">
        <f t="array" ref="AT53">IFERROR(INDEX(TABLACONSOLIDADA[Inv Fís Act],MATCH("AGROINSUMOScentralPROPIA"&amp;Tabla_Buffers_Agroinsumos[[#This Row],[CODIGO ]],TABLACONSOLIDADA[Bodega]&amp;TABLACONSOLIDADA[Codigo],0)),"")</f>
        <v>0</v>
      </c>
      <c r="AU53" s="157">
        <f t="array" ref="AU5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5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53" s="134">
        <f>IFERROR(SUM(Tabla_Buffers_Agroinsumos[[#This Row],[P-MP]:[P-VL]]),"")</f>
        <v>0</v>
      </c>
      <c r="AX53" s="92">
        <f>IFERROR(Tabla_Buffers_Agroinsumos[[#This Row],[INV FIS PROPIA]]-Tabla_Buffers_Agroinsumos[[#This Row],[BUFFER PROPIA]],"")</f>
        <v>-75</v>
      </c>
      <c r="AY5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-75</v>
      </c>
      <c r="AZ53" s="134"/>
      <c r="BA53" s="134"/>
      <c r="BB53" s="134"/>
      <c r="BC53" s="134"/>
      <c r="BD53" s="134"/>
      <c r="BE53" s="134"/>
      <c r="BF53" s="134"/>
      <c r="BG53" s="134"/>
      <c r="BH53" s="134"/>
      <c r="BI53" s="91">
        <f t="array" ref="BI53">IFERROR(INDEX(TABLACONSOLIDADA[Buff Act],MATCH("AGROINSUMOSSTODOMINGO"&amp;Tabla_Buffers_Agroinsumos[[#This Row],[CODIGO ]],TABLACONSOLIDADA[Bodega]&amp;TABLACONSOLIDADA[Codigo],0)),"")</f>
        <v>0</v>
      </c>
      <c r="BJ53" s="157">
        <f t="array" ref="BJ53">IFERROR(INDEX(TABLACONSOLIDADA[Inv Fís Act],MATCH("AGROINSUMOSSTODOMINGO"&amp;Tabla_Buffers_Agroinsumos[[#This Row],[CODIGO ]],TABLACONSOLIDADA[Bodega]&amp;TABLACONSOLIDADA[Codigo],0)),"")</f>
        <v>0</v>
      </c>
      <c r="BK53" s="157">
        <f t="array" ref="BK5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5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53" s="91">
        <f>IFERROR(SUM(Tabla_Buffers_Agroinsumos[[#This Row],[SD-MP]:[SD-VL]]),"")</f>
        <v>0</v>
      </c>
      <c r="BN53" s="92"/>
      <c r="BO53" s="92"/>
      <c r="BP53" s="134"/>
      <c r="BQ53" s="134"/>
      <c r="BR53" s="134"/>
      <c r="BS53" s="134"/>
      <c r="BT53" s="134"/>
      <c r="BU53" s="134"/>
      <c r="BV53" s="134"/>
      <c r="BW53" s="134"/>
      <c r="BX53" s="134"/>
      <c r="BY53" s="134">
        <f t="array" ref="BY53">IFERROR(INDEX(TABLACONSOLIDADA[Buff Act],MATCH("AGROINSUMOSMONCAYOLOPEZ"&amp;Tabla_Buffers_Agroinsumos[[#This Row],[CODIGO ]],TABLACONSOLIDADA[Bodega]&amp;TABLACONSOLIDADA[Codigo],0)),"")</f>
        <v>0</v>
      </c>
      <c r="BZ53" s="157">
        <f t="array" ref="BZ53">IFERROR(INDEX(TABLACONSOLIDADA[Inv Fís Act],MATCH("AGROINSUMOSMONCAYOLOPEZ"&amp;Tabla_Buffers_Agroinsumos[[#This Row],[CODIGO ]],TABLACONSOLIDADA[Bodega]&amp;TABLACONSOLIDADA[Codigo],0)),"")</f>
        <v>0</v>
      </c>
      <c r="CA53" s="157">
        <f t="array" ref="CA5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5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53" s="134">
        <f>IFERROR(SUM(Tabla_Buffers_Agroinsumos[[#This Row],[ML-MP]:[ML-VL]]),"")</f>
        <v>0</v>
      </c>
      <c r="CD53" s="92">
        <f>IFERROR(Tabla_Buffers_Agroinsumos[[#This Row],[INV FIS ML]]-Tabla_Buffers_Agroinsumos[[#This Row],[BUFFER ML]],"")</f>
        <v>0</v>
      </c>
      <c r="CE53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53" s="134"/>
      <c r="CG53" s="134"/>
      <c r="CH53" s="134"/>
      <c r="CI53" s="134"/>
      <c r="CJ53" s="134"/>
      <c r="CK53" s="134"/>
      <c r="CL53" s="134"/>
      <c r="CM53" s="134"/>
      <c r="CN53" s="134"/>
      <c r="CO53" s="134">
        <f t="array" ref="CO53">IFERROR(INDEX(TABLACONSOLIDADA[Buff Act],MATCH("AGROINSUMOSAGROHERMANOSLEON"&amp;Tabla_Buffers_Agroinsumos[[#This Row],[CODIGO ]],TABLACONSOLIDADA[Bodega]&amp;TABLACONSOLIDADA[Codigo],0)),"")</f>
        <v>30</v>
      </c>
      <c r="CP53" s="157">
        <f t="array" ref="CP53">IFERROR(INDEX(TABLACONSOLIDADA[Inv Fís Act],MATCH("AGROINSUMOSAGROHERMANOSLEON"&amp;Tabla_Buffers_Agroinsumos[[#This Row],[CODIGO ]],TABLACONSOLIDADA[Bodega]&amp;TABLACONSOLIDADA[Codigo],0)),"")</f>
        <v>39</v>
      </c>
      <c r="CQ53" s="157">
        <f t="array" ref="CQ5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39</v>
      </c>
      <c r="CR5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53" s="134">
        <f>IFERROR(SUM(Tabla_Buffers_Agroinsumos[[#This Row],[AL-MP]:[AL-VL]]),"")</f>
        <v>0</v>
      </c>
      <c r="CT53" s="92">
        <f>IFERROR(Tabla_Buffers_Agroinsumos[[#This Row],[INV FIS AL]]-Tabla_Buffers_Agroinsumos[[#This Row],[BUFFER AL]],"")</f>
        <v>9</v>
      </c>
      <c r="CU53" s="92">
        <f>IFERROR(Tabla_Buffers_Agroinsumos[[#This Row],[INV FIS AL]]+Tabla_Buffers_Agroinsumos[[#This Row],[TRANSFERENCIAS A AL]]-Tabla_Buffers_Agroinsumos[[#This Row],[BUFFER AL]]-Tabla_Buffers_Agroinsumos[[#This Row],[TRANSFERENCIAS DE AL]],"")</f>
        <v>9</v>
      </c>
      <c r="CV53" s="134"/>
      <c r="CW53" s="134"/>
      <c r="CX53" s="134"/>
      <c r="CY53" s="134"/>
      <c r="CZ53" s="134"/>
      <c r="DA53" s="134"/>
      <c r="DB53" s="134"/>
      <c r="DC53" s="134"/>
      <c r="DD53" s="134"/>
      <c r="DE53" s="134">
        <f t="array" ref="DE53">IFERROR(INDEX(TABLACONSOLIDADA[Buff Act],MATCH("AGROINSUMOSAGRONUEVO"&amp;Tabla_Buffers_Agroinsumos[[#This Row],[CODIGO ]],TABLACONSOLIDADA[Bodega]&amp;TABLACONSOLIDADA[Codigo],0)),"")</f>
        <v>20</v>
      </c>
      <c r="DF53" s="157">
        <f t="array" ref="DF53">IFERROR(INDEX(TABLACONSOLIDADA[Inv Fís Act],MATCH("AGROINSUMOSAGRONUEVO"&amp;Tabla_Buffers_Agroinsumos[[#This Row],[CODIGO ]],TABLACONSOLIDADA[Bodega]&amp;TABLACONSOLIDADA[Codigo],0)),"")</f>
        <v>20</v>
      </c>
      <c r="DG53" s="157">
        <f t="array" ref="DG5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20</v>
      </c>
      <c r="DH5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53" s="134">
        <f>IFERROR(SUM(Tabla_Buffers_Agroinsumos[[#This Row],[AN-MP]:[AN-VL]]),"")</f>
        <v>0</v>
      </c>
      <c r="DJ53" s="92">
        <f>IFERROR(Tabla_Buffers_Agroinsumos[[#This Row],[INV FIS AN]]-Tabla_Buffers_Agroinsumos[[#This Row],[BUFFER AN]],"")</f>
        <v>0</v>
      </c>
      <c r="DK53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53" s="134"/>
      <c r="DM53" s="134"/>
      <c r="DN53" s="134"/>
      <c r="DO53" s="134"/>
      <c r="DP53" s="134"/>
      <c r="DQ53" s="134"/>
      <c r="DR53" s="134"/>
      <c r="DS53" s="134"/>
      <c r="DT53" s="134"/>
      <c r="DU53" s="134">
        <f t="array" ref="DU53">IFERROR(INDEX(TABLACONSOLIDADA[Buff Act],MATCH("AGROINSUMOSAGROQUIMICOSSUR"&amp;Tabla_Buffers_Agroinsumos[[#This Row],[CODIGO ]],TABLACONSOLIDADA[Bodega]&amp;TABLACONSOLIDADA[Codigo],0)),"")</f>
        <v>0</v>
      </c>
      <c r="DV53" s="157">
        <f t="array" ref="DV53">IFERROR(INDEX(TABLACONSOLIDADA[Inv Fís Act],MATCH("AGROINSUMOSAGROQUIMICOSSUR"&amp;Tabla_Buffers_Agroinsumos[[#This Row],[CODIGO ]],TABLACONSOLIDADA[Bodega]&amp;TABLACONSOLIDADA[Codigo],0)),"")</f>
        <v>0</v>
      </c>
      <c r="DW53" s="157">
        <f t="array" ref="DW5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5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53" s="134">
        <f>IFERROR(SUM(Tabla_Buffers_Agroinsumos[[#This Row],[AS-MP]:[AS-VL]]),"")</f>
        <v>0</v>
      </c>
      <c r="DZ53" s="92">
        <f>IFERROR(Tabla_Buffers_Agroinsumos[[#This Row],[INV FIS AS]]-Tabla_Buffers_Agroinsumos[[#This Row],[BUFFER AS]],"")</f>
        <v>0</v>
      </c>
      <c r="EA53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53" s="134"/>
      <c r="EC53" s="134"/>
      <c r="ED53" s="134"/>
      <c r="EE53" s="134"/>
      <c r="EF53" s="134"/>
      <c r="EG53" s="134"/>
      <c r="EH53" s="134"/>
      <c r="EI53" s="134"/>
      <c r="EJ53" s="134"/>
      <c r="EK53" s="134">
        <f t="array" ref="EK53">IFERROR(INDEX(TABLACONSOLIDADA[Buff Act],MATCH("AGROINSUMOSLAFINCA"&amp;Tabla_Buffers_Agroinsumos[[#This Row],[CODIGO ]],TABLACONSOLIDADA[Bodega]&amp;TABLACONSOLIDADA[Codigo],0)),"")</f>
        <v>0</v>
      </c>
      <c r="EL53" s="157">
        <f t="array" ref="EL53">IFERROR(INDEX(TABLACONSOLIDADA[Inv Fís Act],MATCH("AGROINSUMOSLAFINCA"&amp;Tabla_Buffers_Agroinsumos[[#This Row],[CODIGO ]],TABLACONSOLIDADA[Bodega]&amp;TABLACONSOLIDADA[Codigo],0)),"")</f>
        <v>0</v>
      </c>
      <c r="EM53" s="157">
        <f t="array" ref="EM5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5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53" s="134">
        <f>IFERROR(SUM(Tabla_Buffers_Agroinsumos[[#This Row],[LF-MP]:[LF-VL]]),"")</f>
        <v>0</v>
      </c>
      <c r="EP53" s="92">
        <f>IFERROR(Tabla_Buffers_Agroinsumos[[#This Row],[INV FIS LF]]-Tabla_Buffers_Agroinsumos[[#This Row],[BUFFER LF]],"")</f>
        <v>0</v>
      </c>
      <c r="EQ5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53" s="134"/>
      <c r="ES53" s="134"/>
      <c r="ET53" s="134"/>
      <c r="EU53" s="134"/>
      <c r="EV53" s="134"/>
      <c r="EW53" s="134"/>
      <c r="EX53" s="134"/>
      <c r="EY53" s="134"/>
      <c r="EZ53" s="134"/>
      <c r="FA53" s="134">
        <f t="array" ref="FA53">IFERROR(INDEX(TABLACONSOLIDADA[Buff Act],MATCH("AGROINSUMOSVERONICALEDESMA"&amp;Tabla_Buffers_Agroinsumos[[#This Row],[CODIGO ]],TABLACONSOLIDADA[Bodega]&amp;TABLACONSOLIDADA[Codigo],0)),"")</f>
        <v>0</v>
      </c>
      <c r="FB53" s="157">
        <f t="array" ref="FB53">IFERROR(INDEX(TABLACONSOLIDADA[Inv Fís Act],MATCH("AGROINSUMOSVERONICALEDESMA"&amp;Tabla_Buffers_Agroinsumos[[#This Row],[CODIGO ]],TABLACONSOLIDADA[Bodega]&amp;TABLACONSOLIDADA[Codigo],0)),"")</f>
        <v>0</v>
      </c>
      <c r="FC53" s="157">
        <f t="array" ref="FC5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5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53" s="134">
        <f>IFERROR(SUM(Tabla_Buffers_Agroinsumos[[#This Row],[VL-MP]:[VL-LF]]),"")</f>
        <v>0</v>
      </c>
      <c r="FF53" s="92">
        <f>IFERROR(Tabla_Buffers_Agroinsumos[[#This Row],[INV FIS VL]]-Tabla_Buffers_Agroinsumos[[#This Row],[BUFFER VL]],"")</f>
        <v>0</v>
      </c>
      <c r="FG53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53" s="134"/>
      <c r="FI53" s="134"/>
      <c r="FJ53" s="134"/>
      <c r="FK53" s="134"/>
      <c r="FL53" s="134"/>
      <c r="FM53" s="134"/>
      <c r="FN53" s="134"/>
      <c r="FO53" s="134"/>
      <c r="FP53" s="134"/>
    </row>
    <row r="54" spans="1:172">
      <c r="A54" s="7" t="s">
        <v>150</v>
      </c>
      <c r="B54" s="7" t="s">
        <v>151</v>
      </c>
      <c r="C54" s="7" t="s">
        <v>709</v>
      </c>
      <c r="D54" s="7" t="s">
        <v>719</v>
      </c>
      <c r="E54" s="7" t="s">
        <v>975</v>
      </c>
      <c r="F54" s="19" t="s">
        <v>698</v>
      </c>
      <c r="G54" s="19" t="s">
        <v>698</v>
      </c>
      <c r="H54" s="19">
        <f>VLOOKUP(Tabla_Buffers_Agroinsumos[[#This Row],[CODIGO ]],TABLACONSOLIDADA[[Codigo]:[PV]],6,0)</f>
        <v>16.5</v>
      </c>
      <c r="I54" s="19">
        <f>VLOOKUP(Tabla_Buffers_Agroinsumos[[#This Row],[CODIGO ]],TABLACONSOLIDADA[[Codigo]:[PV]],5,0)</f>
        <v>10.83</v>
      </c>
      <c r="J54" s="19" t="s">
        <v>698</v>
      </c>
      <c r="K54" s="19" t="s">
        <v>698</v>
      </c>
      <c r="L54" s="19">
        <f>IFERROR(Tabla_Buffers_Agroinsumos[[#This Row],[BUFFER CENTRAL]]/((Tabla_Buffers_Agroinsumos[[#This Row],[TIEMPO REPOSICION ]]/Tabla_Buffers_Agroinsumos[[#This Row],[FRECUENCIA]])+1),0)</f>
        <v>0</v>
      </c>
      <c r="M54" s="19" t="str">
        <f t="array" ref="M54">IFERROR(INDEX(TABLACONSOLIDADA[Buff Act],MATCH("AGROINSUMOSMATERIAPRIMA"&amp;Tabla_Buffers_Agroinsumos[[#This Row],[CODIGO ]],TABLACONSOLIDADA[Bodega]&amp;TABLACONSOLIDADA[Codigo],0)),"")</f>
        <v/>
      </c>
      <c r="N54" s="157" t="str">
        <f t="array" ref="N54">IFERROR(INDEX(TABLACONSOLIDADA[Inv Fís Act],MATCH("AGROINSUMOSMATERIAPRIMA"&amp;Tabla_Buffers_Agroinsumos[[#This Row],[CODIGO ]],TABLACONSOLIDADA[Bodega]&amp;TABLACONSOLIDADA[Codigo],0)),"")</f>
        <v/>
      </c>
      <c r="O54" s="157" t="str">
        <f t="array" ref="O5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5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54" s="19">
        <f>IFERROR(SUM(Tabla_Buffers_Agroinsumos[[#This Row],[MP-C]:[MP-VL]]),"")</f>
        <v>0</v>
      </c>
      <c r="R54" s="92" t="str">
        <f>IFERROR(Tabla_Buffers_Agroinsumos[[#This Row],[INV FIS MATERIA PRIMA]]-Tabla_Buffers_Agroinsumos[[#This Row],[BUFFER MATERIA PRIMA]],"")</f>
        <v/>
      </c>
      <c r="S5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54" s="19"/>
      <c r="U54" s="19"/>
      <c r="V54" s="19"/>
      <c r="W54" s="19"/>
      <c r="X54" s="19"/>
      <c r="Y54" s="19"/>
      <c r="Z54" s="19"/>
      <c r="AA54" s="19"/>
      <c r="AB54" s="19"/>
      <c r="AC54" s="152">
        <f t="array" ref="AC54">IFERROR(INDEX(TABLACONSOLIDADA[Buff Act],MATCH("AGROINSUMOSCENTRAL"&amp;Tabla_Buffers_Agroinsumos[[#This Row],[CODIGO ]],TABLACONSOLIDADA[Bodega]&amp;TABLACONSOLIDADA[Codigo],0)),"")</f>
        <v>0</v>
      </c>
      <c r="AD54" s="157">
        <f t="array" ref="AD54">IFERROR(INDEX(TABLACONSOLIDADA[Inv Fís Act],MATCH("AGROINSUMOSCENTRAL"&amp;Tabla_Buffers_Agroinsumos[[#This Row],[CODIGO ]],TABLACONSOLIDADA[Bodega]&amp;TABLACONSOLIDADA[Codigo],0)),"")</f>
        <v>0</v>
      </c>
      <c r="AE54" s="157">
        <f t="array" ref="AE5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5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54" s="91">
        <f>IFERROR(SUM(Tabla_Buffers_Agroinsumos[[#This Row],[C-MP]:[C-VL]]),"")</f>
        <v>0</v>
      </c>
      <c r="AH54" s="92">
        <f>IFERROR(Tabla_Buffers_Agroinsumos[[#This Row],[INV FIS CENTRAL]]-Tabla_Buffers_Agroinsumos[[#This Row],[BUFFER CENTRAL]],"")</f>
        <v>0</v>
      </c>
      <c r="AI5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54" s="134"/>
      <c r="AK54" s="134"/>
      <c r="AL54" s="134"/>
      <c r="AM54" s="134"/>
      <c r="AN54" s="134"/>
      <c r="AO54" s="134"/>
      <c r="AP54" s="134"/>
      <c r="AQ54" s="134"/>
      <c r="AR54" s="134"/>
      <c r="AS54" s="134">
        <f t="array" ref="AS54">IFERROR(INDEX(TABLACONSOLIDADA[Buff Act],MATCH("AGROINSUMOScentralPROPIA"&amp;Tabla_Buffers_Agroinsumos[[#This Row],[CODIGO ]],TABLACONSOLIDADA[Bodega]&amp;TABLACONSOLIDADA[Codigo],0)),"")</f>
        <v>0</v>
      </c>
      <c r="AT54" s="157">
        <f t="array" ref="AT54">IFERROR(INDEX(TABLACONSOLIDADA[Inv Fís Act],MATCH("AGROINSUMOScentralPROPIA"&amp;Tabla_Buffers_Agroinsumos[[#This Row],[CODIGO ]],TABLACONSOLIDADA[Bodega]&amp;TABLACONSOLIDADA[Codigo],0)),"")</f>
        <v>0</v>
      </c>
      <c r="AU54" s="157">
        <f t="array" ref="AU5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5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54" s="134">
        <f>IFERROR(SUM(Tabla_Buffers_Agroinsumos[[#This Row],[P-MP]:[P-VL]]),"")</f>
        <v>0</v>
      </c>
      <c r="AX54" s="92">
        <f>IFERROR(Tabla_Buffers_Agroinsumos[[#This Row],[INV FIS PROPIA]]-Tabla_Buffers_Agroinsumos[[#This Row],[BUFFER PROPIA]],"")</f>
        <v>0</v>
      </c>
      <c r="AY5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54" s="134"/>
      <c r="BA54" s="134"/>
      <c r="BB54" s="134"/>
      <c r="BC54" s="134"/>
      <c r="BD54" s="134"/>
      <c r="BE54" s="134"/>
      <c r="BF54" s="134"/>
      <c r="BG54" s="134"/>
      <c r="BH54" s="134"/>
      <c r="BI54" s="91">
        <f t="array" ref="BI54">IFERROR(INDEX(TABLACONSOLIDADA[Buff Act],MATCH("AGROINSUMOSSTODOMINGO"&amp;Tabla_Buffers_Agroinsumos[[#This Row],[CODIGO ]],TABLACONSOLIDADA[Bodega]&amp;TABLACONSOLIDADA[Codigo],0)),"")</f>
        <v>0</v>
      </c>
      <c r="BJ54" s="157">
        <f t="array" ref="BJ54">IFERROR(INDEX(TABLACONSOLIDADA[Inv Fís Act],MATCH("AGROINSUMOSSTODOMINGO"&amp;Tabla_Buffers_Agroinsumos[[#This Row],[CODIGO ]],TABLACONSOLIDADA[Bodega]&amp;TABLACONSOLIDADA[Codigo],0)),"")</f>
        <v>0</v>
      </c>
      <c r="BK54" s="157">
        <f t="array" ref="BK5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5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54" s="91">
        <f>IFERROR(SUM(Tabla_Buffers_Agroinsumos[[#This Row],[SD-MP]:[SD-VL]]),"")</f>
        <v>0</v>
      </c>
      <c r="BN54" s="92"/>
      <c r="BO54" s="92"/>
      <c r="BP54" s="134"/>
      <c r="BQ54" s="134"/>
      <c r="BR54" s="134"/>
      <c r="BS54" s="134"/>
      <c r="BT54" s="134"/>
      <c r="BU54" s="134"/>
      <c r="BV54" s="134"/>
      <c r="BW54" s="134"/>
      <c r="BX54" s="134"/>
      <c r="BY54" s="134">
        <f t="array" ref="BY54">IFERROR(INDEX(TABLACONSOLIDADA[Buff Act],MATCH("AGROINSUMOSMONCAYOLOPEZ"&amp;Tabla_Buffers_Agroinsumos[[#This Row],[CODIGO ]],TABLACONSOLIDADA[Bodega]&amp;TABLACONSOLIDADA[Codigo],0)),"")</f>
        <v>0</v>
      </c>
      <c r="BZ54" s="157">
        <f t="array" ref="BZ54">IFERROR(INDEX(TABLACONSOLIDADA[Inv Fís Act],MATCH("AGROINSUMOSMONCAYOLOPEZ"&amp;Tabla_Buffers_Agroinsumos[[#This Row],[CODIGO ]],TABLACONSOLIDADA[Bodega]&amp;TABLACONSOLIDADA[Codigo],0)),"")</f>
        <v>0</v>
      </c>
      <c r="CA54" s="157">
        <f t="array" ref="CA5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5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54" s="134">
        <f>IFERROR(SUM(Tabla_Buffers_Agroinsumos[[#This Row],[ML-MP]:[ML-VL]]),"")</f>
        <v>0</v>
      </c>
      <c r="CD54" s="92">
        <f>IFERROR(Tabla_Buffers_Agroinsumos[[#This Row],[INV FIS ML]]-Tabla_Buffers_Agroinsumos[[#This Row],[BUFFER ML]],"")</f>
        <v>0</v>
      </c>
      <c r="CE54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54" s="134"/>
      <c r="CG54" s="134"/>
      <c r="CH54" s="134"/>
      <c r="CI54" s="134"/>
      <c r="CJ54" s="134"/>
      <c r="CK54" s="134"/>
      <c r="CL54" s="134"/>
      <c r="CM54" s="134"/>
      <c r="CN54" s="134"/>
      <c r="CO54" s="134">
        <f t="array" ref="CO54">IFERROR(INDEX(TABLACONSOLIDADA[Buff Act],MATCH("AGROINSUMOSAGROHERMANOSLEON"&amp;Tabla_Buffers_Agroinsumos[[#This Row],[CODIGO ]],TABLACONSOLIDADA[Bodega]&amp;TABLACONSOLIDADA[Codigo],0)),"")</f>
        <v>0</v>
      </c>
      <c r="CP54" s="157">
        <f t="array" ref="CP54">IFERROR(INDEX(TABLACONSOLIDADA[Inv Fís Act],MATCH("AGROINSUMOSAGROHERMANOSLEON"&amp;Tabla_Buffers_Agroinsumos[[#This Row],[CODIGO ]],TABLACONSOLIDADA[Bodega]&amp;TABLACONSOLIDADA[Codigo],0)),"")</f>
        <v>0</v>
      </c>
      <c r="CQ54" s="157">
        <f t="array" ref="CQ5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5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54" s="134">
        <f>IFERROR(SUM(Tabla_Buffers_Agroinsumos[[#This Row],[AL-MP]:[AL-VL]]),"")</f>
        <v>0</v>
      </c>
      <c r="CT54" s="92">
        <f>IFERROR(Tabla_Buffers_Agroinsumos[[#This Row],[INV FIS AL]]-Tabla_Buffers_Agroinsumos[[#This Row],[BUFFER AL]],"")</f>
        <v>0</v>
      </c>
      <c r="CU54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54" s="134"/>
      <c r="CW54" s="134"/>
      <c r="CX54" s="134"/>
      <c r="CY54" s="134"/>
      <c r="CZ54" s="134"/>
      <c r="DA54" s="134"/>
      <c r="DB54" s="134"/>
      <c r="DC54" s="134"/>
      <c r="DD54" s="134"/>
      <c r="DE54" s="134">
        <f t="array" ref="DE54">IFERROR(INDEX(TABLACONSOLIDADA[Buff Act],MATCH("AGROINSUMOSAGRONUEVO"&amp;Tabla_Buffers_Agroinsumos[[#This Row],[CODIGO ]],TABLACONSOLIDADA[Bodega]&amp;TABLACONSOLIDADA[Codigo],0)),"")</f>
        <v>0</v>
      </c>
      <c r="DF54" s="157">
        <f t="array" ref="DF54">IFERROR(INDEX(TABLACONSOLIDADA[Inv Fís Act],MATCH("AGROINSUMOSAGRONUEVO"&amp;Tabla_Buffers_Agroinsumos[[#This Row],[CODIGO ]],TABLACONSOLIDADA[Bodega]&amp;TABLACONSOLIDADA[Codigo],0)),"")</f>
        <v>0</v>
      </c>
      <c r="DG54" s="157">
        <f t="array" ref="DG5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5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54" s="134">
        <f>IFERROR(SUM(Tabla_Buffers_Agroinsumos[[#This Row],[AN-MP]:[AN-VL]]),"")</f>
        <v>0</v>
      </c>
      <c r="DJ54" s="92">
        <f>IFERROR(Tabla_Buffers_Agroinsumos[[#This Row],[INV FIS AN]]-Tabla_Buffers_Agroinsumos[[#This Row],[BUFFER AN]],"")</f>
        <v>0</v>
      </c>
      <c r="DK54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54" s="134"/>
      <c r="DM54" s="134"/>
      <c r="DN54" s="134"/>
      <c r="DO54" s="134"/>
      <c r="DP54" s="134"/>
      <c r="DQ54" s="134"/>
      <c r="DR54" s="134"/>
      <c r="DS54" s="134"/>
      <c r="DT54" s="134"/>
      <c r="DU54" s="134">
        <f t="array" ref="DU54">IFERROR(INDEX(TABLACONSOLIDADA[Buff Act],MATCH("AGROINSUMOSAGROQUIMICOSSUR"&amp;Tabla_Buffers_Agroinsumos[[#This Row],[CODIGO ]],TABLACONSOLIDADA[Bodega]&amp;TABLACONSOLIDADA[Codigo],0)),"")</f>
        <v>0</v>
      </c>
      <c r="DV54" s="157">
        <f t="array" ref="DV54">IFERROR(INDEX(TABLACONSOLIDADA[Inv Fís Act],MATCH("AGROINSUMOSAGROQUIMICOSSUR"&amp;Tabla_Buffers_Agroinsumos[[#This Row],[CODIGO ]],TABLACONSOLIDADA[Bodega]&amp;TABLACONSOLIDADA[Codigo],0)),"")</f>
        <v>0</v>
      </c>
      <c r="DW54" s="157">
        <f t="array" ref="DW5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5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54" s="134">
        <f>IFERROR(SUM(Tabla_Buffers_Agroinsumos[[#This Row],[AS-MP]:[AS-VL]]),"")</f>
        <v>0</v>
      </c>
      <c r="DZ54" s="92">
        <f>IFERROR(Tabla_Buffers_Agroinsumos[[#This Row],[INV FIS AS]]-Tabla_Buffers_Agroinsumos[[#This Row],[BUFFER AS]],"")</f>
        <v>0</v>
      </c>
      <c r="EA54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54" s="134"/>
      <c r="EC54" s="134"/>
      <c r="ED54" s="134"/>
      <c r="EE54" s="134"/>
      <c r="EF54" s="134"/>
      <c r="EG54" s="134"/>
      <c r="EH54" s="134"/>
      <c r="EI54" s="134"/>
      <c r="EJ54" s="134"/>
      <c r="EK54" s="134">
        <f t="array" ref="EK54">IFERROR(INDEX(TABLACONSOLIDADA[Buff Act],MATCH("AGROINSUMOSLAFINCA"&amp;Tabla_Buffers_Agroinsumos[[#This Row],[CODIGO ]],TABLACONSOLIDADA[Bodega]&amp;TABLACONSOLIDADA[Codigo],0)),"")</f>
        <v>0</v>
      </c>
      <c r="EL54" s="157">
        <f t="array" ref="EL54">IFERROR(INDEX(TABLACONSOLIDADA[Inv Fís Act],MATCH("AGROINSUMOSLAFINCA"&amp;Tabla_Buffers_Agroinsumos[[#This Row],[CODIGO ]],TABLACONSOLIDADA[Bodega]&amp;TABLACONSOLIDADA[Codigo],0)),"")</f>
        <v>0</v>
      </c>
      <c r="EM54" s="157">
        <f t="array" ref="EM5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5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54" s="134">
        <f>IFERROR(SUM(Tabla_Buffers_Agroinsumos[[#This Row],[LF-MP]:[LF-VL]]),"")</f>
        <v>0</v>
      </c>
      <c r="EP54" s="92">
        <f>IFERROR(Tabla_Buffers_Agroinsumos[[#This Row],[INV FIS LF]]-Tabla_Buffers_Agroinsumos[[#This Row],[BUFFER LF]],"")</f>
        <v>0</v>
      </c>
      <c r="EQ54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54" s="134"/>
      <c r="ES54" s="134"/>
      <c r="ET54" s="134"/>
      <c r="EU54" s="134"/>
      <c r="EV54" s="134"/>
      <c r="EW54" s="134"/>
      <c r="EX54" s="134"/>
      <c r="EY54" s="134"/>
      <c r="EZ54" s="134"/>
      <c r="FA54" s="134">
        <f t="array" ref="FA54">IFERROR(INDEX(TABLACONSOLIDADA[Buff Act],MATCH("AGROINSUMOSVERONICALEDESMA"&amp;Tabla_Buffers_Agroinsumos[[#This Row],[CODIGO ]],TABLACONSOLIDADA[Bodega]&amp;TABLACONSOLIDADA[Codigo],0)),"")</f>
        <v>0</v>
      </c>
      <c r="FB54" s="157">
        <f t="array" ref="FB54">IFERROR(INDEX(TABLACONSOLIDADA[Inv Fís Act],MATCH("AGROINSUMOSVERONICALEDESMA"&amp;Tabla_Buffers_Agroinsumos[[#This Row],[CODIGO ]],TABLACONSOLIDADA[Bodega]&amp;TABLACONSOLIDADA[Codigo],0)),"")</f>
        <v>0</v>
      </c>
      <c r="FC54" s="157">
        <f t="array" ref="FC5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5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54" s="134">
        <f>IFERROR(SUM(Tabla_Buffers_Agroinsumos[[#This Row],[VL-MP]:[VL-LF]]),"")</f>
        <v>0</v>
      </c>
      <c r="FF54" s="92">
        <f>IFERROR(Tabla_Buffers_Agroinsumos[[#This Row],[INV FIS VL]]-Tabla_Buffers_Agroinsumos[[#This Row],[BUFFER VL]],"")</f>
        <v>0</v>
      </c>
      <c r="FG54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54" s="134"/>
      <c r="FI54" s="134"/>
      <c r="FJ54" s="134"/>
      <c r="FK54" s="134"/>
      <c r="FL54" s="134"/>
      <c r="FM54" s="134"/>
      <c r="FN54" s="134"/>
      <c r="FO54" s="134"/>
      <c r="FP54" s="134"/>
    </row>
    <row r="55" spans="1:172">
      <c r="A55" s="7" t="s">
        <v>152</v>
      </c>
      <c r="B55" s="7" t="s">
        <v>153</v>
      </c>
      <c r="C55" s="7" t="s">
        <v>709</v>
      </c>
      <c r="D55" s="7" t="s">
        <v>719</v>
      </c>
      <c r="E55" s="7" t="s">
        <v>975</v>
      </c>
      <c r="F55" s="19" t="s">
        <v>698</v>
      </c>
      <c r="G55" s="19" t="s">
        <v>698</v>
      </c>
      <c r="H55" s="19">
        <f>VLOOKUP(Tabla_Buffers_Agroinsumos[[#This Row],[CODIGO ]],TABLACONSOLIDADA[[Codigo]:[PV]],6,0)</f>
        <v>33</v>
      </c>
      <c r="I55" s="19">
        <f>VLOOKUP(Tabla_Buffers_Agroinsumos[[#This Row],[CODIGO ]],TABLACONSOLIDADA[[Codigo]:[PV]],5,0)</f>
        <v>23.65</v>
      </c>
      <c r="J55" s="19" t="s">
        <v>698</v>
      </c>
      <c r="K55" s="19" t="s">
        <v>698</v>
      </c>
      <c r="L55" s="19">
        <f>IFERROR(Tabla_Buffers_Agroinsumos[[#This Row],[BUFFER CENTRAL]]/((Tabla_Buffers_Agroinsumos[[#This Row],[TIEMPO REPOSICION ]]/Tabla_Buffers_Agroinsumos[[#This Row],[FRECUENCIA]])+1),0)</f>
        <v>0</v>
      </c>
      <c r="M55" s="19" t="str">
        <f t="array" ref="M55">IFERROR(INDEX(TABLACONSOLIDADA[Buff Act],MATCH("AGROINSUMOSMATERIAPRIMA"&amp;Tabla_Buffers_Agroinsumos[[#This Row],[CODIGO ]],TABLACONSOLIDADA[Bodega]&amp;TABLACONSOLIDADA[Codigo],0)),"")</f>
        <v/>
      </c>
      <c r="N55" s="157" t="str">
        <f t="array" ref="N55">IFERROR(INDEX(TABLACONSOLIDADA[Inv Fís Act],MATCH("AGROINSUMOSMATERIAPRIMA"&amp;Tabla_Buffers_Agroinsumos[[#This Row],[CODIGO ]],TABLACONSOLIDADA[Bodega]&amp;TABLACONSOLIDADA[Codigo],0)),"")</f>
        <v/>
      </c>
      <c r="O55" s="157" t="str">
        <f t="array" ref="O5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5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55" s="19">
        <f>IFERROR(SUM(Tabla_Buffers_Agroinsumos[[#This Row],[MP-C]:[MP-VL]]),"")</f>
        <v>0</v>
      </c>
      <c r="R55" s="92" t="str">
        <f>IFERROR(Tabla_Buffers_Agroinsumos[[#This Row],[INV FIS MATERIA PRIMA]]-Tabla_Buffers_Agroinsumos[[#This Row],[BUFFER MATERIA PRIMA]],"")</f>
        <v/>
      </c>
      <c r="S5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55" s="19"/>
      <c r="U55" s="19"/>
      <c r="V55" s="19"/>
      <c r="W55" s="19"/>
      <c r="X55" s="19"/>
      <c r="Y55" s="19"/>
      <c r="Z55" s="19"/>
      <c r="AA55" s="19"/>
      <c r="AB55" s="19"/>
      <c r="AC55" s="152">
        <f t="array" ref="AC55">IFERROR(INDEX(TABLACONSOLIDADA[Buff Act],MATCH("AGROINSUMOSCENTRAL"&amp;Tabla_Buffers_Agroinsumos[[#This Row],[CODIGO ]],TABLACONSOLIDADA[Bodega]&amp;TABLACONSOLIDADA[Codigo],0)),"")</f>
        <v>0</v>
      </c>
      <c r="AD55" s="157">
        <f t="array" ref="AD55">IFERROR(INDEX(TABLACONSOLIDADA[Inv Fís Act],MATCH("AGROINSUMOSCENTRAL"&amp;Tabla_Buffers_Agroinsumos[[#This Row],[CODIGO ]],TABLACONSOLIDADA[Bodega]&amp;TABLACONSOLIDADA[Codigo],0)),"")</f>
        <v>0</v>
      </c>
      <c r="AE55" s="157">
        <f t="array" ref="AE5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5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55" s="91">
        <f>IFERROR(SUM(Tabla_Buffers_Agroinsumos[[#This Row],[C-MP]:[C-VL]]),"")</f>
        <v>0</v>
      </c>
      <c r="AH55" s="92">
        <f>IFERROR(Tabla_Buffers_Agroinsumos[[#This Row],[INV FIS CENTRAL]]-Tabla_Buffers_Agroinsumos[[#This Row],[BUFFER CENTRAL]],"")</f>
        <v>0</v>
      </c>
      <c r="AI5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55" s="134"/>
      <c r="AK55" s="134"/>
      <c r="AL55" s="134"/>
      <c r="AM55" s="134"/>
      <c r="AN55" s="134"/>
      <c r="AO55" s="134"/>
      <c r="AP55" s="134"/>
      <c r="AQ55" s="134"/>
      <c r="AR55" s="134"/>
      <c r="AS55" s="134">
        <f t="array" ref="AS55">IFERROR(INDEX(TABLACONSOLIDADA[Buff Act],MATCH("AGROINSUMOScentralPROPIA"&amp;Tabla_Buffers_Agroinsumos[[#This Row],[CODIGO ]],TABLACONSOLIDADA[Bodega]&amp;TABLACONSOLIDADA[Codigo],0)),"")</f>
        <v>0</v>
      </c>
      <c r="AT55" s="157">
        <f t="array" ref="AT55">IFERROR(INDEX(TABLACONSOLIDADA[Inv Fís Act],MATCH("AGROINSUMOScentralPROPIA"&amp;Tabla_Buffers_Agroinsumos[[#This Row],[CODIGO ]],TABLACONSOLIDADA[Bodega]&amp;TABLACONSOLIDADA[Codigo],0)),"")</f>
        <v>0</v>
      </c>
      <c r="AU55" s="157">
        <f t="array" ref="AU5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5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55" s="134">
        <f>IFERROR(SUM(Tabla_Buffers_Agroinsumos[[#This Row],[P-MP]:[P-VL]]),"")</f>
        <v>0</v>
      </c>
      <c r="AX55" s="92">
        <f>IFERROR(Tabla_Buffers_Agroinsumos[[#This Row],[INV FIS PROPIA]]-Tabla_Buffers_Agroinsumos[[#This Row],[BUFFER PROPIA]],"")</f>
        <v>0</v>
      </c>
      <c r="AY5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55" s="134"/>
      <c r="BA55" s="134"/>
      <c r="BB55" s="134"/>
      <c r="BC55" s="134"/>
      <c r="BD55" s="134"/>
      <c r="BE55" s="134"/>
      <c r="BF55" s="134"/>
      <c r="BG55" s="134"/>
      <c r="BH55" s="134"/>
      <c r="BI55" s="91">
        <f t="array" ref="BI55">IFERROR(INDEX(TABLACONSOLIDADA[Buff Act],MATCH("AGROINSUMOSSTODOMINGO"&amp;Tabla_Buffers_Agroinsumos[[#This Row],[CODIGO ]],TABLACONSOLIDADA[Bodega]&amp;TABLACONSOLIDADA[Codigo],0)),"")</f>
        <v>0</v>
      </c>
      <c r="BJ55" s="157">
        <f t="array" ref="BJ55">IFERROR(INDEX(TABLACONSOLIDADA[Inv Fís Act],MATCH("AGROINSUMOSSTODOMINGO"&amp;Tabla_Buffers_Agroinsumos[[#This Row],[CODIGO ]],TABLACONSOLIDADA[Bodega]&amp;TABLACONSOLIDADA[Codigo],0)),"")</f>
        <v>0</v>
      </c>
      <c r="BK55" s="157">
        <f t="array" ref="BK5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5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55" s="91">
        <f>IFERROR(SUM(Tabla_Buffers_Agroinsumos[[#This Row],[SD-MP]:[SD-VL]]),"")</f>
        <v>0</v>
      </c>
      <c r="BN55" s="92"/>
      <c r="BO55" s="92"/>
      <c r="BP55" s="134"/>
      <c r="BQ55" s="134"/>
      <c r="BR55" s="134"/>
      <c r="BS55" s="134"/>
      <c r="BT55" s="134"/>
      <c r="BU55" s="134"/>
      <c r="BV55" s="134"/>
      <c r="BW55" s="134"/>
      <c r="BX55" s="134"/>
      <c r="BY55" s="134">
        <f t="array" ref="BY55">IFERROR(INDEX(TABLACONSOLIDADA[Buff Act],MATCH("AGROINSUMOSMONCAYOLOPEZ"&amp;Tabla_Buffers_Agroinsumos[[#This Row],[CODIGO ]],TABLACONSOLIDADA[Bodega]&amp;TABLACONSOLIDADA[Codigo],0)),"")</f>
        <v>0</v>
      </c>
      <c r="BZ55" s="157">
        <f t="array" ref="BZ55">IFERROR(INDEX(TABLACONSOLIDADA[Inv Fís Act],MATCH("AGROINSUMOSMONCAYOLOPEZ"&amp;Tabla_Buffers_Agroinsumos[[#This Row],[CODIGO ]],TABLACONSOLIDADA[Bodega]&amp;TABLACONSOLIDADA[Codigo],0)),"")</f>
        <v>0</v>
      </c>
      <c r="CA55" s="157">
        <f t="array" ref="CA5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5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55" s="134">
        <f>IFERROR(SUM(Tabla_Buffers_Agroinsumos[[#This Row],[ML-MP]:[ML-VL]]),"")</f>
        <v>0</v>
      </c>
      <c r="CD55" s="92">
        <f>IFERROR(Tabla_Buffers_Agroinsumos[[#This Row],[INV FIS ML]]-Tabla_Buffers_Agroinsumos[[#This Row],[BUFFER ML]],"")</f>
        <v>0</v>
      </c>
      <c r="CE5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55" s="134"/>
      <c r="CG55" s="134"/>
      <c r="CH55" s="134"/>
      <c r="CI55" s="134"/>
      <c r="CJ55" s="134"/>
      <c r="CK55" s="134"/>
      <c r="CL55" s="134"/>
      <c r="CM55" s="134"/>
      <c r="CN55" s="134"/>
      <c r="CO55" s="134">
        <f t="array" ref="CO55">IFERROR(INDEX(TABLACONSOLIDADA[Buff Act],MATCH("AGROINSUMOSAGROHERMANOSLEON"&amp;Tabla_Buffers_Agroinsumos[[#This Row],[CODIGO ]],TABLACONSOLIDADA[Bodega]&amp;TABLACONSOLIDADA[Codigo],0)),"")</f>
        <v>0</v>
      </c>
      <c r="CP55" s="157">
        <f t="array" ref="CP55">IFERROR(INDEX(TABLACONSOLIDADA[Inv Fís Act],MATCH("AGROINSUMOSAGROHERMANOSLEON"&amp;Tabla_Buffers_Agroinsumos[[#This Row],[CODIGO ]],TABLACONSOLIDADA[Bodega]&amp;TABLACONSOLIDADA[Codigo],0)),"")</f>
        <v>0</v>
      </c>
      <c r="CQ55" s="157">
        <f t="array" ref="CQ5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5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55" s="134">
        <f>IFERROR(SUM(Tabla_Buffers_Agroinsumos[[#This Row],[AL-MP]:[AL-VL]]),"")</f>
        <v>0</v>
      </c>
      <c r="CT55" s="92">
        <f>IFERROR(Tabla_Buffers_Agroinsumos[[#This Row],[INV FIS AL]]-Tabla_Buffers_Agroinsumos[[#This Row],[BUFFER AL]],"")</f>
        <v>0</v>
      </c>
      <c r="CU5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55" s="134"/>
      <c r="CW55" s="134"/>
      <c r="CX55" s="134"/>
      <c r="CY55" s="134"/>
      <c r="CZ55" s="134"/>
      <c r="DA55" s="134"/>
      <c r="DB55" s="134"/>
      <c r="DC55" s="134"/>
      <c r="DD55" s="134"/>
      <c r="DE55" s="134">
        <f t="array" ref="DE55">IFERROR(INDEX(TABLACONSOLIDADA[Buff Act],MATCH("AGROINSUMOSAGRONUEVO"&amp;Tabla_Buffers_Agroinsumos[[#This Row],[CODIGO ]],TABLACONSOLIDADA[Bodega]&amp;TABLACONSOLIDADA[Codigo],0)),"")</f>
        <v>0</v>
      </c>
      <c r="DF55" s="157">
        <f t="array" ref="DF55">IFERROR(INDEX(TABLACONSOLIDADA[Inv Fís Act],MATCH("AGROINSUMOSAGRONUEVO"&amp;Tabla_Buffers_Agroinsumos[[#This Row],[CODIGO ]],TABLACONSOLIDADA[Bodega]&amp;TABLACONSOLIDADA[Codigo],0)),"")</f>
        <v>0</v>
      </c>
      <c r="DG55" s="157">
        <f t="array" ref="DG5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5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55" s="134">
        <f>IFERROR(SUM(Tabla_Buffers_Agroinsumos[[#This Row],[AN-MP]:[AN-VL]]),"")</f>
        <v>0</v>
      </c>
      <c r="DJ55" s="92">
        <f>IFERROR(Tabla_Buffers_Agroinsumos[[#This Row],[INV FIS AN]]-Tabla_Buffers_Agroinsumos[[#This Row],[BUFFER AN]],"")</f>
        <v>0</v>
      </c>
      <c r="DK5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55" s="134"/>
      <c r="DM55" s="134"/>
      <c r="DN55" s="134"/>
      <c r="DO55" s="134"/>
      <c r="DP55" s="134"/>
      <c r="DQ55" s="134"/>
      <c r="DR55" s="134"/>
      <c r="DS55" s="134"/>
      <c r="DT55" s="134"/>
      <c r="DU55" s="134">
        <f t="array" ref="DU55">IFERROR(INDEX(TABLACONSOLIDADA[Buff Act],MATCH("AGROINSUMOSAGROQUIMICOSSUR"&amp;Tabla_Buffers_Agroinsumos[[#This Row],[CODIGO ]],TABLACONSOLIDADA[Bodega]&amp;TABLACONSOLIDADA[Codigo],0)),"")</f>
        <v>0</v>
      </c>
      <c r="DV55" s="157">
        <f t="array" ref="DV55">IFERROR(INDEX(TABLACONSOLIDADA[Inv Fís Act],MATCH("AGROINSUMOSAGROQUIMICOSSUR"&amp;Tabla_Buffers_Agroinsumos[[#This Row],[CODIGO ]],TABLACONSOLIDADA[Bodega]&amp;TABLACONSOLIDADA[Codigo],0)),"")</f>
        <v>0</v>
      </c>
      <c r="DW55" s="157">
        <f t="array" ref="DW5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5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55" s="134">
        <f>IFERROR(SUM(Tabla_Buffers_Agroinsumos[[#This Row],[AS-MP]:[AS-VL]]),"")</f>
        <v>0</v>
      </c>
      <c r="DZ55" s="92">
        <f>IFERROR(Tabla_Buffers_Agroinsumos[[#This Row],[INV FIS AS]]-Tabla_Buffers_Agroinsumos[[#This Row],[BUFFER AS]],"")</f>
        <v>0</v>
      </c>
      <c r="EA5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55" s="134"/>
      <c r="EC55" s="134"/>
      <c r="ED55" s="134"/>
      <c r="EE55" s="134"/>
      <c r="EF55" s="134"/>
      <c r="EG55" s="134"/>
      <c r="EH55" s="134"/>
      <c r="EI55" s="134"/>
      <c r="EJ55" s="134"/>
      <c r="EK55" s="134">
        <f t="array" ref="EK55">IFERROR(INDEX(TABLACONSOLIDADA[Buff Act],MATCH("AGROINSUMOSLAFINCA"&amp;Tabla_Buffers_Agroinsumos[[#This Row],[CODIGO ]],TABLACONSOLIDADA[Bodega]&amp;TABLACONSOLIDADA[Codigo],0)),"")</f>
        <v>0</v>
      </c>
      <c r="EL55" s="157">
        <f t="array" ref="EL55">IFERROR(INDEX(TABLACONSOLIDADA[Inv Fís Act],MATCH("AGROINSUMOSLAFINCA"&amp;Tabla_Buffers_Agroinsumos[[#This Row],[CODIGO ]],TABLACONSOLIDADA[Bodega]&amp;TABLACONSOLIDADA[Codigo],0)),"")</f>
        <v>0</v>
      </c>
      <c r="EM55" s="157">
        <f t="array" ref="EM5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5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55" s="134">
        <f>IFERROR(SUM(Tabla_Buffers_Agroinsumos[[#This Row],[LF-MP]:[LF-VL]]),"")</f>
        <v>0</v>
      </c>
      <c r="EP55" s="92">
        <f>IFERROR(Tabla_Buffers_Agroinsumos[[#This Row],[INV FIS LF]]-Tabla_Buffers_Agroinsumos[[#This Row],[BUFFER LF]],"")</f>
        <v>0</v>
      </c>
      <c r="EQ5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55" s="134"/>
      <c r="ES55" s="134"/>
      <c r="ET55" s="134"/>
      <c r="EU55" s="134"/>
      <c r="EV55" s="134"/>
      <c r="EW55" s="134"/>
      <c r="EX55" s="134"/>
      <c r="EY55" s="134"/>
      <c r="EZ55" s="134"/>
      <c r="FA55" s="134">
        <f t="array" ref="FA55">IFERROR(INDEX(TABLACONSOLIDADA[Buff Act],MATCH("AGROINSUMOSVERONICALEDESMA"&amp;Tabla_Buffers_Agroinsumos[[#This Row],[CODIGO ]],TABLACONSOLIDADA[Bodega]&amp;TABLACONSOLIDADA[Codigo],0)),"")</f>
        <v>0</v>
      </c>
      <c r="FB55" s="157">
        <f t="array" ref="FB55">IFERROR(INDEX(TABLACONSOLIDADA[Inv Fís Act],MATCH("AGROINSUMOSVERONICALEDESMA"&amp;Tabla_Buffers_Agroinsumos[[#This Row],[CODIGO ]],TABLACONSOLIDADA[Bodega]&amp;TABLACONSOLIDADA[Codigo],0)),"")</f>
        <v>0</v>
      </c>
      <c r="FC55" s="157">
        <f t="array" ref="FC5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5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55" s="134">
        <f>IFERROR(SUM(Tabla_Buffers_Agroinsumos[[#This Row],[VL-MP]:[VL-LF]]),"")</f>
        <v>0</v>
      </c>
      <c r="FF55" s="92">
        <f>IFERROR(Tabla_Buffers_Agroinsumos[[#This Row],[INV FIS VL]]-Tabla_Buffers_Agroinsumos[[#This Row],[BUFFER VL]],"")</f>
        <v>0</v>
      </c>
      <c r="FG55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55" s="134"/>
      <c r="FI55" s="134"/>
      <c r="FJ55" s="134"/>
      <c r="FK55" s="134"/>
      <c r="FL55" s="134"/>
      <c r="FM55" s="134"/>
      <c r="FN55" s="134"/>
      <c r="FO55" s="134"/>
      <c r="FP55" s="134"/>
    </row>
    <row r="56" spans="1:172">
      <c r="A56" s="7" t="s">
        <v>154</v>
      </c>
      <c r="B56" s="7" t="s">
        <v>155</v>
      </c>
      <c r="C56" s="7" t="s">
        <v>712</v>
      </c>
      <c r="D56" s="7" t="s">
        <v>720</v>
      </c>
      <c r="E56" s="7" t="s">
        <v>863</v>
      </c>
      <c r="F56" s="19" t="s">
        <v>814</v>
      </c>
      <c r="G56" s="19" t="s">
        <v>873</v>
      </c>
      <c r="H56" s="19">
        <f>VLOOKUP(Tabla_Buffers_Agroinsumos[[#This Row],[CODIGO ]],TABLACONSOLIDADA[[Codigo]:[PV]],6,0)</f>
        <v>0</v>
      </c>
      <c r="I56" s="19">
        <f>VLOOKUP(Tabla_Buffers_Agroinsumos[[#This Row],[CODIGO ]],TABLACONSOLIDADA[[Codigo]:[PV]],5,0)</f>
        <v>2.4</v>
      </c>
      <c r="J56" s="19">
        <v>12</v>
      </c>
      <c r="K56" s="19">
        <v>14</v>
      </c>
      <c r="L56" s="19">
        <f>IFERROR(Tabla_Buffers_Agroinsumos[[#This Row],[BUFFER CENTRAL]]/((Tabla_Buffers_Agroinsumos[[#This Row],[TIEMPO REPOSICION ]]/Tabla_Buffers_Agroinsumos[[#This Row],[FRECUENCIA]])+1),0)</f>
        <v>0</v>
      </c>
      <c r="M56" s="19">
        <f t="array" ref="M56">IFERROR(INDEX(TABLACONSOLIDADA[Buff Act],MATCH("AGROINSUMOSMATERIAPRIMA"&amp;Tabla_Buffers_Agroinsumos[[#This Row],[CODIGO ]],TABLACONSOLIDADA[Bodega]&amp;TABLACONSOLIDADA[Codigo],0)),"")</f>
        <v>0</v>
      </c>
      <c r="N56" s="157">
        <f t="array" ref="N56">IFERROR(INDEX(TABLACONSOLIDADA[Inv Fís Act],MATCH("AGROINSUMOSMATERIAPRIMA"&amp;Tabla_Buffers_Agroinsumos[[#This Row],[CODIGO ]],TABLACONSOLIDADA[Bodega]&amp;TABLACONSOLIDADA[Codigo],0)),"")</f>
        <v>15</v>
      </c>
      <c r="O56" s="157">
        <f t="array" ref="O5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15</v>
      </c>
      <c r="P5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56" s="19">
        <f>IFERROR(SUM(Tabla_Buffers_Agroinsumos[[#This Row],[MP-C]:[MP-VL]]),"")</f>
        <v>0</v>
      </c>
      <c r="R56" s="92">
        <f>IFERROR(Tabla_Buffers_Agroinsumos[[#This Row],[INV FIS MATERIA PRIMA]]-Tabla_Buffers_Agroinsumos[[#This Row],[BUFFER MATERIA PRIMA]],"")</f>
        <v>15</v>
      </c>
      <c r="S5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15</v>
      </c>
      <c r="T56" s="19"/>
      <c r="U56" s="19"/>
      <c r="V56" s="19"/>
      <c r="W56" s="19"/>
      <c r="X56" s="19"/>
      <c r="Y56" s="19"/>
      <c r="Z56" s="19"/>
      <c r="AA56" s="19"/>
      <c r="AB56" s="19"/>
      <c r="AC56" s="152" t="str">
        <f t="array" ref="AC56">IFERROR(INDEX(TABLACONSOLIDADA[Buff Act],MATCH("AGROINSUMOSCENTRAL"&amp;Tabla_Buffers_Agroinsumos[[#This Row],[CODIGO ]],TABLACONSOLIDADA[Bodega]&amp;TABLACONSOLIDADA[Codigo],0)),"")</f>
        <v/>
      </c>
      <c r="AD56" s="157" t="str">
        <f t="array" ref="AD56">IFERROR(INDEX(TABLACONSOLIDADA[Inv Fís Act],MATCH("AGROINSUMOSCENTRAL"&amp;Tabla_Buffers_Agroinsumos[[#This Row],[CODIGO ]],TABLACONSOLIDADA[Bodega]&amp;TABLACONSOLIDADA[Codigo],0)),"")</f>
        <v/>
      </c>
      <c r="AE56" s="157" t="str">
        <f t="array" ref="AE5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5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56" s="91">
        <f>IFERROR(SUM(Tabla_Buffers_Agroinsumos[[#This Row],[C-MP]:[C-VL]]),"")</f>
        <v>0</v>
      </c>
      <c r="AH56" s="92" t="str">
        <f>IFERROR(Tabla_Buffers_Agroinsumos[[#This Row],[INV FIS CENTRAL]]-Tabla_Buffers_Agroinsumos[[#This Row],[BUFFER CENTRAL]],"")</f>
        <v/>
      </c>
      <c r="AI5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56" s="134"/>
      <c r="AK56" s="134"/>
      <c r="AL56" s="134"/>
      <c r="AM56" s="134"/>
      <c r="AN56" s="134"/>
      <c r="AO56" s="134"/>
      <c r="AP56" s="134"/>
      <c r="AQ56" s="134"/>
      <c r="AR56" s="134"/>
      <c r="AS56" s="134" t="str">
        <f t="array" ref="AS56">IFERROR(INDEX(TABLACONSOLIDADA[Buff Act],MATCH("AGROINSUMOScentralPROPIA"&amp;Tabla_Buffers_Agroinsumos[[#This Row],[CODIGO ]],TABLACONSOLIDADA[Bodega]&amp;TABLACONSOLIDADA[Codigo],0)),"")</f>
        <v/>
      </c>
      <c r="AT56" s="157" t="str">
        <f t="array" ref="AT56">IFERROR(INDEX(TABLACONSOLIDADA[Inv Fís Act],MATCH("AGROINSUMOScentralPROPIA"&amp;Tabla_Buffers_Agroinsumos[[#This Row],[CODIGO ]],TABLACONSOLIDADA[Bodega]&amp;TABLACONSOLIDADA[Codigo],0)),"")</f>
        <v/>
      </c>
      <c r="AU56" s="157" t="str">
        <f t="array" ref="AU5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5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56" s="134">
        <f>IFERROR(SUM(Tabla_Buffers_Agroinsumos[[#This Row],[P-MP]:[P-VL]]),"")</f>
        <v>0</v>
      </c>
      <c r="AX56" s="92" t="str">
        <f>IFERROR(Tabla_Buffers_Agroinsumos[[#This Row],[INV FIS PROPIA]]-Tabla_Buffers_Agroinsumos[[#This Row],[BUFFER PROPIA]],"")</f>
        <v/>
      </c>
      <c r="AY5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56" s="134"/>
      <c r="BA56" s="134"/>
      <c r="BB56" s="134"/>
      <c r="BC56" s="134"/>
      <c r="BD56" s="134"/>
      <c r="BE56" s="134"/>
      <c r="BF56" s="134"/>
      <c r="BG56" s="134"/>
      <c r="BH56" s="134"/>
      <c r="BI56" s="91" t="str">
        <f t="array" ref="BI56">IFERROR(INDEX(TABLACONSOLIDADA[Buff Act],MATCH("AGROINSUMOSSTODOMINGO"&amp;Tabla_Buffers_Agroinsumos[[#This Row],[CODIGO ]],TABLACONSOLIDADA[Bodega]&amp;TABLACONSOLIDADA[Codigo],0)),"")</f>
        <v/>
      </c>
      <c r="BJ56" s="157" t="str">
        <f t="array" ref="BJ56">IFERROR(INDEX(TABLACONSOLIDADA[Inv Fís Act],MATCH("AGROINSUMOSSTODOMINGO"&amp;Tabla_Buffers_Agroinsumos[[#This Row],[CODIGO ]],TABLACONSOLIDADA[Bodega]&amp;TABLACONSOLIDADA[Codigo],0)),"")</f>
        <v/>
      </c>
      <c r="BK56" s="157" t="str">
        <f t="array" ref="BK5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5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56" s="91">
        <f>IFERROR(SUM(Tabla_Buffers_Agroinsumos[[#This Row],[SD-MP]:[SD-VL]]),"")</f>
        <v>0</v>
      </c>
      <c r="BN56" s="92"/>
      <c r="BO56" s="92"/>
      <c r="BP56" s="134"/>
      <c r="BQ56" s="134"/>
      <c r="BR56" s="134"/>
      <c r="BS56" s="134"/>
      <c r="BT56" s="134"/>
      <c r="BU56" s="134"/>
      <c r="BV56" s="134"/>
      <c r="BW56" s="134"/>
      <c r="BX56" s="134"/>
      <c r="BY56" s="134" t="str">
        <f t="array" ref="BY56">IFERROR(INDEX(TABLACONSOLIDADA[Buff Act],MATCH("AGROINSUMOSMONCAYOLOPEZ"&amp;Tabla_Buffers_Agroinsumos[[#This Row],[CODIGO ]],TABLACONSOLIDADA[Bodega]&amp;TABLACONSOLIDADA[Codigo],0)),"")</f>
        <v/>
      </c>
      <c r="BZ56" s="157" t="str">
        <f t="array" ref="BZ56">IFERROR(INDEX(TABLACONSOLIDADA[Inv Fís Act],MATCH("AGROINSUMOSMONCAYOLOPEZ"&amp;Tabla_Buffers_Agroinsumos[[#This Row],[CODIGO ]],TABLACONSOLIDADA[Bodega]&amp;TABLACONSOLIDADA[Codigo],0)),"")</f>
        <v/>
      </c>
      <c r="CA56" s="157" t="str">
        <f t="array" ref="CA5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5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56" s="134">
        <f>IFERROR(SUM(Tabla_Buffers_Agroinsumos[[#This Row],[ML-MP]:[ML-VL]]),"")</f>
        <v>0</v>
      </c>
      <c r="CD56" s="92" t="str">
        <f>IFERROR(Tabla_Buffers_Agroinsumos[[#This Row],[INV FIS ML]]-Tabla_Buffers_Agroinsumos[[#This Row],[BUFFER ML]],"")</f>
        <v/>
      </c>
      <c r="CE5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56" s="134"/>
      <c r="CG56" s="134"/>
      <c r="CH56" s="134"/>
      <c r="CI56" s="134"/>
      <c r="CJ56" s="134"/>
      <c r="CK56" s="134"/>
      <c r="CL56" s="134"/>
      <c r="CM56" s="134"/>
      <c r="CN56" s="134"/>
      <c r="CO56" s="134" t="str">
        <f t="array" ref="CO56">IFERROR(INDEX(TABLACONSOLIDADA[Buff Act],MATCH("AGROINSUMOSAGROHERMANOSLEON"&amp;Tabla_Buffers_Agroinsumos[[#This Row],[CODIGO ]],TABLACONSOLIDADA[Bodega]&amp;TABLACONSOLIDADA[Codigo],0)),"")</f>
        <v/>
      </c>
      <c r="CP56" s="157" t="str">
        <f t="array" ref="CP56">IFERROR(INDEX(TABLACONSOLIDADA[Inv Fís Act],MATCH("AGROINSUMOSAGROHERMANOSLEON"&amp;Tabla_Buffers_Agroinsumos[[#This Row],[CODIGO ]],TABLACONSOLIDADA[Bodega]&amp;TABLACONSOLIDADA[Codigo],0)),"")</f>
        <v/>
      </c>
      <c r="CQ56" s="157" t="str">
        <f t="array" ref="CQ5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5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56" s="134">
        <f>IFERROR(SUM(Tabla_Buffers_Agroinsumos[[#This Row],[AL-MP]:[AL-VL]]),"")</f>
        <v>0</v>
      </c>
      <c r="CT56" s="92" t="str">
        <f>IFERROR(Tabla_Buffers_Agroinsumos[[#This Row],[INV FIS AL]]-Tabla_Buffers_Agroinsumos[[#This Row],[BUFFER AL]],"")</f>
        <v/>
      </c>
      <c r="CU5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56" s="134"/>
      <c r="CW56" s="134"/>
      <c r="CX56" s="134"/>
      <c r="CY56" s="134"/>
      <c r="CZ56" s="134"/>
      <c r="DA56" s="134"/>
      <c r="DB56" s="134"/>
      <c r="DC56" s="134"/>
      <c r="DD56" s="134"/>
      <c r="DE56" s="134" t="str">
        <f t="array" ref="DE56">IFERROR(INDEX(TABLACONSOLIDADA[Buff Act],MATCH("AGROINSUMOSAGRONUEVO"&amp;Tabla_Buffers_Agroinsumos[[#This Row],[CODIGO ]],TABLACONSOLIDADA[Bodega]&amp;TABLACONSOLIDADA[Codigo],0)),"")</f>
        <v/>
      </c>
      <c r="DF56" s="157" t="str">
        <f t="array" ref="DF56">IFERROR(INDEX(TABLACONSOLIDADA[Inv Fís Act],MATCH("AGROINSUMOSAGRONUEVO"&amp;Tabla_Buffers_Agroinsumos[[#This Row],[CODIGO ]],TABLACONSOLIDADA[Bodega]&amp;TABLACONSOLIDADA[Codigo],0)),"")</f>
        <v/>
      </c>
      <c r="DG56" s="157" t="str">
        <f t="array" ref="DG5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5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56" s="134">
        <f>IFERROR(SUM(Tabla_Buffers_Agroinsumos[[#This Row],[AN-MP]:[AN-VL]]),"")</f>
        <v>0</v>
      </c>
      <c r="DJ56" s="92" t="str">
        <f>IFERROR(Tabla_Buffers_Agroinsumos[[#This Row],[INV FIS AN]]-Tabla_Buffers_Agroinsumos[[#This Row],[BUFFER AN]],"")</f>
        <v/>
      </c>
      <c r="DK5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56" s="134"/>
      <c r="DM56" s="134"/>
      <c r="DN56" s="134"/>
      <c r="DO56" s="134"/>
      <c r="DP56" s="134"/>
      <c r="DQ56" s="134"/>
      <c r="DR56" s="134"/>
      <c r="DS56" s="134"/>
      <c r="DT56" s="134"/>
      <c r="DU56" s="134" t="str">
        <f t="array" ref="DU56">IFERROR(INDEX(TABLACONSOLIDADA[Buff Act],MATCH("AGROINSUMOSAGROQUIMICOSSUR"&amp;Tabla_Buffers_Agroinsumos[[#This Row],[CODIGO ]],TABLACONSOLIDADA[Bodega]&amp;TABLACONSOLIDADA[Codigo],0)),"")</f>
        <v/>
      </c>
      <c r="DV56" s="157" t="str">
        <f t="array" ref="DV56">IFERROR(INDEX(TABLACONSOLIDADA[Inv Fís Act],MATCH("AGROINSUMOSAGROQUIMICOSSUR"&amp;Tabla_Buffers_Agroinsumos[[#This Row],[CODIGO ]],TABLACONSOLIDADA[Bodega]&amp;TABLACONSOLIDADA[Codigo],0)),"")</f>
        <v/>
      </c>
      <c r="DW56" s="157" t="str">
        <f t="array" ref="DW5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5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56" s="134">
        <f>IFERROR(SUM(Tabla_Buffers_Agroinsumos[[#This Row],[AS-MP]:[AS-VL]]),"")</f>
        <v>0</v>
      </c>
      <c r="DZ56" s="92" t="str">
        <f>IFERROR(Tabla_Buffers_Agroinsumos[[#This Row],[INV FIS AS]]-Tabla_Buffers_Agroinsumos[[#This Row],[BUFFER AS]],"")</f>
        <v/>
      </c>
      <c r="EA5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56" s="134"/>
      <c r="EC56" s="134"/>
      <c r="ED56" s="134"/>
      <c r="EE56" s="134"/>
      <c r="EF56" s="134"/>
      <c r="EG56" s="134"/>
      <c r="EH56" s="134"/>
      <c r="EI56" s="134"/>
      <c r="EJ56" s="134"/>
      <c r="EK56" s="134" t="str">
        <f t="array" ref="EK56">IFERROR(INDEX(TABLACONSOLIDADA[Buff Act],MATCH("AGROINSUMOSLAFINCA"&amp;Tabla_Buffers_Agroinsumos[[#This Row],[CODIGO ]],TABLACONSOLIDADA[Bodega]&amp;TABLACONSOLIDADA[Codigo],0)),"")</f>
        <v/>
      </c>
      <c r="EL56" s="157" t="str">
        <f t="array" ref="EL56">IFERROR(INDEX(TABLACONSOLIDADA[Inv Fís Act],MATCH("AGROINSUMOSLAFINCA"&amp;Tabla_Buffers_Agroinsumos[[#This Row],[CODIGO ]],TABLACONSOLIDADA[Bodega]&amp;TABLACONSOLIDADA[Codigo],0)),"")</f>
        <v/>
      </c>
      <c r="EM56" s="157" t="str">
        <f t="array" ref="EM5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5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56" s="134">
        <f>IFERROR(SUM(Tabla_Buffers_Agroinsumos[[#This Row],[LF-MP]:[LF-VL]]),"")</f>
        <v>0</v>
      </c>
      <c r="EP56" s="92" t="str">
        <f>IFERROR(Tabla_Buffers_Agroinsumos[[#This Row],[INV FIS LF]]-Tabla_Buffers_Agroinsumos[[#This Row],[BUFFER LF]],"")</f>
        <v/>
      </c>
      <c r="EQ5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56" s="134"/>
      <c r="ES56" s="134"/>
      <c r="ET56" s="134"/>
      <c r="EU56" s="134"/>
      <c r="EV56" s="134"/>
      <c r="EW56" s="134"/>
      <c r="EX56" s="134"/>
      <c r="EY56" s="134"/>
      <c r="EZ56" s="134"/>
      <c r="FA56" s="134" t="str">
        <f t="array" ref="FA56">IFERROR(INDEX(TABLACONSOLIDADA[Buff Act],MATCH("AGROINSUMOSVERONICALEDESMA"&amp;Tabla_Buffers_Agroinsumos[[#This Row],[CODIGO ]],TABLACONSOLIDADA[Bodega]&amp;TABLACONSOLIDADA[Codigo],0)),"")</f>
        <v/>
      </c>
      <c r="FB56" s="157" t="str">
        <f t="array" ref="FB56">IFERROR(INDEX(TABLACONSOLIDADA[Inv Fís Act],MATCH("AGROINSUMOSVERONICALEDESMA"&amp;Tabla_Buffers_Agroinsumos[[#This Row],[CODIGO ]],TABLACONSOLIDADA[Bodega]&amp;TABLACONSOLIDADA[Codigo],0)),"")</f>
        <v/>
      </c>
      <c r="FC56" s="157" t="str">
        <f t="array" ref="FC5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5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56" s="134">
        <f>IFERROR(SUM(Tabla_Buffers_Agroinsumos[[#This Row],[VL-MP]:[VL-LF]]),"")</f>
        <v>0</v>
      </c>
      <c r="FF56" s="92" t="str">
        <f>IFERROR(Tabla_Buffers_Agroinsumos[[#This Row],[INV FIS VL]]-Tabla_Buffers_Agroinsumos[[#This Row],[BUFFER VL]],"")</f>
        <v/>
      </c>
      <c r="FG5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56" s="134"/>
      <c r="FI56" s="134"/>
      <c r="FJ56" s="134"/>
      <c r="FK56" s="134"/>
      <c r="FL56" s="134"/>
      <c r="FM56" s="134"/>
      <c r="FN56" s="134"/>
      <c r="FO56" s="134"/>
      <c r="FP56" s="134"/>
    </row>
    <row r="57" spans="1:172">
      <c r="A57" s="158" t="s">
        <v>156</v>
      </c>
      <c r="B57" s="159" t="s">
        <v>1091</v>
      </c>
      <c r="C57" s="159" t="s">
        <v>712</v>
      </c>
      <c r="D57" s="159" t="s">
        <v>1094</v>
      </c>
      <c r="E57" s="7" t="s">
        <v>863</v>
      </c>
      <c r="F57" s="19" t="s">
        <v>814</v>
      </c>
      <c r="G57" s="19" t="s">
        <v>873</v>
      </c>
      <c r="H57" s="19">
        <f>VLOOKUP(Tabla_Buffers_Agroinsumos[[#This Row],[CODIGO ]],TABLACONSOLIDADA[[Codigo]:[PV]],6,0)</f>
        <v>0</v>
      </c>
      <c r="I57" s="19">
        <f>VLOOKUP(Tabla_Buffers_Agroinsumos[[#This Row],[CODIGO ]],TABLACONSOLIDADA[[Codigo]:[PV]],5,0)</f>
        <v>4.79</v>
      </c>
      <c r="J57" s="19">
        <v>12</v>
      </c>
      <c r="K57" s="19">
        <v>14</v>
      </c>
      <c r="L57" s="19">
        <f>IFERROR(Tabla_Buffers_Agroinsumos[[#This Row],[BUFFER CENTRAL]]/((Tabla_Buffers_Agroinsumos[[#This Row],[TIEMPO REPOSICION ]]/Tabla_Buffers_Agroinsumos[[#This Row],[FRECUENCIA]])+1),0)</f>
        <v>0</v>
      </c>
      <c r="M57" s="19">
        <f t="array" ref="M57">IFERROR(INDEX(TABLACONSOLIDADA[Buff Act],MATCH("AGROINSUMOSMATERIAPRIMA"&amp;Tabla_Buffers_Agroinsumos[[#This Row],[CODIGO ]],TABLACONSOLIDADA[Bodega]&amp;TABLACONSOLIDADA[Codigo],0)),"")</f>
        <v>0</v>
      </c>
      <c r="N57" s="19">
        <f t="array" ref="N57">IFERROR(INDEX(TABLACONSOLIDADA[Inv Fís Act],MATCH("AGROINSUMOSMATERIAPRIMA"&amp;Tabla_Buffers_Agroinsumos[[#This Row],[CODIGO ]],TABLACONSOLIDADA[Bodega]&amp;TABLACONSOLIDADA[Codigo],0)),"")</f>
        <v>3000</v>
      </c>
      <c r="O57" s="160">
        <f t="array" ref="O5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5000</v>
      </c>
      <c r="P5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57" s="19">
        <f>IFERROR(SUM(Tabla_Buffers_Agroinsumos[[#This Row],[MP-C]:[MP-VL]]),"")</f>
        <v>0</v>
      </c>
      <c r="R57" s="92">
        <f>IFERROR(Tabla_Buffers_Agroinsumos[[#This Row],[INV FIS MATERIA PRIMA]]-Tabla_Buffers_Agroinsumos[[#This Row],[BUFFER MATERIA PRIMA]],"")</f>
        <v>3000</v>
      </c>
      <c r="S5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3000</v>
      </c>
      <c r="T57" s="19"/>
      <c r="U57" s="19"/>
      <c r="V57" s="19"/>
      <c r="W57" s="19"/>
      <c r="X57" s="19"/>
      <c r="Y57" s="19"/>
      <c r="Z57" s="19"/>
      <c r="AA57" s="19"/>
      <c r="AB57" s="19"/>
      <c r="AC57" s="152" t="str">
        <f t="array" ref="AC57">IFERROR(INDEX(TABLACONSOLIDADA[Buff Act],MATCH("AGROINSUMOSCENTRAL"&amp;Tabla_Buffers_Agroinsumos[[#This Row],[CODIGO ]],TABLACONSOLIDADA[Bodega]&amp;TABLACONSOLIDADA[Codigo],0)),"")</f>
        <v/>
      </c>
      <c r="AD57" s="19" t="str">
        <f t="array" ref="AD57">IFERROR(INDEX(TABLACONSOLIDADA[Inv Fís Act],MATCH("AGROINSUMOSCENTRAL"&amp;Tabla_Buffers_Agroinsumos[[#This Row],[CODIGO ]],TABLACONSOLIDADA[Bodega]&amp;TABLACONSOLIDADA[Codigo],0)),"")</f>
        <v/>
      </c>
      <c r="AE57" s="160" t="str">
        <f t="array" ref="AE5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5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57" s="91">
        <f>IFERROR(SUM(Tabla_Buffers_Agroinsumos[[#This Row],[C-MP]:[C-VL]]),"")</f>
        <v>0</v>
      </c>
      <c r="AH57" s="92" t="str">
        <f>IFERROR(Tabla_Buffers_Agroinsumos[[#This Row],[INV FIS CENTRAL]]-Tabla_Buffers_Agroinsumos[[#This Row],[BUFFER CENTRAL]],"")</f>
        <v/>
      </c>
      <c r="AI5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57" s="134"/>
      <c r="AK57" s="134"/>
      <c r="AL57" s="134"/>
      <c r="AM57" s="134"/>
      <c r="AN57" s="134"/>
      <c r="AO57" s="134"/>
      <c r="AP57" s="134"/>
      <c r="AQ57" s="134"/>
      <c r="AR57" s="134"/>
      <c r="AS57" s="134" t="str">
        <f t="array" ref="AS57">IFERROR(INDEX(TABLACONSOLIDADA[Buff Act],MATCH("AGROINSUMOScentralPROPIA"&amp;Tabla_Buffers_Agroinsumos[[#This Row],[CODIGO ]],TABLACONSOLIDADA[Bodega]&amp;TABLACONSOLIDADA[Codigo],0)),"")</f>
        <v/>
      </c>
      <c r="AT57" s="19" t="str">
        <f t="array" ref="AT57">IFERROR(INDEX(TABLACONSOLIDADA[Inv Fís Act],MATCH("AGROINSUMOScentralPROPIA"&amp;Tabla_Buffers_Agroinsumos[[#This Row],[CODIGO ]],TABLACONSOLIDADA[Bodega]&amp;TABLACONSOLIDADA[Codigo],0)),"")</f>
        <v/>
      </c>
      <c r="AU57" s="160" t="str">
        <f t="array" ref="AU5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5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57" s="134">
        <f>IFERROR(SUM(Tabla_Buffers_Agroinsumos[[#This Row],[P-MP]:[P-VL]]),"")</f>
        <v>0</v>
      </c>
      <c r="AX57" s="92" t="str">
        <f>IFERROR(Tabla_Buffers_Agroinsumos[[#This Row],[INV FIS PROPIA]]-Tabla_Buffers_Agroinsumos[[#This Row],[BUFFER PROPIA]],"")</f>
        <v/>
      </c>
      <c r="AY5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57" s="134"/>
      <c r="BA57" s="134"/>
      <c r="BB57" s="134"/>
      <c r="BC57" s="134"/>
      <c r="BD57" s="134"/>
      <c r="BE57" s="134"/>
      <c r="BF57" s="134"/>
      <c r="BG57" s="134"/>
      <c r="BH57" s="134"/>
      <c r="BI57" s="91" t="str">
        <f t="array" ref="BI57">IFERROR(INDEX(TABLACONSOLIDADA[Buff Act],MATCH("AGROINSUMOSSTODOMINGO"&amp;Tabla_Buffers_Agroinsumos[[#This Row],[CODIGO ]],TABLACONSOLIDADA[Bodega]&amp;TABLACONSOLIDADA[Codigo],0)),"")</f>
        <v/>
      </c>
      <c r="BJ57" s="19" t="str">
        <f t="array" ref="BJ57">IFERROR(INDEX(TABLACONSOLIDADA[Inv Fís Act],MATCH("AGROINSUMOSSTODOMINGO"&amp;Tabla_Buffers_Agroinsumos[[#This Row],[CODIGO ]],TABLACONSOLIDADA[Bodega]&amp;TABLACONSOLIDADA[Codigo],0)),"")</f>
        <v/>
      </c>
      <c r="BK57" s="160" t="str">
        <f t="array" ref="BK5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5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57" s="91">
        <f>IFERROR(SUM(Tabla_Buffers_Agroinsumos[[#This Row],[SD-MP]:[SD-VL]]),"")</f>
        <v>0</v>
      </c>
      <c r="BN57" s="92"/>
      <c r="BO57" s="92"/>
      <c r="BP57" s="134"/>
      <c r="BQ57" s="134"/>
      <c r="BR57" s="134"/>
      <c r="BS57" s="134"/>
      <c r="BT57" s="134"/>
      <c r="BU57" s="134"/>
      <c r="BV57" s="134"/>
      <c r="BW57" s="134"/>
      <c r="BX57" s="134"/>
      <c r="BY57" s="134" t="str">
        <f t="array" ref="BY57">IFERROR(INDEX(TABLACONSOLIDADA[Buff Act],MATCH("AGROINSUMOSMONCAYOLOPEZ"&amp;Tabla_Buffers_Agroinsumos[[#This Row],[CODIGO ]],TABLACONSOLIDADA[Bodega]&amp;TABLACONSOLIDADA[Codigo],0)),"")</f>
        <v/>
      </c>
      <c r="BZ57" s="19" t="str">
        <f t="array" ref="BZ57">IFERROR(INDEX(TABLACONSOLIDADA[Inv Fís Act],MATCH("AGROINSUMOSMONCAYOLOPEZ"&amp;Tabla_Buffers_Agroinsumos[[#This Row],[CODIGO ]],TABLACONSOLIDADA[Bodega]&amp;TABLACONSOLIDADA[Codigo],0)),"")</f>
        <v/>
      </c>
      <c r="CA57" s="160" t="str">
        <f t="array" ref="CA5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5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57" s="134">
        <f>IFERROR(SUM(Tabla_Buffers_Agroinsumos[[#This Row],[ML-MP]:[ML-VL]]),"")</f>
        <v>0</v>
      </c>
      <c r="CD57" s="92" t="str">
        <f>IFERROR(Tabla_Buffers_Agroinsumos[[#This Row],[INV FIS ML]]-Tabla_Buffers_Agroinsumos[[#This Row],[BUFFER ML]],"")</f>
        <v/>
      </c>
      <c r="CE5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57" s="134"/>
      <c r="CG57" s="134"/>
      <c r="CH57" s="134"/>
      <c r="CI57" s="134"/>
      <c r="CJ57" s="134"/>
      <c r="CK57" s="134"/>
      <c r="CL57" s="134"/>
      <c r="CM57" s="134"/>
      <c r="CN57" s="134"/>
      <c r="CO57" s="134" t="str">
        <f t="array" ref="CO57">IFERROR(INDEX(TABLACONSOLIDADA[Buff Act],MATCH("AGROINSUMOSAGROHERMANOSLEON"&amp;Tabla_Buffers_Agroinsumos[[#This Row],[CODIGO ]],TABLACONSOLIDADA[Bodega]&amp;TABLACONSOLIDADA[Codigo],0)),"")</f>
        <v/>
      </c>
      <c r="CP57" s="19" t="str">
        <f t="array" ref="CP57">IFERROR(INDEX(TABLACONSOLIDADA[Inv Fís Act],MATCH("AGROINSUMOSAGROHERMANOSLEON"&amp;Tabla_Buffers_Agroinsumos[[#This Row],[CODIGO ]],TABLACONSOLIDADA[Bodega]&amp;TABLACONSOLIDADA[Codigo],0)),"")</f>
        <v/>
      </c>
      <c r="CQ57" s="160" t="str">
        <f t="array" ref="CQ5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5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57" s="134">
        <f>IFERROR(SUM(Tabla_Buffers_Agroinsumos[[#This Row],[AL-MP]:[AL-VL]]),"")</f>
        <v>0</v>
      </c>
      <c r="CT57" s="92" t="str">
        <f>IFERROR(Tabla_Buffers_Agroinsumos[[#This Row],[INV FIS AL]]-Tabla_Buffers_Agroinsumos[[#This Row],[BUFFER AL]],"")</f>
        <v/>
      </c>
      <c r="CU5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57" s="134"/>
      <c r="CW57" s="134"/>
      <c r="CX57" s="134"/>
      <c r="CY57" s="134"/>
      <c r="CZ57" s="134"/>
      <c r="DA57" s="134"/>
      <c r="DB57" s="134"/>
      <c r="DC57" s="134"/>
      <c r="DD57" s="134"/>
      <c r="DE57" s="134" t="str">
        <f t="array" ref="DE57">IFERROR(INDEX(TABLACONSOLIDADA[Buff Act],MATCH("AGROINSUMOSAGRONUEVO"&amp;Tabla_Buffers_Agroinsumos[[#This Row],[CODIGO ]],TABLACONSOLIDADA[Bodega]&amp;TABLACONSOLIDADA[Codigo],0)),"")</f>
        <v/>
      </c>
      <c r="DF57" s="19" t="str">
        <f t="array" ref="DF57">IFERROR(INDEX(TABLACONSOLIDADA[Inv Fís Act],MATCH("AGROINSUMOSAGRONUEVO"&amp;Tabla_Buffers_Agroinsumos[[#This Row],[CODIGO ]],TABLACONSOLIDADA[Bodega]&amp;TABLACONSOLIDADA[Codigo],0)),"")</f>
        <v/>
      </c>
      <c r="DG57" s="160" t="str">
        <f t="array" ref="DG5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5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57" s="134">
        <f>IFERROR(SUM(Tabla_Buffers_Agroinsumos[[#This Row],[AN-MP]:[AN-VL]]),"")</f>
        <v>0</v>
      </c>
      <c r="DJ57" s="92" t="str">
        <f>IFERROR(Tabla_Buffers_Agroinsumos[[#This Row],[INV FIS AN]]-Tabla_Buffers_Agroinsumos[[#This Row],[BUFFER AN]],"")</f>
        <v/>
      </c>
      <c r="DK5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57" s="134"/>
      <c r="DM57" s="134"/>
      <c r="DN57" s="134"/>
      <c r="DO57" s="134"/>
      <c r="DP57" s="134"/>
      <c r="DQ57" s="134"/>
      <c r="DR57" s="134"/>
      <c r="DS57" s="134"/>
      <c r="DT57" s="134"/>
      <c r="DU57" s="134" t="str">
        <f t="array" ref="DU57">IFERROR(INDEX(TABLACONSOLIDADA[Buff Act],MATCH("AGROINSUMOSAGROQUIMICOSSUR"&amp;Tabla_Buffers_Agroinsumos[[#This Row],[CODIGO ]],TABLACONSOLIDADA[Bodega]&amp;TABLACONSOLIDADA[Codigo],0)),"")</f>
        <v/>
      </c>
      <c r="DV57" s="19" t="str">
        <f t="array" ref="DV57">IFERROR(INDEX(TABLACONSOLIDADA[Inv Fís Act],MATCH("AGROINSUMOSAGROQUIMICOSSUR"&amp;Tabla_Buffers_Agroinsumos[[#This Row],[CODIGO ]],TABLACONSOLIDADA[Bodega]&amp;TABLACONSOLIDADA[Codigo],0)),"")</f>
        <v/>
      </c>
      <c r="DW57" s="160" t="str">
        <f t="array" ref="DW5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5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57" s="134">
        <f>IFERROR(SUM(Tabla_Buffers_Agroinsumos[[#This Row],[AS-MP]:[AS-VL]]),"")</f>
        <v>0</v>
      </c>
      <c r="DZ57" s="92" t="str">
        <f>IFERROR(Tabla_Buffers_Agroinsumos[[#This Row],[INV FIS AS]]-Tabla_Buffers_Agroinsumos[[#This Row],[BUFFER AS]],"")</f>
        <v/>
      </c>
      <c r="EA5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57" s="134"/>
      <c r="EC57" s="134"/>
      <c r="ED57" s="134"/>
      <c r="EE57" s="134"/>
      <c r="EF57" s="134"/>
      <c r="EG57" s="134"/>
      <c r="EH57" s="134"/>
      <c r="EI57" s="134"/>
      <c r="EJ57" s="134"/>
      <c r="EK57" s="134" t="str">
        <f t="array" ref="EK57">IFERROR(INDEX(TABLACONSOLIDADA[Buff Act],MATCH("AGROINSUMOSLAFINCA"&amp;Tabla_Buffers_Agroinsumos[[#This Row],[CODIGO ]],TABLACONSOLIDADA[Bodega]&amp;TABLACONSOLIDADA[Codigo],0)),"")</f>
        <v/>
      </c>
      <c r="EL57" s="19" t="str">
        <f t="array" ref="EL57">IFERROR(INDEX(TABLACONSOLIDADA[Inv Fís Act],MATCH("AGROINSUMOSLAFINCA"&amp;Tabla_Buffers_Agroinsumos[[#This Row],[CODIGO ]],TABLACONSOLIDADA[Bodega]&amp;TABLACONSOLIDADA[Codigo],0)),"")</f>
        <v/>
      </c>
      <c r="EM57" s="160" t="str">
        <f t="array" ref="EM5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5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57" s="134">
        <f>IFERROR(SUM(Tabla_Buffers_Agroinsumos[[#This Row],[LF-MP]:[LF-VL]]),"")</f>
        <v>0</v>
      </c>
      <c r="EP57" s="92" t="str">
        <f>IFERROR(Tabla_Buffers_Agroinsumos[[#This Row],[INV FIS LF]]-Tabla_Buffers_Agroinsumos[[#This Row],[BUFFER LF]],"")</f>
        <v/>
      </c>
      <c r="EQ5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57" s="134"/>
      <c r="ES57" s="134"/>
      <c r="ET57" s="134"/>
      <c r="EU57" s="134"/>
      <c r="EV57" s="134"/>
      <c r="EW57" s="134"/>
      <c r="EX57" s="134"/>
      <c r="EY57" s="134"/>
      <c r="EZ57" s="134"/>
      <c r="FA57" s="134" t="str">
        <f t="array" ref="FA57">IFERROR(INDEX(TABLACONSOLIDADA[Buff Act],MATCH("AGROINSUMOSVERONICALEDESMA"&amp;Tabla_Buffers_Agroinsumos[[#This Row],[CODIGO ]],TABLACONSOLIDADA[Bodega]&amp;TABLACONSOLIDADA[Codigo],0)),"")</f>
        <v/>
      </c>
      <c r="FB57" s="19" t="str">
        <f t="array" ref="FB57">IFERROR(INDEX(TABLACONSOLIDADA[Inv Fís Act],MATCH("AGROINSUMOSVERONICALEDESMA"&amp;Tabla_Buffers_Agroinsumos[[#This Row],[CODIGO ]],TABLACONSOLIDADA[Bodega]&amp;TABLACONSOLIDADA[Codigo],0)),"")</f>
        <v/>
      </c>
      <c r="FC57" s="160" t="str">
        <f t="array" ref="FC5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5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57" s="134">
        <f>IFERROR(SUM(Tabla_Buffers_Agroinsumos[[#This Row],[VL-MP]:[VL-LF]]),"")</f>
        <v>0</v>
      </c>
      <c r="FF57" s="92" t="str">
        <f>IFERROR(Tabla_Buffers_Agroinsumos[[#This Row],[INV FIS VL]]-Tabla_Buffers_Agroinsumos[[#This Row],[BUFFER VL]],"")</f>
        <v/>
      </c>
      <c r="FG5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57" s="134"/>
      <c r="FI57" s="134"/>
      <c r="FJ57" s="134"/>
      <c r="FK57" s="134"/>
      <c r="FL57" s="134"/>
      <c r="FM57" s="134"/>
      <c r="FN57" s="134"/>
      <c r="FO57" s="134"/>
      <c r="FP57" s="134"/>
    </row>
    <row r="58" spans="1:172">
      <c r="A58" s="7" t="s">
        <v>890</v>
      </c>
      <c r="B58" s="7" t="s">
        <v>945</v>
      </c>
      <c r="C58" s="7" t="s">
        <v>946</v>
      </c>
      <c r="D58" s="7" t="s">
        <v>719</v>
      </c>
      <c r="E58" s="7" t="s">
        <v>975</v>
      </c>
      <c r="F58" s="19" t="s">
        <v>698</v>
      </c>
      <c r="G58" s="19" t="s">
        <v>698</v>
      </c>
      <c r="H58" s="19">
        <f>VLOOKUP(Tabla_Buffers_Agroinsumos[[#This Row],[CODIGO ]],TABLACONSOLIDADA[[Codigo]:[PV]],6,0)</f>
        <v>0</v>
      </c>
      <c r="I58" s="19">
        <f>VLOOKUP(Tabla_Buffers_Agroinsumos[[#This Row],[CODIGO ]],TABLACONSOLIDADA[[Codigo]:[PV]],5,0)</f>
        <v>2.4</v>
      </c>
      <c r="J58" s="19" t="s">
        <v>698</v>
      </c>
      <c r="K58" s="19" t="s">
        <v>698</v>
      </c>
      <c r="L58" s="19">
        <f>IFERROR(Tabla_Buffers_Agroinsumos[[#This Row],[BUFFER CENTRAL]]/((Tabla_Buffers_Agroinsumos[[#This Row],[TIEMPO REPOSICION ]]/Tabla_Buffers_Agroinsumos[[#This Row],[FRECUENCIA]])+1),0)</f>
        <v>0</v>
      </c>
      <c r="M58" s="19" t="str">
        <f t="array" ref="M58">IFERROR(INDEX(TABLACONSOLIDADA[Buff Act],MATCH("AGROINSUMOSMATERIAPRIMA"&amp;Tabla_Buffers_Agroinsumos[[#This Row],[CODIGO ]],TABLACONSOLIDADA[Bodega]&amp;TABLACONSOLIDADA[Codigo],0)),"")</f>
        <v/>
      </c>
      <c r="N58" s="157" t="str">
        <f t="array" ref="N58">IFERROR(INDEX(TABLACONSOLIDADA[Inv Fís Act],MATCH("AGROINSUMOSMATERIAPRIMA"&amp;Tabla_Buffers_Agroinsumos[[#This Row],[CODIGO ]],TABLACONSOLIDADA[Bodega]&amp;TABLACONSOLIDADA[Codigo],0)),"")</f>
        <v/>
      </c>
      <c r="O58" s="157" t="str">
        <f t="array" ref="O5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5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58" s="19">
        <f>IFERROR(SUM(Tabla_Buffers_Agroinsumos[[#This Row],[MP-C]:[MP-VL]]),"")</f>
        <v>0</v>
      </c>
      <c r="R58" s="92" t="str">
        <f>IFERROR(Tabla_Buffers_Agroinsumos[[#This Row],[INV FIS MATERIA PRIMA]]-Tabla_Buffers_Agroinsumos[[#This Row],[BUFFER MATERIA PRIMA]],"")</f>
        <v/>
      </c>
      <c r="S5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58" s="19"/>
      <c r="U58" s="19"/>
      <c r="V58" s="19"/>
      <c r="W58" s="19"/>
      <c r="X58" s="19"/>
      <c r="Y58" s="19"/>
      <c r="Z58" s="19"/>
      <c r="AA58" s="19"/>
      <c r="AB58" s="19"/>
      <c r="AC58" s="152">
        <f t="array" ref="AC58">IFERROR(INDEX(TABLACONSOLIDADA[Buff Act],MATCH("AGROINSUMOSCENTRAL"&amp;Tabla_Buffers_Agroinsumos[[#This Row],[CODIGO ]],TABLACONSOLIDADA[Bodega]&amp;TABLACONSOLIDADA[Codigo],0)),"")</f>
        <v>0</v>
      </c>
      <c r="AD58" s="157">
        <f t="array" ref="AD58">IFERROR(INDEX(TABLACONSOLIDADA[Inv Fís Act],MATCH("AGROINSUMOSCENTRAL"&amp;Tabla_Buffers_Agroinsumos[[#This Row],[CODIGO ]],TABLACONSOLIDADA[Bodega]&amp;TABLACONSOLIDADA[Codigo],0)),"")</f>
        <v>0</v>
      </c>
      <c r="AE58" s="157">
        <f t="array" ref="AE5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5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58" s="91">
        <f>IFERROR(SUM(Tabla_Buffers_Agroinsumos[[#This Row],[C-MP]:[C-VL]]),"")</f>
        <v>0</v>
      </c>
      <c r="AH58" s="92">
        <f>IFERROR(Tabla_Buffers_Agroinsumos[[#This Row],[INV FIS CENTRAL]]-Tabla_Buffers_Agroinsumos[[#This Row],[BUFFER CENTRAL]],"")</f>
        <v>0</v>
      </c>
      <c r="AI5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58" s="134"/>
      <c r="AK58" s="134"/>
      <c r="AL58" s="134"/>
      <c r="AM58" s="134"/>
      <c r="AN58" s="134"/>
      <c r="AO58" s="134"/>
      <c r="AP58" s="134"/>
      <c r="AQ58" s="134"/>
      <c r="AR58" s="134"/>
      <c r="AS58" s="134">
        <f t="array" ref="AS58">IFERROR(INDEX(TABLACONSOLIDADA[Buff Act],MATCH("AGROINSUMOScentralPROPIA"&amp;Tabla_Buffers_Agroinsumos[[#This Row],[CODIGO ]],TABLACONSOLIDADA[Bodega]&amp;TABLACONSOLIDADA[Codigo],0)),"")</f>
        <v>60</v>
      </c>
      <c r="AT58" s="157">
        <f t="array" ref="AT58">IFERROR(INDEX(TABLACONSOLIDADA[Inv Fís Act],MATCH("AGROINSUMOScentralPROPIA"&amp;Tabla_Buffers_Agroinsumos[[#This Row],[CODIGO ]],TABLACONSOLIDADA[Bodega]&amp;TABLACONSOLIDADA[Codigo],0)),"")</f>
        <v>0</v>
      </c>
      <c r="AU58" s="157">
        <f t="array" ref="AU5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5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58" s="134">
        <f>IFERROR(SUM(Tabla_Buffers_Agroinsumos[[#This Row],[P-MP]:[P-VL]]),"")</f>
        <v>0</v>
      </c>
      <c r="AX58" s="92">
        <f>IFERROR(Tabla_Buffers_Agroinsumos[[#This Row],[INV FIS PROPIA]]-Tabla_Buffers_Agroinsumos[[#This Row],[BUFFER PROPIA]],"")</f>
        <v>-60</v>
      </c>
      <c r="AY5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-60</v>
      </c>
      <c r="AZ58" s="134"/>
      <c r="BA58" s="134"/>
      <c r="BB58" s="134"/>
      <c r="BC58" s="134"/>
      <c r="BD58" s="134"/>
      <c r="BE58" s="134"/>
      <c r="BF58" s="134"/>
      <c r="BG58" s="134"/>
      <c r="BH58" s="134"/>
      <c r="BI58" s="91" t="str">
        <f t="array" ref="BI58">IFERROR(INDEX(TABLACONSOLIDADA[Buff Act],MATCH("AGROINSUMOSSTODOMINGO"&amp;Tabla_Buffers_Agroinsumos[[#This Row],[CODIGO ]],TABLACONSOLIDADA[Bodega]&amp;TABLACONSOLIDADA[Codigo],0)),"")</f>
        <v/>
      </c>
      <c r="BJ58" s="157" t="str">
        <f t="array" ref="BJ58">IFERROR(INDEX(TABLACONSOLIDADA[Inv Fís Act],MATCH("AGROINSUMOSSTODOMINGO"&amp;Tabla_Buffers_Agroinsumos[[#This Row],[CODIGO ]],TABLACONSOLIDADA[Bodega]&amp;TABLACONSOLIDADA[Codigo],0)),"")</f>
        <v/>
      </c>
      <c r="BK58" s="157" t="str">
        <f t="array" ref="BK5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5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58" s="91">
        <f>IFERROR(SUM(Tabla_Buffers_Agroinsumos[[#This Row],[SD-MP]:[SD-VL]]),"")</f>
        <v>0</v>
      </c>
      <c r="BN58" s="92"/>
      <c r="BO58" s="92"/>
      <c r="BP58" s="134"/>
      <c r="BQ58" s="134"/>
      <c r="BR58" s="134"/>
      <c r="BS58" s="134"/>
      <c r="BT58" s="134"/>
      <c r="BU58" s="134"/>
      <c r="BV58" s="134"/>
      <c r="BW58" s="134"/>
      <c r="BX58" s="134"/>
      <c r="BY58" s="134">
        <f t="array" ref="BY58">IFERROR(INDEX(TABLACONSOLIDADA[Buff Act],MATCH("AGROINSUMOSMONCAYOLOPEZ"&amp;Tabla_Buffers_Agroinsumos[[#This Row],[CODIGO ]],TABLACONSOLIDADA[Bodega]&amp;TABLACONSOLIDADA[Codigo],0)),"")</f>
        <v>0</v>
      </c>
      <c r="BZ58" s="157">
        <f t="array" ref="BZ58">IFERROR(INDEX(TABLACONSOLIDADA[Inv Fís Act],MATCH("AGROINSUMOSMONCAYOLOPEZ"&amp;Tabla_Buffers_Agroinsumos[[#This Row],[CODIGO ]],TABLACONSOLIDADA[Bodega]&amp;TABLACONSOLIDADA[Codigo],0)),"")</f>
        <v>0</v>
      </c>
      <c r="CA58" s="157">
        <f t="array" ref="CA5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5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58" s="134">
        <f>IFERROR(SUM(Tabla_Buffers_Agroinsumos[[#This Row],[ML-MP]:[ML-VL]]),"")</f>
        <v>0</v>
      </c>
      <c r="CD58" s="92">
        <f>IFERROR(Tabla_Buffers_Agroinsumos[[#This Row],[INV FIS ML]]-Tabla_Buffers_Agroinsumos[[#This Row],[BUFFER ML]],"")</f>
        <v>0</v>
      </c>
      <c r="CE5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58" s="134"/>
      <c r="CG58" s="134"/>
      <c r="CH58" s="134"/>
      <c r="CI58" s="134"/>
      <c r="CJ58" s="134"/>
      <c r="CK58" s="134"/>
      <c r="CL58" s="134"/>
      <c r="CM58" s="134"/>
      <c r="CN58" s="134"/>
      <c r="CO58" s="134">
        <f t="array" ref="CO58">IFERROR(INDEX(TABLACONSOLIDADA[Buff Act],MATCH("AGROINSUMOSAGROHERMANOSLEON"&amp;Tabla_Buffers_Agroinsumos[[#This Row],[CODIGO ]],TABLACONSOLIDADA[Bodega]&amp;TABLACONSOLIDADA[Codigo],0)),"")</f>
        <v>0</v>
      </c>
      <c r="CP58" s="157">
        <f t="array" ref="CP58">IFERROR(INDEX(TABLACONSOLIDADA[Inv Fís Act],MATCH("AGROINSUMOSAGROHERMANOSLEON"&amp;Tabla_Buffers_Agroinsumos[[#This Row],[CODIGO ]],TABLACONSOLIDADA[Bodega]&amp;TABLACONSOLIDADA[Codigo],0)),"")</f>
        <v>0</v>
      </c>
      <c r="CQ58" s="157">
        <f t="array" ref="CQ5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5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58" s="134">
        <f>IFERROR(SUM(Tabla_Buffers_Agroinsumos[[#This Row],[AL-MP]:[AL-VL]]),"")</f>
        <v>0</v>
      </c>
      <c r="CT58" s="92">
        <f>IFERROR(Tabla_Buffers_Agroinsumos[[#This Row],[INV FIS AL]]-Tabla_Buffers_Agroinsumos[[#This Row],[BUFFER AL]],"")</f>
        <v>0</v>
      </c>
      <c r="CU5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58" s="134"/>
      <c r="CW58" s="134"/>
      <c r="CX58" s="134"/>
      <c r="CY58" s="134"/>
      <c r="CZ58" s="134"/>
      <c r="DA58" s="134"/>
      <c r="DB58" s="134"/>
      <c r="DC58" s="134"/>
      <c r="DD58" s="134"/>
      <c r="DE58" s="134">
        <f t="array" ref="DE58">IFERROR(INDEX(TABLACONSOLIDADA[Buff Act],MATCH("AGROINSUMOSAGRONUEVO"&amp;Tabla_Buffers_Agroinsumos[[#This Row],[CODIGO ]],TABLACONSOLIDADA[Bodega]&amp;TABLACONSOLIDADA[Codigo],0)),"")</f>
        <v>0</v>
      </c>
      <c r="DF58" s="157">
        <f t="array" ref="DF58">IFERROR(INDEX(TABLACONSOLIDADA[Inv Fís Act],MATCH("AGROINSUMOSAGRONUEVO"&amp;Tabla_Buffers_Agroinsumos[[#This Row],[CODIGO ]],TABLACONSOLIDADA[Bodega]&amp;TABLACONSOLIDADA[Codigo],0)),"")</f>
        <v>0</v>
      </c>
      <c r="DG58" s="157">
        <f t="array" ref="DG5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5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58" s="134">
        <f>IFERROR(SUM(Tabla_Buffers_Agroinsumos[[#This Row],[AN-MP]:[AN-VL]]),"")</f>
        <v>0</v>
      </c>
      <c r="DJ58" s="92">
        <f>IFERROR(Tabla_Buffers_Agroinsumos[[#This Row],[INV FIS AN]]-Tabla_Buffers_Agroinsumos[[#This Row],[BUFFER AN]],"")</f>
        <v>0</v>
      </c>
      <c r="DK5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58" s="134"/>
      <c r="DM58" s="134"/>
      <c r="DN58" s="134"/>
      <c r="DO58" s="134"/>
      <c r="DP58" s="134"/>
      <c r="DQ58" s="134"/>
      <c r="DR58" s="134"/>
      <c r="DS58" s="134"/>
      <c r="DT58" s="134"/>
      <c r="DU58" s="134">
        <f t="array" ref="DU58">IFERROR(INDEX(TABLACONSOLIDADA[Buff Act],MATCH("AGROINSUMOSAGROQUIMICOSSUR"&amp;Tabla_Buffers_Agroinsumos[[#This Row],[CODIGO ]],TABLACONSOLIDADA[Bodega]&amp;TABLACONSOLIDADA[Codigo],0)),"")</f>
        <v>0</v>
      </c>
      <c r="DV58" s="157">
        <f t="array" ref="DV58">IFERROR(INDEX(TABLACONSOLIDADA[Inv Fís Act],MATCH("AGROINSUMOSAGROQUIMICOSSUR"&amp;Tabla_Buffers_Agroinsumos[[#This Row],[CODIGO ]],TABLACONSOLIDADA[Bodega]&amp;TABLACONSOLIDADA[Codigo],0)),"")</f>
        <v>0</v>
      </c>
      <c r="DW58" s="157">
        <f t="array" ref="DW5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5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58" s="134">
        <f>IFERROR(SUM(Tabla_Buffers_Agroinsumos[[#This Row],[AS-MP]:[AS-VL]]),"")</f>
        <v>0</v>
      </c>
      <c r="DZ58" s="92">
        <f>IFERROR(Tabla_Buffers_Agroinsumos[[#This Row],[INV FIS AS]]-Tabla_Buffers_Agroinsumos[[#This Row],[BUFFER AS]],"")</f>
        <v>0</v>
      </c>
      <c r="EA5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58" s="134"/>
      <c r="EC58" s="134"/>
      <c r="ED58" s="134"/>
      <c r="EE58" s="134"/>
      <c r="EF58" s="134"/>
      <c r="EG58" s="134"/>
      <c r="EH58" s="134"/>
      <c r="EI58" s="134"/>
      <c r="EJ58" s="134"/>
      <c r="EK58" s="134">
        <f t="array" ref="EK58">IFERROR(INDEX(TABLACONSOLIDADA[Buff Act],MATCH("AGROINSUMOSLAFINCA"&amp;Tabla_Buffers_Agroinsumos[[#This Row],[CODIGO ]],TABLACONSOLIDADA[Bodega]&amp;TABLACONSOLIDADA[Codigo],0)),"")</f>
        <v>0</v>
      </c>
      <c r="EL58" s="157">
        <f t="array" ref="EL58">IFERROR(INDEX(TABLACONSOLIDADA[Inv Fís Act],MATCH("AGROINSUMOSLAFINCA"&amp;Tabla_Buffers_Agroinsumos[[#This Row],[CODIGO ]],TABLACONSOLIDADA[Bodega]&amp;TABLACONSOLIDADA[Codigo],0)),"")</f>
        <v>0</v>
      </c>
      <c r="EM58" s="157">
        <f t="array" ref="EM5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5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58" s="134">
        <f>IFERROR(SUM(Tabla_Buffers_Agroinsumos[[#This Row],[LF-MP]:[LF-VL]]),"")</f>
        <v>0</v>
      </c>
      <c r="EP58" s="92">
        <f>IFERROR(Tabla_Buffers_Agroinsumos[[#This Row],[INV FIS LF]]-Tabla_Buffers_Agroinsumos[[#This Row],[BUFFER LF]],"")</f>
        <v>0</v>
      </c>
      <c r="EQ5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58" s="134"/>
      <c r="ES58" s="134"/>
      <c r="ET58" s="134"/>
      <c r="EU58" s="134"/>
      <c r="EV58" s="134"/>
      <c r="EW58" s="134"/>
      <c r="EX58" s="134"/>
      <c r="EY58" s="134"/>
      <c r="EZ58" s="134"/>
      <c r="FA58" s="134">
        <f t="array" ref="FA58">IFERROR(INDEX(TABLACONSOLIDADA[Buff Act],MATCH("AGROINSUMOSVERONICALEDESMA"&amp;Tabla_Buffers_Agroinsumos[[#This Row],[CODIGO ]],TABLACONSOLIDADA[Bodega]&amp;TABLACONSOLIDADA[Codigo],0)),"")</f>
        <v>0</v>
      </c>
      <c r="FB58" s="157">
        <f t="array" ref="FB58">IFERROR(INDEX(TABLACONSOLIDADA[Inv Fís Act],MATCH("AGROINSUMOSVERONICALEDESMA"&amp;Tabla_Buffers_Agroinsumos[[#This Row],[CODIGO ]],TABLACONSOLIDADA[Bodega]&amp;TABLACONSOLIDADA[Codigo],0)),"")</f>
        <v>0</v>
      </c>
      <c r="FC58" s="157">
        <f t="array" ref="FC5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5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58" s="134">
        <f>IFERROR(SUM(Tabla_Buffers_Agroinsumos[[#This Row],[VL-MP]:[VL-LF]]),"")</f>
        <v>0</v>
      </c>
      <c r="FF58" s="92">
        <f>IFERROR(Tabla_Buffers_Agroinsumos[[#This Row],[INV FIS VL]]-Tabla_Buffers_Agroinsumos[[#This Row],[BUFFER VL]],"")</f>
        <v>0</v>
      </c>
      <c r="FG5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58" s="134"/>
      <c r="FI58" s="134"/>
      <c r="FJ58" s="134"/>
      <c r="FK58" s="134"/>
      <c r="FL58" s="134"/>
      <c r="FM58" s="134"/>
      <c r="FN58" s="134"/>
      <c r="FO58" s="134"/>
      <c r="FP58" s="134"/>
    </row>
    <row r="59" spans="1:172">
      <c r="A59" s="7" t="s">
        <v>158</v>
      </c>
      <c r="B59" s="7" t="s">
        <v>159</v>
      </c>
      <c r="C59" s="7" t="s">
        <v>712</v>
      </c>
      <c r="D59" s="7" t="s">
        <v>720</v>
      </c>
      <c r="E59" s="7" t="s">
        <v>863</v>
      </c>
      <c r="F59" s="19" t="s">
        <v>814</v>
      </c>
      <c r="G59" s="19" t="s">
        <v>873</v>
      </c>
      <c r="H59" s="19">
        <f>VLOOKUP(Tabla_Buffers_Agroinsumos[[#This Row],[CODIGO ]],TABLACONSOLIDADA[[Codigo]:[PV]],6,0)</f>
        <v>0</v>
      </c>
      <c r="I59" s="19">
        <f>VLOOKUP(Tabla_Buffers_Agroinsumos[[#This Row],[CODIGO ]],TABLACONSOLIDADA[[Codigo]:[PV]],5,0)</f>
        <v>219.3</v>
      </c>
      <c r="J59" s="19">
        <v>12</v>
      </c>
      <c r="K59" s="19">
        <v>14</v>
      </c>
      <c r="L59" s="19">
        <f>IFERROR(Tabla_Buffers_Agroinsumos[[#This Row],[BUFFER CENTRAL]]/((Tabla_Buffers_Agroinsumos[[#This Row],[TIEMPO REPOSICION ]]/Tabla_Buffers_Agroinsumos[[#This Row],[FRECUENCIA]])+1),0)</f>
        <v>0</v>
      </c>
      <c r="M59" s="19">
        <f t="array" ref="M59">IFERROR(INDEX(TABLACONSOLIDADA[Buff Act],MATCH("AGROINSUMOSMATERIAPRIMA"&amp;Tabla_Buffers_Agroinsumos[[#This Row],[CODIGO ]],TABLACONSOLIDADA[Bodega]&amp;TABLACONSOLIDADA[Codigo],0)),"")</f>
        <v>0</v>
      </c>
      <c r="N59" s="157">
        <f t="array" ref="N59">IFERROR(INDEX(TABLACONSOLIDADA[Inv Fís Act],MATCH("AGROINSUMOSMATERIAPRIMA"&amp;Tabla_Buffers_Agroinsumos[[#This Row],[CODIGO ]],TABLACONSOLIDADA[Bodega]&amp;TABLACONSOLIDADA[Codigo],0)),"")</f>
        <v>44.03</v>
      </c>
      <c r="O59" s="157">
        <f t="array" ref="O5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104.03</v>
      </c>
      <c r="P5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59" s="19">
        <f>IFERROR(SUM(Tabla_Buffers_Agroinsumos[[#This Row],[MP-C]:[MP-VL]]),"")</f>
        <v>0</v>
      </c>
      <c r="R59" s="92">
        <f>IFERROR(Tabla_Buffers_Agroinsumos[[#This Row],[INV FIS MATERIA PRIMA]]-Tabla_Buffers_Agroinsumos[[#This Row],[BUFFER MATERIA PRIMA]],"")</f>
        <v>44.03</v>
      </c>
      <c r="S5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44.03</v>
      </c>
      <c r="T59" s="19"/>
      <c r="U59" s="19"/>
      <c r="V59" s="19"/>
      <c r="W59" s="19"/>
      <c r="X59" s="19"/>
      <c r="Y59" s="19"/>
      <c r="Z59" s="19"/>
      <c r="AA59" s="19"/>
      <c r="AB59" s="19"/>
      <c r="AC59" s="152" t="str">
        <f t="array" ref="AC59">IFERROR(INDEX(TABLACONSOLIDADA[Buff Act],MATCH("AGROINSUMOSCENTRAL"&amp;Tabla_Buffers_Agroinsumos[[#This Row],[CODIGO ]],TABLACONSOLIDADA[Bodega]&amp;TABLACONSOLIDADA[Codigo],0)),"")</f>
        <v/>
      </c>
      <c r="AD59" s="157" t="str">
        <f t="array" ref="AD59">IFERROR(INDEX(TABLACONSOLIDADA[Inv Fís Act],MATCH("AGROINSUMOSCENTRAL"&amp;Tabla_Buffers_Agroinsumos[[#This Row],[CODIGO ]],TABLACONSOLIDADA[Bodega]&amp;TABLACONSOLIDADA[Codigo],0)),"")</f>
        <v/>
      </c>
      <c r="AE59" s="157" t="str">
        <f t="array" ref="AE5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5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59" s="91">
        <f>IFERROR(SUM(Tabla_Buffers_Agroinsumos[[#This Row],[C-MP]:[C-VL]]),"")</f>
        <v>0</v>
      </c>
      <c r="AH59" s="92" t="str">
        <f>IFERROR(Tabla_Buffers_Agroinsumos[[#This Row],[INV FIS CENTRAL]]-Tabla_Buffers_Agroinsumos[[#This Row],[BUFFER CENTRAL]],"")</f>
        <v/>
      </c>
      <c r="AI5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59" s="134"/>
      <c r="AK59" s="134"/>
      <c r="AL59" s="134"/>
      <c r="AM59" s="134"/>
      <c r="AN59" s="134"/>
      <c r="AO59" s="134"/>
      <c r="AP59" s="134"/>
      <c r="AQ59" s="134"/>
      <c r="AR59" s="134"/>
      <c r="AS59" s="134" t="str">
        <f t="array" ref="AS59">IFERROR(INDEX(TABLACONSOLIDADA[Buff Act],MATCH("AGROINSUMOScentralPROPIA"&amp;Tabla_Buffers_Agroinsumos[[#This Row],[CODIGO ]],TABLACONSOLIDADA[Bodega]&amp;TABLACONSOLIDADA[Codigo],0)),"")</f>
        <v/>
      </c>
      <c r="AT59" s="157" t="str">
        <f t="array" ref="AT59">IFERROR(INDEX(TABLACONSOLIDADA[Inv Fís Act],MATCH("AGROINSUMOScentralPROPIA"&amp;Tabla_Buffers_Agroinsumos[[#This Row],[CODIGO ]],TABLACONSOLIDADA[Bodega]&amp;TABLACONSOLIDADA[Codigo],0)),"")</f>
        <v/>
      </c>
      <c r="AU59" s="157" t="str">
        <f t="array" ref="AU5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5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59" s="134">
        <f>IFERROR(SUM(Tabla_Buffers_Agroinsumos[[#This Row],[P-MP]:[P-VL]]),"")</f>
        <v>0</v>
      </c>
      <c r="AX59" s="92" t="str">
        <f>IFERROR(Tabla_Buffers_Agroinsumos[[#This Row],[INV FIS PROPIA]]-Tabla_Buffers_Agroinsumos[[#This Row],[BUFFER PROPIA]],"")</f>
        <v/>
      </c>
      <c r="AY5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59" s="134"/>
      <c r="BA59" s="134"/>
      <c r="BB59" s="134"/>
      <c r="BC59" s="134"/>
      <c r="BD59" s="134"/>
      <c r="BE59" s="134"/>
      <c r="BF59" s="134"/>
      <c r="BG59" s="134"/>
      <c r="BH59" s="134"/>
      <c r="BI59" s="91" t="str">
        <f t="array" ref="BI59">IFERROR(INDEX(TABLACONSOLIDADA[Buff Act],MATCH("AGROINSUMOSSTODOMINGO"&amp;Tabla_Buffers_Agroinsumos[[#This Row],[CODIGO ]],TABLACONSOLIDADA[Bodega]&amp;TABLACONSOLIDADA[Codigo],0)),"")</f>
        <v/>
      </c>
      <c r="BJ59" s="157" t="str">
        <f t="array" ref="BJ59">IFERROR(INDEX(TABLACONSOLIDADA[Inv Fís Act],MATCH("AGROINSUMOSSTODOMINGO"&amp;Tabla_Buffers_Agroinsumos[[#This Row],[CODIGO ]],TABLACONSOLIDADA[Bodega]&amp;TABLACONSOLIDADA[Codigo],0)),"")</f>
        <v/>
      </c>
      <c r="BK59" s="157" t="str">
        <f t="array" ref="BK5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5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59" s="91">
        <f>IFERROR(SUM(Tabla_Buffers_Agroinsumos[[#This Row],[SD-MP]:[SD-VL]]),"")</f>
        <v>0</v>
      </c>
      <c r="BN59" s="92"/>
      <c r="BO59" s="92"/>
      <c r="BP59" s="134"/>
      <c r="BQ59" s="134"/>
      <c r="BR59" s="134"/>
      <c r="BS59" s="134"/>
      <c r="BT59" s="134"/>
      <c r="BU59" s="134"/>
      <c r="BV59" s="134"/>
      <c r="BW59" s="134"/>
      <c r="BX59" s="134"/>
      <c r="BY59" s="134" t="str">
        <f t="array" ref="BY59">IFERROR(INDEX(TABLACONSOLIDADA[Buff Act],MATCH("AGROINSUMOSMONCAYOLOPEZ"&amp;Tabla_Buffers_Agroinsumos[[#This Row],[CODIGO ]],TABLACONSOLIDADA[Bodega]&amp;TABLACONSOLIDADA[Codigo],0)),"")</f>
        <v/>
      </c>
      <c r="BZ59" s="157" t="str">
        <f t="array" ref="BZ59">IFERROR(INDEX(TABLACONSOLIDADA[Inv Fís Act],MATCH("AGROINSUMOSMONCAYOLOPEZ"&amp;Tabla_Buffers_Agroinsumos[[#This Row],[CODIGO ]],TABLACONSOLIDADA[Bodega]&amp;TABLACONSOLIDADA[Codigo],0)),"")</f>
        <v/>
      </c>
      <c r="CA59" s="157" t="str">
        <f t="array" ref="CA5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5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59" s="134">
        <f>IFERROR(SUM(Tabla_Buffers_Agroinsumos[[#This Row],[ML-MP]:[ML-VL]]),"")</f>
        <v>0</v>
      </c>
      <c r="CD59" s="92" t="str">
        <f>IFERROR(Tabla_Buffers_Agroinsumos[[#This Row],[INV FIS ML]]-Tabla_Buffers_Agroinsumos[[#This Row],[BUFFER ML]],"")</f>
        <v/>
      </c>
      <c r="CE5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59" s="134"/>
      <c r="CG59" s="134"/>
      <c r="CH59" s="134"/>
      <c r="CI59" s="134"/>
      <c r="CJ59" s="134"/>
      <c r="CK59" s="134"/>
      <c r="CL59" s="134"/>
      <c r="CM59" s="134"/>
      <c r="CN59" s="134"/>
      <c r="CO59" s="134" t="str">
        <f t="array" ref="CO59">IFERROR(INDEX(TABLACONSOLIDADA[Buff Act],MATCH("AGROINSUMOSAGROHERMANOSLEON"&amp;Tabla_Buffers_Agroinsumos[[#This Row],[CODIGO ]],TABLACONSOLIDADA[Bodega]&amp;TABLACONSOLIDADA[Codigo],0)),"")</f>
        <v/>
      </c>
      <c r="CP59" s="157" t="str">
        <f t="array" ref="CP59">IFERROR(INDEX(TABLACONSOLIDADA[Inv Fís Act],MATCH("AGROINSUMOSAGROHERMANOSLEON"&amp;Tabla_Buffers_Agroinsumos[[#This Row],[CODIGO ]],TABLACONSOLIDADA[Bodega]&amp;TABLACONSOLIDADA[Codigo],0)),"")</f>
        <v/>
      </c>
      <c r="CQ59" s="157" t="str">
        <f t="array" ref="CQ5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5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59" s="134">
        <f>IFERROR(SUM(Tabla_Buffers_Agroinsumos[[#This Row],[AL-MP]:[AL-VL]]),"")</f>
        <v>0</v>
      </c>
      <c r="CT59" s="92" t="str">
        <f>IFERROR(Tabla_Buffers_Agroinsumos[[#This Row],[INV FIS AL]]-Tabla_Buffers_Agroinsumos[[#This Row],[BUFFER AL]],"")</f>
        <v/>
      </c>
      <c r="CU5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59" s="134"/>
      <c r="CW59" s="134"/>
      <c r="CX59" s="134"/>
      <c r="CY59" s="134"/>
      <c r="CZ59" s="134"/>
      <c r="DA59" s="134"/>
      <c r="DB59" s="134"/>
      <c r="DC59" s="134"/>
      <c r="DD59" s="134"/>
      <c r="DE59" s="134" t="str">
        <f t="array" ref="DE59">IFERROR(INDEX(TABLACONSOLIDADA[Buff Act],MATCH("AGROINSUMOSAGRONUEVO"&amp;Tabla_Buffers_Agroinsumos[[#This Row],[CODIGO ]],TABLACONSOLIDADA[Bodega]&amp;TABLACONSOLIDADA[Codigo],0)),"")</f>
        <v/>
      </c>
      <c r="DF59" s="157" t="str">
        <f t="array" ref="DF59">IFERROR(INDEX(TABLACONSOLIDADA[Inv Fís Act],MATCH("AGROINSUMOSAGRONUEVO"&amp;Tabla_Buffers_Agroinsumos[[#This Row],[CODIGO ]],TABLACONSOLIDADA[Bodega]&amp;TABLACONSOLIDADA[Codigo],0)),"")</f>
        <v/>
      </c>
      <c r="DG59" s="157" t="str">
        <f t="array" ref="DG5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5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59" s="134">
        <f>IFERROR(SUM(Tabla_Buffers_Agroinsumos[[#This Row],[AN-MP]:[AN-VL]]),"")</f>
        <v>0</v>
      </c>
      <c r="DJ59" s="92" t="str">
        <f>IFERROR(Tabla_Buffers_Agroinsumos[[#This Row],[INV FIS AN]]-Tabla_Buffers_Agroinsumos[[#This Row],[BUFFER AN]],"")</f>
        <v/>
      </c>
      <c r="DK5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59" s="134"/>
      <c r="DM59" s="134"/>
      <c r="DN59" s="134"/>
      <c r="DO59" s="134"/>
      <c r="DP59" s="134"/>
      <c r="DQ59" s="134"/>
      <c r="DR59" s="134"/>
      <c r="DS59" s="134"/>
      <c r="DT59" s="134"/>
      <c r="DU59" s="134" t="str">
        <f t="array" ref="DU59">IFERROR(INDEX(TABLACONSOLIDADA[Buff Act],MATCH("AGROINSUMOSAGROQUIMICOSSUR"&amp;Tabla_Buffers_Agroinsumos[[#This Row],[CODIGO ]],TABLACONSOLIDADA[Bodega]&amp;TABLACONSOLIDADA[Codigo],0)),"")</f>
        <v/>
      </c>
      <c r="DV59" s="157" t="str">
        <f t="array" ref="DV59">IFERROR(INDEX(TABLACONSOLIDADA[Inv Fís Act],MATCH("AGROINSUMOSAGROQUIMICOSSUR"&amp;Tabla_Buffers_Agroinsumos[[#This Row],[CODIGO ]],TABLACONSOLIDADA[Bodega]&amp;TABLACONSOLIDADA[Codigo],0)),"")</f>
        <v/>
      </c>
      <c r="DW59" s="157" t="str">
        <f t="array" ref="DW5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5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59" s="134">
        <f>IFERROR(SUM(Tabla_Buffers_Agroinsumos[[#This Row],[AS-MP]:[AS-VL]]),"")</f>
        <v>0</v>
      </c>
      <c r="DZ59" s="92" t="str">
        <f>IFERROR(Tabla_Buffers_Agroinsumos[[#This Row],[INV FIS AS]]-Tabla_Buffers_Agroinsumos[[#This Row],[BUFFER AS]],"")</f>
        <v/>
      </c>
      <c r="EA5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59" s="134"/>
      <c r="EC59" s="134"/>
      <c r="ED59" s="134"/>
      <c r="EE59" s="134"/>
      <c r="EF59" s="134"/>
      <c r="EG59" s="134"/>
      <c r="EH59" s="134"/>
      <c r="EI59" s="134"/>
      <c r="EJ59" s="134"/>
      <c r="EK59" s="134" t="str">
        <f t="array" ref="EK59">IFERROR(INDEX(TABLACONSOLIDADA[Buff Act],MATCH("AGROINSUMOSLAFINCA"&amp;Tabla_Buffers_Agroinsumos[[#This Row],[CODIGO ]],TABLACONSOLIDADA[Bodega]&amp;TABLACONSOLIDADA[Codigo],0)),"")</f>
        <v/>
      </c>
      <c r="EL59" s="157" t="str">
        <f t="array" ref="EL59">IFERROR(INDEX(TABLACONSOLIDADA[Inv Fís Act],MATCH("AGROINSUMOSLAFINCA"&amp;Tabla_Buffers_Agroinsumos[[#This Row],[CODIGO ]],TABLACONSOLIDADA[Bodega]&amp;TABLACONSOLIDADA[Codigo],0)),"")</f>
        <v/>
      </c>
      <c r="EM59" s="157" t="str">
        <f t="array" ref="EM5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5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59" s="134">
        <f>IFERROR(SUM(Tabla_Buffers_Agroinsumos[[#This Row],[LF-MP]:[LF-VL]]),"")</f>
        <v>0</v>
      </c>
      <c r="EP59" s="92" t="str">
        <f>IFERROR(Tabla_Buffers_Agroinsumos[[#This Row],[INV FIS LF]]-Tabla_Buffers_Agroinsumos[[#This Row],[BUFFER LF]],"")</f>
        <v/>
      </c>
      <c r="EQ5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59" s="134"/>
      <c r="ES59" s="134"/>
      <c r="ET59" s="134"/>
      <c r="EU59" s="134"/>
      <c r="EV59" s="134"/>
      <c r="EW59" s="134"/>
      <c r="EX59" s="134"/>
      <c r="EY59" s="134"/>
      <c r="EZ59" s="134"/>
      <c r="FA59" s="134" t="str">
        <f t="array" ref="FA59">IFERROR(INDEX(TABLACONSOLIDADA[Buff Act],MATCH("AGROINSUMOSVERONICALEDESMA"&amp;Tabla_Buffers_Agroinsumos[[#This Row],[CODIGO ]],TABLACONSOLIDADA[Bodega]&amp;TABLACONSOLIDADA[Codigo],0)),"")</f>
        <v/>
      </c>
      <c r="FB59" s="157" t="str">
        <f t="array" ref="FB59">IFERROR(INDEX(TABLACONSOLIDADA[Inv Fís Act],MATCH("AGROINSUMOSVERONICALEDESMA"&amp;Tabla_Buffers_Agroinsumos[[#This Row],[CODIGO ]],TABLACONSOLIDADA[Bodega]&amp;TABLACONSOLIDADA[Codigo],0)),"")</f>
        <v/>
      </c>
      <c r="FC59" s="157" t="str">
        <f t="array" ref="FC5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5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59" s="134">
        <f>IFERROR(SUM(Tabla_Buffers_Agroinsumos[[#This Row],[VL-MP]:[VL-LF]]),"")</f>
        <v>0</v>
      </c>
      <c r="FF59" s="92" t="str">
        <f>IFERROR(Tabla_Buffers_Agroinsumos[[#This Row],[INV FIS VL]]-Tabla_Buffers_Agroinsumos[[#This Row],[BUFFER VL]],"")</f>
        <v/>
      </c>
      <c r="FG5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59" s="134"/>
      <c r="FI59" s="134"/>
      <c r="FJ59" s="134"/>
      <c r="FK59" s="134"/>
      <c r="FL59" s="134"/>
      <c r="FM59" s="134"/>
      <c r="FN59" s="134"/>
      <c r="FO59" s="134"/>
      <c r="FP59" s="134"/>
    </row>
    <row r="60" spans="1:172">
      <c r="A60" s="7" t="s">
        <v>836</v>
      </c>
      <c r="B60" s="7" t="s">
        <v>842</v>
      </c>
      <c r="C60" s="7" t="s">
        <v>712</v>
      </c>
      <c r="D60" s="7" t="s">
        <v>720</v>
      </c>
      <c r="E60" s="7" t="s">
        <v>863</v>
      </c>
      <c r="F60" s="19" t="s">
        <v>814</v>
      </c>
      <c r="G60" s="19" t="s">
        <v>873</v>
      </c>
      <c r="H60" s="19">
        <f>VLOOKUP(Tabla_Buffers_Agroinsumos[[#This Row],[CODIGO ]],TABLACONSOLIDADA[[Codigo]:[PV]],6,0)</f>
        <v>0</v>
      </c>
      <c r="I60" s="19">
        <f>VLOOKUP(Tabla_Buffers_Agroinsumos[[#This Row],[CODIGO ]],TABLACONSOLIDADA[[Codigo]:[PV]],5,0)</f>
        <v>209.42</v>
      </c>
      <c r="J60" s="19">
        <v>12</v>
      </c>
      <c r="K60" s="19">
        <v>14</v>
      </c>
      <c r="L60" s="19">
        <f>IFERROR(Tabla_Buffers_Agroinsumos[[#This Row],[BUFFER CENTRAL]]/((Tabla_Buffers_Agroinsumos[[#This Row],[TIEMPO REPOSICION ]]/Tabla_Buffers_Agroinsumos[[#This Row],[FRECUENCIA]])+1),0)</f>
        <v>0</v>
      </c>
      <c r="M60" s="19">
        <f t="array" ref="M60">IFERROR(INDEX(TABLACONSOLIDADA[Buff Act],MATCH("AGROINSUMOSMATERIAPRIMA"&amp;Tabla_Buffers_Agroinsumos[[#This Row],[CODIGO ]],TABLACONSOLIDADA[Bodega]&amp;TABLACONSOLIDADA[Codigo],0)),"")</f>
        <v>0</v>
      </c>
      <c r="N60" s="157">
        <f t="array" ref="N60">IFERROR(INDEX(TABLACONSOLIDADA[Inv Fís Act],MATCH("AGROINSUMOSMATERIAPRIMA"&amp;Tabla_Buffers_Agroinsumos[[#This Row],[CODIGO ]],TABLACONSOLIDADA[Bodega]&amp;TABLACONSOLIDADA[Codigo],0)),"")</f>
        <v>65.23</v>
      </c>
      <c r="O60" s="157">
        <f t="array" ref="O6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65.23</v>
      </c>
      <c r="P6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60" s="19">
        <f>IFERROR(SUM(Tabla_Buffers_Agroinsumos[[#This Row],[MP-C]:[MP-VL]]),"")</f>
        <v>0</v>
      </c>
      <c r="R60" s="92">
        <f>IFERROR(Tabla_Buffers_Agroinsumos[[#This Row],[INV FIS MATERIA PRIMA]]-Tabla_Buffers_Agroinsumos[[#This Row],[BUFFER MATERIA PRIMA]],"")</f>
        <v>65.23</v>
      </c>
      <c r="S6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65.23</v>
      </c>
      <c r="T60" s="19"/>
      <c r="U60" s="19"/>
      <c r="V60" s="19"/>
      <c r="W60" s="19"/>
      <c r="X60" s="19"/>
      <c r="Y60" s="19"/>
      <c r="Z60" s="19"/>
      <c r="AA60" s="19"/>
      <c r="AB60" s="19"/>
      <c r="AC60" s="152">
        <f t="array" ref="AC60">IFERROR(INDEX(TABLACONSOLIDADA[Buff Act],MATCH("AGROINSUMOSCENTRAL"&amp;Tabla_Buffers_Agroinsumos[[#This Row],[CODIGO ]],TABLACONSOLIDADA[Bodega]&amp;TABLACONSOLIDADA[Codigo],0)),"")</f>
        <v>0</v>
      </c>
      <c r="AD60" s="157">
        <f t="array" ref="AD60">IFERROR(INDEX(TABLACONSOLIDADA[Inv Fís Act],MATCH("AGROINSUMOSCENTRAL"&amp;Tabla_Buffers_Agroinsumos[[#This Row],[CODIGO ]],TABLACONSOLIDADA[Bodega]&amp;TABLACONSOLIDADA[Codigo],0)),"")</f>
        <v>0</v>
      </c>
      <c r="AE60" s="157">
        <f t="array" ref="AE6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</v>
      </c>
      <c r="AF6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60" s="91">
        <f>IFERROR(SUM(Tabla_Buffers_Agroinsumos[[#This Row],[C-MP]:[C-VL]]),"")</f>
        <v>0</v>
      </c>
      <c r="AH60" s="92">
        <f>IFERROR(Tabla_Buffers_Agroinsumos[[#This Row],[INV FIS CENTRAL]]-Tabla_Buffers_Agroinsumos[[#This Row],[BUFFER CENTRAL]],"")</f>
        <v>0</v>
      </c>
      <c r="AI6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60" s="134"/>
      <c r="AK60" s="134"/>
      <c r="AL60" s="134"/>
      <c r="AM60" s="134"/>
      <c r="AN60" s="134"/>
      <c r="AO60" s="134"/>
      <c r="AP60" s="134"/>
      <c r="AQ60" s="134"/>
      <c r="AR60" s="134"/>
      <c r="AS60" s="134" t="str">
        <f t="array" ref="AS60">IFERROR(INDEX(TABLACONSOLIDADA[Buff Act],MATCH("AGROINSUMOScentralPROPIA"&amp;Tabla_Buffers_Agroinsumos[[#This Row],[CODIGO ]],TABLACONSOLIDADA[Bodega]&amp;TABLACONSOLIDADA[Codigo],0)),"")</f>
        <v/>
      </c>
      <c r="AT60" s="157" t="str">
        <f t="array" ref="AT60">IFERROR(INDEX(TABLACONSOLIDADA[Inv Fís Act],MATCH("AGROINSUMOScentralPROPIA"&amp;Tabla_Buffers_Agroinsumos[[#This Row],[CODIGO ]],TABLACONSOLIDADA[Bodega]&amp;TABLACONSOLIDADA[Codigo],0)),"")</f>
        <v/>
      </c>
      <c r="AU60" s="157" t="str">
        <f t="array" ref="AU6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6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60" s="134">
        <f>IFERROR(SUM(Tabla_Buffers_Agroinsumos[[#This Row],[P-MP]:[P-VL]]),"")</f>
        <v>0</v>
      </c>
      <c r="AX60" s="92" t="str">
        <f>IFERROR(Tabla_Buffers_Agroinsumos[[#This Row],[INV FIS PROPIA]]-Tabla_Buffers_Agroinsumos[[#This Row],[BUFFER PROPIA]],"")</f>
        <v/>
      </c>
      <c r="AY6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60" s="134"/>
      <c r="BA60" s="134"/>
      <c r="BB60" s="134"/>
      <c r="BC60" s="134"/>
      <c r="BD60" s="134"/>
      <c r="BE60" s="134"/>
      <c r="BF60" s="134"/>
      <c r="BG60" s="134"/>
      <c r="BH60" s="134"/>
      <c r="BI60" s="91">
        <f t="array" ref="BI60">IFERROR(INDEX(TABLACONSOLIDADA[Buff Act],MATCH("AGROINSUMOSSTODOMINGO"&amp;Tabla_Buffers_Agroinsumos[[#This Row],[CODIGO ]],TABLACONSOLIDADA[Bodega]&amp;TABLACONSOLIDADA[Codigo],0)),"")</f>
        <v>0</v>
      </c>
      <c r="BJ60" s="157">
        <f t="array" ref="BJ60">IFERROR(INDEX(TABLACONSOLIDADA[Inv Fís Act],MATCH("AGROINSUMOSSTODOMINGO"&amp;Tabla_Buffers_Agroinsumos[[#This Row],[CODIGO ]],TABLACONSOLIDADA[Bodega]&amp;TABLACONSOLIDADA[Codigo],0)),"")</f>
        <v>0</v>
      </c>
      <c r="BK60" s="157">
        <f t="array" ref="BK6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6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60" s="91">
        <f>IFERROR(SUM(Tabla_Buffers_Agroinsumos[[#This Row],[SD-MP]:[SD-VL]]),"")</f>
        <v>0</v>
      </c>
      <c r="BN60" s="92"/>
      <c r="BO60" s="92"/>
      <c r="BP60" s="134"/>
      <c r="BQ60" s="134"/>
      <c r="BR60" s="134"/>
      <c r="BS60" s="134"/>
      <c r="BT60" s="134"/>
      <c r="BU60" s="134"/>
      <c r="BV60" s="134"/>
      <c r="BW60" s="134"/>
      <c r="BX60" s="134"/>
      <c r="BY60" s="134" t="str">
        <f t="array" ref="BY60">IFERROR(INDEX(TABLACONSOLIDADA[Buff Act],MATCH("AGROINSUMOSMONCAYOLOPEZ"&amp;Tabla_Buffers_Agroinsumos[[#This Row],[CODIGO ]],TABLACONSOLIDADA[Bodega]&amp;TABLACONSOLIDADA[Codigo],0)),"")</f>
        <v/>
      </c>
      <c r="BZ60" s="157" t="str">
        <f t="array" ref="BZ60">IFERROR(INDEX(TABLACONSOLIDADA[Inv Fís Act],MATCH("AGROINSUMOSMONCAYOLOPEZ"&amp;Tabla_Buffers_Agroinsumos[[#This Row],[CODIGO ]],TABLACONSOLIDADA[Bodega]&amp;TABLACONSOLIDADA[Codigo],0)),"")</f>
        <v/>
      </c>
      <c r="CA60" s="157" t="str">
        <f t="array" ref="CA6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6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60" s="134">
        <f>IFERROR(SUM(Tabla_Buffers_Agroinsumos[[#This Row],[ML-MP]:[ML-VL]]),"")</f>
        <v>0</v>
      </c>
      <c r="CD60" s="92" t="str">
        <f>IFERROR(Tabla_Buffers_Agroinsumos[[#This Row],[INV FIS ML]]-Tabla_Buffers_Agroinsumos[[#This Row],[BUFFER ML]],"")</f>
        <v/>
      </c>
      <c r="CE6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60" s="134"/>
      <c r="CG60" s="134"/>
      <c r="CH60" s="134"/>
      <c r="CI60" s="134"/>
      <c r="CJ60" s="134"/>
      <c r="CK60" s="134"/>
      <c r="CL60" s="134"/>
      <c r="CM60" s="134"/>
      <c r="CN60" s="134"/>
      <c r="CO60" s="134" t="str">
        <f t="array" ref="CO60">IFERROR(INDEX(TABLACONSOLIDADA[Buff Act],MATCH("AGROINSUMOSAGROHERMANOSLEON"&amp;Tabla_Buffers_Agroinsumos[[#This Row],[CODIGO ]],TABLACONSOLIDADA[Bodega]&amp;TABLACONSOLIDADA[Codigo],0)),"")</f>
        <v/>
      </c>
      <c r="CP60" s="157" t="str">
        <f t="array" ref="CP60">IFERROR(INDEX(TABLACONSOLIDADA[Inv Fís Act],MATCH("AGROINSUMOSAGROHERMANOSLEON"&amp;Tabla_Buffers_Agroinsumos[[#This Row],[CODIGO ]],TABLACONSOLIDADA[Bodega]&amp;TABLACONSOLIDADA[Codigo],0)),"")</f>
        <v/>
      </c>
      <c r="CQ60" s="157" t="str">
        <f t="array" ref="CQ6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6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60" s="134">
        <f>IFERROR(SUM(Tabla_Buffers_Agroinsumos[[#This Row],[AL-MP]:[AL-VL]]),"")</f>
        <v>0</v>
      </c>
      <c r="CT60" s="92" t="str">
        <f>IFERROR(Tabla_Buffers_Agroinsumos[[#This Row],[INV FIS AL]]-Tabla_Buffers_Agroinsumos[[#This Row],[BUFFER AL]],"")</f>
        <v/>
      </c>
      <c r="CU6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60" s="134"/>
      <c r="CW60" s="134"/>
      <c r="CX60" s="134"/>
      <c r="CY60" s="134"/>
      <c r="CZ60" s="134"/>
      <c r="DA60" s="134"/>
      <c r="DB60" s="134"/>
      <c r="DC60" s="134"/>
      <c r="DD60" s="134"/>
      <c r="DE60" s="134" t="str">
        <f t="array" ref="DE60">IFERROR(INDEX(TABLACONSOLIDADA[Buff Act],MATCH("AGROINSUMOSAGRONUEVO"&amp;Tabla_Buffers_Agroinsumos[[#This Row],[CODIGO ]],TABLACONSOLIDADA[Bodega]&amp;TABLACONSOLIDADA[Codigo],0)),"")</f>
        <v/>
      </c>
      <c r="DF60" s="157" t="str">
        <f t="array" ref="DF60">IFERROR(INDEX(TABLACONSOLIDADA[Inv Fís Act],MATCH("AGROINSUMOSAGRONUEVO"&amp;Tabla_Buffers_Agroinsumos[[#This Row],[CODIGO ]],TABLACONSOLIDADA[Bodega]&amp;TABLACONSOLIDADA[Codigo],0)),"")</f>
        <v/>
      </c>
      <c r="DG60" s="157" t="str">
        <f t="array" ref="DG6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6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60" s="134">
        <f>IFERROR(SUM(Tabla_Buffers_Agroinsumos[[#This Row],[AN-MP]:[AN-VL]]),"")</f>
        <v>0</v>
      </c>
      <c r="DJ60" s="92" t="str">
        <f>IFERROR(Tabla_Buffers_Agroinsumos[[#This Row],[INV FIS AN]]-Tabla_Buffers_Agroinsumos[[#This Row],[BUFFER AN]],"")</f>
        <v/>
      </c>
      <c r="DK6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60" s="134"/>
      <c r="DM60" s="134"/>
      <c r="DN60" s="134"/>
      <c r="DO60" s="134"/>
      <c r="DP60" s="134"/>
      <c r="DQ60" s="134"/>
      <c r="DR60" s="134"/>
      <c r="DS60" s="134"/>
      <c r="DT60" s="134"/>
      <c r="DU60" s="134" t="str">
        <f t="array" ref="DU60">IFERROR(INDEX(TABLACONSOLIDADA[Buff Act],MATCH("AGROINSUMOSAGROQUIMICOSSUR"&amp;Tabla_Buffers_Agroinsumos[[#This Row],[CODIGO ]],TABLACONSOLIDADA[Bodega]&amp;TABLACONSOLIDADA[Codigo],0)),"")</f>
        <v/>
      </c>
      <c r="DV60" s="157" t="str">
        <f t="array" ref="DV60">IFERROR(INDEX(TABLACONSOLIDADA[Inv Fís Act],MATCH("AGROINSUMOSAGROQUIMICOSSUR"&amp;Tabla_Buffers_Agroinsumos[[#This Row],[CODIGO ]],TABLACONSOLIDADA[Bodega]&amp;TABLACONSOLIDADA[Codigo],0)),"")</f>
        <v/>
      </c>
      <c r="DW60" s="157" t="str">
        <f t="array" ref="DW6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6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60" s="134">
        <f>IFERROR(SUM(Tabla_Buffers_Agroinsumos[[#This Row],[AS-MP]:[AS-VL]]),"")</f>
        <v>0</v>
      </c>
      <c r="DZ60" s="92" t="str">
        <f>IFERROR(Tabla_Buffers_Agroinsumos[[#This Row],[INV FIS AS]]-Tabla_Buffers_Agroinsumos[[#This Row],[BUFFER AS]],"")</f>
        <v/>
      </c>
      <c r="EA6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60" s="134"/>
      <c r="EC60" s="134"/>
      <c r="ED60" s="134"/>
      <c r="EE60" s="134"/>
      <c r="EF60" s="134"/>
      <c r="EG60" s="134"/>
      <c r="EH60" s="134"/>
      <c r="EI60" s="134"/>
      <c r="EJ60" s="134"/>
      <c r="EK60" s="134" t="str">
        <f t="array" ref="EK60">IFERROR(INDEX(TABLACONSOLIDADA[Buff Act],MATCH("AGROINSUMOSLAFINCA"&amp;Tabla_Buffers_Agroinsumos[[#This Row],[CODIGO ]],TABLACONSOLIDADA[Bodega]&amp;TABLACONSOLIDADA[Codigo],0)),"")</f>
        <v/>
      </c>
      <c r="EL60" s="157" t="str">
        <f t="array" ref="EL60">IFERROR(INDEX(TABLACONSOLIDADA[Inv Fís Act],MATCH("AGROINSUMOSLAFINCA"&amp;Tabla_Buffers_Agroinsumos[[#This Row],[CODIGO ]],TABLACONSOLIDADA[Bodega]&amp;TABLACONSOLIDADA[Codigo],0)),"")</f>
        <v/>
      </c>
      <c r="EM60" s="157" t="str">
        <f t="array" ref="EM6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6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60" s="134">
        <f>IFERROR(SUM(Tabla_Buffers_Agroinsumos[[#This Row],[LF-MP]:[LF-VL]]),"")</f>
        <v>0</v>
      </c>
      <c r="EP60" s="92" t="str">
        <f>IFERROR(Tabla_Buffers_Agroinsumos[[#This Row],[INV FIS LF]]-Tabla_Buffers_Agroinsumos[[#This Row],[BUFFER LF]],"")</f>
        <v/>
      </c>
      <c r="EQ6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60" s="134"/>
      <c r="ES60" s="134"/>
      <c r="ET60" s="134"/>
      <c r="EU60" s="134"/>
      <c r="EV60" s="134"/>
      <c r="EW60" s="134"/>
      <c r="EX60" s="134"/>
      <c r="EY60" s="134"/>
      <c r="EZ60" s="134"/>
      <c r="FA60" s="134" t="str">
        <f t="array" ref="FA60">IFERROR(INDEX(TABLACONSOLIDADA[Buff Act],MATCH("AGROINSUMOSVERONICALEDESMA"&amp;Tabla_Buffers_Agroinsumos[[#This Row],[CODIGO ]],TABLACONSOLIDADA[Bodega]&amp;TABLACONSOLIDADA[Codigo],0)),"")</f>
        <v/>
      </c>
      <c r="FB60" s="157" t="str">
        <f t="array" ref="FB60">IFERROR(INDEX(TABLACONSOLIDADA[Inv Fís Act],MATCH("AGROINSUMOSVERONICALEDESMA"&amp;Tabla_Buffers_Agroinsumos[[#This Row],[CODIGO ]],TABLACONSOLIDADA[Bodega]&amp;TABLACONSOLIDADA[Codigo],0)),"")</f>
        <v/>
      </c>
      <c r="FC60" s="157" t="str">
        <f t="array" ref="FC6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6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60" s="134">
        <f>IFERROR(SUM(Tabla_Buffers_Agroinsumos[[#This Row],[VL-MP]:[VL-LF]]),"")</f>
        <v>0</v>
      </c>
      <c r="FF60" s="92" t="str">
        <f>IFERROR(Tabla_Buffers_Agroinsumos[[#This Row],[INV FIS VL]]-Tabla_Buffers_Agroinsumos[[#This Row],[BUFFER VL]],"")</f>
        <v/>
      </c>
      <c r="FG6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60" s="134"/>
      <c r="FI60" s="134"/>
      <c r="FJ60" s="134"/>
      <c r="FK60" s="134"/>
      <c r="FL60" s="134"/>
      <c r="FM60" s="134"/>
      <c r="FN60" s="134"/>
      <c r="FO60" s="134"/>
      <c r="FP60" s="134"/>
    </row>
    <row r="61" spans="1:172">
      <c r="A61" s="7" t="s">
        <v>891</v>
      </c>
      <c r="B61" s="7" t="s">
        <v>947</v>
      </c>
      <c r="C61" s="7" t="s">
        <v>946</v>
      </c>
      <c r="D61" s="7" t="s">
        <v>719</v>
      </c>
      <c r="E61" s="7" t="s">
        <v>975</v>
      </c>
      <c r="F61" s="19" t="s">
        <v>698</v>
      </c>
      <c r="G61" s="19" t="s">
        <v>698</v>
      </c>
      <c r="H61" s="19">
        <f>VLOOKUP(Tabla_Buffers_Agroinsumos[[#This Row],[CODIGO ]],TABLACONSOLIDADA[[Codigo]:[PV]],6,0)</f>
        <v>0</v>
      </c>
      <c r="I61" s="19">
        <f>VLOOKUP(Tabla_Buffers_Agroinsumos[[#This Row],[CODIGO ]],TABLACONSOLIDADA[[Codigo]:[PV]],5,0)</f>
        <v>4.1500000000000004</v>
      </c>
      <c r="J61" s="19" t="s">
        <v>698</v>
      </c>
      <c r="K61" s="19" t="s">
        <v>698</v>
      </c>
      <c r="L61" s="19">
        <f>IFERROR(Tabla_Buffers_Agroinsumos[[#This Row],[BUFFER CENTRAL]]/((Tabla_Buffers_Agroinsumos[[#This Row],[TIEMPO REPOSICION ]]/Tabla_Buffers_Agroinsumos[[#This Row],[FRECUENCIA]])+1),0)</f>
        <v>0</v>
      </c>
      <c r="M61" s="19" t="str">
        <f t="array" ref="M61">IFERROR(INDEX(TABLACONSOLIDADA[Buff Act],MATCH("AGROINSUMOSMATERIAPRIMA"&amp;Tabla_Buffers_Agroinsumos[[#This Row],[CODIGO ]],TABLACONSOLIDADA[Bodega]&amp;TABLACONSOLIDADA[Codigo],0)),"")</f>
        <v/>
      </c>
      <c r="N61" s="157" t="str">
        <f t="array" ref="N61">IFERROR(INDEX(TABLACONSOLIDADA[Inv Fís Act],MATCH("AGROINSUMOSMATERIAPRIMA"&amp;Tabla_Buffers_Agroinsumos[[#This Row],[CODIGO ]],TABLACONSOLIDADA[Bodega]&amp;TABLACONSOLIDADA[Codigo],0)),"")</f>
        <v/>
      </c>
      <c r="O61" s="157" t="str">
        <f t="array" ref="O6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6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61" s="19">
        <f>IFERROR(SUM(Tabla_Buffers_Agroinsumos[[#This Row],[MP-C]:[MP-VL]]),"")</f>
        <v>0</v>
      </c>
      <c r="R61" s="92" t="str">
        <f>IFERROR(Tabla_Buffers_Agroinsumos[[#This Row],[INV FIS MATERIA PRIMA]]-Tabla_Buffers_Agroinsumos[[#This Row],[BUFFER MATERIA PRIMA]],"")</f>
        <v/>
      </c>
      <c r="S6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61" s="19"/>
      <c r="U61" s="19"/>
      <c r="V61" s="19"/>
      <c r="W61" s="19"/>
      <c r="X61" s="19"/>
      <c r="Y61" s="19"/>
      <c r="Z61" s="19"/>
      <c r="AA61" s="19"/>
      <c r="AB61" s="19"/>
      <c r="AC61" s="152">
        <f t="array" ref="AC61">IFERROR(INDEX(TABLACONSOLIDADA[Buff Act],MATCH("AGROINSUMOSCENTRAL"&amp;Tabla_Buffers_Agroinsumos[[#This Row],[CODIGO ]],TABLACONSOLIDADA[Bodega]&amp;TABLACONSOLIDADA[Codigo],0)),"")</f>
        <v>0</v>
      </c>
      <c r="AD61" s="157">
        <f t="array" ref="AD61">IFERROR(INDEX(TABLACONSOLIDADA[Inv Fís Act],MATCH("AGROINSUMOSCENTRAL"&amp;Tabla_Buffers_Agroinsumos[[#This Row],[CODIGO ]],TABLACONSOLIDADA[Bodega]&amp;TABLACONSOLIDADA[Codigo],0)),"")</f>
        <v>0</v>
      </c>
      <c r="AE61" s="157">
        <f t="array" ref="AE6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6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61" s="91">
        <f>IFERROR(SUM(Tabla_Buffers_Agroinsumos[[#This Row],[C-MP]:[C-VL]]),"")</f>
        <v>0</v>
      </c>
      <c r="AH61" s="92">
        <f>IFERROR(Tabla_Buffers_Agroinsumos[[#This Row],[INV FIS CENTRAL]]-Tabla_Buffers_Agroinsumos[[#This Row],[BUFFER CENTRAL]],"")</f>
        <v>0</v>
      </c>
      <c r="AI6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61" s="134"/>
      <c r="AK61" s="134"/>
      <c r="AL61" s="134"/>
      <c r="AM61" s="134"/>
      <c r="AN61" s="134"/>
      <c r="AO61" s="134"/>
      <c r="AP61" s="134"/>
      <c r="AQ61" s="134"/>
      <c r="AR61" s="134"/>
      <c r="AS61" s="134">
        <f t="array" ref="AS61">IFERROR(INDEX(TABLACONSOLIDADA[Buff Act],MATCH("AGROINSUMOScentralPROPIA"&amp;Tabla_Buffers_Agroinsumos[[#This Row],[CODIGO ]],TABLACONSOLIDADA[Bodega]&amp;TABLACONSOLIDADA[Codigo],0)),"")</f>
        <v>90</v>
      </c>
      <c r="AT61" s="157">
        <f t="array" ref="AT61">IFERROR(INDEX(TABLACONSOLIDADA[Inv Fís Act],MATCH("AGROINSUMOScentralPROPIA"&amp;Tabla_Buffers_Agroinsumos[[#This Row],[CODIGO ]],TABLACONSOLIDADA[Bodega]&amp;TABLACONSOLIDADA[Codigo],0)),"")</f>
        <v>0</v>
      </c>
      <c r="AU61" s="157">
        <f t="array" ref="AU6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6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61" s="134">
        <f>IFERROR(SUM(Tabla_Buffers_Agroinsumos[[#This Row],[P-MP]:[P-VL]]),"")</f>
        <v>0</v>
      </c>
      <c r="AX61" s="92">
        <f>IFERROR(Tabla_Buffers_Agroinsumos[[#This Row],[INV FIS PROPIA]]-Tabla_Buffers_Agroinsumos[[#This Row],[BUFFER PROPIA]],"")</f>
        <v>-90</v>
      </c>
      <c r="AY6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-90</v>
      </c>
      <c r="AZ61" s="134"/>
      <c r="BA61" s="134"/>
      <c r="BB61" s="134"/>
      <c r="BC61" s="134"/>
      <c r="BD61" s="134"/>
      <c r="BE61" s="134"/>
      <c r="BF61" s="134"/>
      <c r="BG61" s="134"/>
      <c r="BH61" s="134"/>
      <c r="BI61" s="91" t="str">
        <f t="array" ref="BI61">IFERROR(INDEX(TABLACONSOLIDADA[Buff Act],MATCH("AGROINSUMOSSTODOMINGO"&amp;Tabla_Buffers_Agroinsumos[[#This Row],[CODIGO ]],TABLACONSOLIDADA[Bodega]&amp;TABLACONSOLIDADA[Codigo],0)),"")</f>
        <v/>
      </c>
      <c r="BJ61" s="157" t="str">
        <f t="array" ref="BJ61">IFERROR(INDEX(TABLACONSOLIDADA[Inv Fís Act],MATCH("AGROINSUMOSSTODOMINGO"&amp;Tabla_Buffers_Agroinsumos[[#This Row],[CODIGO ]],TABLACONSOLIDADA[Bodega]&amp;TABLACONSOLIDADA[Codigo],0)),"")</f>
        <v/>
      </c>
      <c r="BK61" s="157" t="str">
        <f t="array" ref="BK6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6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61" s="91">
        <f>IFERROR(SUM(Tabla_Buffers_Agroinsumos[[#This Row],[SD-MP]:[SD-VL]]),"")</f>
        <v>0</v>
      </c>
      <c r="BN61" s="92"/>
      <c r="BO61" s="92"/>
      <c r="BP61" s="134"/>
      <c r="BQ61" s="134"/>
      <c r="BR61" s="134"/>
      <c r="BS61" s="134"/>
      <c r="BT61" s="134"/>
      <c r="BU61" s="134"/>
      <c r="BV61" s="134"/>
      <c r="BW61" s="134"/>
      <c r="BX61" s="134"/>
      <c r="BY61" s="134">
        <f t="array" ref="BY61">IFERROR(INDEX(TABLACONSOLIDADA[Buff Act],MATCH("AGROINSUMOSMONCAYOLOPEZ"&amp;Tabla_Buffers_Agroinsumos[[#This Row],[CODIGO ]],TABLACONSOLIDADA[Bodega]&amp;TABLACONSOLIDADA[Codigo],0)),"")</f>
        <v>0</v>
      </c>
      <c r="BZ61" s="157">
        <f t="array" ref="BZ61">IFERROR(INDEX(TABLACONSOLIDADA[Inv Fís Act],MATCH("AGROINSUMOSMONCAYOLOPEZ"&amp;Tabla_Buffers_Agroinsumos[[#This Row],[CODIGO ]],TABLACONSOLIDADA[Bodega]&amp;TABLACONSOLIDADA[Codigo],0)),"")</f>
        <v>0</v>
      </c>
      <c r="CA61" s="157">
        <f t="array" ref="CA6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6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61" s="134">
        <f>IFERROR(SUM(Tabla_Buffers_Agroinsumos[[#This Row],[ML-MP]:[ML-VL]]),"")</f>
        <v>0</v>
      </c>
      <c r="CD61" s="92">
        <f>IFERROR(Tabla_Buffers_Agroinsumos[[#This Row],[INV FIS ML]]-Tabla_Buffers_Agroinsumos[[#This Row],[BUFFER ML]],"")</f>
        <v>0</v>
      </c>
      <c r="CE61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61" s="134"/>
      <c r="CG61" s="134"/>
      <c r="CH61" s="134"/>
      <c r="CI61" s="134"/>
      <c r="CJ61" s="134"/>
      <c r="CK61" s="134"/>
      <c r="CL61" s="134"/>
      <c r="CM61" s="134"/>
      <c r="CN61" s="134"/>
      <c r="CO61" s="134">
        <f t="array" ref="CO61">IFERROR(INDEX(TABLACONSOLIDADA[Buff Act],MATCH("AGROINSUMOSAGROHERMANOSLEON"&amp;Tabla_Buffers_Agroinsumos[[#This Row],[CODIGO ]],TABLACONSOLIDADA[Bodega]&amp;TABLACONSOLIDADA[Codigo],0)),"")</f>
        <v>0</v>
      </c>
      <c r="CP61" s="157">
        <f t="array" ref="CP61">IFERROR(INDEX(TABLACONSOLIDADA[Inv Fís Act],MATCH("AGROINSUMOSAGROHERMANOSLEON"&amp;Tabla_Buffers_Agroinsumos[[#This Row],[CODIGO ]],TABLACONSOLIDADA[Bodega]&amp;TABLACONSOLIDADA[Codigo],0)),"")</f>
        <v>0</v>
      </c>
      <c r="CQ61" s="157">
        <f t="array" ref="CQ6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6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61" s="134">
        <f>IFERROR(SUM(Tabla_Buffers_Agroinsumos[[#This Row],[AL-MP]:[AL-VL]]),"")</f>
        <v>0</v>
      </c>
      <c r="CT61" s="92">
        <f>IFERROR(Tabla_Buffers_Agroinsumos[[#This Row],[INV FIS AL]]-Tabla_Buffers_Agroinsumos[[#This Row],[BUFFER AL]],"")</f>
        <v>0</v>
      </c>
      <c r="CU61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61" s="134"/>
      <c r="CW61" s="134"/>
      <c r="CX61" s="134"/>
      <c r="CY61" s="134"/>
      <c r="CZ61" s="134"/>
      <c r="DA61" s="134"/>
      <c r="DB61" s="134"/>
      <c r="DC61" s="134"/>
      <c r="DD61" s="134"/>
      <c r="DE61" s="134">
        <f t="array" ref="DE61">IFERROR(INDEX(TABLACONSOLIDADA[Buff Act],MATCH("AGROINSUMOSAGRONUEVO"&amp;Tabla_Buffers_Agroinsumos[[#This Row],[CODIGO ]],TABLACONSOLIDADA[Bodega]&amp;TABLACONSOLIDADA[Codigo],0)),"")</f>
        <v>0</v>
      </c>
      <c r="DF61" s="157">
        <f t="array" ref="DF61">IFERROR(INDEX(TABLACONSOLIDADA[Inv Fís Act],MATCH("AGROINSUMOSAGRONUEVO"&amp;Tabla_Buffers_Agroinsumos[[#This Row],[CODIGO ]],TABLACONSOLIDADA[Bodega]&amp;TABLACONSOLIDADA[Codigo],0)),"")</f>
        <v>0</v>
      </c>
      <c r="DG61" s="157">
        <f t="array" ref="DG6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6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61" s="134">
        <f>IFERROR(SUM(Tabla_Buffers_Agroinsumos[[#This Row],[AN-MP]:[AN-VL]]),"")</f>
        <v>0</v>
      </c>
      <c r="DJ61" s="92">
        <f>IFERROR(Tabla_Buffers_Agroinsumos[[#This Row],[INV FIS AN]]-Tabla_Buffers_Agroinsumos[[#This Row],[BUFFER AN]],"")</f>
        <v>0</v>
      </c>
      <c r="DK61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61" s="134"/>
      <c r="DM61" s="134"/>
      <c r="DN61" s="134"/>
      <c r="DO61" s="134"/>
      <c r="DP61" s="134"/>
      <c r="DQ61" s="134"/>
      <c r="DR61" s="134"/>
      <c r="DS61" s="134"/>
      <c r="DT61" s="134"/>
      <c r="DU61" s="134">
        <f t="array" ref="DU61">IFERROR(INDEX(TABLACONSOLIDADA[Buff Act],MATCH("AGROINSUMOSAGROQUIMICOSSUR"&amp;Tabla_Buffers_Agroinsumos[[#This Row],[CODIGO ]],TABLACONSOLIDADA[Bodega]&amp;TABLACONSOLIDADA[Codigo],0)),"")</f>
        <v>0</v>
      </c>
      <c r="DV61" s="157">
        <f t="array" ref="DV61">IFERROR(INDEX(TABLACONSOLIDADA[Inv Fís Act],MATCH("AGROINSUMOSAGROQUIMICOSSUR"&amp;Tabla_Buffers_Agroinsumos[[#This Row],[CODIGO ]],TABLACONSOLIDADA[Bodega]&amp;TABLACONSOLIDADA[Codigo],0)),"")</f>
        <v>0</v>
      </c>
      <c r="DW61" s="157">
        <f t="array" ref="DW6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6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61" s="134">
        <f>IFERROR(SUM(Tabla_Buffers_Agroinsumos[[#This Row],[AS-MP]:[AS-VL]]),"")</f>
        <v>0</v>
      </c>
      <c r="DZ61" s="92">
        <f>IFERROR(Tabla_Buffers_Agroinsumos[[#This Row],[INV FIS AS]]-Tabla_Buffers_Agroinsumos[[#This Row],[BUFFER AS]],"")</f>
        <v>0</v>
      </c>
      <c r="EA61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61" s="134"/>
      <c r="EC61" s="134"/>
      <c r="ED61" s="134"/>
      <c r="EE61" s="134"/>
      <c r="EF61" s="134"/>
      <c r="EG61" s="134"/>
      <c r="EH61" s="134"/>
      <c r="EI61" s="134"/>
      <c r="EJ61" s="134"/>
      <c r="EK61" s="134">
        <f t="array" ref="EK61">IFERROR(INDEX(TABLACONSOLIDADA[Buff Act],MATCH("AGROINSUMOSLAFINCA"&amp;Tabla_Buffers_Agroinsumos[[#This Row],[CODIGO ]],TABLACONSOLIDADA[Bodega]&amp;TABLACONSOLIDADA[Codigo],0)),"")</f>
        <v>0</v>
      </c>
      <c r="EL61" s="157">
        <f t="array" ref="EL61">IFERROR(INDEX(TABLACONSOLIDADA[Inv Fís Act],MATCH("AGROINSUMOSLAFINCA"&amp;Tabla_Buffers_Agroinsumos[[#This Row],[CODIGO ]],TABLACONSOLIDADA[Bodega]&amp;TABLACONSOLIDADA[Codigo],0)),"")</f>
        <v>0</v>
      </c>
      <c r="EM61" s="157">
        <f t="array" ref="EM6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6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61" s="134">
        <f>IFERROR(SUM(Tabla_Buffers_Agroinsumos[[#This Row],[LF-MP]:[LF-VL]]),"")</f>
        <v>0</v>
      </c>
      <c r="EP61" s="92">
        <f>IFERROR(Tabla_Buffers_Agroinsumos[[#This Row],[INV FIS LF]]-Tabla_Buffers_Agroinsumos[[#This Row],[BUFFER LF]],"")</f>
        <v>0</v>
      </c>
      <c r="EQ61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61" s="134"/>
      <c r="ES61" s="134"/>
      <c r="ET61" s="134"/>
      <c r="EU61" s="134"/>
      <c r="EV61" s="134"/>
      <c r="EW61" s="134"/>
      <c r="EX61" s="134"/>
      <c r="EY61" s="134"/>
      <c r="EZ61" s="134"/>
      <c r="FA61" s="134">
        <f t="array" ref="FA61">IFERROR(INDEX(TABLACONSOLIDADA[Buff Act],MATCH("AGROINSUMOSVERONICALEDESMA"&amp;Tabla_Buffers_Agroinsumos[[#This Row],[CODIGO ]],TABLACONSOLIDADA[Bodega]&amp;TABLACONSOLIDADA[Codigo],0)),"")</f>
        <v>0</v>
      </c>
      <c r="FB61" s="157">
        <f t="array" ref="FB61">IFERROR(INDEX(TABLACONSOLIDADA[Inv Fís Act],MATCH("AGROINSUMOSVERONICALEDESMA"&amp;Tabla_Buffers_Agroinsumos[[#This Row],[CODIGO ]],TABLACONSOLIDADA[Bodega]&amp;TABLACONSOLIDADA[Codigo],0)),"")</f>
        <v>0</v>
      </c>
      <c r="FC61" s="157">
        <f t="array" ref="FC6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6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61" s="134">
        <f>IFERROR(SUM(Tabla_Buffers_Agroinsumos[[#This Row],[VL-MP]:[VL-LF]]),"")</f>
        <v>0</v>
      </c>
      <c r="FF61" s="92">
        <f>IFERROR(Tabla_Buffers_Agroinsumos[[#This Row],[INV FIS VL]]-Tabla_Buffers_Agroinsumos[[#This Row],[BUFFER VL]],"")</f>
        <v>0</v>
      </c>
      <c r="FG61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61" s="134"/>
      <c r="FI61" s="134"/>
      <c r="FJ61" s="134"/>
      <c r="FK61" s="134"/>
      <c r="FL61" s="134"/>
      <c r="FM61" s="134"/>
      <c r="FN61" s="134"/>
      <c r="FO61" s="134"/>
      <c r="FP61" s="134"/>
    </row>
    <row r="62" spans="1:172">
      <c r="A62" s="158" t="s">
        <v>1089</v>
      </c>
      <c r="B62" s="159" t="s">
        <v>1090</v>
      </c>
      <c r="C62" s="159" t="s">
        <v>712</v>
      </c>
      <c r="D62" s="159" t="s">
        <v>1094</v>
      </c>
      <c r="E62" s="7" t="s">
        <v>863</v>
      </c>
      <c r="F62" s="19" t="s">
        <v>814</v>
      </c>
      <c r="G62" s="19" t="s">
        <v>873</v>
      </c>
      <c r="H62" s="19">
        <f>VLOOKUP(Tabla_Buffers_Agroinsumos[[#This Row],[CODIGO ]],TABLACONSOLIDADA[[Codigo]:[PV]],6,0)</f>
        <v>0</v>
      </c>
      <c r="I62" s="19">
        <f>VLOOKUP(Tabla_Buffers_Agroinsumos[[#This Row],[CODIGO ]],TABLACONSOLIDADA[[Codigo]:[PV]],5,0)</f>
        <v>4.37</v>
      </c>
      <c r="J62" s="19">
        <v>12</v>
      </c>
      <c r="K62" s="19">
        <v>14</v>
      </c>
      <c r="L62" s="19">
        <f>IFERROR(Tabla_Buffers_Agroinsumos[[#This Row],[BUFFER CENTRAL]]/((Tabla_Buffers_Agroinsumos[[#This Row],[TIEMPO REPOSICION ]]/Tabla_Buffers_Agroinsumos[[#This Row],[FRECUENCIA]])+1),0)</f>
        <v>0</v>
      </c>
      <c r="M62" s="19">
        <f t="array" ref="M62">IFERROR(INDEX(TABLACONSOLIDADA[Buff Act],MATCH("AGROINSUMOSMATERIAPRIMA"&amp;Tabla_Buffers_Agroinsumos[[#This Row],[CODIGO ]],TABLACONSOLIDADA[Bodega]&amp;TABLACONSOLIDADA[Codigo],0)),"")</f>
        <v>0</v>
      </c>
      <c r="N62" s="19">
        <f t="array" ref="N62">IFERROR(INDEX(TABLACONSOLIDADA[Inv Fís Act],MATCH("AGROINSUMOSMATERIAPRIMA"&amp;Tabla_Buffers_Agroinsumos[[#This Row],[CODIGO ]],TABLACONSOLIDADA[Bodega]&amp;TABLACONSOLIDADA[Codigo],0)),"")</f>
        <v>0</v>
      </c>
      <c r="O62" s="160">
        <f t="array" ref="O6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3000</v>
      </c>
      <c r="P6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62" s="19">
        <f>IFERROR(SUM(Tabla_Buffers_Agroinsumos[[#This Row],[MP-C]:[MP-VL]]),"")</f>
        <v>0</v>
      </c>
      <c r="R62" s="92">
        <f>IFERROR(Tabla_Buffers_Agroinsumos[[#This Row],[INV FIS MATERIA PRIMA]]-Tabla_Buffers_Agroinsumos[[#This Row],[BUFFER MATERIA PRIMA]],"")</f>
        <v>0</v>
      </c>
      <c r="S6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62" s="19"/>
      <c r="U62" s="19"/>
      <c r="V62" s="19"/>
      <c r="W62" s="19"/>
      <c r="X62" s="19"/>
      <c r="Y62" s="19"/>
      <c r="Z62" s="19"/>
      <c r="AA62" s="19"/>
      <c r="AB62" s="19"/>
      <c r="AC62" s="152" t="str">
        <f t="array" ref="AC62">IFERROR(INDEX(TABLACONSOLIDADA[Buff Act],MATCH("AGROINSUMOSCENTRAL"&amp;Tabla_Buffers_Agroinsumos[[#This Row],[CODIGO ]],TABLACONSOLIDADA[Bodega]&amp;TABLACONSOLIDADA[Codigo],0)),"")</f>
        <v/>
      </c>
      <c r="AD62" s="19" t="str">
        <f t="array" ref="AD62">IFERROR(INDEX(TABLACONSOLIDADA[Inv Fís Act],MATCH("AGROINSUMOSCENTRAL"&amp;Tabla_Buffers_Agroinsumos[[#This Row],[CODIGO ]],TABLACONSOLIDADA[Bodega]&amp;TABLACONSOLIDADA[Codigo],0)),"")</f>
        <v/>
      </c>
      <c r="AE62" s="160" t="str">
        <f t="array" ref="AE6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6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62" s="91">
        <f>IFERROR(SUM(Tabla_Buffers_Agroinsumos[[#This Row],[C-MP]:[C-VL]]),"")</f>
        <v>0</v>
      </c>
      <c r="AH62" s="92" t="str">
        <f>IFERROR(Tabla_Buffers_Agroinsumos[[#This Row],[INV FIS CENTRAL]]-Tabla_Buffers_Agroinsumos[[#This Row],[BUFFER CENTRAL]],"")</f>
        <v/>
      </c>
      <c r="AI6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62" s="134"/>
      <c r="AK62" s="134"/>
      <c r="AL62" s="134"/>
      <c r="AM62" s="134"/>
      <c r="AN62" s="134"/>
      <c r="AO62" s="134"/>
      <c r="AP62" s="134"/>
      <c r="AQ62" s="134"/>
      <c r="AR62" s="134"/>
      <c r="AS62" s="134" t="str">
        <f t="array" ref="AS62">IFERROR(INDEX(TABLACONSOLIDADA[Buff Act],MATCH("AGROINSUMOScentralPROPIA"&amp;Tabla_Buffers_Agroinsumos[[#This Row],[CODIGO ]],TABLACONSOLIDADA[Bodega]&amp;TABLACONSOLIDADA[Codigo],0)),"")</f>
        <v/>
      </c>
      <c r="AT62" s="19" t="str">
        <f t="array" ref="AT62">IFERROR(INDEX(TABLACONSOLIDADA[Inv Fís Act],MATCH("AGROINSUMOScentralPROPIA"&amp;Tabla_Buffers_Agroinsumos[[#This Row],[CODIGO ]],TABLACONSOLIDADA[Bodega]&amp;TABLACONSOLIDADA[Codigo],0)),"")</f>
        <v/>
      </c>
      <c r="AU62" s="160" t="str">
        <f t="array" ref="AU6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6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62" s="134">
        <f>IFERROR(SUM(Tabla_Buffers_Agroinsumos[[#This Row],[P-MP]:[P-VL]]),"")</f>
        <v>0</v>
      </c>
      <c r="AX62" s="92" t="str">
        <f>IFERROR(Tabla_Buffers_Agroinsumos[[#This Row],[INV FIS PROPIA]]-Tabla_Buffers_Agroinsumos[[#This Row],[BUFFER PROPIA]],"")</f>
        <v/>
      </c>
      <c r="AY6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62" s="134"/>
      <c r="BA62" s="134"/>
      <c r="BB62" s="134"/>
      <c r="BC62" s="134"/>
      <c r="BD62" s="134"/>
      <c r="BE62" s="134"/>
      <c r="BF62" s="134"/>
      <c r="BG62" s="134"/>
      <c r="BH62" s="134"/>
      <c r="BI62" s="91" t="str">
        <f t="array" ref="BI62">IFERROR(INDEX(TABLACONSOLIDADA[Buff Act],MATCH("AGROINSUMOSSTODOMINGO"&amp;Tabla_Buffers_Agroinsumos[[#This Row],[CODIGO ]],TABLACONSOLIDADA[Bodega]&amp;TABLACONSOLIDADA[Codigo],0)),"")</f>
        <v/>
      </c>
      <c r="BJ62" s="19" t="str">
        <f t="array" ref="BJ62">IFERROR(INDEX(TABLACONSOLIDADA[Inv Fís Act],MATCH("AGROINSUMOSSTODOMINGO"&amp;Tabla_Buffers_Agroinsumos[[#This Row],[CODIGO ]],TABLACONSOLIDADA[Bodega]&amp;TABLACONSOLIDADA[Codigo],0)),"")</f>
        <v/>
      </c>
      <c r="BK62" s="160" t="str">
        <f t="array" ref="BK6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6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62" s="91">
        <f>IFERROR(SUM(Tabla_Buffers_Agroinsumos[[#This Row],[SD-MP]:[SD-VL]]),"")</f>
        <v>0</v>
      </c>
      <c r="BN62" s="92"/>
      <c r="BO62" s="92"/>
      <c r="BP62" s="134"/>
      <c r="BQ62" s="134"/>
      <c r="BR62" s="134"/>
      <c r="BS62" s="134"/>
      <c r="BT62" s="134"/>
      <c r="BU62" s="134"/>
      <c r="BV62" s="134"/>
      <c r="BW62" s="134"/>
      <c r="BX62" s="134"/>
      <c r="BY62" s="134" t="str">
        <f t="array" ref="BY62">IFERROR(INDEX(TABLACONSOLIDADA[Buff Act],MATCH("AGROINSUMOSMONCAYOLOPEZ"&amp;Tabla_Buffers_Agroinsumos[[#This Row],[CODIGO ]],TABLACONSOLIDADA[Bodega]&amp;TABLACONSOLIDADA[Codigo],0)),"")</f>
        <v/>
      </c>
      <c r="BZ62" s="19" t="str">
        <f t="array" ref="BZ62">IFERROR(INDEX(TABLACONSOLIDADA[Inv Fís Act],MATCH("AGROINSUMOSMONCAYOLOPEZ"&amp;Tabla_Buffers_Agroinsumos[[#This Row],[CODIGO ]],TABLACONSOLIDADA[Bodega]&amp;TABLACONSOLIDADA[Codigo],0)),"")</f>
        <v/>
      </c>
      <c r="CA62" s="160" t="str">
        <f t="array" ref="CA6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6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62" s="134">
        <f>IFERROR(SUM(Tabla_Buffers_Agroinsumos[[#This Row],[ML-MP]:[ML-VL]]),"")</f>
        <v>0</v>
      </c>
      <c r="CD62" s="92" t="str">
        <f>IFERROR(Tabla_Buffers_Agroinsumos[[#This Row],[INV FIS ML]]-Tabla_Buffers_Agroinsumos[[#This Row],[BUFFER ML]],"")</f>
        <v/>
      </c>
      <c r="CE6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62" s="134"/>
      <c r="CG62" s="134"/>
      <c r="CH62" s="134"/>
      <c r="CI62" s="134"/>
      <c r="CJ62" s="134"/>
      <c r="CK62" s="134"/>
      <c r="CL62" s="134"/>
      <c r="CM62" s="134"/>
      <c r="CN62" s="134"/>
      <c r="CO62" s="134" t="str">
        <f t="array" ref="CO62">IFERROR(INDEX(TABLACONSOLIDADA[Buff Act],MATCH("AGROINSUMOSAGROHERMANOSLEON"&amp;Tabla_Buffers_Agroinsumos[[#This Row],[CODIGO ]],TABLACONSOLIDADA[Bodega]&amp;TABLACONSOLIDADA[Codigo],0)),"")</f>
        <v/>
      </c>
      <c r="CP62" s="19" t="str">
        <f t="array" ref="CP62">IFERROR(INDEX(TABLACONSOLIDADA[Inv Fís Act],MATCH("AGROINSUMOSAGROHERMANOSLEON"&amp;Tabla_Buffers_Agroinsumos[[#This Row],[CODIGO ]],TABLACONSOLIDADA[Bodega]&amp;TABLACONSOLIDADA[Codigo],0)),"")</f>
        <v/>
      </c>
      <c r="CQ62" s="160" t="str">
        <f t="array" ref="CQ6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6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62" s="134">
        <f>IFERROR(SUM(Tabla_Buffers_Agroinsumos[[#This Row],[AL-MP]:[AL-VL]]),"")</f>
        <v>0</v>
      </c>
      <c r="CT62" s="92" t="str">
        <f>IFERROR(Tabla_Buffers_Agroinsumos[[#This Row],[INV FIS AL]]-Tabla_Buffers_Agroinsumos[[#This Row],[BUFFER AL]],"")</f>
        <v/>
      </c>
      <c r="CU6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62" s="134"/>
      <c r="CW62" s="134"/>
      <c r="CX62" s="134"/>
      <c r="CY62" s="134"/>
      <c r="CZ62" s="134"/>
      <c r="DA62" s="134"/>
      <c r="DB62" s="134"/>
      <c r="DC62" s="134"/>
      <c r="DD62" s="134"/>
      <c r="DE62" s="134" t="str">
        <f t="array" ref="DE62">IFERROR(INDEX(TABLACONSOLIDADA[Buff Act],MATCH("AGROINSUMOSAGRONUEVO"&amp;Tabla_Buffers_Agroinsumos[[#This Row],[CODIGO ]],TABLACONSOLIDADA[Bodega]&amp;TABLACONSOLIDADA[Codigo],0)),"")</f>
        <v/>
      </c>
      <c r="DF62" s="19" t="str">
        <f t="array" ref="DF62">IFERROR(INDEX(TABLACONSOLIDADA[Inv Fís Act],MATCH("AGROINSUMOSAGRONUEVO"&amp;Tabla_Buffers_Agroinsumos[[#This Row],[CODIGO ]],TABLACONSOLIDADA[Bodega]&amp;TABLACONSOLIDADA[Codigo],0)),"")</f>
        <v/>
      </c>
      <c r="DG62" s="160" t="str">
        <f t="array" ref="DG6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6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62" s="134">
        <f>IFERROR(SUM(Tabla_Buffers_Agroinsumos[[#This Row],[AN-MP]:[AN-VL]]),"")</f>
        <v>0</v>
      </c>
      <c r="DJ62" s="92" t="str">
        <f>IFERROR(Tabla_Buffers_Agroinsumos[[#This Row],[INV FIS AN]]-Tabla_Buffers_Agroinsumos[[#This Row],[BUFFER AN]],"")</f>
        <v/>
      </c>
      <c r="DK6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62" s="134"/>
      <c r="DM62" s="134"/>
      <c r="DN62" s="134"/>
      <c r="DO62" s="134"/>
      <c r="DP62" s="134"/>
      <c r="DQ62" s="134"/>
      <c r="DR62" s="134"/>
      <c r="DS62" s="134"/>
      <c r="DT62" s="134"/>
      <c r="DU62" s="134" t="str">
        <f t="array" ref="DU62">IFERROR(INDEX(TABLACONSOLIDADA[Buff Act],MATCH("AGROINSUMOSAGROQUIMICOSSUR"&amp;Tabla_Buffers_Agroinsumos[[#This Row],[CODIGO ]],TABLACONSOLIDADA[Bodega]&amp;TABLACONSOLIDADA[Codigo],0)),"")</f>
        <v/>
      </c>
      <c r="DV62" s="19" t="str">
        <f t="array" ref="DV62">IFERROR(INDEX(TABLACONSOLIDADA[Inv Fís Act],MATCH("AGROINSUMOSAGROQUIMICOSSUR"&amp;Tabla_Buffers_Agroinsumos[[#This Row],[CODIGO ]],TABLACONSOLIDADA[Bodega]&amp;TABLACONSOLIDADA[Codigo],0)),"")</f>
        <v/>
      </c>
      <c r="DW62" s="160" t="str">
        <f t="array" ref="DW6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6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62" s="134">
        <f>IFERROR(SUM(Tabla_Buffers_Agroinsumos[[#This Row],[AS-MP]:[AS-VL]]),"")</f>
        <v>0</v>
      </c>
      <c r="DZ62" s="92" t="str">
        <f>IFERROR(Tabla_Buffers_Agroinsumos[[#This Row],[INV FIS AS]]-Tabla_Buffers_Agroinsumos[[#This Row],[BUFFER AS]],"")</f>
        <v/>
      </c>
      <c r="EA6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62" s="134"/>
      <c r="EC62" s="134"/>
      <c r="ED62" s="134"/>
      <c r="EE62" s="134"/>
      <c r="EF62" s="134"/>
      <c r="EG62" s="134"/>
      <c r="EH62" s="134"/>
      <c r="EI62" s="134"/>
      <c r="EJ62" s="134"/>
      <c r="EK62" s="134" t="str">
        <f t="array" ref="EK62">IFERROR(INDEX(TABLACONSOLIDADA[Buff Act],MATCH("AGROINSUMOSLAFINCA"&amp;Tabla_Buffers_Agroinsumos[[#This Row],[CODIGO ]],TABLACONSOLIDADA[Bodega]&amp;TABLACONSOLIDADA[Codigo],0)),"")</f>
        <v/>
      </c>
      <c r="EL62" s="19" t="str">
        <f t="array" ref="EL62">IFERROR(INDEX(TABLACONSOLIDADA[Inv Fís Act],MATCH("AGROINSUMOSLAFINCA"&amp;Tabla_Buffers_Agroinsumos[[#This Row],[CODIGO ]],TABLACONSOLIDADA[Bodega]&amp;TABLACONSOLIDADA[Codigo],0)),"")</f>
        <v/>
      </c>
      <c r="EM62" s="160" t="str">
        <f t="array" ref="EM6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6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62" s="134">
        <f>IFERROR(SUM(Tabla_Buffers_Agroinsumos[[#This Row],[LF-MP]:[LF-VL]]),"")</f>
        <v>0</v>
      </c>
      <c r="EP62" s="92" t="str">
        <f>IFERROR(Tabla_Buffers_Agroinsumos[[#This Row],[INV FIS LF]]-Tabla_Buffers_Agroinsumos[[#This Row],[BUFFER LF]],"")</f>
        <v/>
      </c>
      <c r="EQ6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62" s="134"/>
      <c r="ES62" s="134"/>
      <c r="ET62" s="134"/>
      <c r="EU62" s="134"/>
      <c r="EV62" s="134"/>
      <c r="EW62" s="134"/>
      <c r="EX62" s="134"/>
      <c r="EY62" s="134"/>
      <c r="EZ62" s="134"/>
      <c r="FA62" s="134" t="str">
        <f t="array" ref="FA62">IFERROR(INDEX(TABLACONSOLIDADA[Buff Act],MATCH("AGROINSUMOSVERONICALEDESMA"&amp;Tabla_Buffers_Agroinsumos[[#This Row],[CODIGO ]],TABLACONSOLIDADA[Bodega]&amp;TABLACONSOLIDADA[Codigo],0)),"")</f>
        <v/>
      </c>
      <c r="FB62" s="19" t="str">
        <f t="array" ref="FB62">IFERROR(INDEX(TABLACONSOLIDADA[Inv Fís Act],MATCH("AGROINSUMOSVERONICALEDESMA"&amp;Tabla_Buffers_Agroinsumos[[#This Row],[CODIGO ]],TABLACONSOLIDADA[Bodega]&amp;TABLACONSOLIDADA[Codigo],0)),"")</f>
        <v/>
      </c>
      <c r="FC62" s="160" t="str">
        <f t="array" ref="FC6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6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62" s="134">
        <f>IFERROR(SUM(Tabla_Buffers_Agroinsumos[[#This Row],[VL-MP]:[VL-LF]]),"")</f>
        <v>0</v>
      </c>
      <c r="FF62" s="92" t="str">
        <f>IFERROR(Tabla_Buffers_Agroinsumos[[#This Row],[INV FIS VL]]-Tabla_Buffers_Agroinsumos[[#This Row],[BUFFER VL]],"")</f>
        <v/>
      </c>
      <c r="FG6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62" s="134"/>
      <c r="FI62" s="134"/>
      <c r="FJ62" s="134"/>
      <c r="FK62" s="134"/>
      <c r="FL62" s="134"/>
      <c r="FM62" s="134"/>
      <c r="FN62" s="134"/>
      <c r="FO62" s="134"/>
      <c r="FP62" s="134"/>
    </row>
    <row r="63" spans="1:172">
      <c r="A63" s="7" t="s">
        <v>736</v>
      </c>
      <c r="B63" s="7" t="s">
        <v>765</v>
      </c>
      <c r="C63" s="7" t="s">
        <v>712</v>
      </c>
      <c r="D63" s="7" t="s">
        <v>732</v>
      </c>
      <c r="E63" s="7" t="s">
        <v>975</v>
      </c>
      <c r="F63" s="19" t="s">
        <v>698</v>
      </c>
      <c r="G63" s="19" t="s">
        <v>698</v>
      </c>
      <c r="H63" s="19">
        <f>VLOOKUP(Tabla_Buffers_Agroinsumos[[#This Row],[CODIGO ]],TABLACONSOLIDADA[[Codigo]:[PV]],6,0)</f>
        <v>5.2</v>
      </c>
      <c r="I63" s="19">
        <f>VLOOKUP(Tabla_Buffers_Agroinsumos[[#This Row],[CODIGO ]],TABLACONSOLIDADA[[Codigo]:[PV]],5,0)</f>
        <v>2.89</v>
      </c>
      <c r="J63" s="19" t="s">
        <v>698</v>
      </c>
      <c r="K63" s="19" t="s">
        <v>698</v>
      </c>
      <c r="L63" s="19">
        <f>IFERROR(Tabla_Buffers_Agroinsumos[[#This Row],[BUFFER CENTRAL]]/((Tabla_Buffers_Agroinsumos[[#This Row],[TIEMPO REPOSICION ]]/Tabla_Buffers_Agroinsumos[[#This Row],[FRECUENCIA]])+1),0)</f>
        <v>0</v>
      </c>
      <c r="M63" s="19" t="str">
        <f t="array" ref="M63">IFERROR(INDEX(TABLACONSOLIDADA[Buff Act],MATCH("AGROINSUMOSMATERIAPRIMA"&amp;Tabla_Buffers_Agroinsumos[[#This Row],[CODIGO ]],TABLACONSOLIDADA[Bodega]&amp;TABLACONSOLIDADA[Codigo],0)),"")</f>
        <v/>
      </c>
      <c r="N63" s="157" t="str">
        <f t="array" ref="N63">IFERROR(INDEX(TABLACONSOLIDADA[Inv Fís Act],MATCH("AGROINSUMOSMATERIAPRIMA"&amp;Tabla_Buffers_Agroinsumos[[#This Row],[CODIGO ]],TABLACONSOLIDADA[Bodega]&amp;TABLACONSOLIDADA[Codigo],0)),"")</f>
        <v/>
      </c>
      <c r="O63" s="157" t="str">
        <f t="array" ref="O6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6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63" s="19">
        <f>IFERROR(SUM(Tabla_Buffers_Agroinsumos[[#This Row],[MP-C]:[MP-VL]]),"")</f>
        <v>0</v>
      </c>
      <c r="R63" s="92" t="str">
        <f>IFERROR(Tabla_Buffers_Agroinsumos[[#This Row],[INV FIS MATERIA PRIMA]]-Tabla_Buffers_Agroinsumos[[#This Row],[BUFFER MATERIA PRIMA]],"")</f>
        <v/>
      </c>
      <c r="S6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63" s="19"/>
      <c r="U63" s="19"/>
      <c r="V63" s="19"/>
      <c r="W63" s="19"/>
      <c r="X63" s="19"/>
      <c r="Y63" s="19"/>
      <c r="Z63" s="19"/>
      <c r="AA63" s="19"/>
      <c r="AB63" s="19"/>
      <c r="AC63" s="152">
        <f t="array" ref="AC63">IFERROR(INDEX(TABLACONSOLIDADA[Buff Act],MATCH("AGROINSUMOSCENTRAL"&amp;Tabla_Buffers_Agroinsumos[[#This Row],[CODIGO ]],TABLACONSOLIDADA[Bodega]&amp;TABLACONSOLIDADA[Codigo],0)),"")</f>
        <v>0</v>
      </c>
      <c r="AD63" s="157">
        <f t="array" ref="AD63">IFERROR(INDEX(TABLACONSOLIDADA[Inv Fís Act],MATCH("AGROINSUMOSCENTRAL"&amp;Tabla_Buffers_Agroinsumos[[#This Row],[CODIGO ]],TABLACONSOLIDADA[Bodega]&amp;TABLACONSOLIDADA[Codigo],0)),"")</f>
        <v>0</v>
      </c>
      <c r="AE63" s="157">
        <f t="array" ref="AE6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6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63" s="91">
        <f>IFERROR(SUM(Tabla_Buffers_Agroinsumos[[#This Row],[C-MP]:[C-VL]]),"")</f>
        <v>0</v>
      </c>
      <c r="AH63" s="92">
        <f>IFERROR(Tabla_Buffers_Agroinsumos[[#This Row],[INV FIS CENTRAL]]-Tabla_Buffers_Agroinsumos[[#This Row],[BUFFER CENTRAL]],"")</f>
        <v>0</v>
      </c>
      <c r="AI6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63" s="134"/>
      <c r="AK63" s="134"/>
      <c r="AL63" s="134"/>
      <c r="AM63" s="134"/>
      <c r="AN63" s="134"/>
      <c r="AO63" s="134"/>
      <c r="AP63" s="134"/>
      <c r="AQ63" s="134"/>
      <c r="AR63" s="134"/>
      <c r="AS63" s="134">
        <f t="array" ref="AS63">IFERROR(INDEX(TABLACONSOLIDADA[Buff Act],MATCH("AGROINSUMOScentralPROPIA"&amp;Tabla_Buffers_Agroinsumos[[#This Row],[CODIGO ]],TABLACONSOLIDADA[Bodega]&amp;TABLACONSOLIDADA[Codigo],0)),"")</f>
        <v>0</v>
      </c>
      <c r="AT63" s="157">
        <f t="array" ref="AT63">IFERROR(INDEX(TABLACONSOLIDADA[Inv Fís Act],MATCH("AGROINSUMOScentralPROPIA"&amp;Tabla_Buffers_Agroinsumos[[#This Row],[CODIGO ]],TABLACONSOLIDADA[Bodega]&amp;TABLACONSOLIDADA[Codigo],0)),"")</f>
        <v>0</v>
      </c>
      <c r="AU63" s="157">
        <f t="array" ref="AU6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6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63" s="134">
        <f>IFERROR(SUM(Tabla_Buffers_Agroinsumos[[#This Row],[P-MP]:[P-VL]]),"")</f>
        <v>0</v>
      </c>
      <c r="AX63" s="92">
        <f>IFERROR(Tabla_Buffers_Agroinsumos[[#This Row],[INV FIS PROPIA]]-Tabla_Buffers_Agroinsumos[[#This Row],[BUFFER PROPIA]],"")</f>
        <v>0</v>
      </c>
      <c r="AY6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63" s="134"/>
      <c r="BA63" s="134"/>
      <c r="BB63" s="134"/>
      <c r="BC63" s="134"/>
      <c r="BD63" s="134"/>
      <c r="BE63" s="134"/>
      <c r="BF63" s="134"/>
      <c r="BG63" s="134"/>
      <c r="BH63" s="134"/>
      <c r="BI63" s="91">
        <f t="array" ref="BI63">IFERROR(INDEX(TABLACONSOLIDADA[Buff Act],MATCH("AGROINSUMOSSTODOMINGO"&amp;Tabla_Buffers_Agroinsumos[[#This Row],[CODIGO ]],TABLACONSOLIDADA[Bodega]&amp;TABLACONSOLIDADA[Codigo],0)),"")</f>
        <v>0</v>
      </c>
      <c r="BJ63" s="157">
        <f t="array" ref="BJ63">IFERROR(INDEX(TABLACONSOLIDADA[Inv Fís Act],MATCH("AGROINSUMOSSTODOMINGO"&amp;Tabla_Buffers_Agroinsumos[[#This Row],[CODIGO ]],TABLACONSOLIDADA[Bodega]&amp;TABLACONSOLIDADA[Codigo],0)),"")</f>
        <v>0</v>
      </c>
      <c r="BK63" s="157">
        <f t="array" ref="BK6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6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63" s="91">
        <f>IFERROR(SUM(Tabla_Buffers_Agroinsumos[[#This Row],[SD-MP]:[SD-VL]]),"")</f>
        <v>0</v>
      </c>
      <c r="BN63" s="92"/>
      <c r="BO63" s="92"/>
      <c r="BP63" s="134"/>
      <c r="BQ63" s="134"/>
      <c r="BR63" s="134"/>
      <c r="BS63" s="134"/>
      <c r="BT63" s="134"/>
      <c r="BU63" s="134"/>
      <c r="BV63" s="134"/>
      <c r="BW63" s="134"/>
      <c r="BX63" s="134"/>
      <c r="BY63" s="134">
        <f t="array" ref="BY63">IFERROR(INDEX(TABLACONSOLIDADA[Buff Act],MATCH("AGROINSUMOSMONCAYOLOPEZ"&amp;Tabla_Buffers_Agroinsumos[[#This Row],[CODIGO ]],TABLACONSOLIDADA[Bodega]&amp;TABLACONSOLIDADA[Codigo],0)),"")</f>
        <v>0</v>
      </c>
      <c r="BZ63" s="157">
        <f t="array" ref="BZ63">IFERROR(INDEX(TABLACONSOLIDADA[Inv Fís Act],MATCH("AGROINSUMOSMONCAYOLOPEZ"&amp;Tabla_Buffers_Agroinsumos[[#This Row],[CODIGO ]],TABLACONSOLIDADA[Bodega]&amp;TABLACONSOLIDADA[Codigo],0)),"")</f>
        <v>0</v>
      </c>
      <c r="CA63" s="157">
        <f t="array" ref="CA6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6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63" s="134">
        <f>IFERROR(SUM(Tabla_Buffers_Agroinsumos[[#This Row],[ML-MP]:[ML-VL]]),"")</f>
        <v>0</v>
      </c>
      <c r="CD63" s="92">
        <f>IFERROR(Tabla_Buffers_Agroinsumos[[#This Row],[INV FIS ML]]-Tabla_Buffers_Agroinsumos[[#This Row],[BUFFER ML]],"")</f>
        <v>0</v>
      </c>
      <c r="CE63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63" s="134"/>
      <c r="CG63" s="134"/>
      <c r="CH63" s="134"/>
      <c r="CI63" s="134"/>
      <c r="CJ63" s="134"/>
      <c r="CK63" s="134"/>
      <c r="CL63" s="134"/>
      <c r="CM63" s="134"/>
      <c r="CN63" s="134"/>
      <c r="CO63" s="134">
        <f t="array" ref="CO63">IFERROR(INDEX(TABLACONSOLIDADA[Buff Act],MATCH("AGROINSUMOSAGROHERMANOSLEON"&amp;Tabla_Buffers_Agroinsumos[[#This Row],[CODIGO ]],TABLACONSOLIDADA[Bodega]&amp;TABLACONSOLIDADA[Codigo],0)),"")</f>
        <v>0</v>
      </c>
      <c r="CP63" s="157">
        <f t="array" ref="CP63">IFERROR(INDEX(TABLACONSOLIDADA[Inv Fís Act],MATCH("AGROINSUMOSAGROHERMANOSLEON"&amp;Tabla_Buffers_Agroinsumos[[#This Row],[CODIGO ]],TABLACONSOLIDADA[Bodega]&amp;TABLACONSOLIDADA[Codigo],0)),"")</f>
        <v>0</v>
      </c>
      <c r="CQ63" s="157">
        <f t="array" ref="CQ6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6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63" s="134">
        <f>IFERROR(SUM(Tabla_Buffers_Agroinsumos[[#This Row],[AL-MP]:[AL-VL]]),"")</f>
        <v>0</v>
      </c>
      <c r="CT63" s="92">
        <f>IFERROR(Tabla_Buffers_Agroinsumos[[#This Row],[INV FIS AL]]-Tabla_Buffers_Agroinsumos[[#This Row],[BUFFER AL]],"")</f>
        <v>0</v>
      </c>
      <c r="CU63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63" s="134"/>
      <c r="CW63" s="134"/>
      <c r="CX63" s="134"/>
      <c r="CY63" s="134"/>
      <c r="CZ63" s="134"/>
      <c r="DA63" s="134"/>
      <c r="DB63" s="134"/>
      <c r="DC63" s="134"/>
      <c r="DD63" s="134"/>
      <c r="DE63" s="134">
        <f t="array" ref="DE63">IFERROR(INDEX(TABLACONSOLIDADA[Buff Act],MATCH("AGROINSUMOSAGRONUEVO"&amp;Tabla_Buffers_Agroinsumos[[#This Row],[CODIGO ]],TABLACONSOLIDADA[Bodega]&amp;TABLACONSOLIDADA[Codigo],0)),"")</f>
        <v>0</v>
      </c>
      <c r="DF63" s="157">
        <f t="array" ref="DF63">IFERROR(INDEX(TABLACONSOLIDADA[Inv Fís Act],MATCH("AGROINSUMOSAGRONUEVO"&amp;Tabla_Buffers_Agroinsumos[[#This Row],[CODIGO ]],TABLACONSOLIDADA[Bodega]&amp;TABLACONSOLIDADA[Codigo],0)),"")</f>
        <v>0</v>
      </c>
      <c r="DG63" s="157">
        <f t="array" ref="DG6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6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63" s="134">
        <f>IFERROR(SUM(Tabla_Buffers_Agroinsumos[[#This Row],[AN-MP]:[AN-VL]]),"")</f>
        <v>0</v>
      </c>
      <c r="DJ63" s="92">
        <f>IFERROR(Tabla_Buffers_Agroinsumos[[#This Row],[INV FIS AN]]-Tabla_Buffers_Agroinsumos[[#This Row],[BUFFER AN]],"")</f>
        <v>0</v>
      </c>
      <c r="DK63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63" s="134"/>
      <c r="DM63" s="134"/>
      <c r="DN63" s="134"/>
      <c r="DO63" s="134"/>
      <c r="DP63" s="134"/>
      <c r="DQ63" s="134"/>
      <c r="DR63" s="134"/>
      <c r="DS63" s="134"/>
      <c r="DT63" s="134"/>
      <c r="DU63" s="134">
        <f t="array" ref="DU63">IFERROR(INDEX(TABLACONSOLIDADA[Buff Act],MATCH("AGROINSUMOSAGROQUIMICOSSUR"&amp;Tabla_Buffers_Agroinsumos[[#This Row],[CODIGO ]],TABLACONSOLIDADA[Bodega]&amp;TABLACONSOLIDADA[Codigo],0)),"")</f>
        <v>0</v>
      </c>
      <c r="DV63" s="157">
        <f t="array" ref="DV63">IFERROR(INDEX(TABLACONSOLIDADA[Inv Fís Act],MATCH("AGROINSUMOSAGROQUIMICOSSUR"&amp;Tabla_Buffers_Agroinsumos[[#This Row],[CODIGO ]],TABLACONSOLIDADA[Bodega]&amp;TABLACONSOLIDADA[Codigo],0)),"")</f>
        <v>0</v>
      </c>
      <c r="DW63" s="157">
        <f t="array" ref="DW6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6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63" s="134">
        <f>IFERROR(SUM(Tabla_Buffers_Agroinsumos[[#This Row],[AS-MP]:[AS-VL]]),"")</f>
        <v>0</v>
      </c>
      <c r="DZ63" s="92">
        <f>IFERROR(Tabla_Buffers_Agroinsumos[[#This Row],[INV FIS AS]]-Tabla_Buffers_Agroinsumos[[#This Row],[BUFFER AS]],"")</f>
        <v>0</v>
      </c>
      <c r="EA63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63" s="134"/>
      <c r="EC63" s="134"/>
      <c r="ED63" s="134"/>
      <c r="EE63" s="134"/>
      <c r="EF63" s="134"/>
      <c r="EG63" s="134"/>
      <c r="EH63" s="134"/>
      <c r="EI63" s="134"/>
      <c r="EJ63" s="134"/>
      <c r="EK63" s="134">
        <f t="array" ref="EK63">IFERROR(INDEX(TABLACONSOLIDADA[Buff Act],MATCH("AGROINSUMOSLAFINCA"&amp;Tabla_Buffers_Agroinsumos[[#This Row],[CODIGO ]],TABLACONSOLIDADA[Bodega]&amp;TABLACONSOLIDADA[Codigo],0)),"")</f>
        <v>0</v>
      </c>
      <c r="EL63" s="157">
        <f t="array" ref="EL63">IFERROR(INDEX(TABLACONSOLIDADA[Inv Fís Act],MATCH("AGROINSUMOSLAFINCA"&amp;Tabla_Buffers_Agroinsumos[[#This Row],[CODIGO ]],TABLACONSOLIDADA[Bodega]&amp;TABLACONSOLIDADA[Codigo],0)),"")</f>
        <v>0</v>
      </c>
      <c r="EM63" s="157">
        <f t="array" ref="EM6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6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63" s="134">
        <f>IFERROR(SUM(Tabla_Buffers_Agroinsumos[[#This Row],[LF-MP]:[LF-VL]]),"")</f>
        <v>0</v>
      </c>
      <c r="EP63" s="92">
        <f>IFERROR(Tabla_Buffers_Agroinsumos[[#This Row],[INV FIS LF]]-Tabla_Buffers_Agroinsumos[[#This Row],[BUFFER LF]],"")</f>
        <v>0</v>
      </c>
      <c r="EQ6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63" s="134"/>
      <c r="ES63" s="134"/>
      <c r="ET63" s="134"/>
      <c r="EU63" s="134"/>
      <c r="EV63" s="134"/>
      <c r="EW63" s="134"/>
      <c r="EX63" s="134"/>
      <c r="EY63" s="134"/>
      <c r="EZ63" s="134"/>
      <c r="FA63" s="134">
        <f t="array" ref="FA63">IFERROR(INDEX(TABLACONSOLIDADA[Buff Act],MATCH("AGROINSUMOSVERONICALEDESMA"&amp;Tabla_Buffers_Agroinsumos[[#This Row],[CODIGO ]],TABLACONSOLIDADA[Bodega]&amp;TABLACONSOLIDADA[Codigo],0)),"")</f>
        <v>0</v>
      </c>
      <c r="FB63" s="157">
        <f t="array" ref="FB63">IFERROR(INDEX(TABLACONSOLIDADA[Inv Fís Act],MATCH("AGROINSUMOSVERONICALEDESMA"&amp;Tabla_Buffers_Agroinsumos[[#This Row],[CODIGO ]],TABLACONSOLIDADA[Bodega]&amp;TABLACONSOLIDADA[Codigo],0)),"")</f>
        <v>0</v>
      </c>
      <c r="FC63" s="157">
        <f t="array" ref="FC6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6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63" s="134">
        <f>IFERROR(SUM(Tabla_Buffers_Agroinsumos[[#This Row],[VL-MP]:[VL-LF]]),"")</f>
        <v>0</v>
      </c>
      <c r="FF63" s="92">
        <f>IFERROR(Tabla_Buffers_Agroinsumos[[#This Row],[INV FIS VL]]-Tabla_Buffers_Agroinsumos[[#This Row],[BUFFER VL]],"")</f>
        <v>0</v>
      </c>
      <c r="FG63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63" s="134"/>
      <c r="FI63" s="134"/>
      <c r="FJ63" s="134"/>
      <c r="FK63" s="134"/>
      <c r="FL63" s="134"/>
      <c r="FM63" s="134"/>
      <c r="FN63" s="134"/>
      <c r="FO63" s="134"/>
      <c r="FP63" s="134"/>
    </row>
    <row r="64" spans="1:172">
      <c r="A64" s="7" t="s">
        <v>738</v>
      </c>
      <c r="B64" s="7" t="s">
        <v>762</v>
      </c>
      <c r="C64" s="7" t="s">
        <v>712</v>
      </c>
      <c r="D64" s="7" t="s">
        <v>732</v>
      </c>
      <c r="E64" s="7" t="s">
        <v>975</v>
      </c>
      <c r="F64" s="19" t="s">
        <v>698</v>
      </c>
      <c r="G64" s="19" t="s">
        <v>698</v>
      </c>
      <c r="H64" s="19">
        <f>VLOOKUP(Tabla_Buffers_Agroinsumos[[#This Row],[CODIGO ]],TABLACONSOLIDADA[[Codigo]:[PV]],6,0)</f>
        <v>840</v>
      </c>
      <c r="I64" s="19">
        <f>VLOOKUP(Tabla_Buffers_Agroinsumos[[#This Row],[CODIGO ]],TABLACONSOLIDADA[[Codigo]:[PV]],5,0)</f>
        <v>519.35</v>
      </c>
      <c r="J64" s="19" t="s">
        <v>698</v>
      </c>
      <c r="K64" s="19" t="s">
        <v>698</v>
      </c>
      <c r="L64" s="19">
        <f>IFERROR(Tabla_Buffers_Agroinsumos[[#This Row],[BUFFER CENTRAL]]/((Tabla_Buffers_Agroinsumos[[#This Row],[TIEMPO REPOSICION ]]/Tabla_Buffers_Agroinsumos[[#This Row],[FRECUENCIA]])+1),0)</f>
        <v>0</v>
      </c>
      <c r="M64" s="19" t="str">
        <f t="array" ref="M64">IFERROR(INDEX(TABLACONSOLIDADA[Buff Act],MATCH("AGROINSUMOSMATERIAPRIMA"&amp;Tabla_Buffers_Agroinsumos[[#This Row],[CODIGO ]],TABLACONSOLIDADA[Bodega]&amp;TABLACONSOLIDADA[Codigo],0)),"")</f>
        <v/>
      </c>
      <c r="N64" s="157" t="str">
        <f t="array" ref="N64">IFERROR(INDEX(TABLACONSOLIDADA[Inv Fís Act],MATCH("AGROINSUMOSMATERIAPRIMA"&amp;Tabla_Buffers_Agroinsumos[[#This Row],[CODIGO ]],TABLACONSOLIDADA[Bodega]&amp;TABLACONSOLIDADA[Codigo],0)),"")</f>
        <v/>
      </c>
      <c r="O64" s="157" t="str">
        <f t="array" ref="O6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6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64" s="19">
        <f>IFERROR(SUM(Tabla_Buffers_Agroinsumos[[#This Row],[MP-C]:[MP-VL]]),"")</f>
        <v>0</v>
      </c>
      <c r="R64" s="92" t="str">
        <f>IFERROR(Tabla_Buffers_Agroinsumos[[#This Row],[INV FIS MATERIA PRIMA]]-Tabla_Buffers_Agroinsumos[[#This Row],[BUFFER MATERIA PRIMA]],"")</f>
        <v/>
      </c>
      <c r="S6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64" s="19"/>
      <c r="U64" s="19"/>
      <c r="V64" s="19"/>
      <c r="W64" s="19"/>
      <c r="X64" s="19"/>
      <c r="Y64" s="19"/>
      <c r="Z64" s="19"/>
      <c r="AA64" s="19"/>
      <c r="AB64" s="19"/>
      <c r="AC64" s="152">
        <f t="array" ref="AC64">IFERROR(INDEX(TABLACONSOLIDADA[Buff Act],MATCH("AGROINSUMOSCENTRAL"&amp;Tabla_Buffers_Agroinsumos[[#This Row],[CODIGO ]],TABLACONSOLIDADA[Bodega]&amp;TABLACONSOLIDADA[Codigo],0)),"")</f>
        <v>3</v>
      </c>
      <c r="AD64" s="157">
        <f t="array" ref="AD64">IFERROR(INDEX(TABLACONSOLIDADA[Inv Fís Act],MATCH("AGROINSUMOSCENTRAL"&amp;Tabla_Buffers_Agroinsumos[[#This Row],[CODIGO ]],TABLACONSOLIDADA[Bodega]&amp;TABLACONSOLIDADA[Codigo],0)),"")</f>
        <v>8</v>
      </c>
      <c r="AE64" s="157">
        <f t="array" ref="AE6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9</v>
      </c>
      <c r="AF6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64" s="91">
        <f>IFERROR(SUM(Tabla_Buffers_Agroinsumos[[#This Row],[C-MP]:[C-VL]]),"")</f>
        <v>0</v>
      </c>
      <c r="AH64" s="92">
        <f>IFERROR(Tabla_Buffers_Agroinsumos[[#This Row],[INV FIS CENTRAL]]-Tabla_Buffers_Agroinsumos[[#This Row],[BUFFER CENTRAL]],"")</f>
        <v>5</v>
      </c>
      <c r="AI6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5</v>
      </c>
      <c r="AJ64" s="134"/>
      <c r="AK64" s="134"/>
      <c r="AL64" s="134"/>
      <c r="AM64" s="134"/>
      <c r="AN64" s="134"/>
      <c r="AO64" s="134"/>
      <c r="AP64" s="134"/>
      <c r="AQ64" s="134"/>
      <c r="AR64" s="134"/>
      <c r="AS64" s="134">
        <f t="array" ref="AS64">IFERROR(INDEX(TABLACONSOLIDADA[Buff Act],MATCH("AGROINSUMOScentralPROPIA"&amp;Tabla_Buffers_Agroinsumos[[#This Row],[CODIGO ]],TABLACONSOLIDADA[Bodega]&amp;TABLACONSOLIDADA[Codigo],0)),"")</f>
        <v>1</v>
      </c>
      <c r="AT64" s="157">
        <f t="array" ref="AT64">IFERROR(INDEX(TABLACONSOLIDADA[Inv Fís Act],MATCH("AGROINSUMOScentralPROPIA"&amp;Tabla_Buffers_Agroinsumos[[#This Row],[CODIGO ]],TABLACONSOLIDADA[Bodega]&amp;TABLACONSOLIDADA[Codigo],0)),"")</f>
        <v>0</v>
      </c>
      <c r="AU64" s="157">
        <f t="array" ref="AU6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6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64" s="134">
        <f>IFERROR(SUM(Tabla_Buffers_Agroinsumos[[#This Row],[P-MP]:[P-VL]]),"")</f>
        <v>0</v>
      </c>
      <c r="AX64" s="92">
        <f>IFERROR(Tabla_Buffers_Agroinsumos[[#This Row],[INV FIS PROPIA]]-Tabla_Buffers_Agroinsumos[[#This Row],[BUFFER PROPIA]],"")</f>
        <v>-1</v>
      </c>
      <c r="AY6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</v>
      </c>
      <c r="AZ64" s="134"/>
      <c r="BA64" s="134"/>
      <c r="BB64" s="134"/>
      <c r="BC64" s="134"/>
      <c r="BD64" s="134"/>
      <c r="BE64" s="134"/>
      <c r="BF64" s="134"/>
      <c r="BG64" s="134"/>
      <c r="BH64" s="134"/>
      <c r="BI64" s="91">
        <f t="array" ref="BI64">IFERROR(INDEX(TABLACONSOLIDADA[Buff Act],MATCH("AGROINSUMOSSTODOMINGO"&amp;Tabla_Buffers_Agroinsumos[[#This Row],[CODIGO ]],TABLACONSOLIDADA[Bodega]&amp;TABLACONSOLIDADA[Codigo],0)),"")</f>
        <v>0</v>
      </c>
      <c r="BJ64" s="157">
        <f t="array" ref="BJ64">IFERROR(INDEX(TABLACONSOLIDADA[Inv Fís Act],MATCH("AGROINSUMOSSTODOMINGO"&amp;Tabla_Buffers_Agroinsumos[[#This Row],[CODIGO ]],TABLACONSOLIDADA[Bodega]&amp;TABLACONSOLIDADA[Codigo],0)),"")</f>
        <v>0</v>
      </c>
      <c r="BK64" s="157">
        <f t="array" ref="BK6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6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64" s="91">
        <f>IFERROR(SUM(Tabla_Buffers_Agroinsumos[[#This Row],[SD-MP]:[SD-VL]]),"")</f>
        <v>0</v>
      </c>
      <c r="BN64" s="92"/>
      <c r="BO64" s="92"/>
      <c r="BP64" s="134"/>
      <c r="BQ64" s="134"/>
      <c r="BR64" s="134"/>
      <c r="BS64" s="134"/>
      <c r="BT64" s="134"/>
      <c r="BU64" s="134"/>
      <c r="BV64" s="134"/>
      <c r="BW64" s="134"/>
      <c r="BX64" s="134"/>
      <c r="BY64" s="134">
        <f t="array" ref="BY64">IFERROR(INDEX(TABLACONSOLIDADA[Buff Act],MATCH("AGROINSUMOSMONCAYOLOPEZ"&amp;Tabla_Buffers_Agroinsumos[[#This Row],[CODIGO ]],TABLACONSOLIDADA[Bodega]&amp;TABLACONSOLIDADA[Codigo],0)),"")</f>
        <v>0</v>
      </c>
      <c r="BZ64" s="157">
        <f t="array" ref="BZ64">IFERROR(INDEX(TABLACONSOLIDADA[Inv Fís Act],MATCH("AGROINSUMOSMONCAYOLOPEZ"&amp;Tabla_Buffers_Agroinsumos[[#This Row],[CODIGO ]],TABLACONSOLIDADA[Bodega]&amp;TABLACONSOLIDADA[Codigo],0)),"")</f>
        <v>0</v>
      </c>
      <c r="CA64" s="157">
        <f t="array" ref="CA6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6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64" s="134">
        <f>IFERROR(SUM(Tabla_Buffers_Agroinsumos[[#This Row],[ML-MP]:[ML-VL]]),"")</f>
        <v>0</v>
      </c>
      <c r="CD64" s="92">
        <f>IFERROR(Tabla_Buffers_Agroinsumos[[#This Row],[INV FIS ML]]-Tabla_Buffers_Agroinsumos[[#This Row],[BUFFER ML]],"")</f>
        <v>0</v>
      </c>
      <c r="CE64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64" s="134"/>
      <c r="CG64" s="134"/>
      <c r="CH64" s="134"/>
      <c r="CI64" s="134"/>
      <c r="CJ64" s="134"/>
      <c r="CK64" s="134"/>
      <c r="CL64" s="134"/>
      <c r="CM64" s="134"/>
      <c r="CN64" s="134"/>
      <c r="CO64" s="134">
        <f t="array" ref="CO64">IFERROR(INDEX(TABLACONSOLIDADA[Buff Act],MATCH("AGROINSUMOSAGROHERMANOSLEON"&amp;Tabla_Buffers_Agroinsumos[[#This Row],[CODIGO ]],TABLACONSOLIDADA[Bodega]&amp;TABLACONSOLIDADA[Codigo],0)),"")</f>
        <v>0</v>
      </c>
      <c r="CP64" s="157">
        <f t="array" ref="CP64">IFERROR(INDEX(TABLACONSOLIDADA[Inv Fís Act],MATCH("AGROINSUMOSAGROHERMANOSLEON"&amp;Tabla_Buffers_Agroinsumos[[#This Row],[CODIGO ]],TABLACONSOLIDADA[Bodega]&amp;TABLACONSOLIDADA[Codigo],0)),"")</f>
        <v>0</v>
      </c>
      <c r="CQ64" s="157">
        <f t="array" ref="CQ6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6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64" s="134">
        <f>IFERROR(SUM(Tabla_Buffers_Agroinsumos[[#This Row],[AL-MP]:[AL-VL]]),"")</f>
        <v>0</v>
      </c>
      <c r="CT64" s="92">
        <f>IFERROR(Tabla_Buffers_Agroinsumos[[#This Row],[INV FIS AL]]-Tabla_Buffers_Agroinsumos[[#This Row],[BUFFER AL]],"")</f>
        <v>0</v>
      </c>
      <c r="CU64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64" s="134"/>
      <c r="CW64" s="134"/>
      <c r="CX64" s="134"/>
      <c r="CY64" s="134"/>
      <c r="CZ64" s="134"/>
      <c r="DA64" s="134"/>
      <c r="DB64" s="134"/>
      <c r="DC64" s="134"/>
      <c r="DD64" s="134"/>
      <c r="DE64" s="134">
        <f t="array" ref="DE64">IFERROR(INDEX(TABLACONSOLIDADA[Buff Act],MATCH("AGROINSUMOSAGRONUEVO"&amp;Tabla_Buffers_Agroinsumos[[#This Row],[CODIGO ]],TABLACONSOLIDADA[Bodega]&amp;TABLACONSOLIDADA[Codigo],0)),"")</f>
        <v>0</v>
      </c>
      <c r="DF64" s="157">
        <f t="array" ref="DF64">IFERROR(INDEX(TABLACONSOLIDADA[Inv Fís Act],MATCH("AGROINSUMOSAGRONUEVO"&amp;Tabla_Buffers_Agroinsumos[[#This Row],[CODIGO ]],TABLACONSOLIDADA[Bodega]&amp;TABLACONSOLIDADA[Codigo],0)),"")</f>
        <v>0</v>
      </c>
      <c r="DG64" s="157">
        <f t="array" ref="DG6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6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64" s="134">
        <f>IFERROR(SUM(Tabla_Buffers_Agroinsumos[[#This Row],[AN-MP]:[AN-VL]]),"")</f>
        <v>0</v>
      </c>
      <c r="DJ64" s="92">
        <f>IFERROR(Tabla_Buffers_Agroinsumos[[#This Row],[INV FIS AN]]-Tabla_Buffers_Agroinsumos[[#This Row],[BUFFER AN]],"")</f>
        <v>0</v>
      </c>
      <c r="DK64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64" s="134"/>
      <c r="DM64" s="134"/>
      <c r="DN64" s="134"/>
      <c r="DO64" s="134"/>
      <c r="DP64" s="134"/>
      <c r="DQ64" s="134"/>
      <c r="DR64" s="134"/>
      <c r="DS64" s="134"/>
      <c r="DT64" s="134"/>
      <c r="DU64" s="134">
        <f t="array" ref="DU64">IFERROR(INDEX(TABLACONSOLIDADA[Buff Act],MATCH("AGROINSUMOSAGROQUIMICOSSUR"&amp;Tabla_Buffers_Agroinsumos[[#This Row],[CODIGO ]],TABLACONSOLIDADA[Bodega]&amp;TABLACONSOLIDADA[Codigo],0)),"")</f>
        <v>0</v>
      </c>
      <c r="DV64" s="157">
        <f t="array" ref="DV64">IFERROR(INDEX(TABLACONSOLIDADA[Inv Fís Act],MATCH("AGROINSUMOSAGROQUIMICOSSUR"&amp;Tabla_Buffers_Agroinsumos[[#This Row],[CODIGO ]],TABLACONSOLIDADA[Bodega]&amp;TABLACONSOLIDADA[Codigo],0)),"")</f>
        <v>0</v>
      </c>
      <c r="DW64" s="157">
        <f t="array" ref="DW6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6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64" s="134">
        <f>IFERROR(SUM(Tabla_Buffers_Agroinsumos[[#This Row],[AS-MP]:[AS-VL]]),"")</f>
        <v>0</v>
      </c>
      <c r="DZ64" s="92">
        <f>IFERROR(Tabla_Buffers_Agroinsumos[[#This Row],[INV FIS AS]]-Tabla_Buffers_Agroinsumos[[#This Row],[BUFFER AS]],"")</f>
        <v>0</v>
      </c>
      <c r="EA64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64" s="134"/>
      <c r="EC64" s="134"/>
      <c r="ED64" s="134"/>
      <c r="EE64" s="134"/>
      <c r="EF64" s="134"/>
      <c r="EG64" s="134"/>
      <c r="EH64" s="134"/>
      <c r="EI64" s="134"/>
      <c r="EJ64" s="134"/>
      <c r="EK64" s="134">
        <f t="array" ref="EK64">IFERROR(INDEX(TABLACONSOLIDADA[Buff Act],MATCH("AGROINSUMOSLAFINCA"&amp;Tabla_Buffers_Agroinsumos[[#This Row],[CODIGO ]],TABLACONSOLIDADA[Bodega]&amp;TABLACONSOLIDADA[Codigo],0)),"")</f>
        <v>0</v>
      </c>
      <c r="EL64" s="157">
        <f t="array" ref="EL64">IFERROR(INDEX(TABLACONSOLIDADA[Inv Fís Act],MATCH("AGROINSUMOSLAFINCA"&amp;Tabla_Buffers_Agroinsumos[[#This Row],[CODIGO ]],TABLACONSOLIDADA[Bodega]&amp;TABLACONSOLIDADA[Codigo],0)),"")</f>
        <v>0</v>
      </c>
      <c r="EM64" s="157">
        <f t="array" ref="EM6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6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64" s="134">
        <f>IFERROR(SUM(Tabla_Buffers_Agroinsumos[[#This Row],[LF-MP]:[LF-VL]]),"")</f>
        <v>0</v>
      </c>
      <c r="EP64" s="92">
        <f>IFERROR(Tabla_Buffers_Agroinsumos[[#This Row],[INV FIS LF]]-Tabla_Buffers_Agroinsumos[[#This Row],[BUFFER LF]],"")</f>
        <v>0</v>
      </c>
      <c r="EQ64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64" s="134"/>
      <c r="ES64" s="134"/>
      <c r="ET64" s="134"/>
      <c r="EU64" s="134"/>
      <c r="EV64" s="134"/>
      <c r="EW64" s="134"/>
      <c r="EX64" s="134"/>
      <c r="EY64" s="134"/>
      <c r="EZ64" s="134"/>
      <c r="FA64" s="134">
        <f t="array" ref="FA64">IFERROR(INDEX(TABLACONSOLIDADA[Buff Act],MATCH("AGROINSUMOSVERONICALEDESMA"&amp;Tabla_Buffers_Agroinsumos[[#This Row],[CODIGO ]],TABLACONSOLIDADA[Bodega]&amp;TABLACONSOLIDADA[Codigo],0)),"")</f>
        <v>0</v>
      </c>
      <c r="FB64" s="157">
        <f t="array" ref="FB64">IFERROR(INDEX(TABLACONSOLIDADA[Inv Fís Act],MATCH("AGROINSUMOSVERONICALEDESMA"&amp;Tabla_Buffers_Agroinsumos[[#This Row],[CODIGO ]],TABLACONSOLIDADA[Bodega]&amp;TABLACONSOLIDADA[Codigo],0)),"")</f>
        <v>0</v>
      </c>
      <c r="FC64" s="157">
        <f t="array" ref="FC6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6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64" s="134">
        <f>IFERROR(SUM(Tabla_Buffers_Agroinsumos[[#This Row],[VL-MP]:[VL-LF]]),"")</f>
        <v>0</v>
      </c>
      <c r="FF64" s="92">
        <f>IFERROR(Tabla_Buffers_Agroinsumos[[#This Row],[INV FIS VL]]-Tabla_Buffers_Agroinsumos[[#This Row],[BUFFER VL]],"")</f>
        <v>0</v>
      </c>
      <c r="FG64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64" s="134"/>
      <c r="FI64" s="134"/>
      <c r="FJ64" s="134"/>
      <c r="FK64" s="134"/>
      <c r="FL64" s="134"/>
      <c r="FM64" s="134"/>
      <c r="FN64" s="134"/>
      <c r="FO64" s="134"/>
      <c r="FP64" s="134"/>
    </row>
    <row r="65" spans="1:172">
      <c r="A65" s="7" t="s">
        <v>875</v>
      </c>
      <c r="B65" s="7" t="s">
        <v>948</v>
      </c>
      <c r="C65" s="7" t="s">
        <v>712</v>
      </c>
      <c r="D65" s="7" t="s">
        <v>732</v>
      </c>
      <c r="E65" s="7" t="s">
        <v>975</v>
      </c>
      <c r="F65" s="19" t="s">
        <v>698</v>
      </c>
      <c r="G65" s="19" t="s">
        <v>698</v>
      </c>
      <c r="H65" s="19">
        <f>VLOOKUP(Tabla_Buffers_Agroinsumos[[#This Row],[CODIGO ]],TABLACONSOLIDADA[[Codigo]:[PV]],6,0)</f>
        <v>13.49</v>
      </c>
      <c r="I65" s="19">
        <f>VLOOKUP(Tabla_Buffers_Agroinsumos[[#This Row],[CODIGO ]],TABLACONSOLIDADA[[Codigo]:[PV]],5,0)</f>
        <v>6.79</v>
      </c>
      <c r="J65" s="19" t="s">
        <v>698</v>
      </c>
      <c r="K65" s="19" t="s">
        <v>698</v>
      </c>
      <c r="L65" s="19">
        <f>IFERROR(Tabla_Buffers_Agroinsumos[[#This Row],[BUFFER CENTRAL]]/((Tabla_Buffers_Agroinsumos[[#This Row],[TIEMPO REPOSICION ]]/Tabla_Buffers_Agroinsumos[[#This Row],[FRECUENCIA]])+1),0)</f>
        <v>0</v>
      </c>
      <c r="M65" s="19" t="str">
        <f t="array" ref="M65">IFERROR(INDEX(TABLACONSOLIDADA[Buff Act],MATCH("AGROINSUMOSMATERIAPRIMA"&amp;Tabla_Buffers_Agroinsumos[[#This Row],[CODIGO ]],TABLACONSOLIDADA[Bodega]&amp;TABLACONSOLIDADA[Codigo],0)),"")</f>
        <v/>
      </c>
      <c r="N65" s="157" t="str">
        <f t="array" ref="N65">IFERROR(INDEX(TABLACONSOLIDADA[Inv Fís Act],MATCH("AGROINSUMOSMATERIAPRIMA"&amp;Tabla_Buffers_Agroinsumos[[#This Row],[CODIGO ]],TABLACONSOLIDADA[Bodega]&amp;TABLACONSOLIDADA[Codigo],0)),"")</f>
        <v/>
      </c>
      <c r="O65" s="157" t="str">
        <f t="array" ref="O6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6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65" s="19">
        <f>IFERROR(SUM(Tabla_Buffers_Agroinsumos[[#This Row],[MP-C]:[MP-VL]]),"")</f>
        <v>0</v>
      </c>
      <c r="R65" s="92" t="str">
        <f>IFERROR(Tabla_Buffers_Agroinsumos[[#This Row],[INV FIS MATERIA PRIMA]]-Tabla_Buffers_Agroinsumos[[#This Row],[BUFFER MATERIA PRIMA]],"")</f>
        <v/>
      </c>
      <c r="S6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65" s="19"/>
      <c r="U65" s="19"/>
      <c r="V65" s="19"/>
      <c r="W65" s="19"/>
      <c r="X65" s="19"/>
      <c r="Y65" s="19"/>
      <c r="Z65" s="19"/>
      <c r="AA65" s="19"/>
      <c r="AB65" s="19"/>
      <c r="AC65" s="152">
        <f t="array" ref="AC65">IFERROR(INDEX(TABLACONSOLIDADA[Buff Act],MATCH("AGROINSUMOSCENTRAL"&amp;Tabla_Buffers_Agroinsumos[[#This Row],[CODIGO ]],TABLACONSOLIDADA[Bodega]&amp;TABLACONSOLIDADA[Codigo],0)),"")</f>
        <v>25</v>
      </c>
      <c r="AD65" s="157">
        <f t="array" ref="AD65">IFERROR(INDEX(TABLACONSOLIDADA[Inv Fís Act],MATCH("AGROINSUMOSCENTRAL"&amp;Tabla_Buffers_Agroinsumos[[#This Row],[CODIGO ]],TABLACONSOLIDADA[Bodega]&amp;TABLACONSOLIDADA[Codigo],0)),"")</f>
        <v>36</v>
      </c>
      <c r="AE65" s="157">
        <f t="array" ref="AE6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36</v>
      </c>
      <c r="AF6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65" s="91">
        <f>IFERROR(SUM(Tabla_Buffers_Agroinsumos[[#This Row],[C-MP]:[C-VL]]),"")</f>
        <v>0</v>
      </c>
      <c r="AH65" s="92">
        <f>IFERROR(Tabla_Buffers_Agroinsumos[[#This Row],[INV FIS CENTRAL]]-Tabla_Buffers_Agroinsumos[[#This Row],[BUFFER CENTRAL]],"")</f>
        <v>11</v>
      </c>
      <c r="AI6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11</v>
      </c>
      <c r="AJ65" s="134"/>
      <c r="AK65" s="134"/>
      <c r="AL65" s="134"/>
      <c r="AM65" s="134"/>
      <c r="AN65" s="134"/>
      <c r="AO65" s="134"/>
      <c r="AP65" s="134"/>
      <c r="AQ65" s="134"/>
      <c r="AR65" s="134"/>
      <c r="AS65" s="134">
        <f t="array" ref="AS65">IFERROR(INDEX(TABLACONSOLIDADA[Buff Act],MATCH("AGROINSUMOScentralPROPIA"&amp;Tabla_Buffers_Agroinsumos[[#This Row],[CODIGO ]],TABLACONSOLIDADA[Bodega]&amp;TABLACONSOLIDADA[Codigo],0)),"")</f>
        <v>12</v>
      </c>
      <c r="AT65" s="157">
        <f t="array" ref="AT65">IFERROR(INDEX(TABLACONSOLIDADA[Inv Fís Act],MATCH("AGROINSUMOScentralPROPIA"&amp;Tabla_Buffers_Agroinsumos[[#This Row],[CODIGO ]],TABLACONSOLIDADA[Bodega]&amp;TABLACONSOLIDADA[Codigo],0)),"")</f>
        <v>0</v>
      </c>
      <c r="AU65" s="157">
        <f t="array" ref="AU6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6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65" s="134">
        <f>IFERROR(SUM(Tabla_Buffers_Agroinsumos[[#This Row],[P-MP]:[P-VL]]),"")</f>
        <v>0</v>
      </c>
      <c r="AX65" s="92">
        <f>IFERROR(Tabla_Buffers_Agroinsumos[[#This Row],[INV FIS PROPIA]]-Tabla_Buffers_Agroinsumos[[#This Row],[BUFFER PROPIA]],"")</f>
        <v>-12</v>
      </c>
      <c r="AY6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</v>
      </c>
      <c r="AZ65" s="134"/>
      <c r="BA65" s="134"/>
      <c r="BB65" s="134"/>
      <c r="BC65" s="134"/>
      <c r="BD65" s="134"/>
      <c r="BE65" s="134"/>
      <c r="BF65" s="134"/>
      <c r="BG65" s="134"/>
      <c r="BH65" s="134"/>
      <c r="BI65" s="91" t="str">
        <f t="array" ref="BI65">IFERROR(INDEX(TABLACONSOLIDADA[Buff Act],MATCH("AGROINSUMOSSTODOMINGO"&amp;Tabla_Buffers_Agroinsumos[[#This Row],[CODIGO ]],TABLACONSOLIDADA[Bodega]&amp;TABLACONSOLIDADA[Codigo],0)),"")</f>
        <v/>
      </c>
      <c r="BJ65" s="157" t="str">
        <f t="array" ref="BJ65">IFERROR(INDEX(TABLACONSOLIDADA[Inv Fís Act],MATCH("AGROINSUMOSSTODOMINGO"&amp;Tabla_Buffers_Agroinsumos[[#This Row],[CODIGO ]],TABLACONSOLIDADA[Bodega]&amp;TABLACONSOLIDADA[Codigo],0)),"")</f>
        <v/>
      </c>
      <c r="BK65" s="157" t="str">
        <f t="array" ref="BK6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6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65" s="91">
        <f>IFERROR(SUM(Tabla_Buffers_Agroinsumos[[#This Row],[SD-MP]:[SD-VL]]),"")</f>
        <v>0</v>
      </c>
      <c r="BN65" s="92"/>
      <c r="BO65" s="92"/>
      <c r="BP65" s="134"/>
      <c r="BQ65" s="134"/>
      <c r="BR65" s="134"/>
      <c r="BS65" s="134"/>
      <c r="BT65" s="134"/>
      <c r="BU65" s="134"/>
      <c r="BV65" s="134"/>
      <c r="BW65" s="134"/>
      <c r="BX65" s="134"/>
      <c r="BY65" s="134">
        <f t="array" ref="BY65">IFERROR(INDEX(TABLACONSOLIDADA[Buff Act],MATCH("AGROINSUMOSMONCAYOLOPEZ"&amp;Tabla_Buffers_Agroinsumos[[#This Row],[CODIGO ]],TABLACONSOLIDADA[Bodega]&amp;TABLACONSOLIDADA[Codigo],0)),"")</f>
        <v>0</v>
      </c>
      <c r="BZ65" s="157">
        <f t="array" ref="BZ65">IFERROR(INDEX(TABLACONSOLIDADA[Inv Fís Act],MATCH("AGROINSUMOSMONCAYOLOPEZ"&amp;Tabla_Buffers_Agroinsumos[[#This Row],[CODIGO ]],TABLACONSOLIDADA[Bodega]&amp;TABLACONSOLIDADA[Codigo],0)),"")</f>
        <v>0</v>
      </c>
      <c r="CA65" s="157">
        <f t="array" ref="CA6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6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65" s="134">
        <f>IFERROR(SUM(Tabla_Buffers_Agroinsumos[[#This Row],[ML-MP]:[ML-VL]]),"")</f>
        <v>0</v>
      </c>
      <c r="CD65" s="92">
        <f>IFERROR(Tabla_Buffers_Agroinsumos[[#This Row],[INV FIS ML]]-Tabla_Buffers_Agroinsumos[[#This Row],[BUFFER ML]],"")</f>
        <v>0</v>
      </c>
      <c r="CE6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65" s="134"/>
      <c r="CG65" s="134"/>
      <c r="CH65" s="134"/>
      <c r="CI65" s="134"/>
      <c r="CJ65" s="134"/>
      <c r="CK65" s="134"/>
      <c r="CL65" s="134"/>
      <c r="CM65" s="134"/>
      <c r="CN65" s="134"/>
      <c r="CO65" s="134">
        <f t="array" ref="CO65">IFERROR(INDEX(TABLACONSOLIDADA[Buff Act],MATCH("AGROINSUMOSAGROHERMANOSLEON"&amp;Tabla_Buffers_Agroinsumos[[#This Row],[CODIGO ]],TABLACONSOLIDADA[Bodega]&amp;TABLACONSOLIDADA[Codigo],0)),"")</f>
        <v>0</v>
      </c>
      <c r="CP65" s="157">
        <f t="array" ref="CP65">IFERROR(INDEX(TABLACONSOLIDADA[Inv Fís Act],MATCH("AGROINSUMOSAGROHERMANOSLEON"&amp;Tabla_Buffers_Agroinsumos[[#This Row],[CODIGO ]],TABLACONSOLIDADA[Bodega]&amp;TABLACONSOLIDADA[Codigo],0)),"")</f>
        <v>0</v>
      </c>
      <c r="CQ65" s="157">
        <f t="array" ref="CQ6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6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65" s="134">
        <f>IFERROR(SUM(Tabla_Buffers_Agroinsumos[[#This Row],[AL-MP]:[AL-VL]]),"")</f>
        <v>0</v>
      </c>
      <c r="CT65" s="92">
        <f>IFERROR(Tabla_Buffers_Agroinsumos[[#This Row],[INV FIS AL]]-Tabla_Buffers_Agroinsumos[[#This Row],[BUFFER AL]],"")</f>
        <v>0</v>
      </c>
      <c r="CU6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65" s="134"/>
      <c r="CW65" s="134"/>
      <c r="CX65" s="134"/>
      <c r="CY65" s="134"/>
      <c r="CZ65" s="134"/>
      <c r="DA65" s="134"/>
      <c r="DB65" s="134"/>
      <c r="DC65" s="134"/>
      <c r="DD65" s="134"/>
      <c r="DE65" s="134">
        <f t="array" ref="DE65">IFERROR(INDEX(TABLACONSOLIDADA[Buff Act],MATCH("AGROINSUMOSAGRONUEVO"&amp;Tabla_Buffers_Agroinsumos[[#This Row],[CODIGO ]],TABLACONSOLIDADA[Bodega]&amp;TABLACONSOLIDADA[Codigo],0)),"")</f>
        <v>0</v>
      </c>
      <c r="DF65" s="157">
        <f t="array" ref="DF65">IFERROR(INDEX(TABLACONSOLIDADA[Inv Fís Act],MATCH("AGROINSUMOSAGRONUEVO"&amp;Tabla_Buffers_Agroinsumos[[#This Row],[CODIGO ]],TABLACONSOLIDADA[Bodega]&amp;TABLACONSOLIDADA[Codigo],0)),"")</f>
        <v>0</v>
      </c>
      <c r="DG65" s="157">
        <f t="array" ref="DG6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6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65" s="134">
        <f>IFERROR(SUM(Tabla_Buffers_Agroinsumos[[#This Row],[AN-MP]:[AN-VL]]),"")</f>
        <v>0</v>
      </c>
      <c r="DJ65" s="92">
        <f>IFERROR(Tabla_Buffers_Agroinsumos[[#This Row],[INV FIS AN]]-Tabla_Buffers_Agroinsumos[[#This Row],[BUFFER AN]],"")</f>
        <v>0</v>
      </c>
      <c r="DK6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65" s="134"/>
      <c r="DM65" s="134"/>
      <c r="DN65" s="134"/>
      <c r="DO65" s="134"/>
      <c r="DP65" s="134"/>
      <c r="DQ65" s="134"/>
      <c r="DR65" s="134"/>
      <c r="DS65" s="134"/>
      <c r="DT65" s="134"/>
      <c r="DU65" s="134">
        <f t="array" ref="DU65">IFERROR(INDEX(TABLACONSOLIDADA[Buff Act],MATCH("AGROINSUMOSAGROQUIMICOSSUR"&amp;Tabla_Buffers_Agroinsumos[[#This Row],[CODIGO ]],TABLACONSOLIDADA[Bodega]&amp;TABLACONSOLIDADA[Codigo],0)),"")</f>
        <v>0</v>
      </c>
      <c r="DV65" s="157">
        <f t="array" ref="DV65">IFERROR(INDEX(TABLACONSOLIDADA[Inv Fís Act],MATCH("AGROINSUMOSAGROQUIMICOSSUR"&amp;Tabla_Buffers_Agroinsumos[[#This Row],[CODIGO ]],TABLACONSOLIDADA[Bodega]&amp;TABLACONSOLIDADA[Codigo],0)),"")</f>
        <v>0</v>
      </c>
      <c r="DW65" s="157">
        <f t="array" ref="DW6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6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65" s="134">
        <f>IFERROR(SUM(Tabla_Buffers_Agroinsumos[[#This Row],[AS-MP]:[AS-VL]]),"")</f>
        <v>0</v>
      </c>
      <c r="DZ65" s="92">
        <f>IFERROR(Tabla_Buffers_Agroinsumos[[#This Row],[INV FIS AS]]-Tabla_Buffers_Agroinsumos[[#This Row],[BUFFER AS]],"")</f>
        <v>0</v>
      </c>
      <c r="EA6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65" s="134"/>
      <c r="EC65" s="134"/>
      <c r="ED65" s="134"/>
      <c r="EE65" s="134"/>
      <c r="EF65" s="134"/>
      <c r="EG65" s="134"/>
      <c r="EH65" s="134"/>
      <c r="EI65" s="134"/>
      <c r="EJ65" s="134"/>
      <c r="EK65" s="134">
        <f t="array" ref="EK65">IFERROR(INDEX(TABLACONSOLIDADA[Buff Act],MATCH("AGROINSUMOSLAFINCA"&amp;Tabla_Buffers_Agroinsumos[[#This Row],[CODIGO ]],TABLACONSOLIDADA[Bodega]&amp;TABLACONSOLIDADA[Codigo],0)),"")</f>
        <v>0</v>
      </c>
      <c r="EL65" s="157">
        <f t="array" ref="EL65">IFERROR(INDEX(TABLACONSOLIDADA[Inv Fís Act],MATCH("AGROINSUMOSLAFINCA"&amp;Tabla_Buffers_Agroinsumos[[#This Row],[CODIGO ]],TABLACONSOLIDADA[Bodega]&amp;TABLACONSOLIDADA[Codigo],0)),"")</f>
        <v>0</v>
      </c>
      <c r="EM65" s="157">
        <f t="array" ref="EM6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6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65" s="134">
        <f>IFERROR(SUM(Tabla_Buffers_Agroinsumos[[#This Row],[LF-MP]:[LF-VL]]),"")</f>
        <v>0</v>
      </c>
      <c r="EP65" s="92">
        <f>IFERROR(Tabla_Buffers_Agroinsumos[[#This Row],[INV FIS LF]]-Tabla_Buffers_Agroinsumos[[#This Row],[BUFFER LF]],"")</f>
        <v>0</v>
      </c>
      <c r="EQ6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65" s="134"/>
      <c r="ES65" s="134"/>
      <c r="ET65" s="134"/>
      <c r="EU65" s="134"/>
      <c r="EV65" s="134"/>
      <c r="EW65" s="134"/>
      <c r="EX65" s="134"/>
      <c r="EY65" s="134"/>
      <c r="EZ65" s="134"/>
      <c r="FA65" s="134">
        <f t="array" ref="FA65">IFERROR(INDEX(TABLACONSOLIDADA[Buff Act],MATCH("AGROINSUMOSVERONICALEDESMA"&amp;Tabla_Buffers_Agroinsumos[[#This Row],[CODIGO ]],TABLACONSOLIDADA[Bodega]&amp;TABLACONSOLIDADA[Codigo],0)),"")</f>
        <v>0</v>
      </c>
      <c r="FB65" s="157">
        <f t="array" ref="FB65">IFERROR(INDEX(TABLACONSOLIDADA[Inv Fís Act],MATCH("AGROINSUMOSVERONICALEDESMA"&amp;Tabla_Buffers_Agroinsumos[[#This Row],[CODIGO ]],TABLACONSOLIDADA[Bodega]&amp;TABLACONSOLIDADA[Codigo],0)),"")</f>
        <v>0</v>
      </c>
      <c r="FC65" s="157">
        <f t="array" ref="FC6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6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65" s="134">
        <f>IFERROR(SUM(Tabla_Buffers_Agroinsumos[[#This Row],[VL-MP]:[VL-LF]]),"")</f>
        <v>0</v>
      </c>
      <c r="FF65" s="92">
        <f>IFERROR(Tabla_Buffers_Agroinsumos[[#This Row],[INV FIS VL]]-Tabla_Buffers_Agroinsumos[[#This Row],[BUFFER VL]],"")</f>
        <v>0</v>
      </c>
      <c r="FG65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65" s="134"/>
      <c r="FI65" s="134"/>
      <c r="FJ65" s="134"/>
      <c r="FK65" s="134"/>
      <c r="FL65" s="134"/>
      <c r="FM65" s="134"/>
      <c r="FN65" s="134"/>
      <c r="FO65" s="134"/>
      <c r="FP65" s="134"/>
    </row>
    <row r="66" spans="1:172">
      <c r="A66" s="7" t="s">
        <v>737</v>
      </c>
      <c r="B66" s="7" t="s">
        <v>763</v>
      </c>
      <c r="C66" s="7" t="s">
        <v>712</v>
      </c>
      <c r="D66" s="7" t="s">
        <v>732</v>
      </c>
      <c r="E66" s="7" t="s">
        <v>975</v>
      </c>
      <c r="F66" s="19" t="s">
        <v>698</v>
      </c>
      <c r="G66" s="19" t="s">
        <v>698</v>
      </c>
      <c r="H66" s="19">
        <f>VLOOKUP(Tabla_Buffers_Agroinsumos[[#This Row],[CODIGO ]],TABLACONSOLIDADA[[Codigo]:[PV]],6,0)</f>
        <v>171</v>
      </c>
      <c r="I66" s="19">
        <f>VLOOKUP(Tabla_Buffers_Agroinsumos[[#This Row],[CODIGO ]],TABLACONSOLIDADA[[Codigo]:[PV]],5,0)</f>
        <v>98.3</v>
      </c>
      <c r="J66" s="19" t="s">
        <v>698</v>
      </c>
      <c r="K66" s="19" t="s">
        <v>698</v>
      </c>
      <c r="L66" s="19">
        <f>IFERROR(Tabla_Buffers_Agroinsumos[[#This Row],[BUFFER CENTRAL]]/((Tabla_Buffers_Agroinsumos[[#This Row],[TIEMPO REPOSICION ]]/Tabla_Buffers_Agroinsumos[[#This Row],[FRECUENCIA]])+1),0)</f>
        <v>0</v>
      </c>
      <c r="M66" s="19" t="str">
        <f t="array" ref="M66">IFERROR(INDEX(TABLACONSOLIDADA[Buff Act],MATCH("AGROINSUMOSMATERIAPRIMA"&amp;Tabla_Buffers_Agroinsumos[[#This Row],[CODIGO ]],TABLACONSOLIDADA[Bodega]&amp;TABLACONSOLIDADA[Codigo],0)),"")</f>
        <v/>
      </c>
      <c r="N66" s="157" t="str">
        <f t="array" ref="N66">IFERROR(INDEX(TABLACONSOLIDADA[Inv Fís Act],MATCH("AGROINSUMOSMATERIAPRIMA"&amp;Tabla_Buffers_Agroinsumos[[#This Row],[CODIGO ]],TABLACONSOLIDADA[Bodega]&amp;TABLACONSOLIDADA[Codigo],0)),"")</f>
        <v/>
      </c>
      <c r="O66" s="157" t="str">
        <f t="array" ref="O6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6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66" s="19">
        <f>IFERROR(SUM(Tabla_Buffers_Agroinsumos[[#This Row],[MP-C]:[MP-VL]]),"")</f>
        <v>0</v>
      </c>
      <c r="R66" s="92" t="str">
        <f>IFERROR(Tabla_Buffers_Agroinsumos[[#This Row],[INV FIS MATERIA PRIMA]]-Tabla_Buffers_Agroinsumos[[#This Row],[BUFFER MATERIA PRIMA]],"")</f>
        <v/>
      </c>
      <c r="S6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66" s="19"/>
      <c r="U66" s="19"/>
      <c r="V66" s="19"/>
      <c r="W66" s="19"/>
      <c r="X66" s="19"/>
      <c r="Y66" s="19"/>
      <c r="Z66" s="19"/>
      <c r="AA66" s="19"/>
      <c r="AB66" s="19"/>
      <c r="AC66" s="152">
        <f t="array" ref="AC66">IFERROR(INDEX(TABLACONSOLIDADA[Buff Act],MATCH("AGROINSUMOSCENTRAL"&amp;Tabla_Buffers_Agroinsumos[[#This Row],[CODIGO ]],TABLACONSOLIDADA[Bodega]&amp;TABLACONSOLIDADA[Codigo],0)),"")</f>
        <v>6</v>
      </c>
      <c r="AD66" s="157">
        <f t="array" ref="AD66">IFERROR(INDEX(TABLACONSOLIDADA[Inv Fís Act],MATCH("AGROINSUMOSCENTRAL"&amp;Tabla_Buffers_Agroinsumos[[#This Row],[CODIGO ]],TABLACONSOLIDADA[Bodega]&amp;TABLACONSOLIDADA[Codigo],0)),"")</f>
        <v>12</v>
      </c>
      <c r="AE66" s="157">
        <f t="array" ref="AE6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12</v>
      </c>
      <c r="AF6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66" s="91">
        <f>IFERROR(SUM(Tabla_Buffers_Agroinsumos[[#This Row],[C-MP]:[C-VL]]),"")</f>
        <v>0</v>
      </c>
      <c r="AH66" s="92">
        <f>IFERROR(Tabla_Buffers_Agroinsumos[[#This Row],[INV FIS CENTRAL]]-Tabla_Buffers_Agroinsumos[[#This Row],[BUFFER CENTRAL]],"")</f>
        <v>6</v>
      </c>
      <c r="AI66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6</v>
      </c>
      <c r="AJ66" s="134"/>
      <c r="AK66" s="134"/>
      <c r="AL66" s="134"/>
      <c r="AM66" s="134"/>
      <c r="AN66" s="134"/>
      <c r="AO66" s="134"/>
      <c r="AP66" s="134"/>
      <c r="AQ66" s="134"/>
      <c r="AR66" s="134"/>
      <c r="AS66" s="134">
        <f t="array" ref="AS66">IFERROR(INDEX(TABLACONSOLIDADA[Buff Act],MATCH("AGROINSUMOScentralPROPIA"&amp;Tabla_Buffers_Agroinsumos[[#This Row],[CODIGO ]],TABLACONSOLIDADA[Bodega]&amp;TABLACONSOLIDADA[Codigo],0)),"")</f>
        <v>2</v>
      </c>
      <c r="AT66" s="157">
        <f t="array" ref="AT66">IFERROR(INDEX(TABLACONSOLIDADA[Inv Fís Act],MATCH("AGROINSUMOScentralPROPIA"&amp;Tabla_Buffers_Agroinsumos[[#This Row],[CODIGO ]],TABLACONSOLIDADA[Bodega]&amp;TABLACONSOLIDADA[Codigo],0)),"")</f>
        <v>0</v>
      </c>
      <c r="AU66" s="157">
        <f t="array" ref="AU6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6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66" s="134">
        <f>IFERROR(SUM(Tabla_Buffers_Agroinsumos[[#This Row],[P-MP]:[P-VL]]),"")</f>
        <v>0</v>
      </c>
      <c r="AX66" s="92">
        <f>IFERROR(Tabla_Buffers_Agroinsumos[[#This Row],[INV FIS PROPIA]]-Tabla_Buffers_Agroinsumos[[#This Row],[BUFFER PROPIA]],"")</f>
        <v>-2</v>
      </c>
      <c r="AY66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</v>
      </c>
      <c r="AZ66" s="134"/>
      <c r="BA66" s="134"/>
      <c r="BB66" s="134"/>
      <c r="BC66" s="134"/>
      <c r="BD66" s="134"/>
      <c r="BE66" s="134"/>
      <c r="BF66" s="134"/>
      <c r="BG66" s="134"/>
      <c r="BH66" s="134"/>
      <c r="BI66" s="91">
        <f t="array" ref="BI66">IFERROR(INDEX(TABLACONSOLIDADA[Buff Act],MATCH("AGROINSUMOSSTODOMINGO"&amp;Tabla_Buffers_Agroinsumos[[#This Row],[CODIGO ]],TABLACONSOLIDADA[Bodega]&amp;TABLACONSOLIDADA[Codigo],0)),"")</f>
        <v>0</v>
      </c>
      <c r="BJ66" s="157">
        <f t="array" ref="BJ66">IFERROR(INDEX(TABLACONSOLIDADA[Inv Fís Act],MATCH("AGROINSUMOSSTODOMINGO"&amp;Tabla_Buffers_Agroinsumos[[#This Row],[CODIGO ]],TABLACONSOLIDADA[Bodega]&amp;TABLACONSOLIDADA[Codigo],0)),"")</f>
        <v>0</v>
      </c>
      <c r="BK66" s="157">
        <f t="array" ref="BK6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6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66" s="91">
        <f>IFERROR(SUM(Tabla_Buffers_Agroinsumos[[#This Row],[SD-MP]:[SD-VL]]),"")</f>
        <v>0</v>
      </c>
      <c r="BN66" s="92"/>
      <c r="BO66" s="92"/>
      <c r="BP66" s="134"/>
      <c r="BQ66" s="134"/>
      <c r="BR66" s="134"/>
      <c r="BS66" s="134"/>
      <c r="BT66" s="134"/>
      <c r="BU66" s="134"/>
      <c r="BV66" s="134"/>
      <c r="BW66" s="134"/>
      <c r="BX66" s="134"/>
      <c r="BY66" s="134">
        <f t="array" ref="BY66">IFERROR(INDEX(TABLACONSOLIDADA[Buff Act],MATCH("AGROINSUMOSMONCAYOLOPEZ"&amp;Tabla_Buffers_Agroinsumos[[#This Row],[CODIGO ]],TABLACONSOLIDADA[Bodega]&amp;TABLACONSOLIDADA[Codigo],0)),"")</f>
        <v>0</v>
      </c>
      <c r="BZ66" s="157">
        <f t="array" ref="BZ66">IFERROR(INDEX(TABLACONSOLIDADA[Inv Fís Act],MATCH("AGROINSUMOSMONCAYOLOPEZ"&amp;Tabla_Buffers_Agroinsumos[[#This Row],[CODIGO ]],TABLACONSOLIDADA[Bodega]&amp;TABLACONSOLIDADA[Codigo],0)),"")</f>
        <v>0</v>
      </c>
      <c r="CA66" s="157">
        <f t="array" ref="CA6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6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66" s="134">
        <f>IFERROR(SUM(Tabla_Buffers_Agroinsumos[[#This Row],[ML-MP]:[ML-VL]]),"")</f>
        <v>0</v>
      </c>
      <c r="CD66" s="92">
        <f>IFERROR(Tabla_Buffers_Agroinsumos[[#This Row],[INV FIS ML]]-Tabla_Buffers_Agroinsumos[[#This Row],[BUFFER ML]],"")</f>
        <v>0</v>
      </c>
      <c r="CE66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66" s="134"/>
      <c r="CG66" s="134"/>
      <c r="CH66" s="134"/>
      <c r="CI66" s="134"/>
      <c r="CJ66" s="134"/>
      <c r="CK66" s="134"/>
      <c r="CL66" s="134"/>
      <c r="CM66" s="134"/>
      <c r="CN66" s="134"/>
      <c r="CO66" s="134">
        <f t="array" ref="CO66">IFERROR(INDEX(TABLACONSOLIDADA[Buff Act],MATCH("AGROINSUMOSAGROHERMANOSLEON"&amp;Tabla_Buffers_Agroinsumos[[#This Row],[CODIGO ]],TABLACONSOLIDADA[Bodega]&amp;TABLACONSOLIDADA[Codigo],0)),"")</f>
        <v>0</v>
      </c>
      <c r="CP66" s="157">
        <f t="array" ref="CP66">IFERROR(INDEX(TABLACONSOLIDADA[Inv Fís Act],MATCH("AGROINSUMOSAGROHERMANOSLEON"&amp;Tabla_Buffers_Agroinsumos[[#This Row],[CODIGO ]],TABLACONSOLIDADA[Bodega]&amp;TABLACONSOLIDADA[Codigo],0)),"")</f>
        <v>0</v>
      </c>
      <c r="CQ66" s="157">
        <f t="array" ref="CQ6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6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66" s="134">
        <f>IFERROR(SUM(Tabla_Buffers_Agroinsumos[[#This Row],[AL-MP]:[AL-VL]]),"")</f>
        <v>0</v>
      </c>
      <c r="CT66" s="92">
        <f>IFERROR(Tabla_Buffers_Agroinsumos[[#This Row],[INV FIS AL]]-Tabla_Buffers_Agroinsumos[[#This Row],[BUFFER AL]],"")</f>
        <v>0</v>
      </c>
      <c r="CU66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66" s="134"/>
      <c r="CW66" s="134"/>
      <c r="CX66" s="134"/>
      <c r="CY66" s="134"/>
      <c r="CZ66" s="134"/>
      <c r="DA66" s="134"/>
      <c r="DB66" s="134"/>
      <c r="DC66" s="134"/>
      <c r="DD66" s="134"/>
      <c r="DE66" s="134">
        <f t="array" ref="DE66">IFERROR(INDEX(TABLACONSOLIDADA[Buff Act],MATCH("AGROINSUMOSAGRONUEVO"&amp;Tabla_Buffers_Agroinsumos[[#This Row],[CODIGO ]],TABLACONSOLIDADA[Bodega]&amp;TABLACONSOLIDADA[Codigo],0)),"")</f>
        <v>0</v>
      </c>
      <c r="DF66" s="157">
        <f t="array" ref="DF66">IFERROR(INDEX(TABLACONSOLIDADA[Inv Fís Act],MATCH("AGROINSUMOSAGRONUEVO"&amp;Tabla_Buffers_Agroinsumos[[#This Row],[CODIGO ]],TABLACONSOLIDADA[Bodega]&amp;TABLACONSOLIDADA[Codigo],0)),"")</f>
        <v>0</v>
      </c>
      <c r="DG66" s="157">
        <f t="array" ref="DG6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6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66" s="134">
        <f>IFERROR(SUM(Tabla_Buffers_Agroinsumos[[#This Row],[AN-MP]:[AN-VL]]),"")</f>
        <v>0</v>
      </c>
      <c r="DJ66" s="92">
        <f>IFERROR(Tabla_Buffers_Agroinsumos[[#This Row],[INV FIS AN]]-Tabla_Buffers_Agroinsumos[[#This Row],[BUFFER AN]],"")</f>
        <v>0</v>
      </c>
      <c r="DK66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66" s="134"/>
      <c r="DM66" s="134"/>
      <c r="DN66" s="134"/>
      <c r="DO66" s="134"/>
      <c r="DP66" s="134"/>
      <c r="DQ66" s="134"/>
      <c r="DR66" s="134"/>
      <c r="DS66" s="134"/>
      <c r="DT66" s="134"/>
      <c r="DU66" s="134">
        <f t="array" ref="DU66">IFERROR(INDEX(TABLACONSOLIDADA[Buff Act],MATCH("AGROINSUMOSAGROQUIMICOSSUR"&amp;Tabla_Buffers_Agroinsumos[[#This Row],[CODIGO ]],TABLACONSOLIDADA[Bodega]&amp;TABLACONSOLIDADA[Codigo],0)),"")</f>
        <v>0</v>
      </c>
      <c r="DV66" s="157">
        <f t="array" ref="DV66">IFERROR(INDEX(TABLACONSOLIDADA[Inv Fís Act],MATCH("AGROINSUMOSAGROQUIMICOSSUR"&amp;Tabla_Buffers_Agroinsumos[[#This Row],[CODIGO ]],TABLACONSOLIDADA[Bodega]&amp;TABLACONSOLIDADA[Codigo],0)),"")</f>
        <v>0</v>
      </c>
      <c r="DW66" s="157">
        <f t="array" ref="DW6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6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66" s="134">
        <f>IFERROR(SUM(Tabla_Buffers_Agroinsumos[[#This Row],[AS-MP]:[AS-VL]]),"")</f>
        <v>0</v>
      </c>
      <c r="DZ66" s="92">
        <f>IFERROR(Tabla_Buffers_Agroinsumos[[#This Row],[INV FIS AS]]-Tabla_Buffers_Agroinsumos[[#This Row],[BUFFER AS]],"")</f>
        <v>0</v>
      </c>
      <c r="EA66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66" s="134"/>
      <c r="EC66" s="134"/>
      <c r="ED66" s="134"/>
      <c r="EE66" s="134"/>
      <c r="EF66" s="134"/>
      <c r="EG66" s="134"/>
      <c r="EH66" s="134"/>
      <c r="EI66" s="134"/>
      <c r="EJ66" s="134"/>
      <c r="EK66" s="134">
        <f t="array" ref="EK66">IFERROR(INDEX(TABLACONSOLIDADA[Buff Act],MATCH("AGROINSUMOSLAFINCA"&amp;Tabla_Buffers_Agroinsumos[[#This Row],[CODIGO ]],TABLACONSOLIDADA[Bodega]&amp;TABLACONSOLIDADA[Codigo],0)),"")</f>
        <v>0</v>
      </c>
      <c r="EL66" s="157">
        <f t="array" ref="EL66">IFERROR(INDEX(TABLACONSOLIDADA[Inv Fís Act],MATCH("AGROINSUMOSLAFINCA"&amp;Tabla_Buffers_Agroinsumos[[#This Row],[CODIGO ]],TABLACONSOLIDADA[Bodega]&amp;TABLACONSOLIDADA[Codigo],0)),"")</f>
        <v>0</v>
      </c>
      <c r="EM66" s="157">
        <f t="array" ref="EM6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6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66" s="134">
        <f>IFERROR(SUM(Tabla_Buffers_Agroinsumos[[#This Row],[LF-MP]:[LF-VL]]),"")</f>
        <v>0</v>
      </c>
      <c r="EP66" s="92">
        <f>IFERROR(Tabla_Buffers_Agroinsumos[[#This Row],[INV FIS LF]]-Tabla_Buffers_Agroinsumos[[#This Row],[BUFFER LF]],"")</f>
        <v>0</v>
      </c>
      <c r="EQ66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66" s="134"/>
      <c r="ES66" s="134"/>
      <c r="ET66" s="134"/>
      <c r="EU66" s="134"/>
      <c r="EV66" s="134"/>
      <c r="EW66" s="134"/>
      <c r="EX66" s="134"/>
      <c r="EY66" s="134"/>
      <c r="EZ66" s="134"/>
      <c r="FA66" s="134">
        <f t="array" ref="FA66">IFERROR(INDEX(TABLACONSOLIDADA[Buff Act],MATCH("AGROINSUMOSVERONICALEDESMA"&amp;Tabla_Buffers_Agroinsumos[[#This Row],[CODIGO ]],TABLACONSOLIDADA[Bodega]&amp;TABLACONSOLIDADA[Codigo],0)),"")</f>
        <v>0</v>
      </c>
      <c r="FB66" s="157">
        <f t="array" ref="FB66">IFERROR(INDEX(TABLACONSOLIDADA[Inv Fís Act],MATCH("AGROINSUMOSVERONICALEDESMA"&amp;Tabla_Buffers_Agroinsumos[[#This Row],[CODIGO ]],TABLACONSOLIDADA[Bodega]&amp;TABLACONSOLIDADA[Codigo],0)),"")</f>
        <v>0</v>
      </c>
      <c r="FC66" s="157">
        <f t="array" ref="FC6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6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66" s="134">
        <f>IFERROR(SUM(Tabla_Buffers_Agroinsumos[[#This Row],[VL-MP]:[VL-LF]]),"")</f>
        <v>0</v>
      </c>
      <c r="FF66" s="92">
        <f>IFERROR(Tabla_Buffers_Agroinsumos[[#This Row],[INV FIS VL]]-Tabla_Buffers_Agroinsumos[[#This Row],[BUFFER VL]],"")</f>
        <v>0</v>
      </c>
      <c r="FG66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66" s="134"/>
      <c r="FI66" s="134"/>
      <c r="FJ66" s="134"/>
      <c r="FK66" s="134"/>
      <c r="FL66" s="134"/>
      <c r="FM66" s="134"/>
      <c r="FN66" s="134"/>
      <c r="FO66" s="134"/>
      <c r="FP66" s="134"/>
    </row>
    <row r="67" spans="1:172">
      <c r="A67" s="7" t="s">
        <v>742</v>
      </c>
      <c r="B67" s="7" t="s">
        <v>764</v>
      </c>
      <c r="C67" s="7" t="s">
        <v>712</v>
      </c>
      <c r="D67" s="7" t="s">
        <v>732</v>
      </c>
      <c r="E67" s="7" t="s">
        <v>975</v>
      </c>
      <c r="F67" s="19" t="s">
        <v>698</v>
      </c>
      <c r="G67" s="19" t="s">
        <v>698</v>
      </c>
      <c r="H67" s="19">
        <f>VLOOKUP(Tabla_Buffers_Agroinsumos[[#This Row],[CODIGO ]],TABLACONSOLIDADA[[Codigo]:[PV]],6,0)</f>
        <v>49.8</v>
      </c>
      <c r="I67" s="19">
        <f>VLOOKUP(Tabla_Buffers_Agroinsumos[[#This Row],[CODIGO ]],TABLACONSOLIDADA[[Codigo]:[PV]],5,0)</f>
        <v>26.65</v>
      </c>
      <c r="J67" s="19" t="s">
        <v>698</v>
      </c>
      <c r="K67" s="19" t="s">
        <v>698</v>
      </c>
      <c r="L67" s="19">
        <f>IFERROR(Tabla_Buffers_Agroinsumos[[#This Row],[BUFFER CENTRAL]]/((Tabla_Buffers_Agroinsumos[[#This Row],[TIEMPO REPOSICION ]]/Tabla_Buffers_Agroinsumos[[#This Row],[FRECUENCIA]])+1),0)</f>
        <v>0</v>
      </c>
      <c r="M67" s="19" t="str">
        <f t="array" ref="M67">IFERROR(INDEX(TABLACONSOLIDADA[Buff Act],MATCH("AGROINSUMOSMATERIAPRIMA"&amp;Tabla_Buffers_Agroinsumos[[#This Row],[CODIGO ]],TABLACONSOLIDADA[Bodega]&amp;TABLACONSOLIDADA[Codigo],0)),"")</f>
        <v/>
      </c>
      <c r="N67" s="157" t="str">
        <f t="array" ref="N67">IFERROR(INDEX(TABLACONSOLIDADA[Inv Fís Act],MATCH("AGROINSUMOSMATERIAPRIMA"&amp;Tabla_Buffers_Agroinsumos[[#This Row],[CODIGO ]],TABLACONSOLIDADA[Bodega]&amp;TABLACONSOLIDADA[Codigo],0)),"")</f>
        <v/>
      </c>
      <c r="O67" s="157" t="str">
        <f t="array" ref="O6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6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67" s="19">
        <f>IFERROR(SUM(Tabla_Buffers_Agroinsumos[[#This Row],[MP-C]:[MP-VL]]),"")</f>
        <v>0</v>
      </c>
      <c r="R67" s="92" t="str">
        <f>IFERROR(Tabla_Buffers_Agroinsumos[[#This Row],[INV FIS MATERIA PRIMA]]-Tabla_Buffers_Agroinsumos[[#This Row],[BUFFER MATERIA PRIMA]],"")</f>
        <v/>
      </c>
      <c r="S6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67" s="19"/>
      <c r="U67" s="19"/>
      <c r="V67" s="19"/>
      <c r="W67" s="19"/>
      <c r="X67" s="19"/>
      <c r="Y67" s="19"/>
      <c r="Z67" s="19"/>
      <c r="AA67" s="19"/>
      <c r="AB67" s="19"/>
      <c r="AC67" s="152">
        <f t="array" ref="AC67">IFERROR(INDEX(TABLACONSOLIDADA[Buff Act],MATCH("AGROINSUMOSCENTRAL"&amp;Tabla_Buffers_Agroinsumos[[#This Row],[CODIGO ]],TABLACONSOLIDADA[Bodega]&amp;TABLACONSOLIDADA[Codigo],0)),"")</f>
        <v>50</v>
      </c>
      <c r="AD67" s="157">
        <f t="array" ref="AD67">IFERROR(INDEX(TABLACONSOLIDADA[Inv Fís Act],MATCH("AGROINSUMOSCENTRAL"&amp;Tabla_Buffers_Agroinsumos[[#This Row],[CODIGO ]],TABLACONSOLIDADA[Bodega]&amp;TABLACONSOLIDADA[Codigo],0)),"")</f>
        <v>159</v>
      </c>
      <c r="AE67" s="157">
        <f t="array" ref="AE6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179</v>
      </c>
      <c r="AF6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67" s="91">
        <f>IFERROR(SUM(Tabla_Buffers_Agroinsumos[[#This Row],[C-MP]:[C-VL]]),"")</f>
        <v>0</v>
      </c>
      <c r="AH67" s="92">
        <f>IFERROR(Tabla_Buffers_Agroinsumos[[#This Row],[INV FIS CENTRAL]]-Tabla_Buffers_Agroinsumos[[#This Row],[BUFFER CENTRAL]],"")</f>
        <v>109</v>
      </c>
      <c r="AI6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109</v>
      </c>
      <c r="AJ67" s="134"/>
      <c r="AK67" s="134"/>
      <c r="AL67" s="134"/>
      <c r="AM67" s="134"/>
      <c r="AN67" s="134"/>
      <c r="AO67" s="134"/>
      <c r="AP67" s="134"/>
      <c r="AQ67" s="134"/>
      <c r="AR67" s="134"/>
      <c r="AS67" s="134">
        <f t="array" ref="AS67">IFERROR(INDEX(TABLACONSOLIDADA[Buff Act],MATCH("AGROINSUMOScentralPROPIA"&amp;Tabla_Buffers_Agroinsumos[[#This Row],[CODIGO ]],TABLACONSOLIDADA[Bodega]&amp;TABLACONSOLIDADA[Codigo],0)),"")</f>
        <v>30</v>
      </c>
      <c r="AT67" s="157">
        <f t="array" ref="AT67">IFERROR(INDEX(TABLACONSOLIDADA[Inv Fís Act],MATCH("AGROINSUMOScentralPROPIA"&amp;Tabla_Buffers_Agroinsumos[[#This Row],[CODIGO ]],TABLACONSOLIDADA[Bodega]&amp;TABLACONSOLIDADA[Codigo],0)),"")</f>
        <v>0</v>
      </c>
      <c r="AU67" s="157">
        <f t="array" ref="AU6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6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67" s="134">
        <f>IFERROR(SUM(Tabla_Buffers_Agroinsumos[[#This Row],[P-MP]:[P-VL]]),"")</f>
        <v>0</v>
      </c>
      <c r="AX67" s="92">
        <f>IFERROR(Tabla_Buffers_Agroinsumos[[#This Row],[INV FIS PROPIA]]-Tabla_Buffers_Agroinsumos[[#This Row],[BUFFER PROPIA]],"")</f>
        <v>-30</v>
      </c>
      <c r="AY6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</v>
      </c>
      <c r="AZ67" s="134"/>
      <c r="BA67" s="134"/>
      <c r="BB67" s="134"/>
      <c r="BC67" s="134"/>
      <c r="BD67" s="134"/>
      <c r="BE67" s="134"/>
      <c r="BF67" s="134"/>
      <c r="BG67" s="134"/>
      <c r="BH67" s="134"/>
      <c r="BI67" s="91">
        <f t="array" ref="BI67">IFERROR(INDEX(TABLACONSOLIDADA[Buff Act],MATCH("AGROINSUMOSSTODOMINGO"&amp;Tabla_Buffers_Agroinsumos[[#This Row],[CODIGO ]],TABLACONSOLIDADA[Bodega]&amp;TABLACONSOLIDADA[Codigo],0)),"")</f>
        <v>0</v>
      </c>
      <c r="BJ67" s="157">
        <f t="array" ref="BJ67">IFERROR(INDEX(TABLACONSOLIDADA[Inv Fís Act],MATCH("AGROINSUMOSSTODOMINGO"&amp;Tabla_Buffers_Agroinsumos[[#This Row],[CODIGO ]],TABLACONSOLIDADA[Bodega]&amp;TABLACONSOLIDADA[Codigo],0)),"")</f>
        <v>20</v>
      </c>
      <c r="BK67" s="157">
        <f t="array" ref="BK6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20</v>
      </c>
      <c r="BL6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67" s="91">
        <f>IFERROR(SUM(Tabla_Buffers_Agroinsumos[[#This Row],[SD-MP]:[SD-VL]]),"")</f>
        <v>0</v>
      </c>
      <c r="BN67" s="92"/>
      <c r="BO67" s="92"/>
      <c r="BP67" s="134"/>
      <c r="BQ67" s="134"/>
      <c r="BR67" s="134"/>
      <c r="BS67" s="134"/>
      <c r="BT67" s="134"/>
      <c r="BU67" s="134"/>
      <c r="BV67" s="134"/>
      <c r="BW67" s="134"/>
      <c r="BX67" s="134"/>
      <c r="BY67" s="134">
        <f t="array" ref="BY67">IFERROR(INDEX(TABLACONSOLIDADA[Buff Act],MATCH("AGROINSUMOSMONCAYOLOPEZ"&amp;Tabla_Buffers_Agroinsumos[[#This Row],[CODIGO ]],TABLACONSOLIDADA[Bodega]&amp;TABLACONSOLIDADA[Codigo],0)),"")</f>
        <v>0</v>
      </c>
      <c r="BZ67" s="157">
        <f t="array" ref="BZ67">IFERROR(INDEX(TABLACONSOLIDADA[Inv Fís Act],MATCH("AGROINSUMOSMONCAYOLOPEZ"&amp;Tabla_Buffers_Agroinsumos[[#This Row],[CODIGO ]],TABLACONSOLIDADA[Bodega]&amp;TABLACONSOLIDADA[Codigo],0)),"")</f>
        <v>0</v>
      </c>
      <c r="CA67" s="157">
        <f t="array" ref="CA6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6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67" s="134">
        <f>IFERROR(SUM(Tabla_Buffers_Agroinsumos[[#This Row],[ML-MP]:[ML-VL]]),"")</f>
        <v>0</v>
      </c>
      <c r="CD67" s="92">
        <f>IFERROR(Tabla_Buffers_Agroinsumos[[#This Row],[INV FIS ML]]-Tabla_Buffers_Agroinsumos[[#This Row],[BUFFER ML]],"")</f>
        <v>0</v>
      </c>
      <c r="CE67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67" s="134"/>
      <c r="CG67" s="134"/>
      <c r="CH67" s="134"/>
      <c r="CI67" s="134"/>
      <c r="CJ67" s="134"/>
      <c r="CK67" s="134"/>
      <c r="CL67" s="134"/>
      <c r="CM67" s="134"/>
      <c r="CN67" s="134"/>
      <c r="CO67" s="134">
        <f t="array" ref="CO67">IFERROR(INDEX(TABLACONSOLIDADA[Buff Act],MATCH("AGROINSUMOSAGROHERMANOSLEON"&amp;Tabla_Buffers_Agroinsumos[[#This Row],[CODIGO ]],TABLACONSOLIDADA[Bodega]&amp;TABLACONSOLIDADA[Codigo],0)),"")</f>
        <v>0</v>
      </c>
      <c r="CP67" s="157">
        <f t="array" ref="CP67">IFERROR(INDEX(TABLACONSOLIDADA[Inv Fís Act],MATCH("AGROINSUMOSAGROHERMANOSLEON"&amp;Tabla_Buffers_Agroinsumos[[#This Row],[CODIGO ]],TABLACONSOLIDADA[Bodega]&amp;TABLACONSOLIDADA[Codigo],0)),"")</f>
        <v>0</v>
      </c>
      <c r="CQ67" s="157">
        <f t="array" ref="CQ6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6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67" s="134">
        <f>IFERROR(SUM(Tabla_Buffers_Agroinsumos[[#This Row],[AL-MP]:[AL-VL]]),"")</f>
        <v>0</v>
      </c>
      <c r="CT67" s="92">
        <f>IFERROR(Tabla_Buffers_Agroinsumos[[#This Row],[INV FIS AL]]-Tabla_Buffers_Agroinsumos[[#This Row],[BUFFER AL]],"")</f>
        <v>0</v>
      </c>
      <c r="CU6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67" s="134"/>
      <c r="CW67" s="134"/>
      <c r="CX67" s="134"/>
      <c r="CY67" s="134"/>
      <c r="CZ67" s="134"/>
      <c r="DA67" s="134"/>
      <c r="DB67" s="134"/>
      <c r="DC67" s="134"/>
      <c r="DD67" s="134"/>
      <c r="DE67" s="134">
        <f t="array" ref="DE67">IFERROR(INDEX(TABLACONSOLIDADA[Buff Act],MATCH("AGROINSUMOSAGRONUEVO"&amp;Tabla_Buffers_Agroinsumos[[#This Row],[CODIGO ]],TABLACONSOLIDADA[Bodega]&amp;TABLACONSOLIDADA[Codigo],0)),"")</f>
        <v>0</v>
      </c>
      <c r="DF67" s="157">
        <f t="array" ref="DF67">IFERROR(INDEX(TABLACONSOLIDADA[Inv Fís Act],MATCH("AGROINSUMOSAGRONUEVO"&amp;Tabla_Buffers_Agroinsumos[[#This Row],[CODIGO ]],TABLACONSOLIDADA[Bodega]&amp;TABLACONSOLIDADA[Codigo],0)),"")</f>
        <v>0</v>
      </c>
      <c r="DG67" s="157">
        <f t="array" ref="DG6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6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67" s="134">
        <f>IFERROR(SUM(Tabla_Buffers_Agroinsumos[[#This Row],[AN-MP]:[AN-VL]]),"")</f>
        <v>0</v>
      </c>
      <c r="DJ67" s="92">
        <f>IFERROR(Tabla_Buffers_Agroinsumos[[#This Row],[INV FIS AN]]-Tabla_Buffers_Agroinsumos[[#This Row],[BUFFER AN]],"")</f>
        <v>0</v>
      </c>
      <c r="DK6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67" s="134"/>
      <c r="DM67" s="134"/>
      <c r="DN67" s="134"/>
      <c r="DO67" s="134"/>
      <c r="DP67" s="134"/>
      <c r="DQ67" s="134"/>
      <c r="DR67" s="134"/>
      <c r="DS67" s="134"/>
      <c r="DT67" s="134"/>
      <c r="DU67" s="134">
        <f t="array" ref="DU67">IFERROR(INDEX(TABLACONSOLIDADA[Buff Act],MATCH("AGROINSUMOSAGROQUIMICOSSUR"&amp;Tabla_Buffers_Agroinsumos[[#This Row],[CODIGO ]],TABLACONSOLIDADA[Bodega]&amp;TABLACONSOLIDADA[Codigo],0)),"")</f>
        <v>0</v>
      </c>
      <c r="DV67" s="157">
        <f t="array" ref="DV67">IFERROR(INDEX(TABLACONSOLIDADA[Inv Fís Act],MATCH("AGROINSUMOSAGROQUIMICOSSUR"&amp;Tabla_Buffers_Agroinsumos[[#This Row],[CODIGO ]],TABLACONSOLIDADA[Bodega]&amp;TABLACONSOLIDADA[Codigo],0)),"")</f>
        <v>0</v>
      </c>
      <c r="DW67" s="157">
        <f t="array" ref="DW6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6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67" s="134">
        <f>IFERROR(SUM(Tabla_Buffers_Agroinsumos[[#This Row],[AS-MP]:[AS-VL]]),"")</f>
        <v>0</v>
      </c>
      <c r="DZ67" s="92">
        <f>IFERROR(Tabla_Buffers_Agroinsumos[[#This Row],[INV FIS AS]]-Tabla_Buffers_Agroinsumos[[#This Row],[BUFFER AS]],"")</f>
        <v>0</v>
      </c>
      <c r="EA6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67" s="134"/>
      <c r="EC67" s="134"/>
      <c r="ED67" s="134"/>
      <c r="EE67" s="134"/>
      <c r="EF67" s="134"/>
      <c r="EG67" s="134"/>
      <c r="EH67" s="134"/>
      <c r="EI67" s="134"/>
      <c r="EJ67" s="134"/>
      <c r="EK67" s="134">
        <f t="array" ref="EK67">IFERROR(INDEX(TABLACONSOLIDADA[Buff Act],MATCH("AGROINSUMOSLAFINCA"&amp;Tabla_Buffers_Agroinsumos[[#This Row],[CODIGO ]],TABLACONSOLIDADA[Bodega]&amp;TABLACONSOLIDADA[Codigo],0)),"")</f>
        <v>0</v>
      </c>
      <c r="EL67" s="157">
        <f t="array" ref="EL67">IFERROR(INDEX(TABLACONSOLIDADA[Inv Fís Act],MATCH("AGROINSUMOSLAFINCA"&amp;Tabla_Buffers_Agroinsumos[[#This Row],[CODIGO ]],TABLACONSOLIDADA[Bodega]&amp;TABLACONSOLIDADA[Codigo],0)),"")</f>
        <v>0</v>
      </c>
      <c r="EM67" s="157">
        <f t="array" ref="EM6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6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67" s="134">
        <f>IFERROR(SUM(Tabla_Buffers_Agroinsumos[[#This Row],[LF-MP]:[LF-VL]]),"")</f>
        <v>0</v>
      </c>
      <c r="EP67" s="92">
        <f>IFERROR(Tabla_Buffers_Agroinsumos[[#This Row],[INV FIS LF]]-Tabla_Buffers_Agroinsumos[[#This Row],[BUFFER LF]],"")</f>
        <v>0</v>
      </c>
      <c r="EQ6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67" s="134"/>
      <c r="ES67" s="134"/>
      <c r="ET67" s="134"/>
      <c r="EU67" s="134"/>
      <c r="EV67" s="134"/>
      <c r="EW67" s="134"/>
      <c r="EX67" s="134"/>
      <c r="EY67" s="134"/>
      <c r="EZ67" s="134"/>
      <c r="FA67" s="134">
        <f t="array" ref="FA67">IFERROR(INDEX(TABLACONSOLIDADA[Buff Act],MATCH("AGROINSUMOSVERONICALEDESMA"&amp;Tabla_Buffers_Agroinsumos[[#This Row],[CODIGO ]],TABLACONSOLIDADA[Bodega]&amp;TABLACONSOLIDADA[Codigo],0)),"")</f>
        <v>0</v>
      </c>
      <c r="FB67" s="157">
        <f t="array" ref="FB67">IFERROR(INDEX(TABLACONSOLIDADA[Inv Fís Act],MATCH("AGROINSUMOSVERONICALEDESMA"&amp;Tabla_Buffers_Agroinsumos[[#This Row],[CODIGO ]],TABLACONSOLIDADA[Bodega]&amp;TABLACONSOLIDADA[Codigo],0)),"")</f>
        <v>0</v>
      </c>
      <c r="FC67" s="157">
        <f t="array" ref="FC6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6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67" s="134">
        <f>IFERROR(SUM(Tabla_Buffers_Agroinsumos[[#This Row],[VL-MP]:[VL-LF]]),"")</f>
        <v>0</v>
      </c>
      <c r="FF67" s="92">
        <f>IFERROR(Tabla_Buffers_Agroinsumos[[#This Row],[INV FIS VL]]-Tabla_Buffers_Agroinsumos[[#This Row],[BUFFER VL]],"")</f>
        <v>0</v>
      </c>
      <c r="FG6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67" s="134"/>
      <c r="FI67" s="134"/>
      <c r="FJ67" s="134"/>
      <c r="FK67" s="134"/>
      <c r="FL67" s="134"/>
      <c r="FM67" s="134"/>
      <c r="FN67" s="134"/>
      <c r="FO67" s="134"/>
      <c r="FP67" s="134"/>
    </row>
    <row r="68" spans="1:172">
      <c r="A68" s="7" t="s">
        <v>160</v>
      </c>
      <c r="B68" s="7" t="s">
        <v>161</v>
      </c>
      <c r="C68" s="7" t="s">
        <v>708</v>
      </c>
      <c r="D68" s="7" t="s">
        <v>717</v>
      </c>
      <c r="E68" s="7" t="s">
        <v>863</v>
      </c>
      <c r="F68" s="19" t="s">
        <v>806</v>
      </c>
      <c r="G68" s="19" t="s">
        <v>802</v>
      </c>
      <c r="H68" s="19">
        <f>VLOOKUP(Tabla_Buffers_Agroinsumos[[#This Row],[CODIGO ]],TABLACONSOLIDADA[[Codigo]:[PV]],6,0)</f>
        <v>0</v>
      </c>
      <c r="I68" s="19">
        <f>VLOOKUP(Tabla_Buffers_Agroinsumos[[#This Row],[CODIGO ]],TABLACONSOLIDADA[[Codigo]:[PV]],5,0)</f>
        <v>20001</v>
      </c>
      <c r="J68" s="19">
        <v>26</v>
      </c>
      <c r="K68" s="19">
        <v>12</v>
      </c>
      <c r="L68" s="19">
        <f>IFERROR(Tabla_Buffers_Agroinsumos[[#This Row],[BUFFER CENTRAL]]/((Tabla_Buffers_Agroinsumos[[#This Row],[TIEMPO REPOSICION ]]/Tabla_Buffers_Agroinsumos[[#This Row],[FRECUENCIA]])+1),0)</f>
        <v>0</v>
      </c>
      <c r="M68" s="19">
        <f t="array" ref="M68">IFERROR(INDEX(TABLACONSOLIDADA[Buff Act],MATCH("AGROINSUMOSMATERIAPRIMA"&amp;Tabla_Buffers_Agroinsumos[[#This Row],[CODIGO ]],TABLACONSOLIDADA[Bodega]&amp;TABLACONSOLIDADA[Codigo],0)),"")</f>
        <v>2</v>
      </c>
      <c r="N68" s="157">
        <f t="array" ref="N68">IFERROR(INDEX(TABLACONSOLIDADA[Inv Fís Act],MATCH("AGROINSUMOSMATERIAPRIMA"&amp;Tabla_Buffers_Agroinsumos[[#This Row],[CODIGO ]],TABLACONSOLIDADA[Bodega]&amp;TABLACONSOLIDADA[Codigo],0)),"")</f>
        <v>0.56950000000000001</v>
      </c>
      <c r="O68" s="157">
        <f t="array" ref="O6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0.56950000000000001</v>
      </c>
      <c r="P6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68" s="19">
        <f>IFERROR(SUM(Tabla_Buffers_Agroinsumos[[#This Row],[MP-C]:[MP-VL]]),"")</f>
        <v>0</v>
      </c>
      <c r="R68" s="92">
        <f>IFERROR(Tabla_Buffers_Agroinsumos[[#This Row],[INV FIS MATERIA PRIMA]]-Tabla_Buffers_Agroinsumos[[#This Row],[BUFFER MATERIA PRIMA]],"")</f>
        <v>-1.4304999999999999</v>
      </c>
      <c r="S6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-1.4304999999999999</v>
      </c>
      <c r="T68" s="19"/>
      <c r="U68" s="19"/>
      <c r="V68" s="19"/>
      <c r="W68" s="19"/>
      <c r="X68" s="19"/>
      <c r="Y68" s="19"/>
      <c r="Z68" s="19"/>
      <c r="AA68" s="19"/>
      <c r="AB68" s="19"/>
      <c r="AC68" s="152" t="str">
        <f t="array" ref="AC68">IFERROR(INDEX(TABLACONSOLIDADA[Buff Act],MATCH("AGROINSUMOSCENTRAL"&amp;Tabla_Buffers_Agroinsumos[[#This Row],[CODIGO ]],TABLACONSOLIDADA[Bodega]&amp;TABLACONSOLIDADA[Codigo],0)),"")</f>
        <v/>
      </c>
      <c r="AD68" s="157" t="str">
        <f t="array" ref="AD68">IFERROR(INDEX(TABLACONSOLIDADA[Inv Fís Act],MATCH("AGROINSUMOSCENTRAL"&amp;Tabla_Buffers_Agroinsumos[[#This Row],[CODIGO ]],TABLACONSOLIDADA[Bodega]&amp;TABLACONSOLIDADA[Codigo],0)),"")</f>
        <v/>
      </c>
      <c r="AE68" s="157" t="str">
        <f t="array" ref="AE6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6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68" s="91">
        <f>IFERROR(SUM(Tabla_Buffers_Agroinsumos[[#This Row],[C-MP]:[C-VL]]),"")</f>
        <v>0</v>
      </c>
      <c r="AH68" s="92" t="str">
        <f>IFERROR(Tabla_Buffers_Agroinsumos[[#This Row],[INV FIS CENTRAL]]-Tabla_Buffers_Agroinsumos[[#This Row],[BUFFER CENTRAL]],"")</f>
        <v/>
      </c>
      <c r="AI6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68" s="134"/>
      <c r="AK68" s="134"/>
      <c r="AL68" s="134"/>
      <c r="AM68" s="134"/>
      <c r="AN68" s="134"/>
      <c r="AO68" s="134"/>
      <c r="AP68" s="134"/>
      <c r="AQ68" s="134"/>
      <c r="AR68" s="134"/>
      <c r="AS68" s="134" t="str">
        <f t="array" ref="AS68">IFERROR(INDEX(TABLACONSOLIDADA[Buff Act],MATCH("AGROINSUMOScentralPROPIA"&amp;Tabla_Buffers_Agroinsumos[[#This Row],[CODIGO ]],TABLACONSOLIDADA[Bodega]&amp;TABLACONSOLIDADA[Codigo],0)),"")</f>
        <v/>
      </c>
      <c r="AT68" s="157" t="str">
        <f t="array" ref="AT68">IFERROR(INDEX(TABLACONSOLIDADA[Inv Fís Act],MATCH("AGROINSUMOScentralPROPIA"&amp;Tabla_Buffers_Agroinsumos[[#This Row],[CODIGO ]],TABLACONSOLIDADA[Bodega]&amp;TABLACONSOLIDADA[Codigo],0)),"")</f>
        <v/>
      </c>
      <c r="AU68" s="157" t="str">
        <f t="array" ref="AU6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6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68" s="134">
        <f>IFERROR(SUM(Tabla_Buffers_Agroinsumos[[#This Row],[P-MP]:[P-VL]]),"")</f>
        <v>0</v>
      </c>
      <c r="AX68" s="92" t="str">
        <f>IFERROR(Tabla_Buffers_Agroinsumos[[#This Row],[INV FIS PROPIA]]-Tabla_Buffers_Agroinsumos[[#This Row],[BUFFER PROPIA]],"")</f>
        <v/>
      </c>
      <c r="AY6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68" s="134"/>
      <c r="BA68" s="134"/>
      <c r="BB68" s="134"/>
      <c r="BC68" s="134"/>
      <c r="BD68" s="134"/>
      <c r="BE68" s="134"/>
      <c r="BF68" s="134"/>
      <c r="BG68" s="134"/>
      <c r="BH68" s="134"/>
      <c r="BI68" s="91" t="str">
        <f t="array" ref="BI68">IFERROR(INDEX(TABLACONSOLIDADA[Buff Act],MATCH("AGROINSUMOSSTODOMINGO"&amp;Tabla_Buffers_Agroinsumos[[#This Row],[CODIGO ]],TABLACONSOLIDADA[Bodega]&amp;TABLACONSOLIDADA[Codigo],0)),"")</f>
        <v/>
      </c>
      <c r="BJ68" s="157" t="str">
        <f t="array" ref="BJ68">IFERROR(INDEX(TABLACONSOLIDADA[Inv Fís Act],MATCH("AGROINSUMOSSTODOMINGO"&amp;Tabla_Buffers_Agroinsumos[[#This Row],[CODIGO ]],TABLACONSOLIDADA[Bodega]&amp;TABLACONSOLIDADA[Codigo],0)),"")</f>
        <v/>
      </c>
      <c r="BK68" s="157" t="str">
        <f t="array" ref="BK6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6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68" s="91">
        <f>IFERROR(SUM(Tabla_Buffers_Agroinsumos[[#This Row],[SD-MP]:[SD-VL]]),"")</f>
        <v>0</v>
      </c>
      <c r="BN68" s="92"/>
      <c r="BO68" s="92"/>
      <c r="BP68" s="134"/>
      <c r="BQ68" s="134"/>
      <c r="BR68" s="134"/>
      <c r="BS68" s="134"/>
      <c r="BT68" s="134"/>
      <c r="BU68" s="134"/>
      <c r="BV68" s="134"/>
      <c r="BW68" s="134"/>
      <c r="BX68" s="134"/>
      <c r="BY68" s="134" t="str">
        <f t="array" ref="BY68">IFERROR(INDEX(TABLACONSOLIDADA[Buff Act],MATCH("AGROINSUMOSMONCAYOLOPEZ"&amp;Tabla_Buffers_Agroinsumos[[#This Row],[CODIGO ]],TABLACONSOLIDADA[Bodega]&amp;TABLACONSOLIDADA[Codigo],0)),"")</f>
        <v/>
      </c>
      <c r="BZ68" s="157" t="str">
        <f t="array" ref="BZ68">IFERROR(INDEX(TABLACONSOLIDADA[Inv Fís Act],MATCH("AGROINSUMOSMONCAYOLOPEZ"&amp;Tabla_Buffers_Agroinsumos[[#This Row],[CODIGO ]],TABLACONSOLIDADA[Bodega]&amp;TABLACONSOLIDADA[Codigo],0)),"")</f>
        <v/>
      </c>
      <c r="CA68" s="157" t="str">
        <f t="array" ref="CA6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6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68" s="134">
        <f>IFERROR(SUM(Tabla_Buffers_Agroinsumos[[#This Row],[ML-MP]:[ML-VL]]),"")</f>
        <v>0</v>
      </c>
      <c r="CD68" s="92" t="str">
        <f>IFERROR(Tabla_Buffers_Agroinsumos[[#This Row],[INV FIS ML]]-Tabla_Buffers_Agroinsumos[[#This Row],[BUFFER ML]],"")</f>
        <v/>
      </c>
      <c r="CE6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68" s="134"/>
      <c r="CG68" s="134"/>
      <c r="CH68" s="134"/>
      <c r="CI68" s="134"/>
      <c r="CJ68" s="134"/>
      <c r="CK68" s="134"/>
      <c r="CL68" s="134"/>
      <c r="CM68" s="134"/>
      <c r="CN68" s="134"/>
      <c r="CO68" s="134" t="str">
        <f t="array" ref="CO68">IFERROR(INDEX(TABLACONSOLIDADA[Buff Act],MATCH("AGROINSUMOSAGROHERMANOSLEON"&amp;Tabla_Buffers_Agroinsumos[[#This Row],[CODIGO ]],TABLACONSOLIDADA[Bodega]&amp;TABLACONSOLIDADA[Codigo],0)),"")</f>
        <v/>
      </c>
      <c r="CP68" s="157" t="str">
        <f t="array" ref="CP68">IFERROR(INDEX(TABLACONSOLIDADA[Inv Fís Act],MATCH("AGROINSUMOSAGROHERMANOSLEON"&amp;Tabla_Buffers_Agroinsumos[[#This Row],[CODIGO ]],TABLACONSOLIDADA[Bodega]&amp;TABLACONSOLIDADA[Codigo],0)),"")</f>
        <v/>
      </c>
      <c r="CQ68" s="157" t="str">
        <f t="array" ref="CQ6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6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68" s="134">
        <f>IFERROR(SUM(Tabla_Buffers_Agroinsumos[[#This Row],[AL-MP]:[AL-VL]]),"")</f>
        <v>0</v>
      </c>
      <c r="CT68" s="92" t="str">
        <f>IFERROR(Tabla_Buffers_Agroinsumos[[#This Row],[INV FIS AL]]-Tabla_Buffers_Agroinsumos[[#This Row],[BUFFER AL]],"")</f>
        <v/>
      </c>
      <c r="CU6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68" s="134"/>
      <c r="CW68" s="134"/>
      <c r="CX68" s="134"/>
      <c r="CY68" s="134"/>
      <c r="CZ68" s="134"/>
      <c r="DA68" s="134"/>
      <c r="DB68" s="134"/>
      <c r="DC68" s="134"/>
      <c r="DD68" s="134"/>
      <c r="DE68" s="134" t="str">
        <f t="array" ref="DE68">IFERROR(INDEX(TABLACONSOLIDADA[Buff Act],MATCH("AGROINSUMOSAGRONUEVO"&amp;Tabla_Buffers_Agroinsumos[[#This Row],[CODIGO ]],TABLACONSOLIDADA[Bodega]&amp;TABLACONSOLIDADA[Codigo],0)),"")</f>
        <v/>
      </c>
      <c r="DF68" s="157" t="str">
        <f t="array" ref="DF68">IFERROR(INDEX(TABLACONSOLIDADA[Inv Fís Act],MATCH("AGROINSUMOSAGRONUEVO"&amp;Tabla_Buffers_Agroinsumos[[#This Row],[CODIGO ]],TABLACONSOLIDADA[Bodega]&amp;TABLACONSOLIDADA[Codigo],0)),"")</f>
        <v/>
      </c>
      <c r="DG68" s="157" t="str">
        <f t="array" ref="DG6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6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68" s="134">
        <f>IFERROR(SUM(Tabla_Buffers_Agroinsumos[[#This Row],[AN-MP]:[AN-VL]]),"")</f>
        <v>0</v>
      </c>
      <c r="DJ68" s="92" t="str">
        <f>IFERROR(Tabla_Buffers_Agroinsumos[[#This Row],[INV FIS AN]]-Tabla_Buffers_Agroinsumos[[#This Row],[BUFFER AN]],"")</f>
        <v/>
      </c>
      <c r="DK6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68" s="134"/>
      <c r="DM68" s="134"/>
      <c r="DN68" s="134"/>
      <c r="DO68" s="134"/>
      <c r="DP68" s="134"/>
      <c r="DQ68" s="134"/>
      <c r="DR68" s="134"/>
      <c r="DS68" s="134"/>
      <c r="DT68" s="134"/>
      <c r="DU68" s="134" t="str">
        <f t="array" ref="DU68">IFERROR(INDEX(TABLACONSOLIDADA[Buff Act],MATCH("AGROINSUMOSAGROQUIMICOSSUR"&amp;Tabla_Buffers_Agroinsumos[[#This Row],[CODIGO ]],TABLACONSOLIDADA[Bodega]&amp;TABLACONSOLIDADA[Codigo],0)),"")</f>
        <v/>
      </c>
      <c r="DV68" s="157" t="str">
        <f t="array" ref="DV68">IFERROR(INDEX(TABLACONSOLIDADA[Inv Fís Act],MATCH("AGROINSUMOSAGROQUIMICOSSUR"&amp;Tabla_Buffers_Agroinsumos[[#This Row],[CODIGO ]],TABLACONSOLIDADA[Bodega]&amp;TABLACONSOLIDADA[Codigo],0)),"")</f>
        <v/>
      </c>
      <c r="DW68" s="157" t="str">
        <f t="array" ref="DW6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6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68" s="134">
        <f>IFERROR(SUM(Tabla_Buffers_Agroinsumos[[#This Row],[AS-MP]:[AS-VL]]),"")</f>
        <v>0</v>
      </c>
      <c r="DZ68" s="92" t="str">
        <f>IFERROR(Tabla_Buffers_Agroinsumos[[#This Row],[INV FIS AS]]-Tabla_Buffers_Agroinsumos[[#This Row],[BUFFER AS]],"")</f>
        <v/>
      </c>
      <c r="EA6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68" s="134"/>
      <c r="EC68" s="134"/>
      <c r="ED68" s="134"/>
      <c r="EE68" s="134"/>
      <c r="EF68" s="134"/>
      <c r="EG68" s="134"/>
      <c r="EH68" s="134"/>
      <c r="EI68" s="134"/>
      <c r="EJ68" s="134"/>
      <c r="EK68" s="134" t="str">
        <f t="array" ref="EK68">IFERROR(INDEX(TABLACONSOLIDADA[Buff Act],MATCH("AGROINSUMOSLAFINCA"&amp;Tabla_Buffers_Agroinsumos[[#This Row],[CODIGO ]],TABLACONSOLIDADA[Bodega]&amp;TABLACONSOLIDADA[Codigo],0)),"")</f>
        <v/>
      </c>
      <c r="EL68" s="157" t="str">
        <f t="array" ref="EL68">IFERROR(INDEX(TABLACONSOLIDADA[Inv Fís Act],MATCH("AGROINSUMOSLAFINCA"&amp;Tabla_Buffers_Agroinsumos[[#This Row],[CODIGO ]],TABLACONSOLIDADA[Bodega]&amp;TABLACONSOLIDADA[Codigo],0)),"")</f>
        <v/>
      </c>
      <c r="EM68" s="157" t="str">
        <f t="array" ref="EM6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6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68" s="134">
        <f>IFERROR(SUM(Tabla_Buffers_Agroinsumos[[#This Row],[LF-MP]:[LF-VL]]),"")</f>
        <v>0</v>
      </c>
      <c r="EP68" s="92" t="str">
        <f>IFERROR(Tabla_Buffers_Agroinsumos[[#This Row],[INV FIS LF]]-Tabla_Buffers_Agroinsumos[[#This Row],[BUFFER LF]],"")</f>
        <v/>
      </c>
      <c r="EQ6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68" s="134"/>
      <c r="ES68" s="134"/>
      <c r="ET68" s="134"/>
      <c r="EU68" s="134"/>
      <c r="EV68" s="134"/>
      <c r="EW68" s="134"/>
      <c r="EX68" s="134"/>
      <c r="EY68" s="134"/>
      <c r="EZ68" s="134"/>
      <c r="FA68" s="134" t="str">
        <f t="array" ref="FA68">IFERROR(INDEX(TABLACONSOLIDADA[Buff Act],MATCH("AGROINSUMOSVERONICALEDESMA"&amp;Tabla_Buffers_Agroinsumos[[#This Row],[CODIGO ]],TABLACONSOLIDADA[Bodega]&amp;TABLACONSOLIDADA[Codigo],0)),"")</f>
        <v/>
      </c>
      <c r="FB68" s="157" t="str">
        <f t="array" ref="FB68">IFERROR(INDEX(TABLACONSOLIDADA[Inv Fís Act],MATCH("AGROINSUMOSVERONICALEDESMA"&amp;Tabla_Buffers_Agroinsumos[[#This Row],[CODIGO ]],TABLACONSOLIDADA[Bodega]&amp;TABLACONSOLIDADA[Codigo],0)),"")</f>
        <v/>
      </c>
      <c r="FC68" s="157" t="str">
        <f t="array" ref="FC6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6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68" s="134">
        <f>IFERROR(SUM(Tabla_Buffers_Agroinsumos[[#This Row],[VL-MP]:[VL-LF]]),"")</f>
        <v>0</v>
      </c>
      <c r="FF68" s="92" t="str">
        <f>IFERROR(Tabla_Buffers_Agroinsumos[[#This Row],[INV FIS VL]]-Tabla_Buffers_Agroinsumos[[#This Row],[BUFFER VL]],"")</f>
        <v/>
      </c>
      <c r="FG6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68" s="134"/>
      <c r="FI68" s="134"/>
      <c r="FJ68" s="134"/>
      <c r="FK68" s="134"/>
      <c r="FL68" s="134"/>
      <c r="FM68" s="134"/>
      <c r="FN68" s="134"/>
      <c r="FO68" s="134"/>
      <c r="FP68" s="134"/>
    </row>
    <row r="69" spans="1:172">
      <c r="A69" s="20" t="s">
        <v>1219</v>
      </c>
      <c r="B69" s="20" t="s">
        <v>1218</v>
      </c>
      <c r="C69" s="7" t="s">
        <v>708</v>
      </c>
      <c r="D69" s="7" t="s">
        <v>717</v>
      </c>
      <c r="E69" s="7" t="s">
        <v>863</v>
      </c>
      <c r="F69" s="19" t="s">
        <v>806</v>
      </c>
      <c r="G69" s="19" t="s">
        <v>802</v>
      </c>
      <c r="H69" s="111" t="e">
        <f>VLOOKUP(Tabla_Buffers_Agroinsumos[[#This Row],[CODIGO ]],TABLACONSOLIDADA[[Codigo]:[PV]],6,0)</f>
        <v>#N/A</v>
      </c>
      <c r="I69" s="111" t="e">
        <f>VLOOKUP(Tabla_Buffers_Agroinsumos[[#This Row],[CODIGO ]],TABLACONSOLIDADA[[Codigo]:[PV]],5,0)</f>
        <v>#N/A</v>
      </c>
      <c r="J69" s="111"/>
      <c r="K69" s="111"/>
      <c r="L69" s="111">
        <f>IFERROR(Tabla_Buffers_Agroinsumos[[#This Row],[BUFFER CENTRAL]]/((Tabla_Buffers_Agroinsumos[[#This Row],[TIEMPO REPOSICION ]]/Tabla_Buffers_Agroinsumos[[#This Row],[FRECUENCIA]])+1),0)</f>
        <v>0</v>
      </c>
      <c r="M69" s="111">
        <v>4000</v>
      </c>
      <c r="N69" s="111" t="str">
        <f t="array" ref="N69">IFERROR(INDEX(TABLACONSOLIDADA[Inv Fís Act],MATCH("AGROINSUMOSMATERIAPRIMA"&amp;Tabla_Buffers_Agroinsumos[[#This Row],[CODIGO ]],TABLACONSOLIDADA[Bodega]&amp;TABLACONSOLIDADA[Codigo],0)),"")</f>
        <v/>
      </c>
      <c r="O69" s="178" t="str">
        <f t="array" ref="O6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69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69" s="111">
        <f>IFERROR(SUM(Tabla_Buffers_Agroinsumos[[#This Row],[MP-C]:[MP-VL]]),"")</f>
        <v>0</v>
      </c>
      <c r="R69" s="154" t="str">
        <f>IFERROR(Tabla_Buffers_Agroinsumos[[#This Row],[INV FIS MATERIA PRIMA]]-Tabla_Buffers_Agroinsumos[[#This Row],[BUFFER MATERIA PRIMA]],"")</f>
        <v/>
      </c>
      <c r="S69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69" s="111"/>
      <c r="U69" s="111"/>
      <c r="V69" s="111"/>
      <c r="W69" s="111"/>
      <c r="X69" s="111"/>
      <c r="Y69" s="111"/>
      <c r="Z69" s="111"/>
      <c r="AA69" s="111"/>
      <c r="AB69" s="111"/>
      <c r="AC69" s="152" t="str">
        <f t="array" ref="AC69">IFERROR(INDEX(TABLACONSOLIDADA[Buff Act],MATCH("AGROINSUMOSCENTRAL"&amp;Tabla_Buffers_Agroinsumos[[#This Row],[CODIGO ]],TABLACONSOLIDADA[Bodega]&amp;TABLACONSOLIDADA[Codigo],0)),"")</f>
        <v/>
      </c>
      <c r="AD69" s="111" t="str">
        <f t="array" ref="AD69">IFERROR(INDEX(TABLACONSOLIDADA[Inv Fís Act],MATCH("AGROINSUMOSCENTRAL"&amp;Tabla_Buffers_Agroinsumos[[#This Row],[CODIGO ]],TABLACONSOLIDADA[Bodega]&amp;TABLACONSOLIDADA[Codigo],0)),"")</f>
        <v/>
      </c>
      <c r="AE69" s="178" t="str">
        <f t="array" ref="AE6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69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69" s="153">
        <f>IFERROR(SUM(Tabla_Buffers_Agroinsumos[[#This Row],[C-MP]:[C-VL]]),"")</f>
        <v>0</v>
      </c>
      <c r="AH69" s="154" t="str">
        <f>IFERROR(Tabla_Buffers_Agroinsumos[[#This Row],[INV FIS CENTRAL]]-Tabla_Buffers_Agroinsumos[[#This Row],[BUFFER CENTRAL]],"")</f>
        <v/>
      </c>
      <c r="AI69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69" s="135"/>
      <c r="AK69" s="135"/>
      <c r="AL69" s="135"/>
      <c r="AM69" s="135"/>
      <c r="AN69" s="135"/>
      <c r="AO69" s="135"/>
      <c r="AP69" s="135"/>
      <c r="AQ69" s="135"/>
      <c r="AR69" s="135"/>
      <c r="AS69" s="135" t="str">
        <f t="array" ref="AS69">IFERROR(INDEX(TABLACONSOLIDADA[Buff Act],MATCH("AGROINSUMOScentralPROPIA"&amp;Tabla_Buffers_Agroinsumos[[#This Row],[CODIGO ]],TABLACONSOLIDADA[Bodega]&amp;TABLACONSOLIDADA[Codigo],0)),"")</f>
        <v/>
      </c>
      <c r="AT69" s="111" t="str">
        <f t="array" ref="AT69">IFERROR(INDEX(TABLACONSOLIDADA[Inv Fís Act],MATCH("AGROINSUMOScentralPROPIA"&amp;Tabla_Buffers_Agroinsumos[[#This Row],[CODIGO ]],TABLACONSOLIDADA[Bodega]&amp;TABLACONSOLIDADA[Codigo],0)),"")</f>
        <v/>
      </c>
      <c r="AU69" s="178" t="str">
        <f t="array" ref="AU6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69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69" s="135">
        <f>IFERROR(SUM(Tabla_Buffers_Agroinsumos[[#This Row],[P-MP]:[P-VL]]),"")</f>
        <v>0</v>
      </c>
      <c r="AX69" s="154" t="str">
        <f>IFERROR(Tabla_Buffers_Agroinsumos[[#This Row],[INV FIS PROPIA]]-Tabla_Buffers_Agroinsumos[[#This Row],[BUFFER PROPIA]],"")</f>
        <v/>
      </c>
      <c r="AY69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69" s="135"/>
      <c r="BA69" s="135"/>
      <c r="BB69" s="135"/>
      <c r="BC69" s="135"/>
      <c r="BD69" s="135"/>
      <c r="BE69" s="135"/>
      <c r="BF69" s="135"/>
      <c r="BG69" s="135"/>
      <c r="BH69" s="135"/>
      <c r="BI69" s="153" t="str">
        <f t="array" ref="BI69">IFERROR(INDEX(TABLACONSOLIDADA[Buff Act],MATCH("AGROINSUMOSSTODOMINGO"&amp;Tabla_Buffers_Agroinsumos[[#This Row],[CODIGO ]],TABLACONSOLIDADA[Bodega]&amp;TABLACONSOLIDADA[Codigo],0)),"")</f>
        <v/>
      </c>
      <c r="BJ69" s="111" t="str">
        <f t="array" ref="BJ69">IFERROR(INDEX(TABLACONSOLIDADA[Inv Fís Act],MATCH("AGROINSUMOSSTODOMINGO"&amp;Tabla_Buffers_Agroinsumos[[#This Row],[CODIGO ]],TABLACONSOLIDADA[Bodega]&amp;TABLACONSOLIDADA[Codigo],0)),"")</f>
        <v/>
      </c>
      <c r="BK69" s="178" t="str">
        <f t="array" ref="BK6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69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69" s="153">
        <f>IFERROR(SUM(Tabla_Buffers_Agroinsumos[[#This Row],[SD-MP]:[SD-VL]]),"")</f>
        <v>0</v>
      </c>
      <c r="BN69" s="154"/>
      <c r="BO69" s="154"/>
      <c r="BP69" s="135"/>
      <c r="BQ69" s="135"/>
      <c r="BR69" s="135"/>
      <c r="BS69" s="135"/>
      <c r="BT69" s="135"/>
      <c r="BU69" s="135"/>
      <c r="BV69" s="135"/>
      <c r="BW69" s="135"/>
      <c r="BX69" s="135"/>
      <c r="BY69" s="135" t="str">
        <f t="array" ref="BY69">IFERROR(INDEX(TABLACONSOLIDADA[Buff Act],MATCH("AGROINSUMOSMONCAYOLOPEZ"&amp;Tabla_Buffers_Agroinsumos[[#This Row],[CODIGO ]],TABLACONSOLIDADA[Bodega]&amp;TABLACONSOLIDADA[Codigo],0)),"")</f>
        <v/>
      </c>
      <c r="BZ69" s="111" t="str">
        <f t="array" ref="BZ69">IFERROR(INDEX(TABLACONSOLIDADA[Inv Fís Act],MATCH("AGROINSUMOSMONCAYOLOPEZ"&amp;Tabla_Buffers_Agroinsumos[[#This Row],[CODIGO ]],TABLACONSOLIDADA[Bodega]&amp;TABLACONSOLIDADA[Codigo],0)),"")</f>
        <v/>
      </c>
      <c r="CA69" s="178" t="str">
        <f t="array" ref="CA6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69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69" s="135">
        <f>IFERROR(SUM(Tabla_Buffers_Agroinsumos[[#This Row],[ML-MP]:[ML-VL]]),"")</f>
        <v>0</v>
      </c>
      <c r="CD69" s="154" t="str">
        <f>IFERROR(Tabla_Buffers_Agroinsumos[[#This Row],[INV FIS ML]]-Tabla_Buffers_Agroinsumos[[#This Row],[BUFFER ML]],"")</f>
        <v/>
      </c>
      <c r="CE69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69" s="135"/>
      <c r="CG69" s="135"/>
      <c r="CH69" s="135"/>
      <c r="CI69" s="135"/>
      <c r="CJ69" s="135"/>
      <c r="CK69" s="135"/>
      <c r="CL69" s="135"/>
      <c r="CM69" s="135"/>
      <c r="CN69" s="135"/>
      <c r="CO69" s="135" t="str">
        <f t="array" ref="CO69">IFERROR(INDEX(TABLACONSOLIDADA[Buff Act],MATCH("AGROINSUMOSAGROHERMANOSLEON"&amp;Tabla_Buffers_Agroinsumos[[#This Row],[CODIGO ]],TABLACONSOLIDADA[Bodega]&amp;TABLACONSOLIDADA[Codigo],0)),"")</f>
        <v/>
      </c>
      <c r="CP69" s="111" t="str">
        <f t="array" ref="CP69">IFERROR(INDEX(TABLACONSOLIDADA[Inv Fís Act],MATCH("AGROINSUMOSAGROHERMANOSLEON"&amp;Tabla_Buffers_Agroinsumos[[#This Row],[CODIGO ]],TABLACONSOLIDADA[Bodega]&amp;TABLACONSOLIDADA[Codigo],0)),"")</f>
        <v/>
      </c>
      <c r="CQ69" s="178" t="str">
        <f t="array" ref="CQ6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69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69" s="135">
        <f>IFERROR(SUM(Tabla_Buffers_Agroinsumos[[#This Row],[AL-MP]:[AL-VL]]),"")</f>
        <v>0</v>
      </c>
      <c r="CT69" s="154" t="str">
        <f>IFERROR(Tabla_Buffers_Agroinsumos[[#This Row],[INV FIS AL]]-Tabla_Buffers_Agroinsumos[[#This Row],[BUFFER AL]],"")</f>
        <v/>
      </c>
      <c r="CU69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69" s="135"/>
      <c r="CW69" s="135"/>
      <c r="CX69" s="135"/>
      <c r="CY69" s="135"/>
      <c r="CZ69" s="135"/>
      <c r="DA69" s="135"/>
      <c r="DB69" s="135"/>
      <c r="DC69" s="135"/>
      <c r="DD69" s="135"/>
      <c r="DE69" s="135" t="str">
        <f t="array" ref="DE69">IFERROR(INDEX(TABLACONSOLIDADA[Buff Act],MATCH("AGROINSUMOSAGRONUEVO"&amp;Tabla_Buffers_Agroinsumos[[#This Row],[CODIGO ]],TABLACONSOLIDADA[Bodega]&amp;TABLACONSOLIDADA[Codigo],0)),"")</f>
        <v/>
      </c>
      <c r="DF69" s="111" t="str">
        <f t="array" ref="DF69">IFERROR(INDEX(TABLACONSOLIDADA[Inv Fís Act],MATCH("AGROINSUMOSAGRONUEVO"&amp;Tabla_Buffers_Agroinsumos[[#This Row],[CODIGO ]],TABLACONSOLIDADA[Bodega]&amp;TABLACONSOLIDADA[Codigo],0)),"")</f>
        <v/>
      </c>
      <c r="DG69" s="178" t="str">
        <f t="array" ref="DG6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69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69" s="135">
        <f>IFERROR(SUM(Tabla_Buffers_Agroinsumos[[#This Row],[AN-MP]:[AN-VL]]),"")</f>
        <v>0</v>
      </c>
      <c r="DJ69" s="154" t="str">
        <f>IFERROR(Tabla_Buffers_Agroinsumos[[#This Row],[INV FIS AN]]-Tabla_Buffers_Agroinsumos[[#This Row],[BUFFER AN]],"")</f>
        <v/>
      </c>
      <c r="DK69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69" s="135"/>
      <c r="DM69" s="135"/>
      <c r="DN69" s="135"/>
      <c r="DO69" s="135"/>
      <c r="DP69" s="135"/>
      <c r="DQ69" s="135"/>
      <c r="DR69" s="135"/>
      <c r="DS69" s="135"/>
      <c r="DT69" s="135"/>
      <c r="DU69" s="135" t="str">
        <f t="array" ref="DU69">IFERROR(INDEX(TABLACONSOLIDADA[Buff Act],MATCH("AGROINSUMOSAGROQUIMICOSSUR"&amp;Tabla_Buffers_Agroinsumos[[#This Row],[CODIGO ]],TABLACONSOLIDADA[Bodega]&amp;TABLACONSOLIDADA[Codigo],0)),"")</f>
        <v/>
      </c>
      <c r="DV69" s="111" t="str">
        <f t="array" ref="DV69">IFERROR(INDEX(TABLACONSOLIDADA[Inv Fís Act],MATCH("AGROINSUMOSAGROQUIMICOSSUR"&amp;Tabla_Buffers_Agroinsumos[[#This Row],[CODIGO ]],TABLACONSOLIDADA[Bodega]&amp;TABLACONSOLIDADA[Codigo],0)),"")</f>
        <v/>
      </c>
      <c r="DW69" s="178" t="str">
        <f t="array" ref="DW6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69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69" s="135">
        <f>IFERROR(SUM(Tabla_Buffers_Agroinsumos[[#This Row],[AS-MP]:[AS-VL]]),"")</f>
        <v>0</v>
      </c>
      <c r="DZ69" s="154" t="str">
        <f>IFERROR(Tabla_Buffers_Agroinsumos[[#This Row],[INV FIS AS]]-Tabla_Buffers_Agroinsumos[[#This Row],[BUFFER AS]],"")</f>
        <v/>
      </c>
      <c r="EA69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69" s="135"/>
      <c r="EC69" s="135"/>
      <c r="ED69" s="135"/>
      <c r="EE69" s="135"/>
      <c r="EF69" s="135"/>
      <c r="EG69" s="135"/>
      <c r="EH69" s="135"/>
      <c r="EI69" s="135"/>
      <c r="EJ69" s="135"/>
      <c r="EK69" s="135" t="str">
        <f t="array" ref="EK69">IFERROR(INDEX(TABLACONSOLIDADA[Buff Act],MATCH("AGROINSUMOSLAFINCA"&amp;Tabla_Buffers_Agroinsumos[[#This Row],[CODIGO ]],TABLACONSOLIDADA[Bodega]&amp;TABLACONSOLIDADA[Codigo],0)),"")</f>
        <v/>
      </c>
      <c r="EL69" s="111" t="str">
        <f t="array" ref="EL69">IFERROR(INDEX(TABLACONSOLIDADA[Inv Fís Act],MATCH("AGROINSUMOSLAFINCA"&amp;Tabla_Buffers_Agroinsumos[[#This Row],[CODIGO ]],TABLACONSOLIDADA[Bodega]&amp;TABLACONSOLIDADA[Codigo],0)),"")</f>
        <v/>
      </c>
      <c r="EM69" s="178" t="str">
        <f t="array" ref="EM6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69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69" s="135">
        <f>IFERROR(SUM(Tabla_Buffers_Agroinsumos[[#This Row],[LF-MP]:[LF-VL]]),"")</f>
        <v>0</v>
      </c>
      <c r="EP69" s="154" t="str">
        <f>IFERROR(Tabla_Buffers_Agroinsumos[[#This Row],[INV FIS LF]]-Tabla_Buffers_Agroinsumos[[#This Row],[BUFFER LF]],"")</f>
        <v/>
      </c>
      <c r="EQ69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69" s="135"/>
      <c r="ES69" s="135"/>
      <c r="ET69" s="135"/>
      <c r="EU69" s="135"/>
      <c r="EV69" s="135"/>
      <c r="EW69" s="135"/>
      <c r="EX69" s="135"/>
      <c r="EY69" s="135"/>
      <c r="EZ69" s="135"/>
      <c r="FA69" s="135" t="str">
        <f t="array" ref="FA69">IFERROR(INDEX(TABLACONSOLIDADA[Buff Act],MATCH("AGROINSUMOSVERONICALEDESMA"&amp;Tabla_Buffers_Agroinsumos[[#This Row],[CODIGO ]],TABLACONSOLIDADA[Bodega]&amp;TABLACONSOLIDADA[Codigo],0)),"")</f>
        <v/>
      </c>
      <c r="FB69" s="111" t="str">
        <f t="array" ref="FB69">IFERROR(INDEX(TABLACONSOLIDADA[Inv Fís Act],MATCH("AGROINSUMOSVERONICALEDESMA"&amp;Tabla_Buffers_Agroinsumos[[#This Row],[CODIGO ]],TABLACONSOLIDADA[Bodega]&amp;TABLACONSOLIDADA[Codigo],0)),"")</f>
        <v/>
      </c>
      <c r="FC69" s="178" t="str">
        <f t="array" ref="FC6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69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69" s="135">
        <f>IFERROR(SUM(Tabla_Buffers_Agroinsumos[[#This Row],[VL-MP]:[VL-LF]]),"")</f>
        <v>0</v>
      </c>
      <c r="FF69" s="154" t="str">
        <f>IFERROR(Tabla_Buffers_Agroinsumos[[#This Row],[INV FIS VL]]-Tabla_Buffers_Agroinsumos[[#This Row],[BUFFER VL]],"")</f>
        <v/>
      </c>
      <c r="FG69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69" s="135"/>
      <c r="FI69" s="135"/>
      <c r="FJ69" s="135"/>
      <c r="FK69" s="135"/>
      <c r="FL69" s="135"/>
      <c r="FM69" s="135"/>
      <c r="FN69" s="135"/>
      <c r="FO69" s="135"/>
      <c r="FP69" s="135"/>
    </row>
    <row r="70" spans="1:172">
      <c r="A70" s="7" t="s">
        <v>766</v>
      </c>
      <c r="B70" s="7" t="s">
        <v>797</v>
      </c>
      <c r="C70" s="7" t="s">
        <v>712</v>
      </c>
      <c r="D70" s="7" t="s">
        <v>761</v>
      </c>
      <c r="E70" s="7" t="s">
        <v>863</v>
      </c>
      <c r="F70" s="19" t="s">
        <v>732</v>
      </c>
      <c r="G70" s="19" t="s">
        <v>802</v>
      </c>
      <c r="H70" s="19">
        <f>VLOOKUP(Tabla_Buffers_Agroinsumos[[#This Row],[CODIGO ]],TABLACONSOLIDADA[[Codigo]:[PV]],6,0)</f>
        <v>0</v>
      </c>
      <c r="I70" s="19">
        <f>VLOOKUP(Tabla_Buffers_Agroinsumos[[#This Row],[CODIGO ]],TABLACONSOLIDADA[[Codigo]:[PV]],5,0)</f>
        <v>5100</v>
      </c>
      <c r="J70" s="19">
        <v>12</v>
      </c>
      <c r="K70" s="19">
        <v>4</v>
      </c>
      <c r="L70" s="19">
        <f>IFERROR(Tabla_Buffers_Agroinsumos[[#This Row],[BUFFER CENTRAL]]/((Tabla_Buffers_Agroinsumos[[#This Row],[TIEMPO REPOSICION ]]/Tabla_Buffers_Agroinsumos[[#This Row],[FRECUENCIA]])+1),0)</f>
        <v>0</v>
      </c>
      <c r="M70" s="19">
        <f t="array" ref="M70">IFERROR(INDEX(TABLACONSOLIDADA[Buff Act],MATCH("AGROINSUMOSMATERIAPRIMA"&amp;Tabla_Buffers_Agroinsumos[[#This Row],[CODIGO ]],TABLACONSOLIDADA[Bodega]&amp;TABLACONSOLIDADA[Codigo],0)),"")</f>
        <v>1</v>
      </c>
      <c r="N70" s="157">
        <f t="array" ref="N70">IFERROR(INDEX(TABLACONSOLIDADA[Inv Fís Act],MATCH("AGROINSUMOSMATERIAPRIMA"&amp;Tabla_Buffers_Agroinsumos[[#This Row],[CODIGO ]],TABLACONSOLIDADA[Bodega]&amp;TABLACONSOLIDADA[Codigo],0)),"")</f>
        <v>1.44</v>
      </c>
      <c r="O70" s="157">
        <f t="array" ref="O7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1.44</v>
      </c>
      <c r="P7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70" s="19">
        <f>IFERROR(SUM(Tabla_Buffers_Agroinsumos[[#This Row],[MP-C]:[MP-VL]]),"")</f>
        <v>0</v>
      </c>
      <c r="R70" s="92">
        <f>IFERROR(Tabla_Buffers_Agroinsumos[[#This Row],[INV FIS MATERIA PRIMA]]-Tabla_Buffers_Agroinsumos[[#This Row],[BUFFER MATERIA PRIMA]],"")</f>
        <v>0.43999999999999995</v>
      </c>
      <c r="S7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0.43999999999999995</v>
      </c>
      <c r="T70" s="19"/>
      <c r="U70" s="19"/>
      <c r="V70" s="19"/>
      <c r="W70" s="19"/>
      <c r="X70" s="19"/>
      <c r="Y70" s="19"/>
      <c r="Z70" s="19"/>
      <c r="AA70" s="19"/>
      <c r="AB70" s="19"/>
      <c r="AC70" s="152" t="str">
        <f t="array" ref="AC70">IFERROR(INDEX(TABLACONSOLIDADA[Buff Act],MATCH("AGROINSUMOSCENTRAL"&amp;Tabla_Buffers_Agroinsumos[[#This Row],[CODIGO ]],TABLACONSOLIDADA[Bodega]&amp;TABLACONSOLIDADA[Codigo],0)),"")</f>
        <v/>
      </c>
      <c r="AD70" s="157" t="str">
        <f t="array" ref="AD70">IFERROR(INDEX(TABLACONSOLIDADA[Inv Fís Act],MATCH("AGROINSUMOSCENTRAL"&amp;Tabla_Buffers_Agroinsumos[[#This Row],[CODIGO ]],TABLACONSOLIDADA[Bodega]&amp;TABLACONSOLIDADA[Codigo],0)),"")</f>
        <v/>
      </c>
      <c r="AE70" s="157" t="str">
        <f t="array" ref="AE7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7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70" s="91">
        <f>IFERROR(SUM(Tabla_Buffers_Agroinsumos[[#This Row],[C-MP]:[C-VL]]),"")</f>
        <v>0</v>
      </c>
      <c r="AH70" s="92" t="str">
        <f>IFERROR(Tabla_Buffers_Agroinsumos[[#This Row],[INV FIS CENTRAL]]-Tabla_Buffers_Agroinsumos[[#This Row],[BUFFER CENTRAL]],"")</f>
        <v/>
      </c>
      <c r="AI7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70" s="134"/>
      <c r="AK70" s="134"/>
      <c r="AL70" s="134"/>
      <c r="AM70" s="134"/>
      <c r="AN70" s="134"/>
      <c r="AO70" s="134"/>
      <c r="AP70" s="134"/>
      <c r="AQ70" s="134"/>
      <c r="AR70" s="134"/>
      <c r="AS70" s="134" t="str">
        <f t="array" ref="AS70">IFERROR(INDEX(TABLACONSOLIDADA[Buff Act],MATCH("AGROINSUMOScentralPROPIA"&amp;Tabla_Buffers_Agroinsumos[[#This Row],[CODIGO ]],TABLACONSOLIDADA[Bodega]&amp;TABLACONSOLIDADA[Codigo],0)),"")</f>
        <v/>
      </c>
      <c r="AT70" s="157" t="str">
        <f t="array" ref="AT70">IFERROR(INDEX(TABLACONSOLIDADA[Inv Fís Act],MATCH("AGROINSUMOScentralPROPIA"&amp;Tabla_Buffers_Agroinsumos[[#This Row],[CODIGO ]],TABLACONSOLIDADA[Bodega]&amp;TABLACONSOLIDADA[Codigo],0)),"")</f>
        <v/>
      </c>
      <c r="AU70" s="157" t="str">
        <f t="array" ref="AU7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7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70" s="134">
        <f>IFERROR(SUM(Tabla_Buffers_Agroinsumos[[#This Row],[P-MP]:[P-VL]]),"")</f>
        <v>0</v>
      </c>
      <c r="AX70" s="92" t="str">
        <f>IFERROR(Tabla_Buffers_Agroinsumos[[#This Row],[INV FIS PROPIA]]-Tabla_Buffers_Agroinsumos[[#This Row],[BUFFER PROPIA]],"")</f>
        <v/>
      </c>
      <c r="AY7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70" s="134"/>
      <c r="BA70" s="134"/>
      <c r="BB70" s="134"/>
      <c r="BC70" s="134"/>
      <c r="BD70" s="134"/>
      <c r="BE70" s="134"/>
      <c r="BF70" s="134"/>
      <c r="BG70" s="134"/>
      <c r="BH70" s="134"/>
      <c r="BI70" s="91" t="str">
        <f t="array" ref="BI70">IFERROR(INDEX(TABLACONSOLIDADA[Buff Act],MATCH("AGROINSUMOSSTODOMINGO"&amp;Tabla_Buffers_Agroinsumos[[#This Row],[CODIGO ]],TABLACONSOLIDADA[Bodega]&amp;TABLACONSOLIDADA[Codigo],0)),"")</f>
        <v/>
      </c>
      <c r="BJ70" s="157" t="str">
        <f t="array" ref="BJ70">IFERROR(INDEX(TABLACONSOLIDADA[Inv Fís Act],MATCH("AGROINSUMOSSTODOMINGO"&amp;Tabla_Buffers_Agroinsumos[[#This Row],[CODIGO ]],TABLACONSOLIDADA[Bodega]&amp;TABLACONSOLIDADA[Codigo],0)),"")</f>
        <v/>
      </c>
      <c r="BK70" s="157" t="str">
        <f t="array" ref="BK7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7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70" s="91">
        <f>IFERROR(SUM(Tabla_Buffers_Agroinsumos[[#This Row],[SD-MP]:[SD-VL]]),"")</f>
        <v>0</v>
      </c>
      <c r="BN70" s="92"/>
      <c r="BO70" s="92"/>
      <c r="BP70" s="134"/>
      <c r="BQ70" s="134"/>
      <c r="BR70" s="134"/>
      <c r="BS70" s="134"/>
      <c r="BT70" s="134"/>
      <c r="BU70" s="134"/>
      <c r="BV70" s="134"/>
      <c r="BW70" s="134"/>
      <c r="BX70" s="134"/>
      <c r="BY70" s="134" t="str">
        <f t="array" ref="BY70">IFERROR(INDEX(TABLACONSOLIDADA[Buff Act],MATCH("AGROINSUMOSMONCAYOLOPEZ"&amp;Tabla_Buffers_Agroinsumos[[#This Row],[CODIGO ]],TABLACONSOLIDADA[Bodega]&amp;TABLACONSOLIDADA[Codigo],0)),"")</f>
        <v/>
      </c>
      <c r="BZ70" s="157" t="str">
        <f t="array" ref="BZ70">IFERROR(INDEX(TABLACONSOLIDADA[Inv Fís Act],MATCH("AGROINSUMOSMONCAYOLOPEZ"&amp;Tabla_Buffers_Agroinsumos[[#This Row],[CODIGO ]],TABLACONSOLIDADA[Bodega]&amp;TABLACONSOLIDADA[Codigo],0)),"")</f>
        <v/>
      </c>
      <c r="CA70" s="157" t="str">
        <f t="array" ref="CA7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7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70" s="134">
        <f>IFERROR(SUM(Tabla_Buffers_Agroinsumos[[#This Row],[ML-MP]:[ML-VL]]),"")</f>
        <v>0</v>
      </c>
      <c r="CD70" s="92" t="str">
        <f>IFERROR(Tabla_Buffers_Agroinsumos[[#This Row],[INV FIS ML]]-Tabla_Buffers_Agroinsumos[[#This Row],[BUFFER ML]],"")</f>
        <v/>
      </c>
      <c r="CE7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70" s="134"/>
      <c r="CG70" s="134"/>
      <c r="CH70" s="134"/>
      <c r="CI70" s="134"/>
      <c r="CJ70" s="134"/>
      <c r="CK70" s="134"/>
      <c r="CL70" s="134"/>
      <c r="CM70" s="134"/>
      <c r="CN70" s="134"/>
      <c r="CO70" s="134" t="str">
        <f t="array" ref="CO70">IFERROR(INDEX(TABLACONSOLIDADA[Buff Act],MATCH("AGROINSUMOSAGROHERMANOSLEON"&amp;Tabla_Buffers_Agroinsumos[[#This Row],[CODIGO ]],TABLACONSOLIDADA[Bodega]&amp;TABLACONSOLIDADA[Codigo],0)),"")</f>
        <v/>
      </c>
      <c r="CP70" s="157" t="str">
        <f t="array" ref="CP70">IFERROR(INDEX(TABLACONSOLIDADA[Inv Fís Act],MATCH("AGROINSUMOSAGROHERMANOSLEON"&amp;Tabla_Buffers_Agroinsumos[[#This Row],[CODIGO ]],TABLACONSOLIDADA[Bodega]&amp;TABLACONSOLIDADA[Codigo],0)),"")</f>
        <v/>
      </c>
      <c r="CQ70" s="157" t="str">
        <f t="array" ref="CQ7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7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70" s="134">
        <f>IFERROR(SUM(Tabla_Buffers_Agroinsumos[[#This Row],[AL-MP]:[AL-VL]]),"")</f>
        <v>0</v>
      </c>
      <c r="CT70" s="92" t="str">
        <f>IFERROR(Tabla_Buffers_Agroinsumos[[#This Row],[INV FIS AL]]-Tabla_Buffers_Agroinsumos[[#This Row],[BUFFER AL]],"")</f>
        <v/>
      </c>
      <c r="CU7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70" s="134"/>
      <c r="CW70" s="134"/>
      <c r="CX70" s="134"/>
      <c r="CY70" s="134"/>
      <c r="CZ70" s="134"/>
      <c r="DA70" s="134"/>
      <c r="DB70" s="134"/>
      <c r="DC70" s="134"/>
      <c r="DD70" s="134"/>
      <c r="DE70" s="134" t="str">
        <f t="array" ref="DE70">IFERROR(INDEX(TABLACONSOLIDADA[Buff Act],MATCH("AGROINSUMOSAGRONUEVO"&amp;Tabla_Buffers_Agroinsumos[[#This Row],[CODIGO ]],TABLACONSOLIDADA[Bodega]&amp;TABLACONSOLIDADA[Codigo],0)),"")</f>
        <v/>
      </c>
      <c r="DF70" s="157" t="str">
        <f t="array" ref="DF70">IFERROR(INDEX(TABLACONSOLIDADA[Inv Fís Act],MATCH("AGROINSUMOSAGRONUEVO"&amp;Tabla_Buffers_Agroinsumos[[#This Row],[CODIGO ]],TABLACONSOLIDADA[Bodega]&amp;TABLACONSOLIDADA[Codigo],0)),"")</f>
        <v/>
      </c>
      <c r="DG70" s="157" t="str">
        <f t="array" ref="DG7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7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70" s="134">
        <f>IFERROR(SUM(Tabla_Buffers_Agroinsumos[[#This Row],[AN-MP]:[AN-VL]]),"")</f>
        <v>0</v>
      </c>
      <c r="DJ70" s="92" t="str">
        <f>IFERROR(Tabla_Buffers_Agroinsumos[[#This Row],[INV FIS AN]]-Tabla_Buffers_Agroinsumos[[#This Row],[BUFFER AN]],"")</f>
        <v/>
      </c>
      <c r="DK7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70" s="134"/>
      <c r="DM70" s="134"/>
      <c r="DN70" s="134"/>
      <c r="DO70" s="134"/>
      <c r="DP70" s="134"/>
      <c r="DQ70" s="134"/>
      <c r="DR70" s="134"/>
      <c r="DS70" s="134"/>
      <c r="DT70" s="134"/>
      <c r="DU70" s="134" t="str">
        <f t="array" ref="DU70">IFERROR(INDEX(TABLACONSOLIDADA[Buff Act],MATCH("AGROINSUMOSAGROQUIMICOSSUR"&amp;Tabla_Buffers_Agroinsumos[[#This Row],[CODIGO ]],TABLACONSOLIDADA[Bodega]&amp;TABLACONSOLIDADA[Codigo],0)),"")</f>
        <v/>
      </c>
      <c r="DV70" s="157" t="str">
        <f t="array" ref="DV70">IFERROR(INDEX(TABLACONSOLIDADA[Inv Fís Act],MATCH("AGROINSUMOSAGROQUIMICOSSUR"&amp;Tabla_Buffers_Agroinsumos[[#This Row],[CODIGO ]],TABLACONSOLIDADA[Bodega]&amp;TABLACONSOLIDADA[Codigo],0)),"")</f>
        <v/>
      </c>
      <c r="DW70" s="157" t="str">
        <f t="array" ref="DW7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7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70" s="134">
        <f>IFERROR(SUM(Tabla_Buffers_Agroinsumos[[#This Row],[AS-MP]:[AS-VL]]),"")</f>
        <v>0</v>
      </c>
      <c r="DZ70" s="92" t="str">
        <f>IFERROR(Tabla_Buffers_Agroinsumos[[#This Row],[INV FIS AS]]-Tabla_Buffers_Agroinsumos[[#This Row],[BUFFER AS]],"")</f>
        <v/>
      </c>
      <c r="EA7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70" s="134"/>
      <c r="EC70" s="134"/>
      <c r="ED70" s="134"/>
      <c r="EE70" s="134"/>
      <c r="EF70" s="134"/>
      <c r="EG70" s="134"/>
      <c r="EH70" s="134"/>
      <c r="EI70" s="134"/>
      <c r="EJ70" s="134"/>
      <c r="EK70" s="134" t="str">
        <f t="array" ref="EK70">IFERROR(INDEX(TABLACONSOLIDADA[Buff Act],MATCH("AGROINSUMOSLAFINCA"&amp;Tabla_Buffers_Agroinsumos[[#This Row],[CODIGO ]],TABLACONSOLIDADA[Bodega]&amp;TABLACONSOLIDADA[Codigo],0)),"")</f>
        <v/>
      </c>
      <c r="EL70" s="157" t="str">
        <f t="array" ref="EL70">IFERROR(INDEX(TABLACONSOLIDADA[Inv Fís Act],MATCH("AGROINSUMOSLAFINCA"&amp;Tabla_Buffers_Agroinsumos[[#This Row],[CODIGO ]],TABLACONSOLIDADA[Bodega]&amp;TABLACONSOLIDADA[Codigo],0)),"")</f>
        <v/>
      </c>
      <c r="EM70" s="157" t="str">
        <f t="array" ref="EM7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7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70" s="134">
        <f>IFERROR(SUM(Tabla_Buffers_Agroinsumos[[#This Row],[LF-MP]:[LF-VL]]),"")</f>
        <v>0</v>
      </c>
      <c r="EP70" s="92" t="str">
        <f>IFERROR(Tabla_Buffers_Agroinsumos[[#This Row],[INV FIS LF]]-Tabla_Buffers_Agroinsumos[[#This Row],[BUFFER LF]],"")</f>
        <v/>
      </c>
      <c r="EQ7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70" s="134"/>
      <c r="ES70" s="134"/>
      <c r="ET70" s="134"/>
      <c r="EU70" s="134"/>
      <c r="EV70" s="134"/>
      <c r="EW70" s="134"/>
      <c r="EX70" s="134"/>
      <c r="EY70" s="134"/>
      <c r="EZ70" s="134"/>
      <c r="FA70" s="134" t="str">
        <f t="array" ref="FA70">IFERROR(INDEX(TABLACONSOLIDADA[Buff Act],MATCH("AGROINSUMOSVERONICALEDESMA"&amp;Tabla_Buffers_Agroinsumos[[#This Row],[CODIGO ]],TABLACONSOLIDADA[Bodega]&amp;TABLACONSOLIDADA[Codigo],0)),"")</f>
        <v/>
      </c>
      <c r="FB70" s="157" t="str">
        <f t="array" ref="FB70">IFERROR(INDEX(TABLACONSOLIDADA[Inv Fís Act],MATCH("AGROINSUMOSVERONICALEDESMA"&amp;Tabla_Buffers_Agroinsumos[[#This Row],[CODIGO ]],TABLACONSOLIDADA[Bodega]&amp;TABLACONSOLIDADA[Codigo],0)),"")</f>
        <v/>
      </c>
      <c r="FC70" s="157" t="str">
        <f t="array" ref="FC7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7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70" s="134">
        <f>IFERROR(SUM(Tabla_Buffers_Agroinsumos[[#This Row],[VL-MP]:[VL-LF]]),"")</f>
        <v>0</v>
      </c>
      <c r="FF70" s="92" t="str">
        <f>IFERROR(Tabla_Buffers_Agroinsumos[[#This Row],[INV FIS VL]]-Tabla_Buffers_Agroinsumos[[#This Row],[BUFFER VL]],"")</f>
        <v/>
      </c>
      <c r="FG7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70" s="134"/>
      <c r="FI70" s="134"/>
      <c r="FJ70" s="134"/>
      <c r="FK70" s="134"/>
      <c r="FL70" s="134"/>
      <c r="FM70" s="134"/>
      <c r="FN70" s="134"/>
      <c r="FO70" s="134"/>
      <c r="FP70" s="134"/>
    </row>
    <row r="71" spans="1:172">
      <c r="A71" s="20" t="s">
        <v>1277</v>
      </c>
      <c r="B71" s="20" t="s">
        <v>1276</v>
      </c>
      <c r="C71" s="20" t="s">
        <v>712</v>
      </c>
      <c r="D71" s="20" t="s">
        <v>715</v>
      </c>
      <c r="E71" s="20" t="s">
        <v>975</v>
      </c>
      <c r="F71" s="111"/>
      <c r="G71" s="111"/>
      <c r="H71" s="111" t="e">
        <f>VLOOKUP(Tabla_Buffers_Agroinsumos[[#This Row],[CODIGO ]],TABLACONSOLIDADA[[Codigo]:[PV]],6,0)</f>
        <v>#N/A</v>
      </c>
      <c r="I71" s="111" t="e">
        <f>VLOOKUP(Tabla_Buffers_Agroinsumos[[#This Row],[CODIGO ]],TABLACONSOLIDADA[[Codigo]:[PV]],5,0)</f>
        <v>#N/A</v>
      </c>
      <c r="J71" s="111"/>
      <c r="K71" s="111"/>
      <c r="L71" s="111">
        <f>IFERROR(Tabla_Buffers_Agroinsumos[[#This Row],[BUFFER CENTRAL]]/((Tabla_Buffers_Agroinsumos[[#This Row],[TIEMPO REPOSICION ]]/Tabla_Buffers_Agroinsumos[[#This Row],[FRECUENCIA]])+1),0)</f>
        <v>0</v>
      </c>
      <c r="M71" s="111" t="str">
        <f t="array" ref="M71">IFERROR(INDEX(TABLACONSOLIDADA[Buff Act],MATCH("AGROINSUMOSMATERIAPRIMA"&amp;Tabla_Buffers_Agroinsumos[[#This Row],[CODIGO ]],TABLACONSOLIDADA[Bodega]&amp;TABLACONSOLIDADA[Codigo],0)),"")</f>
        <v/>
      </c>
      <c r="N71" s="111" t="str">
        <f t="array" ref="N71">IFERROR(INDEX(TABLACONSOLIDADA[Inv Fís Act],MATCH("AGROINSUMOSMATERIAPRIMA"&amp;Tabla_Buffers_Agroinsumos[[#This Row],[CODIGO ]],TABLACONSOLIDADA[Bodega]&amp;TABLACONSOLIDADA[Codigo],0)),"")</f>
        <v/>
      </c>
      <c r="O71" s="183" t="str">
        <f t="array" ref="O7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71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71" s="111">
        <f>IFERROR(SUM(Tabla_Buffers_Agroinsumos[[#This Row],[MP-C]:[MP-VL]]),"")</f>
        <v>0</v>
      </c>
      <c r="R71" s="154" t="str">
        <f>IFERROR(Tabla_Buffers_Agroinsumos[[#This Row],[INV FIS MATERIA PRIMA]]-Tabla_Buffers_Agroinsumos[[#This Row],[BUFFER MATERIA PRIMA]],"")</f>
        <v/>
      </c>
      <c r="S71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71" s="111"/>
      <c r="U71" s="111"/>
      <c r="V71" s="111"/>
      <c r="W71" s="111"/>
      <c r="X71" s="111"/>
      <c r="Y71" s="111"/>
      <c r="Z71" s="111"/>
      <c r="AA71" s="111"/>
      <c r="AB71" s="111"/>
      <c r="AC71" s="152">
        <v>100</v>
      </c>
      <c r="AD71" s="111" t="str">
        <f t="array" ref="AD71">IFERROR(INDEX(TABLACONSOLIDADA[Inv Fís Act],MATCH("AGROINSUMOSCENTRAL"&amp;Tabla_Buffers_Agroinsumos[[#This Row],[CODIGO ]],TABLACONSOLIDADA[Bodega]&amp;TABLACONSOLIDADA[Codigo],0)),"")</f>
        <v/>
      </c>
      <c r="AE71" s="183" t="str">
        <f t="array" ref="AE7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71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71" s="153">
        <f>IFERROR(SUM(Tabla_Buffers_Agroinsumos[[#This Row],[C-MP]:[C-VL]]),"")</f>
        <v>0</v>
      </c>
      <c r="AH71" s="154" t="str">
        <f>IFERROR(Tabla_Buffers_Agroinsumos[[#This Row],[INV FIS CENTRAL]]-Tabla_Buffers_Agroinsumos[[#This Row],[BUFFER CENTRAL]],"")</f>
        <v/>
      </c>
      <c r="AI71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71" s="135"/>
      <c r="AK71" s="135"/>
      <c r="AL71" s="135"/>
      <c r="AM71" s="135"/>
      <c r="AN71" s="135"/>
      <c r="AO71" s="135"/>
      <c r="AP71" s="135"/>
      <c r="AQ71" s="135"/>
      <c r="AR71" s="135"/>
      <c r="AS71" s="135" t="str">
        <f t="array" ref="AS71">IFERROR(INDEX(TABLACONSOLIDADA[Buff Act],MATCH("AGROINSUMOScentralPROPIA"&amp;Tabla_Buffers_Agroinsumos[[#This Row],[CODIGO ]],TABLACONSOLIDADA[Bodega]&amp;TABLACONSOLIDADA[Codigo],0)),"")</f>
        <v/>
      </c>
      <c r="AT71" s="111" t="str">
        <f t="array" ref="AT71">IFERROR(INDEX(TABLACONSOLIDADA[Inv Fís Act],MATCH("AGROINSUMOScentralPROPIA"&amp;Tabla_Buffers_Agroinsumos[[#This Row],[CODIGO ]],TABLACONSOLIDADA[Bodega]&amp;TABLACONSOLIDADA[Codigo],0)),"")</f>
        <v/>
      </c>
      <c r="AU71" s="183" t="str">
        <f t="array" ref="AU7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71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71" s="135">
        <f>IFERROR(SUM(Tabla_Buffers_Agroinsumos[[#This Row],[P-MP]:[P-VL]]),"")</f>
        <v>0</v>
      </c>
      <c r="AX71" s="154" t="str">
        <f>IFERROR(Tabla_Buffers_Agroinsumos[[#This Row],[INV FIS PROPIA]]-Tabla_Buffers_Agroinsumos[[#This Row],[BUFFER PROPIA]],"")</f>
        <v/>
      </c>
      <c r="AY71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71" s="135"/>
      <c r="BA71" s="135"/>
      <c r="BB71" s="135"/>
      <c r="BC71" s="135"/>
      <c r="BD71" s="135"/>
      <c r="BE71" s="135"/>
      <c r="BF71" s="135"/>
      <c r="BG71" s="135"/>
      <c r="BH71" s="135"/>
      <c r="BI71" s="153" t="str">
        <f t="array" ref="BI71">IFERROR(INDEX(TABLACONSOLIDADA[Buff Act],MATCH("AGROINSUMOSSTODOMINGO"&amp;Tabla_Buffers_Agroinsumos[[#This Row],[CODIGO ]],TABLACONSOLIDADA[Bodega]&amp;TABLACONSOLIDADA[Codigo],0)),"")</f>
        <v/>
      </c>
      <c r="BJ71" s="111" t="str">
        <f t="array" ref="BJ71">IFERROR(INDEX(TABLACONSOLIDADA[Inv Fís Act],MATCH("AGROINSUMOSSTODOMINGO"&amp;Tabla_Buffers_Agroinsumos[[#This Row],[CODIGO ]],TABLACONSOLIDADA[Bodega]&amp;TABLACONSOLIDADA[Codigo],0)),"")</f>
        <v/>
      </c>
      <c r="BK71" s="183" t="str">
        <f t="array" ref="BK7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71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71" s="153">
        <f>IFERROR(SUM(Tabla_Buffers_Agroinsumos[[#This Row],[SD-MP]:[SD-VL]]),"")</f>
        <v>0</v>
      </c>
      <c r="BN71" s="154"/>
      <c r="BO71" s="154"/>
      <c r="BP71" s="135"/>
      <c r="BQ71" s="135"/>
      <c r="BR71" s="135"/>
      <c r="BS71" s="135"/>
      <c r="BT71" s="135"/>
      <c r="BU71" s="135"/>
      <c r="BV71" s="135"/>
      <c r="BW71" s="135"/>
      <c r="BX71" s="135"/>
      <c r="BY71" s="135" t="str">
        <f t="array" ref="BY71">IFERROR(INDEX(TABLACONSOLIDADA[Buff Act],MATCH("AGROINSUMOSMONCAYOLOPEZ"&amp;Tabla_Buffers_Agroinsumos[[#This Row],[CODIGO ]],TABLACONSOLIDADA[Bodega]&amp;TABLACONSOLIDADA[Codigo],0)),"")</f>
        <v/>
      </c>
      <c r="BZ71" s="111" t="str">
        <f t="array" ref="BZ71">IFERROR(INDEX(TABLACONSOLIDADA[Inv Fís Act],MATCH("AGROINSUMOSMONCAYOLOPEZ"&amp;Tabla_Buffers_Agroinsumos[[#This Row],[CODIGO ]],TABLACONSOLIDADA[Bodega]&amp;TABLACONSOLIDADA[Codigo],0)),"")</f>
        <v/>
      </c>
      <c r="CA71" s="183" t="str">
        <f t="array" ref="CA7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71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71" s="135">
        <f>IFERROR(SUM(Tabla_Buffers_Agroinsumos[[#This Row],[ML-MP]:[ML-VL]]),"")</f>
        <v>0</v>
      </c>
      <c r="CD71" s="154" t="str">
        <f>IFERROR(Tabla_Buffers_Agroinsumos[[#This Row],[INV FIS ML]]-Tabla_Buffers_Agroinsumos[[#This Row],[BUFFER ML]],"")</f>
        <v/>
      </c>
      <c r="CE71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71" s="135"/>
      <c r="CG71" s="135"/>
      <c r="CH71" s="135"/>
      <c r="CI71" s="135"/>
      <c r="CJ71" s="135"/>
      <c r="CK71" s="135"/>
      <c r="CL71" s="135"/>
      <c r="CM71" s="135"/>
      <c r="CN71" s="135"/>
      <c r="CO71" s="135" t="str">
        <f t="array" ref="CO71">IFERROR(INDEX(TABLACONSOLIDADA[Buff Act],MATCH("AGROINSUMOSAGROHERMANOSLEON"&amp;Tabla_Buffers_Agroinsumos[[#This Row],[CODIGO ]],TABLACONSOLIDADA[Bodega]&amp;TABLACONSOLIDADA[Codigo],0)),"")</f>
        <v/>
      </c>
      <c r="CP71" s="111" t="str">
        <f t="array" ref="CP71">IFERROR(INDEX(TABLACONSOLIDADA[Inv Fís Act],MATCH("AGROINSUMOSAGROHERMANOSLEON"&amp;Tabla_Buffers_Agroinsumos[[#This Row],[CODIGO ]],TABLACONSOLIDADA[Bodega]&amp;TABLACONSOLIDADA[Codigo],0)),"")</f>
        <v/>
      </c>
      <c r="CQ71" s="183" t="str">
        <f t="array" ref="CQ7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71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71" s="135">
        <f>IFERROR(SUM(Tabla_Buffers_Agroinsumos[[#This Row],[AL-MP]:[AL-VL]]),"")</f>
        <v>0</v>
      </c>
      <c r="CT71" s="154" t="str">
        <f>IFERROR(Tabla_Buffers_Agroinsumos[[#This Row],[INV FIS AL]]-Tabla_Buffers_Agroinsumos[[#This Row],[BUFFER AL]],"")</f>
        <v/>
      </c>
      <c r="CU71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71" s="135"/>
      <c r="CW71" s="135"/>
      <c r="CX71" s="135"/>
      <c r="CY71" s="135"/>
      <c r="CZ71" s="135"/>
      <c r="DA71" s="135"/>
      <c r="DB71" s="135"/>
      <c r="DC71" s="135"/>
      <c r="DD71" s="135"/>
      <c r="DE71" s="135" t="str">
        <f t="array" ref="DE71">IFERROR(INDEX(TABLACONSOLIDADA[Buff Act],MATCH("AGROINSUMOSAGRONUEVO"&amp;Tabla_Buffers_Agroinsumos[[#This Row],[CODIGO ]],TABLACONSOLIDADA[Bodega]&amp;TABLACONSOLIDADA[Codigo],0)),"")</f>
        <v/>
      </c>
      <c r="DF71" s="111" t="str">
        <f t="array" ref="DF71">IFERROR(INDEX(TABLACONSOLIDADA[Inv Fís Act],MATCH("AGROINSUMOSAGRONUEVO"&amp;Tabla_Buffers_Agroinsumos[[#This Row],[CODIGO ]],TABLACONSOLIDADA[Bodega]&amp;TABLACONSOLIDADA[Codigo],0)),"")</f>
        <v/>
      </c>
      <c r="DG71" s="183" t="str">
        <f t="array" ref="DG7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71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71" s="135">
        <f>IFERROR(SUM(Tabla_Buffers_Agroinsumos[[#This Row],[AN-MP]:[AN-VL]]),"")</f>
        <v>0</v>
      </c>
      <c r="DJ71" s="154" t="str">
        <f>IFERROR(Tabla_Buffers_Agroinsumos[[#This Row],[INV FIS AN]]-Tabla_Buffers_Agroinsumos[[#This Row],[BUFFER AN]],"")</f>
        <v/>
      </c>
      <c r="DK71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71" s="135"/>
      <c r="DM71" s="135"/>
      <c r="DN71" s="135"/>
      <c r="DO71" s="135"/>
      <c r="DP71" s="135"/>
      <c r="DQ71" s="135"/>
      <c r="DR71" s="135"/>
      <c r="DS71" s="135"/>
      <c r="DT71" s="135"/>
      <c r="DU71" s="135" t="str">
        <f t="array" ref="DU71">IFERROR(INDEX(TABLACONSOLIDADA[Buff Act],MATCH("AGROINSUMOSAGROQUIMICOSSUR"&amp;Tabla_Buffers_Agroinsumos[[#This Row],[CODIGO ]],TABLACONSOLIDADA[Bodega]&amp;TABLACONSOLIDADA[Codigo],0)),"")</f>
        <v/>
      </c>
      <c r="DV71" s="111" t="str">
        <f t="array" ref="DV71">IFERROR(INDEX(TABLACONSOLIDADA[Inv Fís Act],MATCH("AGROINSUMOSAGROQUIMICOSSUR"&amp;Tabla_Buffers_Agroinsumos[[#This Row],[CODIGO ]],TABLACONSOLIDADA[Bodega]&amp;TABLACONSOLIDADA[Codigo],0)),"")</f>
        <v/>
      </c>
      <c r="DW71" s="183" t="str">
        <f t="array" ref="DW7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71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71" s="135">
        <f>IFERROR(SUM(Tabla_Buffers_Agroinsumos[[#This Row],[AS-MP]:[AS-VL]]),"")</f>
        <v>0</v>
      </c>
      <c r="DZ71" s="154" t="str">
        <f>IFERROR(Tabla_Buffers_Agroinsumos[[#This Row],[INV FIS AS]]-Tabla_Buffers_Agroinsumos[[#This Row],[BUFFER AS]],"")</f>
        <v/>
      </c>
      <c r="EA71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71" s="135"/>
      <c r="EC71" s="135"/>
      <c r="ED71" s="135"/>
      <c r="EE71" s="135"/>
      <c r="EF71" s="135"/>
      <c r="EG71" s="135"/>
      <c r="EH71" s="135"/>
      <c r="EI71" s="135"/>
      <c r="EJ71" s="135"/>
      <c r="EK71" s="135" t="str">
        <f t="array" ref="EK71">IFERROR(INDEX(TABLACONSOLIDADA[Buff Act],MATCH("AGROINSUMOSLAFINCA"&amp;Tabla_Buffers_Agroinsumos[[#This Row],[CODIGO ]],TABLACONSOLIDADA[Bodega]&amp;TABLACONSOLIDADA[Codigo],0)),"")</f>
        <v/>
      </c>
      <c r="EL71" s="111" t="str">
        <f t="array" ref="EL71">IFERROR(INDEX(TABLACONSOLIDADA[Inv Fís Act],MATCH("AGROINSUMOSLAFINCA"&amp;Tabla_Buffers_Agroinsumos[[#This Row],[CODIGO ]],TABLACONSOLIDADA[Bodega]&amp;TABLACONSOLIDADA[Codigo],0)),"")</f>
        <v/>
      </c>
      <c r="EM71" s="183" t="str">
        <f t="array" ref="EM7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71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71" s="135">
        <f>IFERROR(SUM(Tabla_Buffers_Agroinsumos[[#This Row],[LF-MP]:[LF-VL]]),"")</f>
        <v>0</v>
      </c>
      <c r="EP71" s="154" t="str">
        <f>IFERROR(Tabla_Buffers_Agroinsumos[[#This Row],[INV FIS LF]]-Tabla_Buffers_Agroinsumos[[#This Row],[BUFFER LF]],"")</f>
        <v/>
      </c>
      <c r="EQ71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71" s="135"/>
      <c r="ES71" s="135"/>
      <c r="ET71" s="135"/>
      <c r="EU71" s="135"/>
      <c r="EV71" s="135"/>
      <c r="EW71" s="135"/>
      <c r="EX71" s="135"/>
      <c r="EY71" s="135"/>
      <c r="EZ71" s="135"/>
      <c r="FA71" s="135" t="str">
        <f t="array" ref="FA71">IFERROR(INDEX(TABLACONSOLIDADA[Buff Act],MATCH("AGROINSUMOSVERONICALEDESMA"&amp;Tabla_Buffers_Agroinsumos[[#This Row],[CODIGO ]],TABLACONSOLIDADA[Bodega]&amp;TABLACONSOLIDADA[Codigo],0)),"")</f>
        <v/>
      </c>
      <c r="FB71" s="111" t="str">
        <f t="array" ref="FB71">IFERROR(INDEX(TABLACONSOLIDADA[Inv Fís Act],MATCH("AGROINSUMOSVERONICALEDESMA"&amp;Tabla_Buffers_Agroinsumos[[#This Row],[CODIGO ]],TABLACONSOLIDADA[Bodega]&amp;TABLACONSOLIDADA[Codigo],0)),"")</f>
        <v/>
      </c>
      <c r="FC71" s="183" t="str">
        <f t="array" ref="FC7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71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71" s="135">
        <f>IFERROR(SUM(Tabla_Buffers_Agroinsumos[[#This Row],[VL-MP]:[VL-LF]]),"")</f>
        <v>0</v>
      </c>
      <c r="FF71" s="154" t="str">
        <f>IFERROR(Tabla_Buffers_Agroinsumos[[#This Row],[INV FIS VL]]-Tabla_Buffers_Agroinsumos[[#This Row],[BUFFER VL]],"")</f>
        <v/>
      </c>
      <c r="FG71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71" s="135"/>
      <c r="FI71" s="135"/>
      <c r="FJ71" s="135"/>
      <c r="FK71" s="135"/>
      <c r="FL71" s="135"/>
      <c r="FM71" s="135"/>
      <c r="FN71" s="135"/>
      <c r="FO71" s="135"/>
      <c r="FP71" s="135"/>
    </row>
    <row r="72" spans="1:172">
      <c r="A72" s="20" t="s">
        <v>1216</v>
      </c>
      <c r="B72" s="20" t="s">
        <v>1217</v>
      </c>
      <c r="C72" s="7" t="s">
        <v>712</v>
      </c>
      <c r="D72" s="7" t="s">
        <v>715</v>
      </c>
      <c r="E72" s="7" t="s">
        <v>975</v>
      </c>
      <c r="F72" s="111"/>
      <c r="G72" s="111"/>
      <c r="H72" s="111" t="e">
        <f>VLOOKUP(Tabla_Buffers_Agroinsumos[[#This Row],[CODIGO ]],TABLACONSOLIDADA[[Codigo]:[PV]],6,0)</f>
        <v>#N/A</v>
      </c>
      <c r="I72" s="111" t="e">
        <f>VLOOKUP(Tabla_Buffers_Agroinsumos[[#This Row],[CODIGO ]],TABLACONSOLIDADA[[Codigo]:[PV]],5,0)</f>
        <v>#N/A</v>
      </c>
      <c r="J72" s="111"/>
      <c r="K72" s="111"/>
      <c r="L72" s="111">
        <f>IFERROR(Tabla_Buffers_Agroinsumos[[#This Row],[BUFFER CENTRAL]]/((Tabla_Buffers_Agroinsumos[[#This Row],[TIEMPO REPOSICION ]]/Tabla_Buffers_Agroinsumos[[#This Row],[FRECUENCIA]])+1),0)</f>
        <v>0</v>
      </c>
      <c r="M72" s="111" t="str">
        <f t="array" ref="M72">IFERROR(INDEX(TABLACONSOLIDADA[Buff Act],MATCH("AGROINSUMOSMATERIAPRIMA"&amp;Tabla_Buffers_Agroinsumos[[#This Row],[CODIGO ]],TABLACONSOLIDADA[Bodega]&amp;TABLACONSOLIDADA[Codigo],0)),"")</f>
        <v/>
      </c>
      <c r="N72" s="111" t="str">
        <f t="array" ref="N72">IFERROR(INDEX(TABLACONSOLIDADA[Inv Fís Act],MATCH("AGROINSUMOSMATERIAPRIMA"&amp;Tabla_Buffers_Agroinsumos[[#This Row],[CODIGO ]],TABLACONSOLIDADA[Bodega]&amp;TABLACONSOLIDADA[Codigo],0)),"")</f>
        <v/>
      </c>
      <c r="O72" s="178" t="str">
        <f t="array" ref="O7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72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72" s="111">
        <f>IFERROR(SUM(Tabla_Buffers_Agroinsumos[[#This Row],[MP-C]:[MP-VL]]),"")</f>
        <v>0</v>
      </c>
      <c r="R72" s="154" t="str">
        <f>IFERROR(Tabla_Buffers_Agroinsumos[[#This Row],[INV FIS MATERIA PRIMA]]-Tabla_Buffers_Agroinsumos[[#This Row],[BUFFER MATERIA PRIMA]],"")</f>
        <v/>
      </c>
      <c r="S72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72" s="111"/>
      <c r="U72" s="111"/>
      <c r="V72" s="111"/>
      <c r="W72" s="111"/>
      <c r="X72" s="111"/>
      <c r="Y72" s="111"/>
      <c r="Z72" s="111"/>
      <c r="AA72" s="111"/>
      <c r="AB72" s="111"/>
      <c r="AC72" s="152">
        <v>80</v>
      </c>
      <c r="AD72" s="111" t="str">
        <f t="array" ref="AD72">IFERROR(INDEX(TABLACONSOLIDADA[Inv Fís Act],MATCH("AGROINSUMOSCENTRAL"&amp;Tabla_Buffers_Agroinsumos[[#This Row],[CODIGO ]],TABLACONSOLIDADA[Bodega]&amp;TABLACONSOLIDADA[Codigo],0)),"")</f>
        <v/>
      </c>
      <c r="AE72" s="178" t="str">
        <f t="array" ref="AE7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72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72" s="153">
        <f>IFERROR(SUM(Tabla_Buffers_Agroinsumos[[#This Row],[C-MP]:[C-VL]]),"")</f>
        <v>0</v>
      </c>
      <c r="AH72" s="154" t="str">
        <f>IFERROR(Tabla_Buffers_Agroinsumos[[#This Row],[INV FIS CENTRAL]]-Tabla_Buffers_Agroinsumos[[#This Row],[BUFFER CENTRAL]],"")</f>
        <v/>
      </c>
      <c r="AI72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72" s="135"/>
      <c r="AK72" s="135"/>
      <c r="AL72" s="135"/>
      <c r="AM72" s="135"/>
      <c r="AN72" s="135"/>
      <c r="AO72" s="135"/>
      <c r="AP72" s="135"/>
      <c r="AQ72" s="135"/>
      <c r="AR72" s="135"/>
      <c r="AS72" s="135" t="str">
        <f t="array" ref="AS72">IFERROR(INDEX(TABLACONSOLIDADA[Buff Act],MATCH("AGROINSUMOScentralPROPIA"&amp;Tabla_Buffers_Agroinsumos[[#This Row],[CODIGO ]],TABLACONSOLIDADA[Bodega]&amp;TABLACONSOLIDADA[Codigo],0)),"")</f>
        <v/>
      </c>
      <c r="AT72" s="111" t="str">
        <f t="array" ref="AT72">IFERROR(INDEX(TABLACONSOLIDADA[Inv Fís Act],MATCH("AGROINSUMOScentralPROPIA"&amp;Tabla_Buffers_Agroinsumos[[#This Row],[CODIGO ]],TABLACONSOLIDADA[Bodega]&amp;TABLACONSOLIDADA[Codigo],0)),"")</f>
        <v/>
      </c>
      <c r="AU72" s="178" t="str">
        <f t="array" ref="AU7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72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72" s="135">
        <f>IFERROR(SUM(Tabla_Buffers_Agroinsumos[[#This Row],[P-MP]:[P-VL]]),"")</f>
        <v>0</v>
      </c>
      <c r="AX72" s="154" t="str">
        <f>IFERROR(Tabla_Buffers_Agroinsumos[[#This Row],[INV FIS PROPIA]]-Tabla_Buffers_Agroinsumos[[#This Row],[BUFFER PROPIA]],"")</f>
        <v/>
      </c>
      <c r="AY72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72" s="135"/>
      <c r="BA72" s="135"/>
      <c r="BB72" s="135"/>
      <c r="BC72" s="135"/>
      <c r="BD72" s="135"/>
      <c r="BE72" s="135"/>
      <c r="BF72" s="135"/>
      <c r="BG72" s="135"/>
      <c r="BH72" s="135"/>
      <c r="BI72" s="153" t="str">
        <f t="array" ref="BI72">IFERROR(INDEX(TABLACONSOLIDADA[Buff Act],MATCH("AGROINSUMOSSTODOMINGO"&amp;Tabla_Buffers_Agroinsumos[[#This Row],[CODIGO ]],TABLACONSOLIDADA[Bodega]&amp;TABLACONSOLIDADA[Codigo],0)),"")</f>
        <v/>
      </c>
      <c r="BJ72" s="111" t="str">
        <f t="array" ref="BJ72">IFERROR(INDEX(TABLACONSOLIDADA[Inv Fís Act],MATCH("AGROINSUMOSSTODOMINGO"&amp;Tabla_Buffers_Agroinsumos[[#This Row],[CODIGO ]],TABLACONSOLIDADA[Bodega]&amp;TABLACONSOLIDADA[Codigo],0)),"")</f>
        <v/>
      </c>
      <c r="BK72" s="178" t="str">
        <f t="array" ref="BK7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72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72" s="153">
        <f>IFERROR(SUM(Tabla_Buffers_Agroinsumos[[#This Row],[SD-MP]:[SD-VL]]),"")</f>
        <v>0</v>
      </c>
      <c r="BN72" s="154"/>
      <c r="BO72" s="154"/>
      <c r="BP72" s="135"/>
      <c r="BQ72" s="135"/>
      <c r="BR72" s="135"/>
      <c r="BS72" s="135"/>
      <c r="BT72" s="135"/>
      <c r="BU72" s="135"/>
      <c r="BV72" s="135"/>
      <c r="BW72" s="135"/>
      <c r="BX72" s="135"/>
      <c r="BY72" s="135" t="str">
        <f t="array" ref="BY72">IFERROR(INDEX(TABLACONSOLIDADA[Buff Act],MATCH("AGROINSUMOSMONCAYOLOPEZ"&amp;Tabla_Buffers_Agroinsumos[[#This Row],[CODIGO ]],TABLACONSOLIDADA[Bodega]&amp;TABLACONSOLIDADA[Codigo],0)),"")</f>
        <v/>
      </c>
      <c r="BZ72" s="111" t="str">
        <f t="array" ref="BZ72">IFERROR(INDEX(TABLACONSOLIDADA[Inv Fís Act],MATCH("AGROINSUMOSMONCAYOLOPEZ"&amp;Tabla_Buffers_Agroinsumos[[#This Row],[CODIGO ]],TABLACONSOLIDADA[Bodega]&amp;TABLACONSOLIDADA[Codigo],0)),"")</f>
        <v/>
      </c>
      <c r="CA72" s="178" t="str">
        <f t="array" ref="CA7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72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72" s="135">
        <f>IFERROR(SUM(Tabla_Buffers_Agroinsumos[[#This Row],[ML-MP]:[ML-VL]]),"")</f>
        <v>0</v>
      </c>
      <c r="CD72" s="154" t="str">
        <f>IFERROR(Tabla_Buffers_Agroinsumos[[#This Row],[INV FIS ML]]-Tabla_Buffers_Agroinsumos[[#This Row],[BUFFER ML]],"")</f>
        <v/>
      </c>
      <c r="CE72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72" s="135"/>
      <c r="CG72" s="135"/>
      <c r="CH72" s="135"/>
      <c r="CI72" s="135"/>
      <c r="CJ72" s="135"/>
      <c r="CK72" s="135"/>
      <c r="CL72" s="135"/>
      <c r="CM72" s="135"/>
      <c r="CN72" s="135"/>
      <c r="CO72" s="135" t="str">
        <f t="array" ref="CO72">IFERROR(INDEX(TABLACONSOLIDADA[Buff Act],MATCH("AGROINSUMOSAGROHERMANOSLEON"&amp;Tabla_Buffers_Agroinsumos[[#This Row],[CODIGO ]],TABLACONSOLIDADA[Bodega]&amp;TABLACONSOLIDADA[Codigo],0)),"")</f>
        <v/>
      </c>
      <c r="CP72" s="111" t="str">
        <f t="array" ref="CP72">IFERROR(INDEX(TABLACONSOLIDADA[Inv Fís Act],MATCH("AGROINSUMOSAGROHERMANOSLEON"&amp;Tabla_Buffers_Agroinsumos[[#This Row],[CODIGO ]],TABLACONSOLIDADA[Bodega]&amp;TABLACONSOLIDADA[Codigo],0)),"")</f>
        <v/>
      </c>
      <c r="CQ72" s="178" t="str">
        <f t="array" ref="CQ7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72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72" s="135">
        <f>IFERROR(SUM(Tabla_Buffers_Agroinsumos[[#This Row],[AL-MP]:[AL-VL]]),"")</f>
        <v>0</v>
      </c>
      <c r="CT72" s="154" t="str">
        <f>IFERROR(Tabla_Buffers_Agroinsumos[[#This Row],[INV FIS AL]]-Tabla_Buffers_Agroinsumos[[#This Row],[BUFFER AL]],"")</f>
        <v/>
      </c>
      <c r="CU72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72" s="135"/>
      <c r="CW72" s="135"/>
      <c r="CX72" s="135"/>
      <c r="CY72" s="135"/>
      <c r="CZ72" s="135"/>
      <c r="DA72" s="135"/>
      <c r="DB72" s="135"/>
      <c r="DC72" s="135"/>
      <c r="DD72" s="135"/>
      <c r="DE72" s="135" t="str">
        <f t="array" ref="DE72">IFERROR(INDEX(TABLACONSOLIDADA[Buff Act],MATCH("AGROINSUMOSAGRONUEVO"&amp;Tabla_Buffers_Agroinsumos[[#This Row],[CODIGO ]],TABLACONSOLIDADA[Bodega]&amp;TABLACONSOLIDADA[Codigo],0)),"")</f>
        <v/>
      </c>
      <c r="DF72" s="111" t="str">
        <f t="array" ref="DF72">IFERROR(INDEX(TABLACONSOLIDADA[Inv Fís Act],MATCH("AGROINSUMOSAGRONUEVO"&amp;Tabla_Buffers_Agroinsumos[[#This Row],[CODIGO ]],TABLACONSOLIDADA[Bodega]&amp;TABLACONSOLIDADA[Codigo],0)),"")</f>
        <v/>
      </c>
      <c r="DG72" s="178" t="str">
        <f t="array" ref="DG7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72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72" s="135">
        <f>IFERROR(SUM(Tabla_Buffers_Agroinsumos[[#This Row],[AN-MP]:[AN-VL]]),"")</f>
        <v>0</v>
      </c>
      <c r="DJ72" s="154" t="str">
        <f>IFERROR(Tabla_Buffers_Agroinsumos[[#This Row],[INV FIS AN]]-Tabla_Buffers_Agroinsumos[[#This Row],[BUFFER AN]],"")</f>
        <v/>
      </c>
      <c r="DK72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72" s="135"/>
      <c r="DM72" s="135"/>
      <c r="DN72" s="135"/>
      <c r="DO72" s="135"/>
      <c r="DP72" s="135"/>
      <c r="DQ72" s="135"/>
      <c r="DR72" s="135"/>
      <c r="DS72" s="135"/>
      <c r="DT72" s="135"/>
      <c r="DU72" s="135" t="str">
        <f t="array" ref="DU72">IFERROR(INDEX(TABLACONSOLIDADA[Buff Act],MATCH("AGROINSUMOSAGROQUIMICOSSUR"&amp;Tabla_Buffers_Agroinsumos[[#This Row],[CODIGO ]],TABLACONSOLIDADA[Bodega]&amp;TABLACONSOLIDADA[Codigo],0)),"")</f>
        <v/>
      </c>
      <c r="DV72" s="111" t="str">
        <f t="array" ref="DV72">IFERROR(INDEX(TABLACONSOLIDADA[Inv Fís Act],MATCH("AGROINSUMOSAGROQUIMICOSSUR"&amp;Tabla_Buffers_Agroinsumos[[#This Row],[CODIGO ]],TABLACONSOLIDADA[Bodega]&amp;TABLACONSOLIDADA[Codigo],0)),"")</f>
        <v/>
      </c>
      <c r="DW72" s="178" t="str">
        <f t="array" ref="DW7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72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72" s="135">
        <f>IFERROR(SUM(Tabla_Buffers_Agroinsumos[[#This Row],[AS-MP]:[AS-VL]]),"")</f>
        <v>0</v>
      </c>
      <c r="DZ72" s="154" t="str">
        <f>IFERROR(Tabla_Buffers_Agroinsumos[[#This Row],[INV FIS AS]]-Tabla_Buffers_Agroinsumos[[#This Row],[BUFFER AS]],"")</f>
        <v/>
      </c>
      <c r="EA72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72" s="135"/>
      <c r="EC72" s="135"/>
      <c r="ED72" s="135"/>
      <c r="EE72" s="135"/>
      <c r="EF72" s="135"/>
      <c r="EG72" s="135"/>
      <c r="EH72" s="135"/>
      <c r="EI72" s="135"/>
      <c r="EJ72" s="135"/>
      <c r="EK72" s="135" t="str">
        <f t="array" ref="EK72">IFERROR(INDEX(TABLACONSOLIDADA[Buff Act],MATCH("AGROINSUMOSLAFINCA"&amp;Tabla_Buffers_Agroinsumos[[#This Row],[CODIGO ]],TABLACONSOLIDADA[Bodega]&amp;TABLACONSOLIDADA[Codigo],0)),"")</f>
        <v/>
      </c>
      <c r="EL72" s="111" t="str">
        <f t="array" ref="EL72">IFERROR(INDEX(TABLACONSOLIDADA[Inv Fís Act],MATCH("AGROINSUMOSLAFINCA"&amp;Tabla_Buffers_Agroinsumos[[#This Row],[CODIGO ]],TABLACONSOLIDADA[Bodega]&amp;TABLACONSOLIDADA[Codigo],0)),"")</f>
        <v/>
      </c>
      <c r="EM72" s="178" t="str">
        <f t="array" ref="EM7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72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72" s="135">
        <f>IFERROR(SUM(Tabla_Buffers_Agroinsumos[[#This Row],[LF-MP]:[LF-VL]]),"")</f>
        <v>0</v>
      </c>
      <c r="EP72" s="154" t="str">
        <f>IFERROR(Tabla_Buffers_Agroinsumos[[#This Row],[INV FIS LF]]-Tabla_Buffers_Agroinsumos[[#This Row],[BUFFER LF]],"")</f>
        <v/>
      </c>
      <c r="EQ72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72" s="135"/>
      <c r="ES72" s="135"/>
      <c r="ET72" s="135"/>
      <c r="EU72" s="135"/>
      <c r="EV72" s="135"/>
      <c r="EW72" s="135"/>
      <c r="EX72" s="135"/>
      <c r="EY72" s="135"/>
      <c r="EZ72" s="135"/>
      <c r="FA72" s="135" t="str">
        <f t="array" ref="FA72">IFERROR(INDEX(TABLACONSOLIDADA[Buff Act],MATCH("AGROINSUMOSVERONICALEDESMA"&amp;Tabla_Buffers_Agroinsumos[[#This Row],[CODIGO ]],TABLACONSOLIDADA[Bodega]&amp;TABLACONSOLIDADA[Codigo],0)),"")</f>
        <v/>
      </c>
      <c r="FB72" s="111" t="str">
        <f t="array" ref="FB72">IFERROR(INDEX(TABLACONSOLIDADA[Inv Fís Act],MATCH("AGROINSUMOSVERONICALEDESMA"&amp;Tabla_Buffers_Agroinsumos[[#This Row],[CODIGO ]],TABLACONSOLIDADA[Bodega]&amp;TABLACONSOLIDADA[Codigo],0)),"")</f>
        <v/>
      </c>
      <c r="FC72" s="178" t="str">
        <f t="array" ref="FC7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72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72" s="135">
        <f>IFERROR(SUM(Tabla_Buffers_Agroinsumos[[#This Row],[VL-MP]:[VL-LF]]),"")</f>
        <v>0</v>
      </c>
      <c r="FF72" s="154" t="str">
        <f>IFERROR(Tabla_Buffers_Agroinsumos[[#This Row],[INV FIS VL]]-Tabla_Buffers_Agroinsumos[[#This Row],[BUFFER VL]],"")</f>
        <v/>
      </c>
      <c r="FG72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72" s="135"/>
      <c r="FI72" s="135"/>
      <c r="FJ72" s="135"/>
      <c r="FK72" s="135"/>
      <c r="FL72" s="135"/>
      <c r="FM72" s="135"/>
      <c r="FN72" s="135"/>
      <c r="FO72" s="135"/>
      <c r="FP72" s="135"/>
    </row>
    <row r="73" spans="1:172">
      <c r="A73" s="20" t="s">
        <v>1214</v>
      </c>
      <c r="B73" s="20" t="s">
        <v>1215</v>
      </c>
      <c r="C73" s="7" t="s">
        <v>712</v>
      </c>
      <c r="D73" s="7" t="s">
        <v>715</v>
      </c>
      <c r="E73" s="7" t="s">
        <v>975</v>
      </c>
      <c r="F73" s="111"/>
      <c r="G73" s="111"/>
      <c r="H73" s="111" t="e">
        <f>VLOOKUP(Tabla_Buffers_Agroinsumos[[#This Row],[CODIGO ]],TABLACONSOLIDADA[[Codigo]:[PV]],6,0)</f>
        <v>#N/A</v>
      </c>
      <c r="I73" s="111" t="e">
        <f>VLOOKUP(Tabla_Buffers_Agroinsumos[[#This Row],[CODIGO ]],TABLACONSOLIDADA[[Codigo]:[PV]],5,0)</f>
        <v>#N/A</v>
      </c>
      <c r="J73" s="111"/>
      <c r="K73" s="111"/>
      <c r="L73" s="111">
        <f>IFERROR(Tabla_Buffers_Agroinsumos[[#This Row],[BUFFER CENTRAL]]/((Tabla_Buffers_Agroinsumos[[#This Row],[TIEMPO REPOSICION ]]/Tabla_Buffers_Agroinsumos[[#This Row],[FRECUENCIA]])+1),0)</f>
        <v>0</v>
      </c>
      <c r="M73" s="111" t="str">
        <f t="array" ref="M73">IFERROR(INDEX(TABLACONSOLIDADA[Buff Act],MATCH("AGROINSUMOSMATERIAPRIMA"&amp;Tabla_Buffers_Agroinsumos[[#This Row],[CODIGO ]],TABLACONSOLIDADA[Bodega]&amp;TABLACONSOLIDADA[Codigo],0)),"")</f>
        <v/>
      </c>
      <c r="N73" s="111" t="str">
        <f t="array" ref="N73">IFERROR(INDEX(TABLACONSOLIDADA[Inv Fís Act],MATCH("AGROINSUMOSMATERIAPRIMA"&amp;Tabla_Buffers_Agroinsumos[[#This Row],[CODIGO ]],TABLACONSOLIDADA[Bodega]&amp;TABLACONSOLIDADA[Codigo],0)),"")</f>
        <v/>
      </c>
      <c r="O73" s="178" t="str">
        <f t="array" ref="O7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73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73" s="111">
        <f>IFERROR(SUM(Tabla_Buffers_Agroinsumos[[#This Row],[MP-C]:[MP-VL]]),"")</f>
        <v>0</v>
      </c>
      <c r="R73" s="154" t="str">
        <f>IFERROR(Tabla_Buffers_Agroinsumos[[#This Row],[INV FIS MATERIA PRIMA]]-Tabla_Buffers_Agroinsumos[[#This Row],[BUFFER MATERIA PRIMA]],"")</f>
        <v/>
      </c>
      <c r="S73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73" s="111"/>
      <c r="U73" s="111"/>
      <c r="V73" s="111"/>
      <c r="W73" s="111"/>
      <c r="X73" s="111"/>
      <c r="Y73" s="111"/>
      <c r="Z73" s="111"/>
      <c r="AA73" s="111"/>
      <c r="AB73" s="111"/>
      <c r="AC73" s="152">
        <v>100</v>
      </c>
      <c r="AD73" s="111" t="str">
        <f t="array" ref="AD73">IFERROR(INDEX(TABLACONSOLIDADA[Inv Fís Act],MATCH("AGROINSUMOSCENTRAL"&amp;Tabla_Buffers_Agroinsumos[[#This Row],[CODIGO ]],TABLACONSOLIDADA[Bodega]&amp;TABLACONSOLIDADA[Codigo],0)),"")</f>
        <v/>
      </c>
      <c r="AE73" s="178" t="str">
        <f t="array" ref="AE7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73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73" s="153">
        <f>IFERROR(SUM(Tabla_Buffers_Agroinsumos[[#This Row],[C-MP]:[C-VL]]),"")</f>
        <v>0</v>
      </c>
      <c r="AH73" s="154" t="str">
        <f>IFERROR(Tabla_Buffers_Agroinsumos[[#This Row],[INV FIS CENTRAL]]-Tabla_Buffers_Agroinsumos[[#This Row],[BUFFER CENTRAL]],"")</f>
        <v/>
      </c>
      <c r="AI73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73" s="135"/>
      <c r="AK73" s="135"/>
      <c r="AL73" s="135"/>
      <c r="AM73" s="135"/>
      <c r="AN73" s="135"/>
      <c r="AO73" s="135"/>
      <c r="AP73" s="135"/>
      <c r="AQ73" s="135"/>
      <c r="AR73" s="135"/>
      <c r="AS73" s="135" t="str">
        <f t="array" ref="AS73">IFERROR(INDEX(TABLACONSOLIDADA[Buff Act],MATCH("AGROINSUMOScentralPROPIA"&amp;Tabla_Buffers_Agroinsumos[[#This Row],[CODIGO ]],TABLACONSOLIDADA[Bodega]&amp;TABLACONSOLIDADA[Codigo],0)),"")</f>
        <v/>
      </c>
      <c r="AT73" s="111" t="str">
        <f t="array" ref="AT73">IFERROR(INDEX(TABLACONSOLIDADA[Inv Fís Act],MATCH("AGROINSUMOScentralPROPIA"&amp;Tabla_Buffers_Agroinsumos[[#This Row],[CODIGO ]],TABLACONSOLIDADA[Bodega]&amp;TABLACONSOLIDADA[Codigo],0)),"")</f>
        <v/>
      </c>
      <c r="AU73" s="178" t="str">
        <f t="array" ref="AU7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73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73" s="135">
        <f>IFERROR(SUM(Tabla_Buffers_Agroinsumos[[#This Row],[P-MP]:[P-VL]]),"")</f>
        <v>0</v>
      </c>
      <c r="AX73" s="154" t="str">
        <f>IFERROR(Tabla_Buffers_Agroinsumos[[#This Row],[INV FIS PROPIA]]-Tabla_Buffers_Agroinsumos[[#This Row],[BUFFER PROPIA]],"")</f>
        <v/>
      </c>
      <c r="AY73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73" s="135"/>
      <c r="BA73" s="135"/>
      <c r="BB73" s="135"/>
      <c r="BC73" s="135"/>
      <c r="BD73" s="135"/>
      <c r="BE73" s="135"/>
      <c r="BF73" s="135"/>
      <c r="BG73" s="135"/>
      <c r="BH73" s="135"/>
      <c r="BI73" s="153" t="str">
        <f t="array" ref="BI73">IFERROR(INDEX(TABLACONSOLIDADA[Buff Act],MATCH("AGROINSUMOSSTODOMINGO"&amp;Tabla_Buffers_Agroinsumos[[#This Row],[CODIGO ]],TABLACONSOLIDADA[Bodega]&amp;TABLACONSOLIDADA[Codigo],0)),"")</f>
        <v/>
      </c>
      <c r="BJ73" s="111" t="str">
        <f t="array" ref="BJ73">IFERROR(INDEX(TABLACONSOLIDADA[Inv Fís Act],MATCH("AGROINSUMOSSTODOMINGO"&amp;Tabla_Buffers_Agroinsumos[[#This Row],[CODIGO ]],TABLACONSOLIDADA[Bodega]&amp;TABLACONSOLIDADA[Codigo],0)),"")</f>
        <v/>
      </c>
      <c r="BK73" s="178" t="str">
        <f t="array" ref="BK7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73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73" s="153">
        <f>IFERROR(SUM(Tabla_Buffers_Agroinsumos[[#This Row],[SD-MP]:[SD-VL]]),"")</f>
        <v>0</v>
      </c>
      <c r="BN73" s="154"/>
      <c r="BO73" s="154"/>
      <c r="BP73" s="135"/>
      <c r="BQ73" s="135"/>
      <c r="BR73" s="135"/>
      <c r="BS73" s="135"/>
      <c r="BT73" s="135"/>
      <c r="BU73" s="135"/>
      <c r="BV73" s="135"/>
      <c r="BW73" s="135"/>
      <c r="BX73" s="135"/>
      <c r="BY73" s="135" t="str">
        <f t="array" ref="BY73">IFERROR(INDEX(TABLACONSOLIDADA[Buff Act],MATCH("AGROINSUMOSMONCAYOLOPEZ"&amp;Tabla_Buffers_Agroinsumos[[#This Row],[CODIGO ]],TABLACONSOLIDADA[Bodega]&amp;TABLACONSOLIDADA[Codigo],0)),"")</f>
        <v/>
      </c>
      <c r="BZ73" s="111" t="str">
        <f t="array" ref="BZ73">IFERROR(INDEX(TABLACONSOLIDADA[Inv Fís Act],MATCH("AGROINSUMOSMONCAYOLOPEZ"&amp;Tabla_Buffers_Agroinsumos[[#This Row],[CODIGO ]],TABLACONSOLIDADA[Bodega]&amp;TABLACONSOLIDADA[Codigo],0)),"")</f>
        <v/>
      </c>
      <c r="CA73" s="178" t="str">
        <f t="array" ref="CA7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73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73" s="135">
        <f>IFERROR(SUM(Tabla_Buffers_Agroinsumos[[#This Row],[ML-MP]:[ML-VL]]),"")</f>
        <v>0</v>
      </c>
      <c r="CD73" s="154" t="str">
        <f>IFERROR(Tabla_Buffers_Agroinsumos[[#This Row],[INV FIS ML]]-Tabla_Buffers_Agroinsumos[[#This Row],[BUFFER ML]],"")</f>
        <v/>
      </c>
      <c r="CE73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73" s="135"/>
      <c r="CG73" s="135"/>
      <c r="CH73" s="135"/>
      <c r="CI73" s="135"/>
      <c r="CJ73" s="135"/>
      <c r="CK73" s="135"/>
      <c r="CL73" s="135"/>
      <c r="CM73" s="135"/>
      <c r="CN73" s="135"/>
      <c r="CO73" s="135" t="str">
        <f t="array" ref="CO73">IFERROR(INDEX(TABLACONSOLIDADA[Buff Act],MATCH("AGROINSUMOSAGROHERMANOSLEON"&amp;Tabla_Buffers_Agroinsumos[[#This Row],[CODIGO ]],TABLACONSOLIDADA[Bodega]&amp;TABLACONSOLIDADA[Codigo],0)),"")</f>
        <v/>
      </c>
      <c r="CP73" s="111" t="str">
        <f t="array" ref="CP73">IFERROR(INDEX(TABLACONSOLIDADA[Inv Fís Act],MATCH("AGROINSUMOSAGROHERMANOSLEON"&amp;Tabla_Buffers_Agroinsumos[[#This Row],[CODIGO ]],TABLACONSOLIDADA[Bodega]&amp;TABLACONSOLIDADA[Codigo],0)),"")</f>
        <v/>
      </c>
      <c r="CQ73" s="178" t="str">
        <f t="array" ref="CQ7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73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73" s="135">
        <f>IFERROR(SUM(Tabla_Buffers_Agroinsumos[[#This Row],[AL-MP]:[AL-VL]]),"")</f>
        <v>0</v>
      </c>
      <c r="CT73" s="154" t="str">
        <f>IFERROR(Tabla_Buffers_Agroinsumos[[#This Row],[INV FIS AL]]-Tabla_Buffers_Agroinsumos[[#This Row],[BUFFER AL]],"")</f>
        <v/>
      </c>
      <c r="CU73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73" s="135"/>
      <c r="CW73" s="135"/>
      <c r="CX73" s="135"/>
      <c r="CY73" s="135"/>
      <c r="CZ73" s="135"/>
      <c r="DA73" s="135"/>
      <c r="DB73" s="135"/>
      <c r="DC73" s="135"/>
      <c r="DD73" s="135"/>
      <c r="DE73" s="135" t="str">
        <f t="array" ref="DE73">IFERROR(INDEX(TABLACONSOLIDADA[Buff Act],MATCH("AGROINSUMOSAGRONUEVO"&amp;Tabla_Buffers_Agroinsumos[[#This Row],[CODIGO ]],TABLACONSOLIDADA[Bodega]&amp;TABLACONSOLIDADA[Codigo],0)),"")</f>
        <v/>
      </c>
      <c r="DF73" s="111" t="str">
        <f t="array" ref="DF73">IFERROR(INDEX(TABLACONSOLIDADA[Inv Fís Act],MATCH("AGROINSUMOSAGRONUEVO"&amp;Tabla_Buffers_Agroinsumos[[#This Row],[CODIGO ]],TABLACONSOLIDADA[Bodega]&amp;TABLACONSOLIDADA[Codigo],0)),"")</f>
        <v/>
      </c>
      <c r="DG73" s="178" t="str">
        <f t="array" ref="DG7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73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73" s="135">
        <f>IFERROR(SUM(Tabla_Buffers_Agroinsumos[[#This Row],[AN-MP]:[AN-VL]]),"")</f>
        <v>0</v>
      </c>
      <c r="DJ73" s="154" t="str">
        <f>IFERROR(Tabla_Buffers_Agroinsumos[[#This Row],[INV FIS AN]]-Tabla_Buffers_Agroinsumos[[#This Row],[BUFFER AN]],"")</f>
        <v/>
      </c>
      <c r="DK73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73" s="135"/>
      <c r="DM73" s="135"/>
      <c r="DN73" s="135"/>
      <c r="DO73" s="135"/>
      <c r="DP73" s="135"/>
      <c r="DQ73" s="135"/>
      <c r="DR73" s="135"/>
      <c r="DS73" s="135"/>
      <c r="DT73" s="135"/>
      <c r="DU73" s="135" t="str">
        <f t="array" ref="DU73">IFERROR(INDEX(TABLACONSOLIDADA[Buff Act],MATCH("AGROINSUMOSAGROQUIMICOSSUR"&amp;Tabla_Buffers_Agroinsumos[[#This Row],[CODIGO ]],TABLACONSOLIDADA[Bodega]&amp;TABLACONSOLIDADA[Codigo],0)),"")</f>
        <v/>
      </c>
      <c r="DV73" s="111" t="str">
        <f t="array" ref="DV73">IFERROR(INDEX(TABLACONSOLIDADA[Inv Fís Act],MATCH("AGROINSUMOSAGROQUIMICOSSUR"&amp;Tabla_Buffers_Agroinsumos[[#This Row],[CODIGO ]],TABLACONSOLIDADA[Bodega]&amp;TABLACONSOLIDADA[Codigo],0)),"")</f>
        <v/>
      </c>
      <c r="DW73" s="178" t="str">
        <f t="array" ref="DW7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73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73" s="135">
        <f>IFERROR(SUM(Tabla_Buffers_Agroinsumos[[#This Row],[AS-MP]:[AS-VL]]),"")</f>
        <v>0</v>
      </c>
      <c r="DZ73" s="154" t="str">
        <f>IFERROR(Tabla_Buffers_Agroinsumos[[#This Row],[INV FIS AS]]-Tabla_Buffers_Agroinsumos[[#This Row],[BUFFER AS]],"")</f>
        <v/>
      </c>
      <c r="EA73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73" s="135"/>
      <c r="EC73" s="135"/>
      <c r="ED73" s="135"/>
      <c r="EE73" s="135"/>
      <c r="EF73" s="135"/>
      <c r="EG73" s="135"/>
      <c r="EH73" s="135"/>
      <c r="EI73" s="135"/>
      <c r="EJ73" s="135"/>
      <c r="EK73" s="135" t="str">
        <f t="array" ref="EK73">IFERROR(INDEX(TABLACONSOLIDADA[Buff Act],MATCH("AGROINSUMOSLAFINCA"&amp;Tabla_Buffers_Agroinsumos[[#This Row],[CODIGO ]],TABLACONSOLIDADA[Bodega]&amp;TABLACONSOLIDADA[Codigo],0)),"")</f>
        <v/>
      </c>
      <c r="EL73" s="111" t="str">
        <f t="array" ref="EL73">IFERROR(INDEX(TABLACONSOLIDADA[Inv Fís Act],MATCH("AGROINSUMOSLAFINCA"&amp;Tabla_Buffers_Agroinsumos[[#This Row],[CODIGO ]],TABLACONSOLIDADA[Bodega]&amp;TABLACONSOLIDADA[Codigo],0)),"")</f>
        <v/>
      </c>
      <c r="EM73" s="178" t="str">
        <f t="array" ref="EM7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73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73" s="135">
        <f>IFERROR(SUM(Tabla_Buffers_Agroinsumos[[#This Row],[LF-MP]:[LF-VL]]),"")</f>
        <v>0</v>
      </c>
      <c r="EP73" s="154" t="str">
        <f>IFERROR(Tabla_Buffers_Agroinsumos[[#This Row],[INV FIS LF]]-Tabla_Buffers_Agroinsumos[[#This Row],[BUFFER LF]],"")</f>
        <v/>
      </c>
      <c r="EQ73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73" s="135"/>
      <c r="ES73" s="135"/>
      <c r="ET73" s="135"/>
      <c r="EU73" s="135"/>
      <c r="EV73" s="135"/>
      <c r="EW73" s="135"/>
      <c r="EX73" s="135"/>
      <c r="EY73" s="135"/>
      <c r="EZ73" s="135"/>
      <c r="FA73" s="135" t="str">
        <f t="array" ref="FA73">IFERROR(INDEX(TABLACONSOLIDADA[Buff Act],MATCH("AGROINSUMOSVERONICALEDESMA"&amp;Tabla_Buffers_Agroinsumos[[#This Row],[CODIGO ]],TABLACONSOLIDADA[Bodega]&amp;TABLACONSOLIDADA[Codigo],0)),"")</f>
        <v/>
      </c>
      <c r="FB73" s="111" t="str">
        <f t="array" ref="FB73">IFERROR(INDEX(TABLACONSOLIDADA[Inv Fís Act],MATCH("AGROINSUMOSVERONICALEDESMA"&amp;Tabla_Buffers_Agroinsumos[[#This Row],[CODIGO ]],TABLACONSOLIDADA[Bodega]&amp;TABLACONSOLIDADA[Codigo],0)),"")</f>
        <v/>
      </c>
      <c r="FC73" s="178" t="str">
        <f t="array" ref="FC7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73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73" s="135">
        <f>IFERROR(SUM(Tabla_Buffers_Agroinsumos[[#This Row],[VL-MP]:[VL-LF]]),"")</f>
        <v>0</v>
      </c>
      <c r="FF73" s="154" t="str">
        <f>IFERROR(Tabla_Buffers_Agroinsumos[[#This Row],[INV FIS VL]]-Tabla_Buffers_Agroinsumos[[#This Row],[BUFFER VL]],"")</f>
        <v/>
      </c>
      <c r="FG73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73" s="135"/>
      <c r="FI73" s="135"/>
      <c r="FJ73" s="135"/>
      <c r="FK73" s="135"/>
      <c r="FL73" s="135"/>
      <c r="FM73" s="135"/>
      <c r="FN73" s="135"/>
      <c r="FO73" s="135"/>
      <c r="FP73" s="135"/>
    </row>
    <row r="74" spans="1:172">
      <c r="A74" s="20" t="s">
        <v>1275</v>
      </c>
      <c r="B74" s="20" t="s">
        <v>1274</v>
      </c>
      <c r="C74" s="20" t="s">
        <v>712</v>
      </c>
      <c r="D74" s="20" t="s">
        <v>715</v>
      </c>
      <c r="E74" s="20" t="s">
        <v>975</v>
      </c>
      <c r="F74" s="111"/>
      <c r="G74" s="111"/>
      <c r="H74" s="111" t="e">
        <f>VLOOKUP(Tabla_Buffers_Agroinsumos[[#This Row],[CODIGO ]],TABLACONSOLIDADA[[Codigo]:[PV]],6,0)</f>
        <v>#N/A</v>
      </c>
      <c r="I74" s="111" t="e">
        <f>VLOOKUP(Tabla_Buffers_Agroinsumos[[#This Row],[CODIGO ]],TABLACONSOLIDADA[[Codigo]:[PV]],5,0)</f>
        <v>#N/A</v>
      </c>
      <c r="J74" s="111"/>
      <c r="K74" s="111"/>
      <c r="L74" s="111">
        <f>IFERROR(Tabla_Buffers_Agroinsumos[[#This Row],[BUFFER CENTRAL]]/((Tabla_Buffers_Agroinsumos[[#This Row],[TIEMPO REPOSICION ]]/Tabla_Buffers_Agroinsumos[[#This Row],[FRECUENCIA]])+1),0)</f>
        <v>0</v>
      </c>
      <c r="M74" s="111" t="str">
        <f t="array" ref="M74">IFERROR(INDEX(TABLACONSOLIDADA[Buff Act],MATCH("AGROINSUMOSMATERIAPRIMA"&amp;Tabla_Buffers_Agroinsumos[[#This Row],[CODIGO ]],TABLACONSOLIDADA[Bodega]&amp;TABLACONSOLIDADA[Codigo],0)),"")</f>
        <v/>
      </c>
      <c r="N74" s="111" t="str">
        <f t="array" ref="N74">IFERROR(INDEX(TABLACONSOLIDADA[Inv Fís Act],MATCH("AGROINSUMOSMATERIAPRIMA"&amp;Tabla_Buffers_Agroinsumos[[#This Row],[CODIGO ]],TABLACONSOLIDADA[Bodega]&amp;TABLACONSOLIDADA[Codigo],0)),"")</f>
        <v/>
      </c>
      <c r="O74" s="183" t="str">
        <f t="array" ref="O7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74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74" s="111">
        <f>IFERROR(SUM(Tabla_Buffers_Agroinsumos[[#This Row],[MP-C]:[MP-VL]]),"")</f>
        <v>0</v>
      </c>
      <c r="R74" s="154" t="str">
        <f>IFERROR(Tabla_Buffers_Agroinsumos[[#This Row],[INV FIS MATERIA PRIMA]]-Tabla_Buffers_Agroinsumos[[#This Row],[BUFFER MATERIA PRIMA]],"")</f>
        <v/>
      </c>
      <c r="S74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74" s="111"/>
      <c r="U74" s="111"/>
      <c r="V74" s="111"/>
      <c r="W74" s="111"/>
      <c r="X74" s="111"/>
      <c r="Y74" s="111"/>
      <c r="Z74" s="111"/>
      <c r="AA74" s="111"/>
      <c r="AB74" s="111"/>
      <c r="AC74" s="152">
        <v>80</v>
      </c>
      <c r="AD74" s="111" t="str">
        <f t="array" ref="AD74">IFERROR(INDEX(TABLACONSOLIDADA[Inv Fís Act],MATCH("AGROINSUMOSCENTRAL"&amp;Tabla_Buffers_Agroinsumos[[#This Row],[CODIGO ]],TABLACONSOLIDADA[Bodega]&amp;TABLACONSOLIDADA[Codigo],0)),"")</f>
        <v/>
      </c>
      <c r="AE74" s="183" t="str">
        <f t="array" ref="AE7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74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74" s="153">
        <f>IFERROR(SUM(Tabla_Buffers_Agroinsumos[[#This Row],[C-MP]:[C-VL]]),"")</f>
        <v>0</v>
      </c>
      <c r="AH74" s="154" t="str">
        <f>IFERROR(Tabla_Buffers_Agroinsumos[[#This Row],[INV FIS CENTRAL]]-Tabla_Buffers_Agroinsumos[[#This Row],[BUFFER CENTRAL]],"")</f>
        <v/>
      </c>
      <c r="AI74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74" s="135"/>
      <c r="AK74" s="135"/>
      <c r="AL74" s="135"/>
      <c r="AM74" s="135"/>
      <c r="AN74" s="135"/>
      <c r="AO74" s="135"/>
      <c r="AP74" s="135"/>
      <c r="AQ74" s="135"/>
      <c r="AR74" s="135"/>
      <c r="AS74" s="135" t="str">
        <f t="array" ref="AS74">IFERROR(INDEX(TABLACONSOLIDADA[Buff Act],MATCH("AGROINSUMOScentralPROPIA"&amp;Tabla_Buffers_Agroinsumos[[#This Row],[CODIGO ]],TABLACONSOLIDADA[Bodega]&amp;TABLACONSOLIDADA[Codigo],0)),"")</f>
        <v/>
      </c>
      <c r="AT74" s="111" t="str">
        <f t="array" ref="AT74">IFERROR(INDEX(TABLACONSOLIDADA[Inv Fís Act],MATCH("AGROINSUMOScentralPROPIA"&amp;Tabla_Buffers_Agroinsumos[[#This Row],[CODIGO ]],TABLACONSOLIDADA[Bodega]&amp;TABLACONSOLIDADA[Codigo],0)),"")</f>
        <v/>
      </c>
      <c r="AU74" s="183" t="str">
        <f t="array" ref="AU7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74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74" s="135">
        <f>IFERROR(SUM(Tabla_Buffers_Agroinsumos[[#This Row],[P-MP]:[P-VL]]),"")</f>
        <v>0</v>
      </c>
      <c r="AX74" s="154" t="str">
        <f>IFERROR(Tabla_Buffers_Agroinsumos[[#This Row],[INV FIS PROPIA]]-Tabla_Buffers_Agroinsumos[[#This Row],[BUFFER PROPIA]],"")</f>
        <v/>
      </c>
      <c r="AY74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74" s="135"/>
      <c r="BA74" s="135"/>
      <c r="BB74" s="135"/>
      <c r="BC74" s="135"/>
      <c r="BD74" s="135"/>
      <c r="BE74" s="135"/>
      <c r="BF74" s="135"/>
      <c r="BG74" s="135"/>
      <c r="BH74" s="135"/>
      <c r="BI74" s="153" t="str">
        <f t="array" ref="BI74">IFERROR(INDEX(TABLACONSOLIDADA[Buff Act],MATCH("AGROINSUMOSSTODOMINGO"&amp;Tabla_Buffers_Agroinsumos[[#This Row],[CODIGO ]],TABLACONSOLIDADA[Bodega]&amp;TABLACONSOLIDADA[Codigo],0)),"")</f>
        <v/>
      </c>
      <c r="BJ74" s="111" t="str">
        <f t="array" ref="BJ74">IFERROR(INDEX(TABLACONSOLIDADA[Inv Fís Act],MATCH("AGROINSUMOSSTODOMINGO"&amp;Tabla_Buffers_Agroinsumos[[#This Row],[CODIGO ]],TABLACONSOLIDADA[Bodega]&amp;TABLACONSOLIDADA[Codigo],0)),"")</f>
        <v/>
      </c>
      <c r="BK74" s="183" t="str">
        <f t="array" ref="BK7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74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74" s="153">
        <f>IFERROR(SUM(Tabla_Buffers_Agroinsumos[[#This Row],[SD-MP]:[SD-VL]]),"")</f>
        <v>0</v>
      </c>
      <c r="BN74" s="154"/>
      <c r="BO74" s="154"/>
      <c r="BP74" s="135"/>
      <c r="BQ74" s="135"/>
      <c r="BR74" s="135"/>
      <c r="BS74" s="135"/>
      <c r="BT74" s="135"/>
      <c r="BU74" s="135"/>
      <c r="BV74" s="135"/>
      <c r="BW74" s="135"/>
      <c r="BX74" s="135"/>
      <c r="BY74" s="135" t="str">
        <f t="array" ref="BY74">IFERROR(INDEX(TABLACONSOLIDADA[Buff Act],MATCH("AGROINSUMOSMONCAYOLOPEZ"&amp;Tabla_Buffers_Agroinsumos[[#This Row],[CODIGO ]],TABLACONSOLIDADA[Bodega]&amp;TABLACONSOLIDADA[Codigo],0)),"")</f>
        <v/>
      </c>
      <c r="BZ74" s="111" t="str">
        <f t="array" ref="BZ74">IFERROR(INDEX(TABLACONSOLIDADA[Inv Fís Act],MATCH("AGROINSUMOSMONCAYOLOPEZ"&amp;Tabla_Buffers_Agroinsumos[[#This Row],[CODIGO ]],TABLACONSOLIDADA[Bodega]&amp;TABLACONSOLIDADA[Codigo],0)),"")</f>
        <v/>
      </c>
      <c r="CA74" s="183" t="str">
        <f t="array" ref="CA7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74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74" s="135">
        <f>IFERROR(SUM(Tabla_Buffers_Agroinsumos[[#This Row],[ML-MP]:[ML-VL]]),"")</f>
        <v>0</v>
      </c>
      <c r="CD74" s="154" t="str">
        <f>IFERROR(Tabla_Buffers_Agroinsumos[[#This Row],[INV FIS ML]]-Tabla_Buffers_Agroinsumos[[#This Row],[BUFFER ML]],"")</f>
        <v/>
      </c>
      <c r="CE74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74" s="135"/>
      <c r="CG74" s="135"/>
      <c r="CH74" s="135"/>
      <c r="CI74" s="135"/>
      <c r="CJ74" s="135"/>
      <c r="CK74" s="135"/>
      <c r="CL74" s="135"/>
      <c r="CM74" s="135"/>
      <c r="CN74" s="135"/>
      <c r="CO74" s="135" t="str">
        <f t="array" ref="CO74">IFERROR(INDEX(TABLACONSOLIDADA[Buff Act],MATCH("AGROINSUMOSAGROHERMANOSLEON"&amp;Tabla_Buffers_Agroinsumos[[#This Row],[CODIGO ]],TABLACONSOLIDADA[Bodega]&amp;TABLACONSOLIDADA[Codigo],0)),"")</f>
        <v/>
      </c>
      <c r="CP74" s="111" t="str">
        <f t="array" ref="CP74">IFERROR(INDEX(TABLACONSOLIDADA[Inv Fís Act],MATCH("AGROINSUMOSAGROHERMANOSLEON"&amp;Tabla_Buffers_Agroinsumos[[#This Row],[CODIGO ]],TABLACONSOLIDADA[Bodega]&amp;TABLACONSOLIDADA[Codigo],0)),"")</f>
        <v/>
      </c>
      <c r="CQ74" s="183" t="str">
        <f t="array" ref="CQ7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74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74" s="135">
        <f>IFERROR(SUM(Tabla_Buffers_Agroinsumos[[#This Row],[AL-MP]:[AL-VL]]),"")</f>
        <v>0</v>
      </c>
      <c r="CT74" s="154" t="str">
        <f>IFERROR(Tabla_Buffers_Agroinsumos[[#This Row],[INV FIS AL]]-Tabla_Buffers_Agroinsumos[[#This Row],[BUFFER AL]],"")</f>
        <v/>
      </c>
      <c r="CU74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74" s="135"/>
      <c r="CW74" s="135"/>
      <c r="CX74" s="135"/>
      <c r="CY74" s="135"/>
      <c r="CZ74" s="135"/>
      <c r="DA74" s="135"/>
      <c r="DB74" s="135"/>
      <c r="DC74" s="135"/>
      <c r="DD74" s="135"/>
      <c r="DE74" s="135" t="str">
        <f t="array" ref="DE74">IFERROR(INDEX(TABLACONSOLIDADA[Buff Act],MATCH("AGROINSUMOSAGRONUEVO"&amp;Tabla_Buffers_Agroinsumos[[#This Row],[CODIGO ]],TABLACONSOLIDADA[Bodega]&amp;TABLACONSOLIDADA[Codigo],0)),"")</f>
        <v/>
      </c>
      <c r="DF74" s="111" t="str">
        <f t="array" ref="DF74">IFERROR(INDEX(TABLACONSOLIDADA[Inv Fís Act],MATCH("AGROINSUMOSAGRONUEVO"&amp;Tabla_Buffers_Agroinsumos[[#This Row],[CODIGO ]],TABLACONSOLIDADA[Bodega]&amp;TABLACONSOLIDADA[Codigo],0)),"")</f>
        <v/>
      </c>
      <c r="DG74" s="183" t="str">
        <f t="array" ref="DG7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74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74" s="135">
        <f>IFERROR(SUM(Tabla_Buffers_Agroinsumos[[#This Row],[AN-MP]:[AN-VL]]),"")</f>
        <v>0</v>
      </c>
      <c r="DJ74" s="154" t="str">
        <f>IFERROR(Tabla_Buffers_Agroinsumos[[#This Row],[INV FIS AN]]-Tabla_Buffers_Agroinsumos[[#This Row],[BUFFER AN]],"")</f>
        <v/>
      </c>
      <c r="DK74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74" s="135"/>
      <c r="DM74" s="135"/>
      <c r="DN74" s="135"/>
      <c r="DO74" s="135"/>
      <c r="DP74" s="135"/>
      <c r="DQ74" s="135"/>
      <c r="DR74" s="135"/>
      <c r="DS74" s="135"/>
      <c r="DT74" s="135"/>
      <c r="DU74" s="135" t="str">
        <f t="array" ref="DU74">IFERROR(INDEX(TABLACONSOLIDADA[Buff Act],MATCH("AGROINSUMOSAGROQUIMICOSSUR"&amp;Tabla_Buffers_Agroinsumos[[#This Row],[CODIGO ]],TABLACONSOLIDADA[Bodega]&amp;TABLACONSOLIDADA[Codigo],0)),"")</f>
        <v/>
      </c>
      <c r="DV74" s="111" t="str">
        <f t="array" ref="DV74">IFERROR(INDEX(TABLACONSOLIDADA[Inv Fís Act],MATCH("AGROINSUMOSAGROQUIMICOSSUR"&amp;Tabla_Buffers_Agroinsumos[[#This Row],[CODIGO ]],TABLACONSOLIDADA[Bodega]&amp;TABLACONSOLIDADA[Codigo],0)),"")</f>
        <v/>
      </c>
      <c r="DW74" s="183" t="str">
        <f t="array" ref="DW7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74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74" s="135">
        <f>IFERROR(SUM(Tabla_Buffers_Agroinsumos[[#This Row],[AS-MP]:[AS-VL]]),"")</f>
        <v>0</v>
      </c>
      <c r="DZ74" s="154" t="str">
        <f>IFERROR(Tabla_Buffers_Agroinsumos[[#This Row],[INV FIS AS]]-Tabla_Buffers_Agroinsumos[[#This Row],[BUFFER AS]],"")</f>
        <v/>
      </c>
      <c r="EA74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74" s="135"/>
      <c r="EC74" s="135"/>
      <c r="ED74" s="135"/>
      <c r="EE74" s="135"/>
      <c r="EF74" s="135"/>
      <c r="EG74" s="135"/>
      <c r="EH74" s="135"/>
      <c r="EI74" s="135"/>
      <c r="EJ74" s="135"/>
      <c r="EK74" s="135" t="str">
        <f t="array" ref="EK74">IFERROR(INDEX(TABLACONSOLIDADA[Buff Act],MATCH("AGROINSUMOSLAFINCA"&amp;Tabla_Buffers_Agroinsumos[[#This Row],[CODIGO ]],TABLACONSOLIDADA[Bodega]&amp;TABLACONSOLIDADA[Codigo],0)),"")</f>
        <v/>
      </c>
      <c r="EL74" s="111" t="str">
        <f t="array" ref="EL74">IFERROR(INDEX(TABLACONSOLIDADA[Inv Fís Act],MATCH("AGROINSUMOSLAFINCA"&amp;Tabla_Buffers_Agroinsumos[[#This Row],[CODIGO ]],TABLACONSOLIDADA[Bodega]&amp;TABLACONSOLIDADA[Codigo],0)),"")</f>
        <v/>
      </c>
      <c r="EM74" s="183" t="str">
        <f t="array" ref="EM7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74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74" s="135">
        <f>IFERROR(SUM(Tabla_Buffers_Agroinsumos[[#This Row],[LF-MP]:[LF-VL]]),"")</f>
        <v>0</v>
      </c>
      <c r="EP74" s="154" t="str">
        <f>IFERROR(Tabla_Buffers_Agroinsumos[[#This Row],[INV FIS LF]]-Tabla_Buffers_Agroinsumos[[#This Row],[BUFFER LF]],"")</f>
        <v/>
      </c>
      <c r="EQ74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74" s="135"/>
      <c r="ES74" s="135"/>
      <c r="ET74" s="135"/>
      <c r="EU74" s="135"/>
      <c r="EV74" s="135"/>
      <c r="EW74" s="135"/>
      <c r="EX74" s="135"/>
      <c r="EY74" s="135"/>
      <c r="EZ74" s="135"/>
      <c r="FA74" s="135" t="str">
        <f t="array" ref="FA74">IFERROR(INDEX(TABLACONSOLIDADA[Buff Act],MATCH("AGROINSUMOSVERONICALEDESMA"&amp;Tabla_Buffers_Agroinsumos[[#This Row],[CODIGO ]],TABLACONSOLIDADA[Bodega]&amp;TABLACONSOLIDADA[Codigo],0)),"")</f>
        <v/>
      </c>
      <c r="FB74" s="111" t="str">
        <f t="array" ref="FB74">IFERROR(INDEX(TABLACONSOLIDADA[Inv Fís Act],MATCH("AGROINSUMOSVERONICALEDESMA"&amp;Tabla_Buffers_Agroinsumos[[#This Row],[CODIGO ]],TABLACONSOLIDADA[Bodega]&amp;TABLACONSOLIDADA[Codigo],0)),"")</f>
        <v/>
      </c>
      <c r="FC74" s="183" t="str">
        <f t="array" ref="FC7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74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74" s="135">
        <f>IFERROR(SUM(Tabla_Buffers_Agroinsumos[[#This Row],[VL-MP]:[VL-LF]]),"")</f>
        <v>0</v>
      </c>
      <c r="FF74" s="154" t="str">
        <f>IFERROR(Tabla_Buffers_Agroinsumos[[#This Row],[INV FIS VL]]-Tabla_Buffers_Agroinsumos[[#This Row],[BUFFER VL]],"")</f>
        <v/>
      </c>
      <c r="FG74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74" s="135"/>
      <c r="FI74" s="135"/>
      <c r="FJ74" s="135"/>
      <c r="FK74" s="135"/>
      <c r="FL74" s="135"/>
      <c r="FM74" s="135"/>
      <c r="FN74" s="135"/>
      <c r="FO74" s="135"/>
      <c r="FP74" s="135"/>
    </row>
    <row r="75" spans="1:172">
      <c r="A75" s="20" t="s">
        <v>1255</v>
      </c>
      <c r="B75" s="20" t="s">
        <v>1202</v>
      </c>
      <c r="C75" s="7" t="s">
        <v>712</v>
      </c>
      <c r="D75" s="7" t="s">
        <v>715</v>
      </c>
      <c r="E75" s="7" t="s">
        <v>975</v>
      </c>
      <c r="F75" s="111"/>
      <c r="G75" s="111"/>
      <c r="H75" s="111">
        <v>2.1800000000000002</v>
      </c>
      <c r="I75" s="111">
        <v>0.62</v>
      </c>
      <c r="J75" s="111"/>
      <c r="K75" s="111"/>
      <c r="L75" s="111">
        <f>IFERROR(Tabla_Buffers_Agroinsumos[[#This Row],[BUFFER CENTRAL]]/((Tabla_Buffers_Agroinsumos[[#This Row],[TIEMPO REPOSICION ]]/Tabla_Buffers_Agroinsumos[[#This Row],[FRECUENCIA]])+1),0)</f>
        <v>0</v>
      </c>
      <c r="M75" s="111" t="str">
        <f t="array" ref="M75">IFERROR(INDEX(TABLACONSOLIDADA[Buff Act],MATCH("AGROINSUMOSMATERIAPRIMA"&amp;Tabla_Buffers_Agroinsumos[[#This Row],[CODIGO ]],TABLACONSOLIDADA[Bodega]&amp;TABLACONSOLIDADA[Codigo],0)),"")</f>
        <v/>
      </c>
      <c r="N75" s="111" t="str">
        <f t="array" ref="N75">IFERROR(INDEX(TABLACONSOLIDADA[Inv Fís Act],MATCH("AGROINSUMOSMATERIAPRIMA"&amp;Tabla_Buffers_Agroinsumos[[#This Row],[CODIGO ]],TABLACONSOLIDADA[Bodega]&amp;TABLACONSOLIDADA[Codigo],0)),"")</f>
        <v/>
      </c>
      <c r="O75" s="161" t="str">
        <f t="array" ref="O7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75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75" s="111">
        <f>IFERROR(SUM(Tabla_Buffers_Agroinsumos[[#This Row],[MP-C]:[MP-VL]]),"")</f>
        <v>0</v>
      </c>
      <c r="R75" s="154" t="str">
        <f>IFERROR(Tabla_Buffers_Agroinsumos[[#This Row],[INV FIS MATERIA PRIMA]]-Tabla_Buffers_Agroinsumos[[#This Row],[BUFFER MATERIA PRIMA]],"")</f>
        <v/>
      </c>
      <c r="S75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75" s="111"/>
      <c r="U75" s="111"/>
      <c r="V75" s="111"/>
      <c r="W75" s="111"/>
      <c r="X75" s="111"/>
      <c r="Y75" s="111"/>
      <c r="Z75" s="111"/>
      <c r="AA75" s="111"/>
      <c r="AB75" s="111"/>
      <c r="AC75" s="152">
        <v>150</v>
      </c>
      <c r="AD75" s="111" t="str">
        <f t="array" ref="AD75">IFERROR(INDEX(TABLACONSOLIDADA[Inv Fís Act],MATCH("AGROINSUMOSCENTRAL"&amp;Tabla_Buffers_Agroinsumos[[#This Row],[CODIGO ]],TABLACONSOLIDADA[Bodega]&amp;TABLACONSOLIDADA[Codigo],0)),"")</f>
        <v/>
      </c>
      <c r="AE75" s="161" t="str">
        <f t="array" ref="AE7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75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75" s="153">
        <f>IFERROR(SUM(Tabla_Buffers_Agroinsumos[[#This Row],[C-MP]:[C-VL]]),"")</f>
        <v>0</v>
      </c>
      <c r="AH75" s="154" t="str">
        <f>IFERROR(Tabla_Buffers_Agroinsumos[[#This Row],[INV FIS CENTRAL]]-Tabla_Buffers_Agroinsumos[[#This Row],[BUFFER CENTRAL]],"")</f>
        <v/>
      </c>
      <c r="AI75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75" s="135"/>
      <c r="AK75" s="135"/>
      <c r="AL75" s="135"/>
      <c r="AM75" s="135"/>
      <c r="AN75" s="135"/>
      <c r="AO75" s="135"/>
      <c r="AP75" s="135"/>
      <c r="AQ75" s="135"/>
      <c r="AR75" s="135"/>
      <c r="AS75" s="135" t="str">
        <f t="array" ref="AS75">IFERROR(INDEX(TABLACONSOLIDADA[Buff Act],MATCH("AGROINSUMOScentralPROPIA"&amp;Tabla_Buffers_Agroinsumos[[#This Row],[CODIGO ]],TABLACONSOLIDADA[Bodega]&amp;TABLACONSOLIDADA[Codigo],0)),"")</f>
        <v/>
      </c>
      <c r="AT75" s="111" t="str">
        <f t="array" ref="AT75">IFERROR(INDEX(TABLACONSOLIDADA[Inv Fís Act],MATCH("AGROINSUMOScentralPROPIA"&amp;Tabla_Buffers_Agroinsumos[[#This Row],[CODIGO ]],TABLACONSOLIDADA[Bodega]&amp;TABLACONSOLIDADA[Codigo],0)),"")</f>
        <v/>
      </c>
      <c r="AU75" s="161" t="str">
        <f t="array" ref="AU7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75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75" s="135">
        <f>IFERROR(SUM(Tabla_Buffers_Agroinsumos[[#This Row],[P-MP]:[P-VL]]),"")</f>
        <v>0</v>
      </c>
      <c r="AX75" s="154" t="str">
        <f>IFERROR(Tabla_Buffers_Agroinsumos[[#This Row],[INV FIS PROPIA]]-Tabla_Buffers_Agroinsumos[[#This Row],[BUFFER PROPIA]],"")</f>
        <v/>
      </c>
      <c r="AY75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75" s="135"/>
      <c r="BA75" s="135"/>
      <c r="BB75" s="135"/>
      <c r="BC75" s="135"/>
      <c r="BD75" s="135"/>
      <c r="BE75" s="135"/>
      <c r="BF75" s="135"/>
      <c r="BG75" s="135"/>
      <c r="BH75" s="135"/>
      <c r="BI75" s="153" t="str">
        <f t="array" ref="BI75">IFERROR(INDEX(TABLACONSOLIDADA[Buff Act],MATCH("AGROINSUMOSSTODOMINGO"&amp;Tabla_Buffers_Agroinsumos[[#This Row],[CODIGO ]],TABLACONSOLIDADA[Bodega]&amp;TABLACONSOLIDADA[Codigo],0)),"")</f>
        <v/>
      </c>
      <c r="BJ75" s="111" t="str">
        <f t="array" ref="BJ75">IFERROR(INDEX(TABLACONSOLIDADA[Inv Fís Act],MATCH("AGROINSUMOSSTODOMINGO"&amp;Tabla_Buffers_Agroinsumos[[#This Row],[CODIGO ]],TABLACONSOLIDADA[Bodega]&amp;TABLACONSOLIDADA[Codigo],0)),"")</f>
        <v/>
      </c>
      <c r="BK75" s="161" t="str">
        <f t="array" ref="BK7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75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75" s="153">
        <f>IFERROR(SUM(Tabla_Buffers_Agroinsumos[[#This Row],[SD-MP]:[SD-VL]]),"")</f>
        <v>0</v>
      </c>
      <c r="BN75" s="154"/>
      <c r="BO75" s="154"/>
      <c r="BP75" s="135"/>
      <c r="BQ75" s="135"/>
      <c r="BR75" s="135"/>
      <c r="BS75" s="135"/>
      <c r="BT75" s="135"/>
      <c r="BU75" s="135"/>
      <c r="BV75" s="135"/>
      <c r="BW75" s="135"/>
      <c r="BX75" s="135"/>
      <c r="BY75" s="135" t="str">
        <f t="array" ref="BY75">IFERROR(INDEX(TABLACONSOLIDADA[Buff Act],MATCH("AGROINSUMOSMONCAYOLOPEZ"&amp;Tabla_Buffers_Agroinsumos[[#This Row],[CODIGO ]],TABLACONSOLIDADA[Bodega]&amp;TABLACONSOLIDADA[Codigo],0)),"")</f>
        <v/>
      </c>
      <c r="BZ75" s="111" t="str">
        <f t="array" ref="BZ75">IFERROR(INDEX(TABLACONSOLIDADA[Inv Fís Act],MATCH("AGROINSUMOSMONCAYOLOPEZ"&amp;Tabla_Buffers_Agroinsumos[[#This Row],[CODIGO ]],TABLACONSOLIDADA[Bodega]&amp;TABLACONSOLIDADA[Codigo],0)),"")</f>
        <v/>
      </c>
      <c r="CA75" s="161" t="str">
        <f t="array" ref="CA7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75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75" s="135">
        <f>IFERROR(SUM(Tabla_Buffers_Agroinsumos[[#This Row],[ML-MP]:[ML-VL]]),"")</f>
        <v>0</v>
      </c>
      <c r="CD75" s="154" t="str">
        <f>IFERROR(Tabla_Buffers_Agroinsumos[[#This Row],[INV FIS ML]]-Tabla_Buffers_Agroinsumos[[#This Row],[BUFFER ML]],"")</f>
        <v/>
      </c>
      <c r="CE75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75" s="135"/>
      <c r="CG75" s="135"/>
      <c r="CH75" s="135"/>
      <c r="CI75" s="135"/>
      <c r="CJ75" s="135"/>
      <c r="CK75" s="135"/>
      <c r="CL75" s="135"/>
      <c r="CM75" s="135"/>
      <c r="CN75" s="135"/>
      <c r="CO75" s="135" t="str">
        <f t="array" ref="CO75">IFERROR(INDEX(TABLACONSOLIDADA[Buff Act],MATCH("AGROINSUMOSAGROHERMANOSLEON"&amp;Tabla_Buffers_Agroinsumos[[#This Row],[CODIGO ]],TABLACONSOLIDADA[Bodega]&amp;TABLACONSOLIDADA[Codigo],0)),"")</f>
        <v/>
      </c>
      <c r="CP75" s="111" t="str">
        <f t="array" ref="CP75">IFERROR(INDEX(TABLACONSOLIDADA[Inv Fís Act],MATCH("AGROINSUMOSAGROHERMANOSLEON"&amp;Tabla_Buffers_Agroinsumos[[#This Row],[CODIGO ]],TABLACONSOLIDADA[Bodega]&amp;TABLACONSOLIDADA[Codigo],0)),"")</f>
        <v/>
      </c>
      <c r="CQ75" s="161" t="str">
        <f t="array" ref="CQ7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75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75" s="135">
        <f>IFERROR(SUM(Tabla_Buffers_Agroinsumos[[#This Row],[AL-MP]:[AL-VL]]),"")</f>
        <v>0</v>
      </c>
      <c r="CT75" s="154" t="str">
        <f>IFERROR(Tabla_Buffers_Agroinsumos[[#This Row],[INV FIS AL]]-Tabla_Buffers_Agroinsumos[[#This Row],[BUFFER AL]],"")</f>
        <v/>
      </c>
      <c r="CU75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75" s="135"/>
      <c r="CW75" s="135"/>
      <c r="CX75" s="135"/>
      <c r="CY75" s="135"/>
      <c r="CZ75" s="135"/>
      <c r="DA75" s="135"/>
      <c r="DB75" s="135"/>
      <c r="DC75" s="135"/>
      <c r="DD75" s="135"/>
      <c r="DE75" s="135" t="str">
        <f t="array" ref="DE75">IFERROR(INDEX(TABLACONSOLIDADA[Buff Act],MATCH("AGROINSUMOSAGRONUEVO"&amp;Tabla_Buffers_Agroinsumos[[#This Row],[CODIGO ]],TABLACONSOLIDADA[Bodega]&amp;TABLACONSOLIDADA[Codigo],0)),"")</f>
        <v/>
      </c>
      <c r="DF75" s="111" t="str">
        <f t="array" ref="DF75">IFERROR(INDEX(TABLACONSOLIDADA[Inv Fís Act],MATCH("AGROINSUMOSAGRONUEVO"&amp;Tabla_Buffers_Agroinsumos[[#This Row],[CODIGO ]],TABLACONSOLIDADA[Bodega]&amp;TABLACONSOLIDADA[Codigo],0)),"")</f>
        <v/>
      </c>
      <c r="DG75" s="161" t="str">
        <f t="array" ref="DG7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75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75" s="135">
        <f>IFERROR(SUM(Tabla_Buffers_Agroinsumos[[#This Row],[AN-MP]:[AN-VL]]),"")</f>
        <v>0</v>
      </c>
      <c r="DJ75" s="154" t="str">
        <f>IFERROR(Tabla_Buffers_Agroinsumos[[#This Row],[INV FIS AN]]-Tabla_Buffers_Agroinsumos[[#This Row],[BUFFER AN]],"")</f>
        <v/>
      </c>
      <c r="DK75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75" s="135"/>
      <c r="DM75" s="135"/>
      <c r="DN75" s="135"/>
      <c r="DO75" s="135"/>
      <c r="DP75" s="135"/>
      <c r="DQ75" s="135"/>
      <c r="DR75" s="135"/>
      <c r="DS75" s="135"/>
      <c r="DT75" s="135"/>
      <c r="DU75" s="135" t="str">
        <f t="array" ref="DU75">IFERROR(INDEX(TABLACONSOLIDADA[Buff Act],MATCH("AGROINSUMOSAGROQUIMICOSSUR"&amp;Tabla_Buffers_Agroinsumos[[#This Row],[CODIGO ]],TABLACONSOLIDADA[Bodega]&amp;TABLACONSOLIDADA[Codigo],0)),"")</f>
        <v/>
      </c>
      <c r="DV75" s="111" t="str">
        <f t="array" ref="DV75">IFERROR(INDEX(TABLACONSOLIDADA[Inv Fís Act],MATCH("AGROINSUMOSAGROQUIMICOSSUR"&amp;Tabla_Buffers_Agroinsumos[[#This Row],[CODIGO ]],TABLACONSOLIDADA[Bodega]&amp;TABLACONSOLIDADA[Codigo],0)),"")</f>
        <v/>
      </c>
      <c r="DW75" s="161" t="str">
        <f t="array" ref="DW7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75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75" s="135">
        <f>IFERROR(SUM(Tabla_Buffers_Agroinsumos[[#This Row],[AS-MP]:[AS-VL]]),"")</f>
        <v>0</v>
      </c>
      <c r="DZ75" s="154" t="str">
        <f>IFERROR(Tabla_Buffers_Agroinsumos[[#This Row],[INV FIS AS]]-Tabla_Buffers_Agroinsumos[[#This Row],[BUFFER AS]],"")</f>
        <v/>
      </c>
      <c r="EA75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75" s="135"/>
      <c r="EC75" s="135"/>
      <c r="ED75" s="135"/>
      <c r="EE75" s="135"/>
      <c r="EF75" s="135"/>
      <c r="EG75" s="135"/>
      <c r="EH75" s="135"/>
      <c r="EI75" s="135"/>
      <c r="EJ75" s="135"/>
      <c r="EK75" s="135" t="str">
        <f t="array" ref="EK75">IFERROR(INDEX(TABLACONSOLIDADA[Buff Act],MATCH("AGROINSUMOSLAFINCA"&amp;Tabla_Buffers_Agroinsumos[[#This Row],[CODIGO ]],TABLACONSOLIDADA[Bodega]&amp;TABLACONSOLIDADA[Codigo],0)),"")</f>
        <v/>
      </c>
      <c r="EL75" s="111" t="str">
        <f t="array" ref="EL75">IFERROR(INDEX(TABLACONSOLIDADA[Inv Fís Act],MATCH("AGROINSUMOSLAFINCA"&amp;Tabla_Buffers_Agroinsumos[[#This Row],[CODIGO ]],TABLACONSOLIDADA[Bodega]&amp;TABLACONSOLIDADA[Codigo],0)),"")</f>
        <v/>
      </c>
      <c r="EM75" s="161" t="str">
        <f t="array" ref="EM7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75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75" s="135">
        <f>IFERROR(SUM(Tabla_Buffers_Agroinsumos[[#This Row],[LF-MP]:[LF-VL]]),"")</f>
        <v>0</v>
      </c>
      <c r="EP75" s="154" t="str">
        <f>IFERROR(Tabla_Buffers_Agroinsumos[[#This Row],[INV FIS LF]]-Tabla_Buffers_Agroinsumos[[#This Row],[BUFFER LF]],"")</f>
        <v/>
      </c>
      <c r="EQ75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75" s="135"/>
      <c r="ES75" s="135"/>
      <c r="ET75" s="135"/>
      <c r="EU75" s="135"/>
      <c r="EV75" s="135"/>
      <c r="EW75" s="135"/>
      <c r="EX75" s="135"/>
      <c r="EY75" s="135"/>
      <c r="EZ75" s="135"/>
      <c r="FA75" s="135" t="str">
        <f t="array" ref="FA75">IFERROR(INDEX(TABLACONSOLIDADA[Buff Act],MATCH("AGROINSUMOSVERONICALEDESMA"&amp;Tabla_Buffers_Agroinsumos[[#This Row],[CODIGO ]],TABLACONSOLIDADA[Bodega]&amp;TABLACONSOLIDADA[Codigo],0)),"")</f>
        <v/>
      </c>
      <c r="FB75" s="111" t="str">
        <f t="array" ref="FB75">IFERROR(INDEX(TABLACONSOLIDADA[Inv Fís Act],MATCH("AGROINSUMOSVERONICALEDESMA"&amp;Tabla_Buffers_Agroinsumos[[#This Row],[CODIGO ]],TABLACONSOLIDADA[Bodega]&amp;TABLACONSOLIDADA[Codigo],0)),"")</f>
        <v/>
      </c>
      <c r="FC75" s="161" t="str">
        <f t="array" ref="FC7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75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75" s="135">
        <f>IFERROR(SUM(Tabla_Buffers_Agroinsumos[[#This Row],[VL-MP]:[VL-LF]]),"")</f>
        <v>0</v>
      </c>
      <c r="FF75" s="154" t="str">
        <f>IFERROR(Tabla_Buffers_Agroinsumos[[#This Row],[INV FIS VL]]-Tabla_Buffers_Agroinsumos[[#This Row],[BUFFER VL]],"")</f>
        <v/>
      </c>
      <c r="FG75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75" s="135"/>
      <c r="FI75" s="135"/>
      <c r="FJ75" s="135"/>
      <c r="FK75" s="135"/>
      <c r="FL75" s="135"/>
      <c r="FM75" s="135"/>
      <c r="FN75" s="135"/>
      <c r="FO75" s="135"/>
      <c r="FP75" s="135"/>
    </row>
    <row r="76" spans="1:172">
      <c r="A76" s="7" t="s">
        <v>162</v>
      </c>
      <c r="B76" s="7" t="s">
        <v>163</v>
      </c>
      <c r="C76" s="7" t="s">
        <v>712</v>
      </c>
      <c r="D76" s="7" t="s">
        <v>715</v>
      </c>
      <c r="E76" s="7" t="s">
        <v>975</v>
      </c>
      <c r="F76" s="19" t="s">
        <v>698</v>
      </c>
      <c r="G76" s="19" t="s">
        <v>698</v>
      </c>
      <c r="H76" s="19">
        <f>VLOOKUP(Tabla_Buffers_Agroinsumos[[#This Row],[CODIGO ]],TABLACONSOLIDADA[[Codigo]:[PV]],6,0)</f>
        <v>5.7</v>
      </c>
      <c r="I76" s="19">
        <f>VLOOKUP(Tabla_Buffers_Agroinsumos[[#This Row],[CODIGO ]],TABLACONSOLIDADA[[Codigo]:[PV]],5,0)</f>
        <v>1.87</v>
      </c>
      <c r="J76" s="19" t="s">
        <v>698</v>
      </c>
      <c r="K76" s="19" t="s">
        <v>698</v>
      </c>
      <c r="L76" s="19">
        <f>IFERROR(Tabla_Buffers_Agroinsumos[[#This Row],[BUFFER CENTRAL]]/((Tabla_Buffers_Agroinsumos[[#This Row],[TIEMPO REPOSICION ]]/Tabla_Buffers_Agroinsumos[[#This Row],[FRECUENCIA]])+1),0)</f>
        <v>0</v>
      </c>
      <c r="M76" s="19" t="str">
        <f t="array" ref="M76">IFERROR(INDEX(TABLACONSOLIDADA[Buff Act],MATCH("AGROINSUMOSMATERIAPRIMA"&amp;Tabla_Buffers_Agroinsumos[[#This Row],[CODIGO ]],TABLACONSOLIDADA[Bodega]&amp;TABLACONSOLIDADA[Codigo],0)),"")</f>
        <v/>
      </c>
      <c r="N76" s="157" t="str">
        <f t="array" ref="N76">IFERROR(INDEX(TABLACONSOLIDADA[Inv Fís Act],MATCH("AGROINSUMOSMATERIAPRIMA"&amp;Tabla_Buffers_Agroinsumos[[#This Row],[CODIGO ]],TABLACONSOLIDADA[Bodega]&amp;TABLACONSOLIDADA[Codigo],0)),"")</f>
        <v/>
      </c>
      <c r="O76" s="157" t="str">
        <f t="array" ref="O7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7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76" s="19">
        <f>IFERROR(SUM(Tabla_Buffers_Agroinsumos[[#This Row],[MP-C]:[MP-VL]]),"")</f>
        <v>0</v>
      </c>
      <c r="R76" s="92" t="str">
        <f>IFERROR(Tabla_Buffers_Agroinsumos[[#This Row],[INV FIS MATERIA PRIMA]]-Tabla_Buffers_Agroinsumos[[#This Row],[BUFFER MATERIA PRIMA]],"")</f>
        <v/>
      </c>
      <c r="S7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76" s="19"/>
      <c r="U76" s="19"/>
      <c r="V76" s="19"/>
      <c r="W76" s="19"/>
      <c r="X76" s="19"/>
      <c r="Y76" s="19"/>
      <c r="Z76" s="19"/>
      <c r="AA76" s="19"/>
      <c r="AB76" s="19"/>
      <c r="AC76" s="152">
        <f t="array" ref="AC76">IFERROR(INDEX(TABLACONSOLIDADA[Buff Act],MATCH("AGROINSUMOSCENTRAL"&amp;Tabla_Buffers_Agroinsumos[[#This Row],[CODIGO ]],TABLACONSOLIDADA[Bodega]&amp;TABLACONSOLIDADA[Codigo],0)),"")</f>
        <v>400</v>
      </c>
      <c r="AD76" s="157">
        <f t="array" ref="AD76">IFERROR(INDEX(TABLACONSOLIDADA[Inv Fís Act],MATCH("AGROINSUMOSCENTRAL"&amp;Tabla_Buffers_Agroinsumos[[#This Row],[CODIGO ]],TABLACONSOLIDADA[Bodega]&amp;TABLACONSOLIDADA[Codigo],0)),"")</f>
        <v>2</v>
      </c>
      <c r="AE76" s="157">
        <f t="array" ref="AE7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373</v>
      </c>
      <c r="AF7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76" s="91">
        <f>IFERROR(SUM(Tabla_Buffers_Agroinsumos[[#This Row],[C-MP]:[C-VL]]),"")</f>
        <v>0</v>
      </c>
      <c r="AH76" s="92">
        <f>IFERROR(Tabla_Buffers_Agroinsumos[[#This Row],[INV FIS CENTRAL]]-Tabla_Buffers_Agroinsumos[[#This Row],[BUFFER CENTRAL]],"")</f>
        <v>-398</v>
      </c>
      <c r="AI76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-398</v>
      </c>
      <c r="AJ76" s="134"/>
      <c r="AK76" s="134"/>
      <c r="AL76" s="134"/>
      <c r="AM76" s="134"/>
      <c r="AN76" s="134"/>
      <c r="AO76" s="134"/>
      <c r="AP76" s="134"/>
      <c r="AQ76" s="134"/>
      <c r="AR76" s="134"/>
      <c r="AS76" s="134">
        <f t="array" ref="AS76">IFERROR(INDEX(TABLACONSOLIDADA[Buff Act],MATCH("AGROINSUMOScentralPROPIA"&amp;Tabla_Buffers_Agroinsumos[[#This Row],[CODIGO ]],TABLACONSOLIDADA[Bodega]&amp;TABLACONSOLIDADA[Codigo],0)),"")</f>
        <v>84</v>
      </c>
      <c r="AT76" s="157">
        <f t="array" ref="AT76">IFERROR(INDEX(TABLACONSOLIDADA[Inv Fís Act],MATCH("AGROINSUMOScentralPROPIA"&amp;Tabla_Buffers_Agroinsumos[[#This Row],[CODIGO ]],TABLACONSOLIDADA[Bodega]&amp;TABLACONSOLIDADA[Codigo],0)),"")</f>
        <v>0</v>
      </c>
      <c r="AU76" s="157">
        <f t="array" ref="AU7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7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76" s="134">
        <f>IFERROR(SUM(Tabla_Buffers_Agroinsumos[[#This Row],[P-MP]:[P-VL]]),"")</f>
        <v>0</v>
      </c>
      <c r="AX76" s="92">
        <f>IFERROR(Tabla_Buffers_Agroinsumos[[#This Row],[INV FIS PROPIA]]-Tabla_Buffers_Agroinsumos[[#This Row],[BUFFER PROPIA]],"")</f>
        <v>-84</v>
      </c>
      <c r="AY76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-84</v>
      </c>
      <c r="AZ76" s="134"/>
      <c r="BA76" s="134"/>
      <c r="BB76" s="134"/>
      <c r="BC76" s="134"/>
      <c r="BD76" s="134"/>
      <c r="BE76" s="134"/>
      <c r="BF76" s="134"/>
      <c r="BG76" s="134"/>
      <c r="BH76" s="134"/>
      <c r="BI76" s="91">
        <f t="array" ref="BI76">IFERROR(INDEX(TABLACONSOLIDADA[Buff Act],MATCH("AGROINSUMOSSTODOMINGO"&amp;Tabla_Buffers_Agroinsumos[[#This Row],[CODIGO ]],TABLACONSOLIDADA[Bodega]&amp;TABLACONSOLIDADA[Codigo],0)),"")</f>
        <v>150</v>
      </c>
      <c r="BJ76" s="157">
        <f t="array" ref="BJ76">IFERROR(INDEX(TABLACONSOLIDADA[Inv Fís Act],MATCH("AGROINSUMOSSTODOMINGO"&amp;Tabla_Buffers_Agroinsumos[[#This Row],[CODIGO ]],TABLACONSOLIDADA[Bodega]&amp;TABLACONSOLIDADA[Codigo],0)),"")</f>
        <v>40</v>
      </c>
      <c r="BK76" s="157">
        <f t="array" ref="BK7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40</v>
      </c>
      <c r="BL7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76" s="91">
        <f>IFERROR(SUM(Tabla_Buffers_Agroinsumos[[#This Row],[SD-MP]:[SD-VL]]),"")</f>
        <v>0</v>
      </c>
      <c r="BN76" s="92"/>
      <c r="BO76" s="92"/>
      <c r="BP76" s="134"/>
      <c r="BQ76" s="134"/>
      <c r="BR76" s="134"/>
      <c r="BS76" s="134"/>
      <c r="BT76" s="134"/>
      <c r="BU76" s="134"/>
      <c r="BV76" s="134"/>
      <c r="BW76" s="134"/>
      <c r="BX76" s="134"/>
      <c r="BY76" s="134">
        <f t="array" ref="BY76">IFERROR(INDEX(TABLACONSOLIDADA[Buff Act],MATCH("AGROINSUMOSMONCAYOLOPEZ"&amp;Tabla_Buffers_Agroinsumos[[#This Row],[CODIGO ]],TABLACONSOLIDADA[Bodega]&amp;TABLACONSOLIDADA[Codigo],0)),"")</f>
        <v>10</v>
      </c>
      <c r="BZ76" s="157">
        <f t="array" ref="BZ76">IFERROR(INDEX(TABLACONSOLIDADA[Inv Fís Act],MATCH("AGROINSUMOSMONCAYOLOPEZ"&amp;Tabla_Buffers_Agroinsumos[[#This Row],[CODIGO ]],TABLACONSOLIDADA[Bodega]&amp;TABLACONSOLIDADA[Codigo],0)),"")</f>
        <v>13</v>
      </c>
      <c r="CA76" s="157">
        <f t="array" ref="CA7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13</v>
      </c>
      <c r="CB7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76" s="134">
        <f>IFERROR(SUM(Tabla_Buffers_Agroinsumos[[#This Row],[ML-MP]:[ML-VL]]),"")</f>
        <v>0</v>
      </c>
      <c r="CD76" s="92">
        <f>IFERROR(Tabla_Buffers_Agroinsumos[[#This Row],[INV FIS ML]]-Tabla_Buffers_Agroinsumos[[#This Row],[BUFFER ML]],"")</f>
        <v>3</v>
      </c>
      <c r="CE76" s="92">
        <f>IFERROR(Tabla_Buffers_Agroinsumos[[#This Row],[INV FIS ML]]+Tabla_Buffers_Agroinsumos[[#This Row],[TRANSFERENCIAS A ML]]-Tabla_Buffers_Agroinsumos[[#This Row],[BUFFER ML]]-Tabla_Buffers_Agroinsumos[[#This Row],[TRANSFERENCIAS DE ML]],"")</f>
        <v>3</v>
      </c>
      <c r="CF76" s="134"/>
      <c r="CG76" s="134"/>
      <c r="CH76" s="134"/>
      <c r="CI76" s="134"/>
      <c r="CJ76" s="134"/>
      <c r="CK76" s="134"/>
      <c r="CL76" s="134"/>
      <c r="CM76" s="134"/>
      <c r="CN76" s="134"/>
      <c r="CO76" s="134">
        <f t="array" ref="CO76">IFERROR(INDEX(TABLACONSOLIDADA[Buff Act],MATCH("AGROINSUMOSAGROHERMANOSLEON"&amp;Tabla_Buffers_Agroinsumos[[#This Row],[CODIGO ]],TABLACONSOLIDADA[Bodega]&amp;TABLACONSOLIDADA[Codigo],0)),"")</f>
        <v>0</v>
      </c>
      <c r="CP76" s="157">
        <f t="array" ref="CP76">IFERROR(INDEX(TABLACONSOLIDADA[Inv Fís Act],MATCH("AGROINSUMOSAGROHERMANOSLEON"&amp;Tabla_Buffers_Agroinsumos[[#This Row],[CODIGO ]],TABLACONSOLIDADA[Bodega]&amp;TABLACONSOLIDADA[Codigo],0)),"")</f>
        <v>0</v>
      </c>
      <c r="CQ76" s="157">
        <f t="array" ref="CQ7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7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76" s="134">
        <f>IFERROR(SUM(Tabla_Buffers_Agroinsumos[[#This Row],[AL-MP]:[AL-VL]]),"")</f>
        <v>0</v>
      </c>
      <c r="CT76" s="92">
        <f>IFERROR(Tabla_Buffers_Agroinsumos[[#This Row],[INV FIS AL]]-Tabla_Buffers_Agroinsumos[[#This Row],[BUFFER AL]],"")</f>
        <v>0</v>
      </c>
      <c r="CU76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76" s="134"/>
      <c r="CW76" s="134"/>
      <c r="CX76" s="134"/>
      <c r="CY76" s="134"/>
      <c r="CZ76" s="134"/>
      <c r="DA76" s="134"/>
      <c r="DB76" s="134"/>
      <c r="DC76" s="134"/>
      <c r="DD76" s="134"/>
      <c r="DE76" s="134">
        <f t="array" ref="DE76">IFERROR(INDEX(TABLACONSOLIDADA[Buff Act],MATCH("AGROINSUMOSAGRONUEVO"&amp;Tabla_Buffers_Agroinsumos[[#This Row],[CODIGO ]],TABLACONSOLIDADA[Bodega]&amp;TABLACONSOLIDADA[Codigo],0)),"")</f>
        <v>0</v>
      </c>
      <c r="DF76" s="157">
        <f t="array" ref="DF76">IFERROR(INDEX(TABLACONSOLIDADA[Inv Fís Act],MATCH("AGROINSUMOSAGRONUEVO"&amp;Tabla_Buffers_Agroinsumos[[#This Row],[CODIGO ]],TABLACONSOLIDADA[Bodega]&amp;TABLACONSOLIDADA[Codigo],0)),"")</f>
        <v>0</v>
      </c>
      <c r="DG76" s="157">
        <f t="array" ref="DG7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7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76" s="134">
        <f>IFERROR(SUM(Tabla_Buffers_Agroinsumos[[#This Row],[AN-MP]:[AN-VL]]),"")</f>
        <v>0</v>
      </c>
      <c r="DJ76" s="92">
        <f>IFERROR(Tabla_Buffers_Agroinsumos[[#This Row],[INV FIS AN]]-Tabla_Buffers_Agroinsumos[[#This Row],[BUFFER AN]],"")</f>
        <v>0</v>
      </c>
      <c r="DK76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76" s="134"/>
      <c r="DM76" s="134"/>
      <c r="DN76" s="134"/>
      <c r="DO76" s="134"/>
      <c r="DP76" s="134"/>
      <c r="DQ76" s="134"/>
      <c r="DR76" s="134"/>
      <c r="DS76" s="134"/>
      <c r="DT76" s="134"/>
      <c r="DU76" s="134">
        <f t="array" ref="DU76">IFERROR(INDEX(TABLACONSOLIDADA[Buff Act],MATCH("AGROINSUMOSAGROQUIMICOSSUR"&amp;Tabla_Buffers_Agroinsumos[[#This Row],[CODIGO ]],TABLACONSOLIDADA[Bodega]&amp;TABLACONSOLIDADA[Codigo],0)),"")</f>
        <v>0</v>
      </c>
      <c r="DV76" s="157">
        <f t="array" ref="DV76">IFERROR(INDEX(TABLACONSOLIDADA[Inv Fís Act],MATCH("AGROINSUMOSAGROQUIMICOSSUR"&amp;Tabla_Buffers_Agroinsumos[[#This Row],[CODIGO ]],TABLACONSOLIDADA[Bodega]&amp;TABLACONSOLIDADA[Codigo],0)),"")</f>
        <v>0</v>
      </c>
      <c r="DW76" s="157">
        <f t="array" ref="DW7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7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76" s="134">
        <f>IFERROR(SUM(Tabla_Buffers_Agroinsumos[[#This Row],[AS-MP]:[AS-VL]]),"")</f>
        <v>0</v>
      </c>
      <c r="DZ76" s="92">
        <f>IFERROR(Tabla_Buffers_Agroinsumos[[#This Row],[INV FIS AS]]-Tabla_Buffers_Agroinsumos[[#This Row],[BUFFER AS]],"")</f>
        <v>0</v>
      </c>
      <c r="EA76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76" s="134"/>
      <c r="EC76" s="134"/>
      <c r="ED76" s="134"/>
      <c r="EE76" s="134"/>
      <c r="EF76" s="134"/>
      <c r="EG76" s="134"/>
      <c r="EH76" s="134"/>
      <c r="EI76" s="134"/>
      <c r="EJ76" s="134"/>
      <c r="EK76" s="134">
        <f t="array" ref="EK76">IFERROR(INDEX(TABLACONSOLIDADA[Buff Act],MATCH("AGROINSUMOSLAFINCA"&amp;Tabla_Buffers_Agroinsumos[[#This Row],[CODIGO ]],TABLACONSOLIDADA[Bodega]&amp;TABLACONSOLIDADA[Codigo],0)),"")</f>
        <v>0</v>
      </c>
      <c r="EL76" s="157">
        <f t="array" ref="EL76">IFERROR(INDEX(TABLACONSOLIDADA[Inv Fís Act],MATCH("AGROINSUMOSLAFINCA"&amp;Tabla_Buffers_Agroinsumos[[#This Row],[CODIGO ]],TABLACONSOLIDADA[Bodega]&amp;TABLACONSOLIDADA[Codigo],0)),"")</f>
        <v>0</v>
      </c>
      <c r="EM76" s="157">
        <f t="array" ref="EM7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7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76" s="134">
        <f>IFERROR(SUM(Tabla_Buffers_Agroinsumos[[#This Row],[LF-MP]:[LF-VL]]),"")</f>
        <v>0</v>
      </c>
      <c r="EP76" s="92">
        <f>IFERROR(Tabla_Buffers_Agroinsumos[[#This Row],[INV FIS LF]]-Tabla_Buffers_Agroinsumos[[#This Row],[BUFFER LF]],"")</f>
        <v>0</v>
      </c>
      <c r="EQ76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76" s="134"/>
      <c r="ES76" s="134"/>
      <c r="ET76" s="134"/>
      <c r="EU76" s="134"/>
      <c r="EV76" s="134"/>
      <c r="EW76" s="134"/>
      <c r="EX76" s="134"/>
      <c r="EY76" s="134"/>
      <c r="EZ76" s="134"/>
      <c r="FA76" s="134">
        <f t="array" ref="FA76">IFERROR(INDEX(TABLACONSOLIDADA[Buff Act],MATCH("AGROINSUMOSVERONICALEDESMA"&amp;Tabla_Buffers_Agroinsumos[[#This Row],[CODIGO ]],TABLACONSOLIDADA[Bodega]&amp;TABLACONSOLIDADA[Codigo],0)),"")</f>
        <v>0</v>
      </c>
      <c r="FB76" s="157">
        <f t="array" ref="FB76">IFERROR(INDEX(TABLACONSOLIDADA[Inv Fís Act],MATCH("AGROINSUMOSVERONICALEDESMA"&amp;Tabla_Buffers_Agroinsumos[[#This Row],[CODIGO ]],TABLACONSOLIDADA[Bodega]&amp;TABLACONSOLIDADA[Codigo],0)),"")</f>
        <v>0</v>
      </c>
      <c r="FC76" s="157">
        <f t="array" ref="FC7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7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76" s="134">
        <f>IFERROR(SUM(Tabla_Buffers_Agroinsumos[[#This Row],[VL-MP]:[VL-LF]]),"")</f>
        <v>0</v>
      </c>
      <c r="FF76" s="92">
        <f>IFERROR(Tabla_Buffers_Agroinsumos[[#This Row],[INV FIS VL]]-Tabla_Buffers_Agroinsumos[[#This Row],[BUFFER VL]],"")</f>
        <v>0</v>
      </c>
      <c r="FG76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76" s="134"/>
      <c r="FI76" s="134"/>
      <c r="FJ76" s="134"/>
      <c r="FK76" s="134"/>
      <c r="FL76" s="134"/>
      <c r="FM76" s="134"/>
      <c r="FN76" s="134"/>
      <c r="FO76" s="134"/>
      <c r="FP76" s="134"/>
    </row>
    <row r="77" spans="1:172">
      <c r="A77" s="7" t="s">
        <v>164</v>
      </c>
      <c r="B77" s="7" t="s">
        <v>165</v>
      </c>
      <c r="C77" s="7" t="s">
        <v>712</v>
      </c>
      <c r="D77" s="7" t="s">
        <v>715</v>
      </c>
      <c r="E77" s="7" t="s">
        <v>975</v>
      </c>
      <c r="F77" s="19" t="s">
        <v>698</v>
      </c>
      <c r="G77" s="19" t="s">
        <v>698</v>
      </c>
      <c r="H77" s="19">
        <f>VLOOKUP(Tabla_Buffers_Agroinsumos[[#This Row],[CODIGO ]],TABLACONSOLIDADA[[Codigo]:[PV]],6,0)</f>
        <v>10.69</v>
      </c>
      <c r="I77" s="19">
        <f>VLOOKUP(Tabla_Buffers_Agroinsumos[[#This Row],[CODIGO ]],TABLACONSOLIDADA[[Codigo]:[PV]],5,0)</f>
        <v>3.58</v>
      </c>
      <c r="J77" s="19" t="s">
        <v>698</v>
      </c>
      <c r="K77" s="19" t="s">
        <v>698</v>
      </c>
      <c r="L77" s="19">
        <f>IFERROR(Tabla_Buffers_Agroinsumos[[#This Row],[BUFFER CENTRAL]]/((Tabla_Buffers_Agroinsumos[[#This Row],[TIEMPO REPOSICION ]]/Tabla_Buffers_Agroinsumos[[#This Row],[FRECUENCIA]])+1),0)</f>
        <v>0</v>
      </c>
      <c r="M77" s="19" t="str">
        <f t="array" ref="M77">IFERROR(INDEX(TABLACONSOLIDADA[Buff Act],MATCH("AGROINSUMOSMATERIAPRIMA"&amp;Tabla_Buffers_Agroinsumos[[#This Row],[CODIGO ]],TABLACONSOLIDADA[Bodega]&amp;TABLACONSOLIDADA[Codigo],0)),"")</f>
        <v/>
      </c>
      <c r="N77" s="157" t="str">
        <f t="array" ref="N77">IFERROR(INDEX(TABLACONSOLIDADA[Inv Fís Act],MATCH("AGROINSUMOSMATERIAPRIMA"&amp;Tabla_Buffers_Agroinsumos[[#This Row],[CODIGO ]],TABLACONSOLIDADA[Bodega]&amp;TABLACONSOLIDADA[Codigo],0)),"")</f>
        <v/>
      </c>
      <c r="O77" s="157" t="str">
        <f t="array" ref="O7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7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77" s="19">
        <f>IFERROR(SUM(Tabla_Buffers_Agroinsumos[[#This Row],[MP-C]:[MP-VL]]),"")</f>
        <v>0</v>
      </c>
      <c r="R77" s="92" t="str">
        <f>IFERROR(Tabla_Buffers_Agroinsumos[[#This Row],[INV FIS MATERIA PRIMA]]-Tabla_Buffers_Agroinsumos[[#This Row],[BUFFER MATERIA PRIMA]],"")</f>
        <v/>
      </c>
      <c r="S7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77" s="19"/>
      <c r="U77" s="19"/>
      <c r="V77" s="19"/>
      <c r="W77" s="19"/>
      <c r="X77" s="19"/>
      <c r="Y77" s="19"/>
      <c r="Z77" s="19"/>
      <c r="AA77" s="19"/>
      <c r="AB77" s="19"/>
      <c r="AC77" s="152">
        <f t="array" ref="AC77">IFERROR(INDEX(TABLACONSOLIDADA[Buff Act],MATCH("AGROINSUMOSCENTRAL"&amp;Tabla_Buffers_Agroinsumos[[#This Row],[CODIGO ]],TABLACONSOLIDADA[Bodega]&amp;TABLACONSOLIDADA[Codigo],0)),"")</f>
        <v>40</v>
      </c>
      <c r="AD77" s="157">
        <f t="array" ref="AD77">IFERROR(INDEX(TABLACONSOLIDADA[Inv Fís Act],MATCH("AGROINSUMOSCENTRAL"&amp;Tabla_Buffers_Agroinsumos[[#This Row],[CODIGO ]],TABLACONSOLIDADA[Bodega]&amp;TABLACONSOLIDADA[Codigo],0)),"")</f>
        <v>62</v>
      </c>
      <c r="AE77" s="157">
        <f t="array" ref="AE7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72</v>
      </c>
      <c r="AF7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77" s="91">
        <f>IFERROR(SUM(Tabla_Buffers_Agroinsumos[[#This Row],[C-MP]:[C-VL]]),"")</f>
        <v>0</v>
      </c>
      <c r="AH77" s="92">
        <f>IFERROR(Tabla_Buffers_Agroinsumos[[#This Row],[INV FIS CENTRAL]]-Tabla_Buffers_Agroinsumos[[#This Row],[BUFFER CENTRAL]],"")</f>
        <v>22</v>
      </c>
      <c r="AI7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22</v>
      </c>
      <c r="AJ77" s="134"/>
      <c r="AK77" s="134"/>
      <c r="AL77" s="134"/>
      <c r="AM77" s="134"/>
      <c r="AN77" s="134"/>
      <c r="AO77" s="134"/>
      <c r="AP77" s="134"/>
      <c r="AQ77" s="134"/>
      <c r="AR77" s="134"/>
      <c r="AS77" s="134">
        <f t="array" ref="AS77">IFERROR(INDEX(TABLACONSOLIDADA[Buff Act],MATCH("AGROINSUMOScentralPROPIA"&amp;Tabla_Buffers_Agroinsumos[[#This Row],[CODIGO ]],TABLACONSOLIDADA[Bodega]&amp;TABLACONSOLIDADA[Codigo],0)),"")</f>
        <v>18</v>
      </c>
      <c r="AT77" s="157">
        <f t="array" ref="AT77">IFERROR(INDEX(TABLACONSOLIDADA[Inv Fís Act],MATCH("AGROINSUMOScentralPROPIA"&amp;Tabla_Buffers_Agroinsumos[[#This Row],[CODIGO ]],TABLACONSOLIDADA[Bodega]&amp;TABLACONSOLIDADA[Codigo],0)),"")</f>
        <v>0</v>
      </c>
      <c r="AU77" s="157">
        <f t="array" ref="AU7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7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77" s="134">
        <f>IFERROR(SUM(Tabla_Buffers_Agroinsumos[[#This Row],[P-MP]:[P-VL]]),"")</f>
        <v>0</v>
      </c>
      <c r="AX77" s="92">
        <f>IFERROR(Tabla_Buffers_Agroinsumos[[#This Row],[INV FIS PROPIA]]-Tabla_Buffers_Agroinsumos[[#This Row],[BUFFER PROPIA]],"")</f>
        <v>-18</v>
      </c>
      <c r="AY7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-18</v>
      </c>
      <c r="AZ77" s="134"/>
      <c r="BA77" s="134"/>
      <c r="BB77" s="134"/>
      <c r="BC77" s="134"/>
      <c r="BD77" s="134"/>
      <c r="BE77" s="134"/>
      <c r="BF77" s="134"/>
      <c r="BG77" s="134"/>
      <c r="BH77" s="134"/>
      <c r="BI77" s="91">
        <f t="array" ref="BI77">IFERROR(INDEX(TABLACONSOLIDADA[Buff Act],MATCH("AGROINSUMOSSTODOMINGO"&amp;Tabla_Buffers_Agroinsumos[[#This Row],[CODIGO ]],TABLACONSOLIDADA[Bodega]&amp;TABLACONSOLIDADA[Codigo],0)),"")</f>
        <v>0</v>
      </c>
      <c r="BJ77" s="157">
        <f t="array" ref="BJ77">IFERROR(INDEX(TABLACONSOLIDADA[Inv Fís Act],MATCH("AGROINSUMOSSTODOMINGO"&amp;Tabla_Buffers_Agroinsumos[[#This Row],[CODIGO ]],TABLACONSOLIDADA[Bodega]&amp;TABLACONSOLIDADA[Codigo],0)),"")</f>
        <v>0</v>
      </c>
      <c r="BK77" s="157">
        <f t="array" ref="BK7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7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77" s="91">
        <f>IFERROR(SUM(Tabla_Buffers_Agroinsumos[[#This Row],[SD-MP]:[SD-VL]]),"")</f>
        <v>0</v>
      </c>
      <c r="BN77" s="92"/>
      <c r="BO77" s="92"/>
      <c r="BP77" s="134"/>
      <c r="BQ77" s="134"/>
      <c r="BR77" s="134"/>
      <c r="BS77" s="134"/>
      <c r="BT77" s="134"/>
      <c r="BU77" s="134"/>
      <c r="BV77" s="134"/>
      <c r="BW77" s="134"/>
      <c r="BX77" s="134"/>
      <c r="BY77" s="134">
        <f t="array" ref="BY77">IFERROR(INDEX(TABLACONSOLIDADA[Buff Act],MATCH("AGROINSUMOSMONCAYOLOPEZ"&amp;Tabla_Buffers_Agroinsumos[[#This Row],[CODIGO ]],TABLACONSOLIDADA[Bodega]&amp;TABLACONSOLIDADA[Codigo],0)),"")</f>
        <v>0</v>
      </c>
      <c r="BZ77" s="157">
        <f t="array" ref="BZ77">IFERROR(INDEX(TABLACONSOLIDADA[Inv Fís Act],MATCH("AGROINSUMOSMONCAYOLOPEZ"&amp;Tabla_Buffers_Agroinsumos[[#This Row],[CODIGO ]],TABLACONSOLIDADA[Bodega]&amp;TABLACONSOLIDADA[Codigo],0)),"")</f>
        <v>0</v>
      </c>
      <c r="CA77" s="157">
        <f t="array" ref="CA7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7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77" s="134">
        <f>IFERROR(SUM(Tabla_Buffers_Agroinsumos[[#This Row],[ML-MP]:[ML-VL]]),"")</f>
        <v>0</v>
      </c>
      <c r="CD77" s="92">
        <f>IFERROR(Tabla_Buffers_Agroinsumos[[#This Row],[INV FIS ML]]-Tabla_Buffers_Agroinsumos[[#This Row],[BUFFER ML]],"")</f>
        <v>0</v>
      </c>
      <c r="CE77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77" s="134"/>
      <c r="CG77" s="134"/>
      <c r="CH77" s="134"/>
      <c r="CI77" s="134"/>
      <c r="CJ77" s="134"/>
      <c r="CK77" s="134"/>
      <c r="CL77" s="134"/>
      <c r="CM77" s="134"/>
      <c r="CN77" s="134"/>
      <c r="CO77" s="134">
        <f t="array" ref="CO77">IFERROR(INDEX(TABLACONSOLIDADA[Buff Act],MATCH("AGROINSUMOSAGROHERMANOSLEON"&amp;Tabla_Buffers_Agroinsumos[[#This Row],[CODIGO ]],TABLACONSOLIDADA[Bodega]&amp;TABLACONSOLIDADA[Codigo],0)),"")</f>
        <v>0</v>
      </c>
      <c r="CP77" s="157">
        <f t="array" ref="CP77">IFERROR(INDEX(TABLACONSOLIDADA[Inv Fís Act],MATCH("AGROINSUMOSAGROHERMANOSLEON"&amp;Tabla_Buffers_Agroinsumos[[#This Row],[CODIGO ]],TABLACONSOLIDADA[Bodega]&amp;TABLACONSOLIDADA[Codigo],0)),"")</f>
        <v>0</v>
      </c>
      <c r="CQ77" s="157">
        <f t="array" ref="CQ7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7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77" s="134">
        <f>IFERROR(SUM(Tabla_Buffers_Agroinsumos[[#This Row],[AL-MP]:[AL-VL]]),"")</f>
        <v>0</v>
      </c>
      <c r="CT77" s="92">
        <f>IFERROR(Tabla_Buffers_Agroinsumos[[#This Row],[INV FIS AL]]-Tabla_Buffers_Agroinsumos[[#This Row],[BUFFER AL]],"")</f>
        <v>0</v>
      </c>
      <c r="CU7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77" s="134"/>
      <c r="CW77" s="134"/>
      <c r="CX77" s="134"/>
      <c r="CY77" s="134"/>
      <c r="CZ77" s="134"/>
      <c r="DA77" s="134"/>
      <c r="DB77" s="134"/>
      <c r="DC77" s="134"/>
      <c r="DD77" s="134"/>
      <c r="DE77" s="134">
        <f t="array" ref="DE77">IFERROR(INDEX(TABLACONSOLIDADA[Buff Act],MATCH("AGROINSUMOSAGRONUEVO"&amp;Tabla_Buffers_Agroinsumos[[#This Row],[CODIGO ]],TABLACONSOLIDADA[Bodega]&amp;TABLACONSOLIDADA[Codigo],0)),"")</f>
        <v>0</v>
      </c>
      <c r="DF77" s="157">
        <f t="array" ref="DF77">IFERROR(INDEX(TABLACONSOLIDADA[Inv Fís Act],MATCH("AGROINSUMOSAGRONUEVO"&amp;Tabla_Buffers_Agroinsumos[[#This Row],[CODIGO ]],TABLACONSOLIDADA[Bodega]&amp;TABLACONSOLIDADA[Codigo],0)),"")</f>
        <v>0</v>
      </c>
      <c r="DG77" s="157">
        <f t="array" ref="DG7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7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77" s="134">
        <f>IFERROR(SUM(Tabla_Buffers_Agroinsumos[[#This Row],[AN-MP]:[AN-VL]]),"")</f>
        <v>0</v>
      </c>
      <c r="DJ77" s="92">
        <f>IFERROR(Tabla_Buffers_Agroinsumos[[#This Row],[INV FIS AN]]-Tabla_Buffers_Agroinsumos[[#This Row],[BUFFER AN]],"")</f>
        <v>0</v>
      </c>
      <c r="DK7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77" s="134"/>
      <c r="DM77" s="134"/>
      <c r="DN77" s="134"/>
      <c r="DO77" s="134"/>
      <c r="DP77" s="134"/>
      <c r="DQ77" s="134"/>
      <c r="DR77" s="134"/>
      <c r="DS77" s="134"/>
      <c r="DT77" s="134"/>
      <c r="DU77" s="134">
        <f t="array" ref="DU77">IFERROR(INDEX(TABLACONSOLIDADA[Buff Act],MATCH("AGROINSUMOSAGROQUIMICOSSUR"&amp;Tabla_Buffers_Agroinsumos[[#This Row],[CODIGO ]],TABLACONSOLIDADA[Bodega]&amp;TABLACONSOLIDADA[Codigo],0)),"")</f>
        <v>0</v>
      </c>
      <c r="DV77" s="157">
        <f t="array" ref="DV77">IFERROR(INDEX(TABLACONSOLIDADA[Inv Fís Act],MATCH("AGROINSUMOSAGROQUIMICOSSUR"&amp;Tabla_Buffers_Agroinsumos[[#This Row],[CODIGO ]],TABLACONSOLIDADA[Bodega]&amp;TABLACONSOLIDADA[Codigo],0)),"")</f>
        <v>0</v>
      </c>
      <c r="DW77" s="157">
        <f t="array" ref="DW7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7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77" s="134">
        <f>IFERROR(SUM(Tabla_Buffers_Agroinsumos[[#This Row],[AS-MP]:[AS-VL]]),"")</f>
        <v>0</v>
      </c>
      <c r="DZ77" s="92">
        <f>IFERROR(Tabla_Buffers_Agroinsumos[[#This Row],[INV FIS AS]]-Tabla_Buffers_Agroinsumos[[#This Row],[BUFFER AS]],"")</f>
        <v>0</v>
      </c>
      <c r="EA7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77" s="134"/>
      <c r="EC77" s="134"/>
      <c r="ED77" s="134"/>
      <c r="EE77" s="134"/>
      <c r="EF77" s="134"/>
      <c r="EG77" s="134"/>
      <c r="EH77" s="134"/>
      <c r="EI77" s="134"/>
      <c r="EJ77" s="134"/>
      <c r="EK77" s="134">
        <f t="array" ref="EK77">IFERROR(INDEX(TABLACONSOLIDADA[Buff Act],MATCH("AGROINSUMOSLAFINCA"&amp;Tabla_Buffers_Agroinsumos[[#This Row],[CODIGO ]],TABLACONSOLIDADA[Bodega]&amp;TABLACONSOLIDADA[Codigo],0)),"")</f>
        <v>0</v>
      </c>
      <c r="EL77" s="157">
        <f t="array" ref="EL77">IFERROR(INDEX(TABLACONSOLIDADA[Inv Fís Act],MATCH("AGROINSUMOSLAFINCA"&amp;Tabla_Buffers_Agroinsumos[[#This Row],[CODIGO ]],TABLACONSOLIDADA[Bodega]&amp;TABLACONSOLIDADA[Codigo],0)),"")</f>
        <v>0</v>
      </c>
      <c r="EM77" s="157">
        <f t="array" ref="EM7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7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77" s="134">
        <f>IFERROR(SUM(Tabla_Buffers_Agroinsumos[[#This Row],[LF-MP]:[LF-VL]]),"")</f>
        <v>0</v>
      </c>
      <c r="EP77" s="92">
        <f>IFERROR(Tabla_Buffers_Agroinsumos[[#This Row],[INV FIS LF]]-Tabla_Buffers_Agroinsumos[[#This Row],[BUFFER LF]],"")</f>
        <v>0</v>
      </c>
      <c r="EQ7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77" s="134"/>
      <c r="ES77" s="134"/>
      <c r="ET77" s="134"/>
      <c r="EU77" s="134"/>
      <c r="EV77" s="134"/>
      <c r="EW77" s="134"/>
      <c r="EX77" s="134"/>
      <c r="EY77" s="134"/>
      <c r="EZ77" s="134"/>
      <c r="FA77" s="134">
        <f t="array" ref="FA77">IFERROR(INDEX(TABLACONSOLIDADA[Buff Act],MATCH("AGROINSUMOSVERONICALEDESMA"&amp;Tabla_Buffers_Agroinsumos[[#This Row],[CODIGO ]],TABLACONSOLIDADA[Bodega]&amp;TABLACONSOLIDADA[Codigo],0)),"")</f>
        <v>0</v>
      </c>
      <c r="FB77" s="157">
        <f t="array" ref="FB77">IFERROR(INDEX(TABLACONSOLIDADA[Inv Fís Act],MATCH("AGROINSUMOSVERONICALEDESMA"&amp;Tabla_Buffers_Agroinsumos[[#This Row],[CODIGO ]],TABLACONSOLIDADA[Bodega]&amp;TABLACONSOLIDADA[Codigo],0)),"")</f>
        <v>0</v>
      </c>
      <c r="FC77" s="157">
        <f t="array" ref="FC7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7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77" s="134">
        <f>IFERROR(SUM(Tabla_Buffers_Agroinsumos[[#This Row],[VL-MP]:[VL-LF]]),"")</f>
        <v>0</v>
      </c>
      <c r="FF77" s="92">
        <f>IFERROR(Tabla_Buffers_Agroinsumos[[#This Row],[INV FIS VL]]-Tabla_Buffers_Agroinsumos[[#This Row],[BUFFER VL]],"")</f>
        <v>0</v>
      </c>
      <c r="FG7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77" s="134"/>
      <c r="FI77" s="134"/>
      <c r="FJ77" s="134"/>
      <c r="FK77" s="134"/>
      <c r="FL77" s="134"/>
      <c r="FM77" s="134"/>
      <c r="FN77" s="134"/>
      <c r="FO77" s="134"/>
      <c r="FP77" s="134"/>
    </row>
    <row r="78" spans="1:172">
      <c r="A78" s="7" t="s">
        <v>166</v>
      </c>
      <c r="B78" s="7" t="s">
        <v>167</v>
      </c>
      <c r="C78" s="7" t="s">
        <v>712</v>
      </c>
      <c r="D78" s="7" t="s">
        <v>715</v>
      </c>
      <c r="E78" s="7" t="s">
        <v>975</v>
      </c>
      <c r="F78" s="19" t="s">
        <v>698</v>
      </c>
      <c r="G78" s="19" t="s">
        <v>698</v>
      </c>
      <c r="H78" s="19">
        <f>VLOOKUP(Tabla_Buffers_Agroinsumos[[#This Row],[CODIGO ]],TABLACONSOLIDADA[[Codigo]:[PV]],6,0)</f>
        <v>20.49</v>
      </c>
      <c r="I78" s="19">
        <f>VLOOKUP(Tabla_Buffers_Agroinsumos[[#This Row],[CODIGO ]],TABLACONSOLIDADA[[Codigo]:[PV]],5,0)</f>
        <v>6.73</v>
      </c>
      <c r="J78" s="19" t="s">
        <v>698</v>
      </c>
      <c r="K78" s="19" t="s">
        <v>698</v>
      </c>
      <c r="L78" s="19">
        <f>IFERROR(Tabla_Buffers_Agroinsumos[[#This Row],[BUFFER CENTRAL]]/((Tabla_Buffers_Agroinsumos[[#This Row],[TIEMPO REPOSICION ]]/Tabla_Buffers_Agroinsumos[[#This Row],[FRECUENCIA]])+1),0)</f>
        <v>0</v>
      </c>
      <c r="M78" s="19" t="str">
        <f t="array" ref="M78">IFERROR(INDEX(TABLACONSOLIDADA[Buff Act],MATCH("AGROINSUMOSMATERIAPRIMA"&amp;Tabla_Buffers_Agroinsumos[[#This Row],[CODIGO ]],TABLACONSOLIDADA[Bodega]&amp;TABLACONSOLIDADA[Codigo],0)),"")</f>
        <v/>
      </c>
      <c r="N78" s="157" t="str">
        <f t="array" ref="N78">IFERROR(INDEX(TABLACONSOLIDADA[Inv Fís Act],MATCH("AGROINSUMOSMATERIAPRIMA"&amp;Tabla_Buffers_Agroinsumos[[#This Row],[CODIGO ]],TABLACONSOLIDADA[Bodega]&amp;TABLACONSOLIDADA[Codigo],0)),"")</f>
        <v/>
      </c>
      <c r="O78" s="157" t="str">
        <f t="array" ref="O7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7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78" s="19">
        <f>IFERROR(SUM(Tabla_Buffers_Agroinsumos[[#This Row],[MP-C]:[MP-VL]]),"")</f>
        <v>0</v>
      </c>
      <c r="R78" s="92" t="str">
        <f>IFERROR(Tabla_Buffers_Agroinsumos[[#This Row],[INV FIS MATERIA PRIMA]]-Tabla_Buffers_Agroinsumos[[#This Row],[BUFFER MATERIA PRIMA]],"")</f>
        <v/>
      </c>
      <c r="S7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78" s="19"/>
      <c r="U78" s="19"/>
      <c r="V78" s="19"/>
      <c r="W78" s="19"/>
      <c r="X78" s="19"/>
      <c r="Y78" s="19"/>
      <c r="Z78" s="19"/>
      <c r="AA78" s="19"/>
      <c r="AB78" s="19"/>
      <c r="AC78" s="152">
        <f t="array" ref="AC78">IFERROR(INDEX(TABLACONSOLIDADA[Buff Act],MATCH("AGROINSUMOSCENTRAL"&amp;Tabla_Buffers_Agroinsumos[[#This Row],[CODIGO ]],TABLACONSOLIDADA[Bodega]&amp;TABLACONSOLIDADA[Codigo],0)),"")</f>
        <v>100</v>
      </c>
      <c r="AD78" s="157">
        <f t="array" ref="AD78">IFERROR(INDEX(TABLACONSOLIDADA[Inv Fís Act],MATCH("AGROINSUMOSCENTRAL"&amp;Tabla_Buffers_Agroinsumos[[#This Row],[CODIGO ]],TABLACONSOLIDADA[Bodega]&amp;TABLACONSOLIDADA[Codigo],0)),"")</f>
        <v>122</v>
      </c>
      <c r="AE78" s="157">
        <f t="array" ref="AE7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132</v>
      </c>
      <c r="AF7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78" s="91">
        <f>IFERROR(SUM(Tabla_Buffers_Agroinsumos[[#This Row],[C-MP]:[C-VL]]),"")</f>
        <v>0</v>
      </c>
      <c r="AH78" s="92">
        <f>IFERROR(Tabla_Buffers_Agroinsumos[[#This Row],[INV FIS CENTRAL]]-Tabla_Buffers_Agroinsumos[[#This Row],[BUFFER CENTRAL]],"")</f>
        <v>22</v>
      </c>
      <c r="AI7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22</v>
      </c>
      <c r="AJ78" s="134"/>
      <c r="AK78" s="134"/>
      <c r="AL78" s="134"/>
      <c r="AM78" s="134"/>
      <c r="AN78" s="134"/>
      <c r="AO78" s="134"/>
      <c r="AP78" s="134"/>
      <c r="AQ78" s="134"/>
      <c r="AR78" s="134"/>
      <c r="AS78" s="134">
        <f t="array" ref="AS78">IFERROR(INDEX(TABLACONSOLIDADA[Buff Act],MATCH("AGROINSUMOScentralPROPIA"&amp;Tabla_Buffers_Agroinsumos[[#This Row],[CODIGO ]],TABLACONSOLIDADA[Bodega]&amp;TABLACONSOLIDADA[Codigo],0)),"")</f>
        <v>36</v>
      </c>
      <c r="AT78" s="157">
        <f t="array" ref="AT78">IFERROR(INDEX(TABLACONSOLIDADA[Inv Fís Act],MATCH("AGROINSUMOScentralPROPIA"&amp;Tabla_Buffers_Agroinsumos[[#This Row],[CODIGO ]],TABLACONSOLIDADA[Bodega]&amp;TABLACONSOLIDADA[Codigo],0)),"")</f>
        <v>0</v>
      </c>
      <c r="AU78" s="157">
        <f t="array" ref="AU7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7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78" s="134">
        <f>IFERROR(SUM(Tabla_Buffers_Agroinsumos[[#This Row],[P-MP]:[P-VL]]),"")</f>
        <v>0</v>
      </c>
      <c r="AX78" s="92">
        <f>IFERROR(Tabla_Buffers_Agroinsumos[[#This Row],[INV FIS PROPIA]]-Tabla_Buffers_Agroinsumos[[#This Row],[BUFFER PROPIA]],"")</f>
        <v>-36</v>
      </c>
      <c r="AY7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-36</v>
      </c>
      <c r="AZ78" s="134"/>
      <c r="BA78" s="134"/>
      <c r="BB78" s="134"/>
      <c r="BC78" s="134"/>
      <c r="BD78" s="134"/>
      <c r="BE78" s="134"/>
      <c r="BF78" s="134"/>
      <c r="BG78" s="134"/>
      <c r="BH78" s="134"/>
      <c r="BI78" s="91">
        <f t="array" ref="BI78">IFERROR(INDEX(TABLACONSOLIDADA[Buff Act],MATCH("AGROINSUMOSSTODOMINGO"&amp;Tabla_Buffers_Agroinsumos[[#This Row],[CODIGO ]],TABLACONSOLIDADA[Bodega]&amp;TABLACONSOLIDADA[Codigo],0)),"")</f>
        <v>0</v>
      </c>
      <c r="BJ78" s="157">
        <f t="array" ref="BJ78">IFERROR(INDEX(TABLACONSOLIDADA[Inv Fís Act],MATCH("AGROINSUMOSSTODOMINGO"&amp;Tabla_Buffers_Agroinsumos[[#This Row],[CODIGO ]],TABLACONSOLIDADA[Bodega]&amp;TABLACONSOLIDADA[Codigo],0)),"")</f>
        <v>0</v>
      </c>
      <c r="BK78" s="157">
        <f t="array" ref="BK7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7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78" s="91">
        <f>IFERROR(SUM(Tabla_Buffers_Agroinsumos[[#This Row],[SD-MP]:[SD-VL]]),"")</f>
        <v>0</v>
      </c>
      <c r="BN78" s="92"/>
      <c r="BO78" s="92"/>
      <c r="BP78" s="134"/>
      <c r="BQ78" s="134"/>
      <c r="BR78" s="134"/>
      <c r="BS78" s="134"/>
      <c r="BT78" s="134"/>
      <c r="BU78" s="134"/>
      <c r="BV78" s="134"/>
      <c r="BW78" s="134"/>
      <c r="BX78" s="134"/>
      <c r="BY78" s="134">
        <f t="array" ref="BY78">IFERROR(INDEX(TABLACONSOLIDADA[Buff Act],MATCH("AGROINSUMOSMONCAYOLOPEZ"&amp;Tabla_Buffers_Agroinsumos[[#This Row],[CODIGO ]],TABLACONSOLIDADA[Bodega]&amp;TABLACONSOLIDADA[Codigo],0)),"")</f>
        <v>0</v>
      </c>
      <c r="BZ78" s="157">
        <f t="array" ref="BZ78">IFERROR(INDEX(TABLACONSOLIDADA[Inv Fís Act],MATCH("AGROINSUMOSMONCAYOLOPEZ"&amp;Tabla_Buffers_Agroinsumos[[#This Row],[CODIGO ]],TABLACONSOLIDADA[Bodega]&amp;TABLACONSOLIDADA[Codigo],0)),"")</f>
        <v>0</v>
      </c>
      <c r="CA78" s="157">
        <f t="array" ref="CA7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7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78" s="134">
        <f>IFERROR(SUM(Tabla_Buffers_Agroinsumos[[#This Row],[ML-MP]:[ML-VL]]),"")</f>
        <v>0</v>
      </c>
      <c r="CD78" s="92">
        <f>IFERROR(Tabla_Buffers_Agroinsumos[[#This Row],[INV FIS ML]]-Tabla_Buffers_Agroinsumos[[#This Row],[BUFFER ML]],"")</f>
        <v>0</v>
      </c>
      <c r="CE7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78" s="134"/>
      <c r="CG78" s="134"/>
      <c r="CH78" s="134"/>
      <c r="CI78" s="134"/>
      <c r="CJ78" s="134"/>
      <c r="CK78" s="134"/>
      <c r="CL78" s="134"/>
      <c r="CM78" s="134"/>
      <c r="CN78" s="134"/>
      <c r="CO78" s="134">
        <f t="array" ref="CO78">IFERROR(INDEX(TABLACONSOLIDADA[Buff Act],MATCH("AGROINSUMOSAGROHERMANOSLEON"&amp;Tabla_Buffers_Agroinsumos[[#This Row],[CODIGO ]],TABLACONSOLIDADA[Bodega]&amp;TABLACONSOLIDADA[Codigo],0)),"")</f>
        <v>30</v>
      </c>
      <c r="CP78" s="157">
        <f t="array" ref="CP78">IFERROR(INDEX(TABLACONSOLIDADA[Inv Fís Act],MATCH("AGROINSUMOSAGROHERMANOSLEON"&amp;Tabla_Buffers_Agroinsumos[[#This Row],[CODIGO ]],TABLACONSOLIDADA[Bodega]&amp;TABLACONSOLIDADA[Codigo],0)),"")</f>
        <v>30</v>
      </c>
      <c r="CQ78" s="157">
        <f t="array" ref="CQ7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30</v>
      </c>
      <c r="CR7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78" s="134">
        <f>IFERROR(SUM(Tabla_Buffers_Agroinsumos[[#This Row],[AL-MP]:[AL-VL]]),"")</f>
        <v>0</v>
      </c>
      <c r="CT78" s="92">
        <f>IFERROR(Tabla_Buffers_Agroinsumos[[#This Row],[INV FIS AL]]-Tabla_Buffers_Agroinsumos[[#This Row],[BUFFER AL]],"")</f>
        <v>0</v>
      </c>
      <c r="CU7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78" s="134"/>
      <c r="CW78" s="134"/>
      <c r="CX78" s="134"/>
      <c r="CY78" s="134"/>
      <c r="CZ78" s="134"/>
      <c r="DA78" s="134"/>
      <c r="DB78" s="134"/>
      <c r="DC78" s="134"/>
      <c r="DD78" s="134"/>
      <c r="DE78" s="134">
        <f t="array" ref="DE78">IFERROR(INDEX(TABLACONSOLIDADA[Buff Act],MATCH("AGROINSUMOSAGRONUEVO"&amp;Tabla_Buffers_Agroinsumos[[#This Row],[CODIGO ]],TABLACONSOLIDADA[Bodega]&amp;TABLACONSOLIDADA[Codigo],0)),"")</f>
        <v>20</v>
      </c>
      <c r="DF78" s="157">
        <f t="array" ref="DF78">IFERROR(INDEX(TABLACONSOLIDADA[Inv Fís Act],MATCH("AGROINSUMOSAGRONUEVO"&amp;Tabla_Buffers_Agroinsumos[[#This Row],[CODIGO ]],TABLACONSOLIDADA[Bodega]&amp;TABLACONSOLIDADA[Codigo],0)),"")</f>
        <v>20</v>
      </c>
      <c r="DG78" s="157">
        <f t="array" ref="DG7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20</v>
      </c>
      <c r="DH7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78" s="134">
        <f>IFERROR(SUM(Tabla_Buffers_Agroinsumos[[#This Row],[AN-MP]:[AN-VL]]),"")</f>
        <v>0</v>
      </c>
      <c r="DJ78" s="92">
        <f>IFERROR(Tabla_Buffers_Agroinsumos[[#This Row],[INV FIS AN]]-Tabla_Buffers_Agroinsumos[[#This Row],[BUFFER AN]],"")</f>
        <v>0</v>
      </c>
      <c r="DK7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78" s="134"/>
      <c r="DM78" s="134"/>
      <c r="DN78" s="134"/>
      <c r="DO78" s="134"/>
      <c r="DP78" s="134"/>
      <c r="DQ78" s="134"/>
      <c r="DR78" s="134"/>
      <c r="DS78" s="134"/>
      <c r="DT78" s="134"/>
      <c r="DU78" s="134">
        <f t="array" ref="DU78">IFERROR(INDEX(TABLACONSOLIDADA[Buff Act],MATCH("AGROINSUMOSAGROQUIMICOSSUR"&amp;Tabla_Buffers_Agroinsumos[[#This Row],[CODIGO ]],TABLACONSOLIDADA[Bodega]&amp;TABLACONSOLIDADA[Codigo],0)),"")</f>
        <v>0</v>
      </c>
      <c r="DV78" s="157">
        <f t="array" ref="DV78">IFERROR(INDEX(TABLACONSOLIDADA[Inv Fís Act],MATCH("AGROINSUMOSAGROQUIMICOSSUR"&amp;Tabla_Buffers_Agroinsumos[[#This Row],[CODIGO ]],TABLACONSOLIDADA[Bodega]&amp;TABLACONSOLIDADA[Codigo],0)),"")</f>
        <v>19</v>
      </c>
      <c r="DW78" s="157">
        <f t="array" ref="DW7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19</v>
      </c>
      <c r="DX7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78" s="134">
        <f>IFERROR(SUM(Tabla_Buffers_Agroinsumos[[#This Row],[AS-MP]:[AS-VL]]),"")</f>
        <v>0</v>
      </c>
      <c r="DZ78" s="92">
        <f>IFERROR(Tabla_Buffers_Agroinsumos[[#This Row],[INV FIS AS]]-Tabla_Buffers_Agroinsumos[[#This Row],[BUFFER AS]],"")</f>
        <v>19</v>
      </c>
      <c r="EA78" s="92">
        <f>IFERROR(Tabla_Buffers_Agroinsumos[[#This Row],[INV FIS AS]]+Tabla_Buffers_Agroinsumos[[#This Row],[TRANSFERENCIAS A AS]]-Tabla_Buffers_Agroinsumos[[#This Row],[BUFFER AS]]-Tabla_Buffers_Agroinsumos[[#This Row],[TRANSFERENCIAS DE AS]],"")</f>
        <v>19</v>
      </c>
      <c r="EB78" s="134"/>
      <c r="EC78" s="134"/>
      <c r="ED78" s="134"/>
      <c r="EE78" s="134"/>
      <c r="EF78" s="134"/>
      <c r="EG78" s="134"/>
      <c r="EH78" s="134"/>
      <c r="EI78" s="134"/>
      <c r="EJ78" s="134"/>
      <c r="EK78" s="134">
        <f t="array" ref="EK78">IFERROR(INDEX(TABLACONSOLIDADA[Buff Act],MATCH("AGROINSUMOSLAFINCA"&amp;Tabla_Buffers_Agroinsumos[[#This Row],[CODIGO ]],TABLACONSOLIDADA[Bodega]&amp;TABLACONSOLIDADA[Codigo],0)),"")</f>
        <v>0</v>
      </c>
      <c r="EL78" s="157">
        <f t="array" ref="EL78">IFERROR(INDEX(TABLACONSOLIDADA[Inv Fís Act],MATCH("AGROINSUMOSLAFINCA"&amp;Tabla_Buffers_Agroinsumos[[#This Row],[CODIGO ]],TABLACONSOLIDADA[Bodega]&amp;TABLACONSOLIDADA[Codigo],0)),"")</f>
        <v>0</v>
      </c>
      <c r="EM78" s="157">
        <f t="array" ref="EM7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7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78" s="134">
        <f>IFERROR(SUM(Tabla_Buffers_Agroinsumos[[#This Row],[LF-MP]:[LF-VL]]),"")</f>
        <v>0</v>
      </c>
      <c r="EP78" s="92">
        <f>IFERROR(Tabla_Buffers_Agroinsumos[[#This Row],[INV FIS LF]]-Tabla_Buffers_Agroinsumos[[#This Row],[BUFFER LF]],"")</f>
        <v>0</v>
      </c>
      <c r="EQ7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78" s="134"/>
      <c r="ES78" s="134"/>
      <c r="ET78" s="134"/>
      <c r="EU78" s="134"/>
      <c r="EV78" s="134"/>
      <c r="EW78" s="134"/>
      <c r="EX78" s="134"/>
      <c r="EY78" s="134"/>
      <c r="EZ78" s="134"/>
      <c r="FA78" s="134">
        <f t="array" ref="FA78">IFERROR(INDEX(TABLACONSOLIDADA[Buff Act],MATCH("AGROINSUMOSVERONICALEDESMA"&amp;Tabla_Buffers_Agroinsumos[[#This Row],[CODIGO ]],TABLACONSOLIDADA[Bodega]&amp;TABLACONSOLIDADA[Codigo],0)),"")</f>
        <v>0</v>
      </c>
      <c r="FB78" s="157">
        <f t="array" ref="FB78">IFERROR(INDEX(TABLACONSOLIDADA[Inv Fís Act],MATCH("AGROINSUMOSVERONICALEDESMA"&amp;Tabla_Buffers_Agroinsumos[[#This Row],[CODIGO ]],TABLACONSOLIDADA[Bodega]&amp;TABLACONSOLIDADA[Codigo],0)),"")</f>
        <v>0</v>
      </c>
      <c r="FC78" s="157">
        <f t="array" ref="FC7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7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78" s="134">
        <f>IFERROR(SUM(Tabla_Buffers_Agroinsumos[[#This Row],[VL-MP]:[VL-LF]]),"")</f>
        <v>0</v>
      </c>
      <c r="FF78" s="92">
        <f>IFERROR(Tabla_Buffers_Agroinsumos[[#This Row],[INV FIS VL]]-Tabla_Buffers_Agroinsumos[[#This Row],[BUFFER VL]],"")</f>
        <v>0</v>
      </c>
      <c r="FG7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78" s="134"/>
      <c r="FI78" s="134"/>
      <c r="FJ78" s="134"/>
      <c r="FK78" s="134"/>
      <c r="FL78" s="134"/>
      <c r="FM78" s="134"/>
      <c r="FN78" s="134"/>
      <c r="FO78" s="134"/>
      <c r="FP78" s="134"/>
    </row>
    <row r="79" spans="1:172">
      <c r="A79" s="7" t="s">
        <v>168</v>
      </c>
      <c r="B79" s="7" t="s">
        <v>169</v>
      </c>
      <c r="C79" s="7" t="s">
        <v>174</v>
      </c>
      <c r="D79" s="7" t="s">
        <v>718</v>
      </c>
      <c r="E79" s="7" t="s">
        <v>863</v>
      </c>
      <c r="F79" s="19" t="s">
        <v>807</v>
      </c>
      <c r="G79" s="19" t="s">
        <v>802</v>
      </c>
      <c r="H79" s="19">
        <f>VLOOKUP(Tabla_Buffers_Agroinsumos[[#This Row],[CODIGO ]],TABLACONSOLIDADA[[Codigo]:[PV]],6,0)</f>
        <v>0</v>
      </c>
      <c r="I79" s="19">
        <f>VLOOKUP(Tabla_Buffers_Agroinsumos[[#This Row],[CODIGO ]],TABLACONSOLIDADA[[Codigo]:[PV]],5,0)</f>
        <v>0.35</v>
      </c>
      <c r="J79" s="19">
        <v>24</v>
      </c>
      <c r="K79" s="19">
        <v>6</v>
      </c>
      <c r="L79" s="19">
        <f>IFERROR(Tabla_Buffers_Agroinsumos[[#This Row],[BUFFER CENTRAL]]/((Tabla_Buffers_Agroinsumos[[#This Row],[TIEMPO REPOSICION ]]/Tabla_Buffers_Agroinsumos[[#This Row],[FRECUENCIA]])+1),0)</f>
        <v>0</v>
      </c>
      <c r="M79" s="19">
        <f t="array" ref="M79">IFERROR(INDEX(TABLACONSOLIDADA[Buff Act],MATCH("AGROINSUMOSMATERIAPRIMA"&amp;Tabla_Buffers_Agroinsumos[[#This Row],[CODIGO ]],TABLACONSOLIDADA[Bodega]&amp;TABLACONSOLIDADA[Codigo],0)),"")</f>
        <v>700</v>
      </c>
      <c r="N79" s="157">
        <f t="array" ref="N79">IFERROR(INDEX(TABLACONSOLIDADA[Inv Fís Act],MATCH("AGROINSUMOSMATERIAPRIMA"&amp;Tabla_Buffers_Agroinsumos[[#This Row],[CODIGO ]],TABLACONSOLIDADA[Bodega]&amp;TABLACONSOLIDADA[Codigo],0)),"")</f>
        <v>1609</v>
      </c>
      <c r="O79" s="157">
        <f t="array" ref="O7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1609</v>
      </c>
      <c r="P7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79" s="19">
        <f>IFERROR(SUM(Tabla_Buffers_Agroinsumos[[#This Row],[MP-C]:[MP-VL]]),"")</f>
        <v>0</v>
      </c>
      <c r="R79" s="92">
        <f>IFERROR(Tabla_Buffers_Agroinsumos[[#This Row],[INV FIS MATERIA PRIMA]]-Tabla_Buffers_Agroinsumos[[#This Row],[BUFFER MATERIA PRIMA]],"")</f>
        <v>909</v>
      </c>
      <c r="S7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909</v>
      </c>
      <c r="T79" s="19"/>
      <c r="U79" s="19"/>
      <c r="V79" s="19"/>
      <c r="W79" s="19"/>
      <c r="X79" s="19"/>
      <c r="Y79" s="19"/>
      <c r="Z79" s="19"/>
      <c r="AA79" s="19"/>
      <c r="AB79" s="19"/>
      <c r="AC79" s="152" t="str">
        <f t="array" ref="AC79">IFERROR(INDEX(TABLACONSOLIDADA[Buff Act],MATCH("AGROINSUMOSCENTRAL"&amp;Tabla_Buffers_Agroinsumos[[#This Row],[CODIGO ]],TABLACONSOLIDADA[Bodega]&amp;TABLACONSOLIDADA[Codigo],0)),"")</f>
        <v/>
      </c>
      <c r="AD79" s="157" t="str">
        <f t="array" ref="AD79">IFERROR(INDEX(TABLACONSOLIDADA[Inv Fís Act],MATCH("AGROINSUMOSCENTRAL"&amp;Tabla_Buffers_Agroinsumos[[#This Row],[CODIGO ]],TABLACONSOLIDADA[Bodega]&amp;TABLACONSOLIDADA[Codigo],0)),"")</f>
        <v/>
      </c>
      <c r="AE79" s="157" t="str">
        <f t="array" ref="AE7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7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79" s="91">
        <f>IFERROR(SUM(Tabla_Buffers_Agroinsumos[[#This Row],[C-MP]:[C-VL]]),"")</f>
        <v>0</v>
      </c>
      <c r="AH79" s="92" t="str">
        <f>IFERROR(Tabla_Buffers_Agroinsumos[[#This Row],[INV FIS CENTRAL]]-Tabla_Buffers_Agroinsumos[[#This Row],[BUFFER CENTRAL]],"")</f>
        <v/>
      </c>
      <c r="AI7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79" s="134"/>
      <c r="AK79" s="134"/>
      <c r="AL79" s="134"/>
      <c r="AM79" s="134"/>
      <c r="AN79" s="134"/>
      <c r="AO79" s="134"/>
      <c r="AP79" s="134"/>
      <c r="AQ79" s="134"/>
      <c r="AR79" s="134"/>
      <c r="AS79" s="134" t="str">
        <f t="array" ref="AS79">IFERROR(INDEX(TABLACONSOLIDADA[Buff Act],MATCH("AGROINSUMOScentralPROPIA"&amp;Tabla_Buffers_Agroinsumos[[#This Row],[CODIGO ]],TABLACONSOLIDADA[Bodega]&amp;TABLACONSOLIDADA[Codigo],0)),"")</f>
        <v/>
      </c>
      <c r="AT79" s="157" t="str">
        <f t="array" ref="AT79">IFERROR(INDEX(TABLACONSOLIDADA[Inv Fís Act],MATCH("AGROINSUMOScentralPROPIA"&amp;Tabla_Buffers_Agroinsumos[[#This Row],[CODIGO ]],TABLACONSOLIDADA[Bodega]&amp;TABLACONSOLIDADA[Codigo],0)),"")</f>
        <v/>
      </c>
      <c r="AU79" s="157" t="str">
        <f t="array" ref="AU7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7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79" s="134">
        <f>IFERROR(SUM(Tabla_Buffers_Agroinsumos[[#This Row],[P-MP]:[P-VL]]),"")</f>
        <v>0</v>
      </c>
      <c r="AX79" s="92" t="str">
        <f>IFERROR(Tabla_Buffers_Agroinsumos[[#This Row],[INV FIS PROPIA]]-Tabla_Buffers_Agroinsumos[[#This Row],[BUFFER PROPIA]],"")</f>
        <v/>
      </c>
      <c r="AY7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79" s="134"/>
      <c r="BA79" s="134"/>
      <c r="BB79" s="134"/>
      <c r="BC79" s="134"/>
      <c r="BD79" s="134"/>
      <c r="BE79" s="134"/>
      <c r="BF79" s="134"/>
      <c r="BG79" s="134"/>
      <c r="BH79" s="134"/>
      <c r="BI79" s="91" t="str">
        <f t="array" ref="BI79">IFERROR(INDEX(TABLACONSOLIDADA[Buff Act],MATCH("AGROINSUMOSSTODOMINGO"&amp;Tabla_Buffers_Agroinsumos[[#This Row],[CODIGO ]],TABLACONSOLIDADA[Bodega]&amp;TABLACONSOLIDADA[Codigo],0)),"")</f>
        <v/>
      </c>
      <c r="BJ79" s="157" t="str">
        <f t="array" ref="BJ79">IFERROR(INDEX(TABLACONSOLIDADA[Inv Fís Act],MATCH("AGROINSUMOSSTODOMINGO"&amp;Tabla_Buffers_Agroinsumos[[#This Row],[CODIGO ]],TABLACONSOLIDADA[Bodega]&amp;TABLACONSOLIDADA[Codigo],0)),"")</f>
        <v/>
      </c>
      <c r="BK79" s="157" t="str">
        <f t="array" ref="BK7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7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79" s="91">
        <f>IFERROR(SUM(Tabla_Buffers_Agroinsumos[[#This Row],[SD-MP]:[SD-VL]]),"")</f>
        <v>0</v>
      </c>
      <c r="BN79" s="92"/>
      <c r="BO79" s="92"/>
      <c r="BP79" s="134"/>
      <c r="BQ79" s="134"/>
      <c r="BR79" s="134"/>
      <c r="BS79" s="134"/>
      <c r="BT79" s="134"/>
      <c r="BU79" s="134"/>
      <c r="BV79" s="134"/>
      <c r="BW79" s="134"/>
      <c r="BX79" s="134"/>
      <c r="BY79" s="134" t="str">
        <f t="array" ref="BY79">IFERROR(INDEX(TABLACONSOLIDADA[Buff Act],MATCH("AGROINSUMOSMONCAYOLOPEZ"&amp;Tabla_Buffers_Agroinsumos[[#This Row],[CODIGO ]],TABLACONSOLIDADA[Bodega]&amp;TABLACONSOLIDADA[Codigo],0)),"")</f>
        <v/>
      </c>
      <c r="BZ79" s="157" t="str">
        <f t="array" ref="BZ79">IFERROR(INDEX(TABLACONSOLIDADA[Inv Fís Act],MATCH("AGROINSUMOSMONCAYOLOPEZ"&amp;Tabla_Buffers_Agroinsumos[[#This Row],[CODIGO ]],TABLACONSOLIDADA[Bodega]&amp;TABLACONSOLIDADA[Codigo],0)),"")</f>
        <v/>
      </c>
      <c r="CA79" s="157" t="str">
        <f t="array" ref="CA7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7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79" s="134">
        <f>IFERROR(SUM(Tabla_Buffers_Agroinsumos[[#This Row],[ML-MP]:[ML-VL]]),"")</f>
        <v>0</v>
      </c>
      <c r="CD79" s="92" t="str">
        <f>IFERROR(Tabla_Buffers_Agroinsumos[[#This Row],[INV FIS ML]]-Tabla_Buffers_Agroinsumos[[#This Row],[BUFFER ML]],"")</f>
        <v/>
      </c>
      <c r="CE7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79" s="134"/>
      <c r="CG79" s="134"/>
      <c r="CH79" s="134"/>
      <c r="CI79" s="134"/>
      <c r="CJ79" s="134"/>
      <c r="CK79" s="134"/>
      <c r="CL79" s="134"/>
      <c r="CM79" s="134"/>
      <c r="CN79" s="134"/>
      <c r="CO79" s="134" t="str">
        <f t="array" ref="CO79">IFERROR(INDEX(TABLACONSOLIDADA[Buff Act],MATCH("AGROINSUMOSAGROHERMANOSLEON"&amp;Tabla_Buffers_Agroinsumos[[#This Row],[CODIGO ]],TABLACONSOLIDADA[Bodega]&amp;TABLACONSOLIDADA[Codigo],0)),"")</f>
        <v/>
      </c>
      <c r="CP79" s="157" t="str">
        <f t="array" ref="CP79">IFERROR(INDEX(TABLACONSOLIDADA[Inv Fís Act],MATCH("AGROINSUMOSAGROHERMANOSLEON"&amp;Tabla_Buffers_Agroinsumos[[#This Row],[CODIGO ]],TABLACONSOLIDADA[Bodega]&amp;TABLACONSOLIDADA[Codigo],0)),"")</f>
        <v/>
      </c>
      <c r="CQ79" s="157" t="str">
        <f t="array" ref="CQ7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7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79" s="134">
        <f>IFERROR(SUM(Tabla_Buffers_Agroinsumos[[#This Row],[AL-MP]:[AL-VL]]),"")</f>
        <v>0</v>
      </c>
      <c r="CT79" s="92" t="str">
        <f>IFERROR(Tabla_Buffers_Agroinsumos[[#This Row],[INV FIS AL]]-Tabla_Buffers_Agroinsumos[[#This Row],[BUFFER AL]],"")</f>
        <v/>
      </c>
      <c r="CU7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79" s="134"/>
      <c r="CW79" s="134"/>
      <c r="CX79" s="134"/>
      <c r="CY79" s="134"/>
      <c r="CZ79" s="134"/>
      <c r="DA79" s="134"/>
      <c r="DB79" s="134"/>
      <c r="DC79" s="134"/>
      <c r="DD79" s="134"/>
      <c r="DE79" s="134" t="str">
        <f t="array" ref="DE79">IFERROR(INDEX(TABLACONSOLIDADA[Buff Act],MATCH("AGROINSUMOSAGRONUEVO"&amp;Tabla_Buffers_Agroinsumos[[#This Row],[CODIGO ]],TABLACONSOLIDADA[Bodega]&amp;TABLACONSOLIDADA[Codigo],0)),"")</f>
        <v/>
      </c>
      <c r="DF79" s="157" t="str">
        <f t="array" ref="DF79">IFERROR(INDEX(TABLACONSOLIDADA[Inv Fís Act],MATCH("AGROINSUMOSAGRONUEVO"&amp;Tabla_Buffers_Agroinsumos[[#This Row],[CODIGO ]],TABLACONSOLIDADA[Bodega]&amp;TABLACONSOLIDADA[Codigo],0)),"")</f>
        <v/>
      </c>
      <c r="DG79" s="157" t="str">
        <f t="array" ref="DG7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7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79" s="134">
        <f>IFERROR(SUM(Tabla_Buffers_Agroinsumos[[#This Row],[AN-MP]:[AN-VL]]),"")</f>
        <v>0</v>
      </c>
      <c r="DJ79" s="92" t="str">
        <f>IFERROR(Tabla_Buffers_Agroinsumos[[#This Row],[INV FIS AN]]-Tabla_Buffers_Agroinsumos[[#This Row],[BUFFER AN]],"")</f>
        <v/>
      </c>
      <c r="DK7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79" s="134"/>
      <c r="DM79" s="134"/>
      <c r="DN79" s="134"/>
      <c r="DO79" s="134"/>
      <c r="DP79" s="134"/>
      <c r="DQ79" s="134"/>
      <c r="DR79" s="134"/>
      <c r="DS79" s="134"/>
      <c r="DT79" s="134"/>
      <c r="DU79" s="134" t="str">
        <f t="array" ref="DU79">IFERROR(INDEX(TABLACONSOLIDADA[Buff Act],MATCH("AGROINSUMOSAGROQUIMICOSSUR"&amp;Tabla_Buffers_Agroinsumos[[#This Row],[CODIGO ]],TABLACONSOLIDADA[Bodega]&amp;TABLACONSOLIDADA[Codigo],0)),"")</f>
        <v/>
      </c>
      <c r="DV79" s="157" t="str">
        <f t="array" ref="DV79">IFERROR(INDEX(TABLACONSOLIDADA[Inv Fís Act],MATCH("AGROINSUMOSAGROQUIMICOSSUR"&amp;Tabla_Buffers_Agroinsumos[[#This Row],[CODIGO ]],TABLACONSOLIDADA[Bodega]&amp;TABLACONSOLIDADA[Codigo],0)),"")</f>
        <v/>
      </c>
      <c r="DW79" s="157" t="str">
        <f t="array" ref="DW7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7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79" s="134">
        <f>IFERROR(SUM(Tabla_Buffers_Agroinsumos[[#This Row],[AS-MP]:[AS-VL]]),"")</f>
        <v>0</v>
      </c>
      <c r="DZ79" s="92" t="str">
        <f>IFERROR(Tabla_Buffers_Agroinsumos[[#This Row],[INV FIS AS]]-Tabla_Buffers_Agroinsumos[[#This Row],[BUFFER AS]],"")</f>
        <v/>
      </c>
      <c r="EA7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79" s="134"/>
      <c r="EC79" s="134"/>
      <c r="ED79" s="134"/>
      <c r="EE79" s="134"/>
      <c r="EF79" s="134"/>
      <c r="EG79" s="134"/>
      <c r="EH79" s="134"/>
      <c r="EI79" s="134"/>
      <c r="EJ79" s="134"/>
      <c r="EK79" s="134" t="str">
        <f t="array" ref="EK79">IFERROR(INDEX(TABLACONSOLIDADA[Buff Act],MATCH("AGROINSUMOSLAFINCA"&amp;Tabla_Buffers_Agroinsumos[[#This Row],[CODIGO ]],TABLACONSOLIDADA[Bodega]&amp;TABLACONSOLIDADA[Codigo],0)),"")</f>
        <v/>
      </c>
      <c r="EL79" s="157" t="str">
        <f t="array" ref="EL79">IFERROR(INDEX(TABLACONSOLIDADA[Inv Fís Act],MATCH("AGROINSUMOSLAFINCA"&amp;Tabla_Buffers_Agroinsumos[[#This Row],[CODIGO ]],TABLACONSOLIDADA[Bodega]&amp;TABLACONSOLIDADA[Codigo],0)),"")</f>
        <v/>
      </c>
      <c r="EM79" s="157" t="str">
        <f t="array" ref="EM7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7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79" s="134">
        <f>IFERROR(SUM(Tabla_Buffers_Agroinsumos[[#This Row],[LF-MP]:[LF-VL]]),"")</f>
        <v>0</v>
      </c>
      <c r="EP79" s="92" t="str">
        <f>IFERROR(Tabla_Buffers_Agroinsumos[[#This Row],[INV FIS LF]]-Tabla_Buffers_Agroinsumos[[#This Row],[BUFFER LF]],"")</f>
        <v/>
      </c>
      <c r="EQ7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79" s="134"/>
      <c r="ES79" s="134"/>
      <c r="ET79" s="134"/>
      <c r="EU79" s="134"/>
      <c r="EV79" s="134"/>
      <c r="EW79" s="134"/>
      <c r="EX79" s="134"/>
      <c r="EY79" s="134"/>
      <c r="EZ79" s="134"/>
      <c r="FA79" s="134" t="str">
        <f t="array" ref="FA79">IFERROR(INDEX(TABLACONSOLIDADA[Buff Act],MATCH("AGROINSUMOSVERONICALEDESMA"&amp;Tabla_Buffers_Agroinsumos[[#This Row],[CODIGO ]],TABLACONSOLIDADA[Bodega]&amp;TABLACONSOLIDADA[Codigo],0)),"")</f>
        <v/>
      </c>
      <c r="FB79" s="157" t="str">
        <f t="array" ref="FB79">IFERROR(INDEX(TABLACONSOLIDADA[Inv Fís Act],MATCH("AGROINSUMOSVERONICALEDESMA"&amp;Tabla_Buffers_Agroinsumos[[#This Row],[CODIGO ]],TABLACONSOLIDADA[Bodega]&amp;TABLACONSOLIDADA[Codigo],0)),"")</f>
        <v/>
      </c>
      <c r="FC79" s="157" t="str">
        <f t="array" ref="FC7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7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79" s="134">
        <f>IFERROR(SUM(Tabla_Buffers_Agroinsumos[[#This Row],[VL-MP]:[VL-LF]]),"")</f>
        <v>0</v>
      </c>
      <c r="FF79" s="92" t="str">
        <f>IFERROR(Tabla_Buffers_Agroinsumos[[#This Row],[INV FIS VL]]-Tabla_Buffers_Agroinsumos[[#This Row],[BUFFER VL]],"")</f>
        <v/>
      </c>
      <c r="FG7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79" s="134"/>
      <c r="FI79" s="134"/>
      <c r="FJ79" s="134"/>
      <c r="FK79" s="134"/>
      <c r="FL79" s="134"/>
      <c r="FM79" s="134"/>
      <c r="FN79" s="134"/>
      <c r="FO79" s="134"/>
      <c r="FP79" s="134"/>
    </row>
    <row r="80" spans="1:172">
      <c r="A80" s="7" t="s">
        <v>170</v>
      </c>
      <c r="B80" s="7" t="s">
        <v>171</v>
      </c>
      <c r="C80" s="7" t="s">
        <v>174</v>
      </c>
      <c r="D80" s="7" t="s">
        <v>718</v>
      </c>
      <c r="E80" s="7" t="s">
        <v>863</v>
      </c>
      <c r="F80" s="19" t="s">
        <v>807</v>
      </c>
      <c r="G80" s="19" t="s">
        <v>802</v>
      </c>
      <c r="H80" s="19">
        <f>VLOOKUP(Tabla_Buffers_Agroinsumos[[#This Row],[CODIGO ]],TABLACONSOLIDADA[[Codigo]:[PV]],6,0)</f>
        <v>0</v>
      </c>
      <c r="I80" s="19">
        <f>VLOOKUP(Tabla_Buffers_Agroinsumos[[#This Row],[CODIGO ]],TABLACONSOLIDADA[[Codigo]:[PV]],5,0)</f>
        <v>0.5</v>
      </c>
      <c r="J80" s="19">
        <v>24</v>
      </c>
      <c r="K80" s="19">
        <v>6</v>
      </c>
      <c r="L80" s="19">
        <f>IFERROR(Tabla_Buffers_Agroinsumos[[#This Row],[BUFFER CENTRAL]]/((Tabla_Buffers_Agroinsumos[[#This Row],[TIEMPO REPOSICION ]]/Tabla_Buffers_Agroinsumos[[#This Row],[FRECUENCIA]])+1),0)</f>
        <v>0</v>
      </c>
      <c r="M80" s="19">
        <f t="array" ref="M80">IFERROR(INDEX(TABLACONSOLIDADA[Buff Act],MATCH("AGROINSUMOSMATERIAPRIMA"&amp;Tabla_Buffers_Agroinsumos[[#This Row],[CODIGO ]],TABLACONSOLIDADA[Bodega]&amp;TABLACONSOLIDADA[Codigo],0)),"")</f>
        <v>800</v>
      </c>
      <c r="N80" s="157">
        <f t="array" ref="N80">IFERROR(INDEX(TABLACONSOLIDADA[Inv Fís Act],MATCH("AGROINSUMOSMATERIAPRIMA"&amp;Tabla_Buffers_Agroinsumos[[#This Row],[CODIGO ]],TABLACONSOLIDADA[Bodega]&amp;TABLACONSOLIDADA[Codigo],0)),"")</f>
        <v>2070</v>
      </c>
      <c r="O80" s="157">
        <f t="array" ref="O8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2070</v>
      </c>
      <c r="P8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80" s="19">
        <f>IFERROR(SUM(Tabla_Buffers_Agroinsumos[[#This Row],[MP-C]:[MP-VL]]),"")</f>
        <v>0</v>
      </c>
      <c r="R80" s="92">
        <f>IFERROR(Tabla_Buffers_Agroinsumos[[#This Row],[INV FIS MATERIA PRIMA]]-Tabla_Buffers_Agroinsumos[[#This Row],[BUFFER MATERIA PRIMA]],"")</f>
        <v>1270</v>
      </c>
      <c r="S8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1270</v>
      </c>
      <c r="T80" s="19"/>
      <c r="U80" s="19"/>
      <c r="V80" s="19"/>
      <c r="W80" s="19"/>
      <c r="X80" s="19"/>
      <c r="Y80" s="19"/>
      <c r="Z80" s="19"/>
      <c r="AA80" s="19"/>
      <c r="AB80" s="19"/>
      <c r="AC80" s="152" t="str">
        <f t="array" ref="AC80">IFERROR(INDEX(TABLACONSOLIDADA[Buff Act],MATCH("AGROINSUMOSCENTRAL"&amp;Tabla_Buffers_Agroinsumos[[#This Row],[CODIGO ]],TABLACONSOLIDADA[Bodega]&amp;TABLACONSOLIDADA[Codigo],0)),"")</f>
        <v/>
      </c>
      <c r="AD80" s="157" t="str">
        <f t="array" ref="AD80">IFERROR(INDEX(TABLACONSOLIDADA[Inv Fís Act],MATCH("AGROINSUMOSCENTRAL"&amp;Tabla_Buffers_Agroinsumos[[#This Row],[CODIGO ]],TABLACONSOLIDADA[Bodega]&amp;TABLACONSOLIDADA[Codigo],0)),"")</f>
        <v/>
      </c>
      <c r="AE80" s="157" t="str">
        <f t="array" ref="AE8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8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80" s="91">
        <f>IFERROR(SUM(Tabla_Buffers_Agroinsumos[[#This Row],[C-MP]:[C-VL]]),"")</f>
        <v>0</v>
      </c>
      <c r="AH80" s="92" t="str">
        <f>IFERROR(Tabla_Buffers_Agroinsumos[[#This Row],[INV FIS CENTRAL]]-Tabla_Buffers_Agroinsumos[[#This Row],[BUFFER CENTRAL]],"")</f>
        <v/>
      </c>
      <c r="AI8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80" s="134"/>
      <c r="AK80" s="134"/>
      <c r="AL80" s="134"/>
      <c r="AM80" s="134"/>
      <c r="AN80" s="134"/>
      <c r="AO80" s="134"/>
      <c r="AP80" s="134"/>
      <c r="AQ80" s="134"/>
      <c r="AR80" s="134"/>
      <c r="AS80" s="134" t="str">
        <f t="array" ref="AS80">IFERROR(INDEX(TABLACONSOLIDADA[Buff Act],MATCH("AGROINSUMOScentralPROPIA"&amp;Tabla_Buffers_Agroinsumos[[#This Row],[CODIGO ]],TABLACONSOLIDADA[Bodega]&amp;TABLACONSOLIDADA[Codigo],0)),"")</f>
        <v/>
      </c>
      <c r="AT80" s="157" t="str">
        <f t="array" ref="AT80">IFERROR(INDEX(TABLACONSOLIDADA[Inv Fís Act],MATCH("AGROINSUMOScentralPROPIA"&amp;Tabla_Buffers_Agroinsumos[[#This Row],[CODIGO ]],TABLACONSOLIDADA[Bodega]&amp;TABLACONSOLIDADA[Codigo],0)),"")</f>
        <v/>
      </c>
      <c r="AU80" s="157" t="str">
        <f t="array" ref="AU8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8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80" s="134">
        <f>IFERROR(SUM(Tabla_Buffers_Agroinsumos[[#This Row],[P-MP]:[P-VL]]),"")</f>
        <v>0</v>
      </c>
      <c r="AX80" s="92" t="str">
        <f>IFERROR(Tabla_Buffers_Agroinsumos[[#This Row],[INV FIS PROPIA]]-Tabla_Buffers_Agroinsumos[[#This Row],[BUFFER PROPIA]],"")</f>
        <v/>
      </c>
      <c r="AY8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80" s="134"/>
      <c r="BA80" s="134"/>
      <c r="BB80" s="134"/>
      <c r="BC80" s="134"/>
      <c r="BD80" s="134"/>
      <c r="BE80" s="134"/>
      <c r="BF80" s="134"/>
      <c r="BG80" s="134"/>
      <c r="BH80" s="134"/>
      <c r="BI80" s="91" t="str">
        <f t="array" ref="BI80">IFERROR(INDEX(TABLACONSOLIDADA[Buff Act],MATCH("AGROINSUMOSSTODOMINGO"&amp;Tabla_Buffers_Agroinsumos[[#This Row],[CODIGO ]],TABLACONSOLIDADA[Bodega]&amp;TABLACONSOLIDADA[Codigo],0)),"")</f>
        <v/>
      </c>
      <c r="BJ80" s="157" t="str">
        <f t="array" ref="BJ80">IFERROR(INDEX(TABLACONSOLIDADA[Inv Fís Act],MATCH("AGROINSUMOSSTODOMINGO"&amp;Tabla_Buffers_Agroinsumos[[#This Row],[CODIGO ]],TABLACONSOLIDADA[Bodega]&amp;TABLACONSOLIDADA[Codigo],0)),"")</f>
        <v/>
      </c>
      <c r="BK80" s="157" t="str">
        <f t="array" ref="BK8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8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80" s="91">
        <f>IFERROR(SUM(Tabla_Buffers_Agroinsumos[[#This Row],[SD-MP]:[SD-VL]]),"")</f>
        <v>0</v>
      </c>
      <c r="BN80" s="92"/>
      <c r="BO80" s="92"/>
      <c r="BP80" s="134"/>
      <c r="BQ80" s="134"/>
      <c r="BR80" s="134"/>
      <c r="BS80" s="134"/>
      <c r="BT80" s="134"/>
      <c r="BU80" s="134"/>
      <c r="BV80" s="134"/>
      <c r="BW80" s="134"/>
      <c r="BX80" s="134"/>
      <c r="BY80" s="134" t="str">
        <f t="array" ref="BY80">IFERROR(INDEX(TABLACONSOLIDADA[Buff Act],MATCH("AGROINSUMOSMONCAYOLOPEZ"&amp;Tabla_Buffers_Agroinsumos[[#This Row],[CODIGO ]],TABLACONSOLIDADA[Bodega]&amp;TABLACONSOLIDADA[Codigo],0)),"")</f>
        <v/>
      </c>
      <c r="BZ80" s="157" t="str">
        <f t="array" ref="BZ80">IFERROR(INDEX(TABLACONSOLIDADA[Inv Fís Act],MATCH("AGROINSUMOSMONCAYOLOPEZ"&amp;Tabla_Buffers_Agroinsumos[[#This Row],[CODIGO ]],TABLACONSOLIDADA[Bodega]&amp;TABLACONSOLIDADA[Codigo],0)),"")</f>
        <v/>
      </c>
      <c r="CA80" s="157" t="str">
        <f t="array" ref="CA8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8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80" s="134">
        <f>IFERROR(SUM(Tabla_Buffers_Agroinsumos[[#This Row],[ML-MP]:[ML-VL]]),"")</f>
        <v>0</v>
      </c>
      <c r="CD80" s="92" t="str">
        <f>IFERROR(Tabla_Buffers_Agroinsumos[[#This Row],[INV FIS ML]]-Tabla_Buffers_Agroinsumos[[#This Row],[BUFFER ML]],"")</f>
        <v/>
      </c>
      <c r="CE8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80" s="134"/>
      <c r="CG80" s="134"/>
      <c r="CH80" s="134"/>
      <c r="CI80" s="134"/>
      <c r="CJ80" s="134"/>
      <c r="CK80" s="134"/>
      <c r="CL80" s="134"/>
      <c r="CM80" s="134"/>
      <c r="CN80" s="134"/>
      <c r="CO80" s="134" t="str">
        <f t="array" ref="CO80">IFERROR(INDEX(TABLACONSOLIDADA[Buff Act],MATCH("AGROINSUMOSAGROHERMANOSLEON"&amp;Tabla_Buffers_Agroinsumos[[#This Row],[CODIGO ]],TABLACONSOLIDADA[Bodega]&amp;TABLACONSOLIDADA[Codigo],0)),"")</f>
        <v/>
      </c>
      <c r="CP80" s="157" t="str">
        <f t="array" ref="CP80">IFERROR(INDEX(TABLACONSOLIDADA[Inv Fís Act],MATCH("AGROINSUMOSAGROHERMANOSLEON"&amp;Tabla_Buffers_Agroinsumos[[#This Row],[CODIGO ]],TABLACONSOLIDADA[Bodega]&amp;TABLACONSOLIDADA[Codigo],0)),"")</f>
        <v/>
      </c>
      <c r="CQ80" s="157" t="str">
        <f t="array" ref="CQ8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8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80" s="134">
        <f>IFERROR(SUM(Tabla_Buffers_Agroinsumos[[#This Row],[AL-MP]:[AL-VL]]),"")</f>
        <v>0</v>
      </c>
      <c r="CT80" s="92" t="str">
        <f>IFERROR(Tabla_Buffers_Agroinsumos[[#This Row],[INV FIS AL]]-Tabla_Buffers_Agroinsumos[[#This Row],[BUFFER AL]],"")</f>
        <v/>
      </c>
      <c r="CU8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80" s="134"/>
      <c r="CW80" s="134"/>
      <c r="CX80" s="134"/>
      <c r="CY80" s="134"/>
      <c r="CZ80" s="134"/>
      <c r="DA80" s="134"/>
      <c r="DB80" s="134"/>
      <c r="DC80" s="134"/>
      <c r="DD80" s="134"/>
      <c r="DE80" s="134" t="str">
        <f t="array" ref="DE80">IFERROR(INDEX(TABLACONSOLIDADA[Buff Act],MATCH("AGROINSUMOSAGRONUEVO"&amp;Tabla_Buffers_Agroinsumos[[#This Row],[CODIGO ]],TABLACONSOLIDADA[Bodega]&amp;TABLACONSOLIDADA[Codigo],0)),"")</f>
        <v/>
      </c>
      <c r="DF80" s="157" t="str">
        <f t="array" ref="DF80">IFERROR(INDEX(TABLACONSOLIDADA[Inv Fís Act],MATCH("AGROINSUMOSAGRONUEVO"&amp;Tabla_Buffers_Agroinsumos[[#This Row],[CODIGO ]],TABLACONSOLIDADA[Bodega]&amp;TABLACONSOLIDADA[Codigo],0)),"")</f>
        <v/>
      </c>
      <c r="DG80" s="157" t="str">
        <f t="array" ref="DG8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8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80" s="134">
        <f>IFERROR(SUM(Tabla_Buffers_Agroinsumos[[#This Row],[AN-MP]:[AN-VL]]),"")</f>
        <v>0</v>
      </c>
      <c r="DJ80" s="92" t="str">
        <f>IFERROR(Tabla_Buffers_Agroinsumos[[#This Row],[INV FIS AN]]-Tabla_Buffers_Agroinsumos[[#This Row],[BUFFER AN]],"")</f>
        <v/>
      </c>
      <c r="DK8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80" s="134"/>
      <c r="DM80" s="134"/>
      <c r="DN80" s="134"/>
      <c r="DO80" s="134"/>
      <c r="DP80" s="134"/>
      <c r="DQ80" s="134"/>
      <c r="DR80" s="134"/>
      <c r="DS80" s="134"/>
      <c r="DT80" s="134"/>
      <c r="DU80" s="134" t="str">
        <f t="array" ref="DU80">IFERROR(INDEX(TABLACONSOLIDADA[Buff Act],MATCH("AGROINSUMOSAGROQUIMICOSSUR"&amp;Tabla_Buffers_Agroinsumos[[#This Row],[CODIGO ]],TABLACONSOLIDADA[Bodega]&amp;TABLACONSOLIDADA[Codigo],0)),"")</f>
        <v/>
      </c>
      <c r="DV80" s="157" t="str">
        <f t="array" ref="DV80">IFERROR(INDEX(TABLACONSOLIDADA[Inv Fís Act],MATCH("AGROINSUMOSAGROQUIMICOSSUR"&amp;Tabla_Buffers_Agroinsumos[[#This Row],[CODIGO ]],TABLACONSOLIDADA[Bodega]&amp;TABLACONSOLIDADA[Codigo],0)),"")</f>
        <v/>
      </c>
      <c r="DW80" s="157" t="str">
        <f t="array" ref="DW8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8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80" s="134">
        <f>IFERROR(SUM(Tabla_Buffers_Agroinsumos[[#This Row],[AS-MP]:[AS-VL]]),"")</f>
        <v>0</v>
      </c>
      <c r="DZ80" s="92" t="str">
        <f>IFERROR(Tabla_Buffers_Agroinsumos[[#This Row],[INV FIS AS]]-Tabla_Buffers_Agroinsumos[[#This Row],[BUFFER AS]],"")</f>
        <v/>
      </c>
      <c r="EA8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80" s="134"/>
      <c r="EC80" s="134"/>
      <c r="ED80" s="134"/>
      <c r="EE80" s="134"/>
      <c r="EF80" s="134"/>
      <c r="EG80" s="134"/>
      <c r="EH80" s="134"/>
      <c r="EI80" s="134"/>
      <c r="EJ80" s="134"/>
      <c r="EK80" s="134" t="str">
        <f t="array" ref="EK80">IFERROR(INDEX(TABLACONSOLIDADA[Buff Act],MATCH("AGROINSUMOSLAFINCA"&amp;Tabla_Buffers_Agroinsumos[[#This Row],[CODIGO ]],TABLACONSOLIDADA[Bodega]&amp;TABLACONSOLIDADA[Codigo],0)),"")</f>
        <v/>
      </c>
      <c r="EL80" s="157" t="str">
        <f t="array" ref="EL80">IFERROR(INDEX(TABLACONSOLIDADA[Inv Fís Act],MATCH("AGROINSUMOSLAFINCA"&amp;Tabla_Buffers_Agroinsumos[[#This Row],[CODIGO ]],TABLACONSOLIDADA[Bodega]&amp;TABLACONSOLIDADA[Codigo],0)),"")</f>
        <v/>
      </c>
      <c r="EM80" s="157" t="str">
        <f t="array" ref="EM8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8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80" s="134">
        <f>IFERROR(SUM(Tabla_Buffers_Agroinsumos[[#This Row],[LF-MP]:[LF-VL]]),"")</f>
        <v>0</v>
      </c>
      <c r="EP80" s="92" t="str">
        <f>IFERROR(Tabla_Buffers_Agroinsumos[[#This Row],[INV FIS LF]]-Tabla_Buffers_Agroinsumos[[#This Row],[BUFFER LF]],"")</f>
        <v/>
      </c>
      <c r="EQ8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80" s="134"/>
      <c r="ES80" s="134"/>
      <c r="ET80" s="134"/>
      <c r="EU80" s="134"/>
      <c r="EV80" s="134"/>
      <c r="EW80" s="134"/>
      <c r="EX80" s="134"/>
      <c r="EY80" s="134"/>
      <c r="EZ80" s="134"/>
      <c r="FA80" s="134" t="str">
        <f t="array" ref="FA80">IFERROR(INDEX(TABLACONSOLIDADA[Buff Act],MATCH("AGROINSUMOSVERONICALEDESMA"&amp;Tabla_Buffers_Agroinsumos[[#This Row],[CODIGO ]],TABLACONSOLIDADA[Bodega]&amp;TABLACONSOLIDADA[Codigo],0)),"")</f>
        <v/>
      </c>
      <c r="FB80" s="157" t="str">
        <f t="array" ref="FB80">IFERROR(INDEX(TABLACONSOLIDADA[Inv Fís Act],MATCH("AGROINSUMOSVERONICALEDESMA"&amp;Tabla_Buffers_Agroinsumos[[#This Row],[CODIGO ]],TABLACONSOLIDADA[Bodega]&amp;TABLACONSOLIDADA[Codigo],0)),"")</f>
        <v/>
      </c>
      <c r="FC80" s="157" t="str">
        <f t="array" ref="FC8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8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80" s="134">
        <f>IFERROR(SUM(Tabla_Buffers_Agroinsumos[[#This Row],[VL-MP]:[VL-LF]]),"")</f>
        <v>0</v>
      </c>
      <c r="FF80" s="92" t="str">
        <f>IFERROR(Tabla_Buffers_Agroinsumos[[#This Row],[INV FIS VL]]-Tabla_Buffers_Agroinsumos[[#This Row],[BUFFER VL]],"")</f>
        <v/>
      </c>
      <c r="FG8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80" s="134"/>
      <c r="FI80" s="134"/>
      <c r="FJ80" s="134"/>
      <c r="FK80" s="134"/>
      <c r="FL80" s="134"/>
      <c r="FM80" s="134"/>
      <c r="FN80" s="134"/>
      <c r="FO80" s="134"/>
      <c r="FP80" s="134"/>
    </row>
    <row r="81" spans="1:172">
      <c r="A81" s="7" t="s">
        <v>172</v>
      </c>
      <c r="B81" s="7" t="s">
        <v>173</v>
      </c>
      <c r="C81" s="7" t="s">
        <v>174</v>
      </c>
      <c r="D81" s="7" t="s">
        <v>718</v>
      </c>
      <c r="E81" s="7" t="s">
        <v>863</v>
      </c>
      <c r="F81" s="19" t="s">
        <v>807</v>
      </c>
      <c r="G81" s="19" t="s">
        <v>802</v>
      </c>
      <c r="H81" s="19">
        <f>VLOOKUP(Tabla_Buffers_Agroinsumos[[#This Row],[CODIGO ]],TABLACONSOLIDADA[[Codigo]:[PV]],6,0)</f>
        <v>0</v>
      </c>
      <c r="I81" s="19">
        <f>VLOOKUP(Tabla_Buffers_Agroinsumos[[#This Row],[CODIGO ]],TABLACONSOLIDADA[[Codigo]:[PV]],5,0)</f>
        <v>0.81</v>
      </c>
      <c r="J81" s="19">
        <v>24</v>
      </c>
      <c r="K81" s="19">
        <v>6</v>
      </c>
      <c r="L81" s="19">
        <f>IFERROR(Tabla_Buffers_Agroinsumos[[#This Row],[BUFFER CENTRAL]]/((Tabla_Buffers_Agroinsumos[[#This Row],[TIEMPO REPOSICION ]]/Tabla_Buffers_Agroinsumos[[#This Row],[FRECUENCIA]])+1),0)</f>
        <v>0</v>
      </c>
      <c r="M81" s="19">
        <f t="array" ref="M81">IFERROR(INDEX(TABLACONSOLIDADA[Buff Act],MATCH("AGROINSUMOSMATERIAPRIMA"&amp;Tabla_Buffers_Agroinsumos[[#This Row],[CODIGO ]],TABLACONSOLIDADA[Bodega]&amp;TABLACONSOLIDADA[Codigo],0)),"")</f>
        <v>600</v>
      </c>
      <c r="N81" s="157">
        <f t="array" ref="N81">IFERROR(INDEX(TABLACONSOLIDADA[Inv Fís Act],MATCH("AGROINSUMOSMATERIAPRIMA"&amp;Tabla_Buffers_Agroinsumos[[#This Row],[CODIGO ]],TABLACONSOLIDADA[Bodega]&amp;TABLACONSOLIDADA[Codigo],0)),"")</f>
        <v>2681</v>
      </c>
      <c r="O81" s="157">
        <f t="array" ref="O8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2681</v>
      </c>
      <c r="P8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81" s="19">
        <f>IFERROR(SUM(Tabla_Buffers_Agroinsumos[[#This Row],[MP-C]:[MP-VL]]),"")</f>
        <v>0</v>
      </c>
      <c r="R81" s="92">
        <f>IFERROR(Tabla_Buffers_Agroinsumos[[#This Row],[INV FIS MATERIA PRIMA]]-Tabla_Buffers_Agroinsumos[[#This Row],[BUFFER MATERIA PRIMA]],"")</f>
        <v>2081</v>
      </c>
      <c r="S8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2081</v>
      </c>
      <c r="T81" s="19"/>
      <c r="U81" s="19"/>
      <c r="V81" s="19"/>
      <c r="W81" s="19"/>
      <c r="X81" s="19"/>
      <c r="Y81" s="19"/>
      <c r="Z81" s="19"/>
      <c r="AA81" s="19"/>
      <c r="AB81" s="19"/>
      <c r="AC81" s="152" t="str">
        <f t="array" ref="AC81">IFERROR(INDEX(TABLACONSOLIDADA[Buff Act],MATCH("AGROINSUMOSCENTRAL"&amp;Tabla_Buffers_Agroinsumos[[#This Row],[CODIGO ]],TABLACONSOLIDADA[Bodega]&amp;TABLACONSOLIDADA[Codigo],0)),"")</f>
        <v/>
      </c>
      <c r="AD81" s="157" t="str">
        <f t="array" ref="AD81">IFERROR(INDEX(TABLACONSOLIDADA[Inv Fís Act],MATCH("AGROINSUMOSCENTRAL"&amp;Tabla_Buffers_Agroinsumos[[#This Row],[CODIGO ]],TABLACONSOLIDADA[Bodega]&amp;TABLACONSOLIDADA[Codigo],0)),"")</f>
        <v/>
      </c>
      <c r="AE81" s="157" t="str">
        <f t="array" ref="AE8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8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81" s="91">
        <f>IFERROR(SUM(Tabla_Buffers_Agroinsumos[[#This Row],[C-MP]:[C-VL]]),"")</f>
        <v>0</v>
      </c>
      <c r="AH81" s="92" t="str">
        <f>IFERROR(Tabla_Buffers_Agroinsumos[[#This Row],[INV FIS CENTRAL]]-Tabla_Buffers_Agroinsumos[[#This Row],[BUFFER CENTRAL]],"")</f>
        <v/>
      </c>
      <c r="AI8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81" s="134"/>
      <c r="AK81" s="134"/>
      <c r="AL81" s="134"/>
      <c r="AM81" s="134"/>
      <c r="AN81" s="134"/>
      <c r="AO81" s="134"/>
      <c r="AP81" s="134"/>
      <c r="AQ81" s="134"/>
      <c r="AR81" s="134"/>
      <c r="AS81" s="134" t="str">
        <f t="array" ref="AS81">IFERROR(INDEX(TABLACONSOLIDADA[Buff Act],MATCH("AGROINSUMOScentralPROPIA"&amp;Tabla_Buffers_Agroinsumos[[#This Row],[CODIGO ]],TABLACONSOLIDADA[Bodega]&amp;TABLACONSOLIDADA[Codigo],0)),"")</f>
        <v/>
      </c>
      <c r="AT81" s="157" t="str">
        <f t="array" ref="AT81">IFERROR(INDEX(TABLACONSOLIDADA[Inv Fís Act],MATCH("AGROINSUMOScentralPROPIA"&amp;Tabla_Buffers_Agroinsumos[[#This Row],[CODIGO ]],TABLACONSOLIDADA[Bodega]&amp;TABLACONSOLIDADA[Codigo],0)),"")</f>
        <v/>
      </c>
      <c r="AU81" s="157" t="str">
        <f t="array" ref="AU8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8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81" s="134">
        <f>IFERROR(SUM(Tabla_Buffers_Agroinsumos[[#This Row],[P-MP]:[P-VL]]),"")</f>
        <v>0</v>
      </c>
      <c r="AX81" s="92" t="str">
        <f>IFERROR(Tabla_Buffers_Agroinsumos[[#This Row],[INV FIS PROPIA]]-Tabla_Buffers_Agroinsumos[[#This Row],[BUFFER PROPIA]],"")</f>
        <v/>
      </c>
      <c r="AY8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81" s="134"/>
      <c r="BA81" s="134"/>
      <c r="BB81" s="134"/>
      <c r="BC81" s="134"/>
      <c r="BD81" s="134"/>
      <c r="BE81" s="134"/>
      <c r="BF81" s="134"/>
      <c r="BG81" s="134"/>
      <c r="BH81" s="134"/>
      <c r="BI81" s="91" t="str">
        <f t="array" ref="BI81">IFERROR(INDEX(TABLACONSOLIDADA[Buff Act],MATCH("AGROINSUMOSSTODOMINGO"&amp;Tabla_Buffers_Agroinsumos[[#This Row],[CODIGO ]],TABLACONSOLIDADA[Bodega]&amp;TABLACONSOLIDADA[Codigo],0)),"")</f>
        <v/>
      </c>
      <c r="BJ81" s="157" t="str">
        <f t="array" ref="BJ81">IFERROR(INDEX(TABLACONSOLIDADA[Inv Fís Act],MATCH("AGROINSUMOSSTODOMINGO"&amp;Tabla_Buffers_Agroinsumos[[#This Row],[CODIGO ]],TABLACONSOLIDADA[Bodega]&amp;TABLACONSOLIDADA[Codigo],0)),"")</f>
        <v/>
      </c>
      <c r="BK81" s="157" t="str">
        <f t="array" ref="BK8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8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81" s="91">
        <f>IFERROR(SUM(Tabla_Buffers_Agroinsumos[[#This Row],[SD-MP]:[SD-VL]]),"")</f>
        <v>0</v>
      </c>
      <c r="BN81" s="92"/>
      <c r="BO81" s="92"/>
      <c r="BP81" s="134"/>
      <c r="BQ81" s="134"/>
      <c r="BR81" s="134"/>
      <c r="BS81" s="134"/>
      <c r="BT81" s="134"/>
      <c r="BU81" s="134"/>
      <c r="BV81" s="134"/>
      <c r="BW81" s="134"/>
      <c r="BX81" s="134"/>
      <c r="BY81" s="134" t="str">
        <f t="array" ref="BY81">IFERROR(INDEX(TABLACONSOLIDADA[Buff Act],MATCH("AGROINSUMOSMONCAYOLOPEZ"&amp;Tabla_Buffers_Agroinsumos[[#This Row],[CODIGO ]],TABLACONSOLIDADA[Bodega]&amp;TABLACONSOLIDADA[Codigo],0)),"")</f>
        <v/>
      </c>
      <c r="BZ81" s="157" t="str">
        <f t="array" ref="BZ81">IFERROR(INDEX(TABLACONSOLIDADA[Inv Fís Act],MATCH("AGROINSUMOSMONCAYOLOPEZ"&amp;Tabla_Buffers_Agroinsumos[[#This Row],[CODIGO ]],TABLACONSOLIDADA[Bodega]&amp;TABLACONSOLIDADA[Codigo],0)),"")</f>
        <v/>
      </c>
      <c r="CA81" s="157" t="str">
        <f t="array" ref="CA8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8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81" s="134">
        <f>IFERROR(SUM(Tabla_Buffers_Agroinsumos[[#This Row],[ML-MP]:[ML-VL]]),"")</f>
        <v>0</v>
      </c>
      <c r="CD81" s="92" t="str">
        <f>IFERROR(Tabla_Buffers_Agroinsumos[[#This Row],[INV FIS ML]]-Tabla_Buffers_Agroinsumos[[#This Row],[BUFFER ML]],"")</f>
        <v/>
      </c>
      <c r="CE8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81" s="134"/>
      <c r="CG81" s="134"/>
      <c r="CH81" s="134"/>
      <c r="CI81" s="134"/>
      <c r="CJ81" s="134"/>
      <c r="CK81" s="134"/>
      <c r="CL81" s="134"/>
      <c r="CM81" s="134"/>
      <c r="CN81" s="134"/>
      <c r="CO81" s="134" t="str">
        <f t="array" ref="CO81">IFERROR(INDEX(TABLACONSOLIDADA[Buff Act],MATCH("AGROINSUMOSAGROHERMANOSLEON"&amp;Tabla_Buffers_Agroinsumos[[#This Row],[CODIGO ]],TABLACONSOLIDADA[Bodega]&amp;TABLACONSOLIDADA[Codigo],0)),"")</f>
        <v/>
      </c>
      <c r="CP81" s="157" t="str">
        <f t="array" ref="CP81">IFERROR(INDEX(TABLACONSOLIDADA[Inv Fís Act],MATCH("AGROINSUMOSAGROHERMANOSLEON"&amp;Tabla_Buffers_Agroinsumos[[#This Row],[CODIGO ]],TABLACONSOLIDADA[Bodega]&amp;TABLACONSOLIDADA[Codigo],0)),"")</f>
        <v/>
      </c>
      <c r="CQ81" s="157" t="str">
        <f t="array" ref="CQ8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8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81" s="134">
        <f>IFERROR(SUM(Tabla_Buffers_Agroinsumos[[#This Row],[AL-MP]:[AL-VL]]),"")</f>
        <v>0</v>
      </c>
      <c r="CT81" s="92" t="str">
        <f>IFERROR(Tabla_Buffers_Agroinsumos[[#This Row],[INV FIS AL]]-Tabla_Buffers_Agroinsumos[[#This Row],[BUFFER AL]],"")</f>
        <v/>
      </c>
      <c r="CU8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81" s="134"/>
      <c r="CW81" s="134"/>
      <c r="CX81" s="134"/>
      <c r="CY81" s="134"/>
      <c r="CZ81" s="134"/>
      <c r="DA81" s="134"/>
      <c r="DB81" s="134"/>
      <c r="DC81" s="134"/>
      <c r="DD81" s="134"/>
      <c r="DE81" s="134" t="str">
        <f t="array" ref="DE81">IFERROR(INDEX(TABLACONSOLIDADA[Buff Act],MATCH("AGROINSUMOSAGRONUEVO"&amp;Tabla_Buffers_Agroinsumos[[#This Row],[CODIGO ]],TABLACONSOLIDADA[Bodega]&amp;TABLACONSOLIDADA[Codigo],0)),"")</f>
        <v/>
      </c>
      <c r="DF81" s="157" t="str">
        <f t="array" ref="DF81">IFERROR(INDEX(TABLACONSOLIDADA[Inv Fís Act],MATCH("AGROINSUMOSAGRONUEVO"&amp;Tabla_Buffers_Agroinsumos[[#This Row],[CODIGO ]],TABLACONSOLIDADA[Bodega]&amp;TABLACONSOLIDADA[Codigo],0)),"")</f>
        <v/>
      </c>
      <c r="DG81" s="157" t="str">
        <f t="array" ref="DG8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8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81" s="134">
        <f>IFERROR(SUM(Tabla_Buffers_Agroinsumos[[#This Row],[AN-MP]:[AN-VL]]),"")</f>
        <v>0</v>
      </c>
      <c r="DJ81" s="92" t="str">
        <f>IFERROR(Tabla_Buffers_Agroinsumos[[#This Row],[INV FIS AN]]-Tabla_Buffers_Agroinsumos[[#This Row],[BUFFER AN]],"")</f>
        <v/>
      </c>
      <c r="DK8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81" s="134"/>
      <c r="DM81" s="134"/>
      <c r="DN81" s="134"/>
      <c r="DO81" s="134"/>
      <c r="DP81" s="134"/>
      <c r="DQ81" s="134"/>
      <c r="DR81" s="134"/>
      <c r="DS81" s="134"/>
      <c r="DT81" s="134"/>
      <c r="DU81" s="134" t="str">
        <f t="array" ref="DU81">IFERROR(INDEX(TABLACONSOLIDADA[Buff Act],MATCH("AGROINSUMOSAGROQUIMICOSSUR"&amp;Tabla_Buffers_Agroinsumos[[#This Row],[CODIGO ]],TABLACONSOLIDADA[Bodega]&amp;TABLACONSOLIDADA[Codigo],0)),"")</f>
        <v/>
      </c>
      <c r="DV81" s="157" t="str">
        <f t="array" ref="DV81">IFERROR(INDEX(TABLACONSOLIDADA[Inv Fís Act],MATCH("AGROINSUMOSAGROQUIMICOSSUR"&amp;Tabla_Buffers_Agroinsumos[[#This Row],[CODIGO ]],TABLACONSOLIDADA[Bodega]&amp;TABLACONSOLIDADA[Codigo],0)),"")</f>
        <v/>
      </c>
      <c r="DW81" s="157" t="str">
        <f t="array" ref="DW8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8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81" s="134">
        <f>IFERROR(SUM(Tabla_Buffers_Agroinsumos[[#This Row],[AS-MP]:[AS-VL]]),"")</f>
        <v>0</v>
      </c>
      <c r="DZ81" s="92" t="str">
        <f>IFERROR(Tabla_Buffers_Agroinsumos[[#This Row],[INV FIS AS]]-Tabla_Buffers_Agroinsumos[[#This Row],[BUFFER AS]],"")</f>
        <v/>
      </c>
      <c r="EA8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81" s="134"/>
      <c r="EC81" s="134"/>
      <c r="ED81" s="134"/>
      <c r="EE81" s="134"/>
      <c r="EF81" s="134"/>
      <c r="EG81" s="134"/>
      <c r="EH81" s="134"/>
      <c r="EI81" s="134"/>
      <c r="EJ81" s="134"/>
      <c r="EK81" s="134" t="str">
        <f t="array" ref="EK81">IFERROR(INDEX(TABLACONSOLIDADA[Buff Act],MATCH("AGROINSUMOSLAFINCA"&amp;Tabla_Buffers_Agroinsumos[[#This Row],[CODIGO ]],TABLACONSOLIDADA[Bodega]&amp;TABLACONSOLIDADA[Codigo],0)),"")</f>
        <v/>
      </c>
      <c r="EL81" s="157" t="str">
        <f t="array" ref="EL81">IFERROR(INDEX(TABLACONSOLIDADA[Inv Fís Act],MATCH("AGROINSUMOSLAFINCA"&amp;Tabla_Buffers_Agroinsumos[[#This Row],[CODIGO ]],TABLACONSOLIDADA[Bodega]&amp;TABLACONSOLIDADA[Codigo],0)),"")</f>
        <v/>
      </c>
      <c r="EM81" s="157" t="str">
        <f t="array" ref="EM8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8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81" s="134">
        <f>IFERROR(SUM(Tabla_Buffers_Agroinsumos[[#This Row],[LF-MP]:[LF-VL]]),"")</f>
        <v>0</v>
      </c>
      <c r="EP81" s="92" t="str">
        <f>IFERROR(Tabla_Buffers_Agroinsumos[[#This Row],[INV FIS LF]]-Tabla_Buffers_Agroinsumos[[#This Row],[BUFFER LF]],"")</f>
        <v/>
      </c>
      <c r="EQ8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81" s="134"/>
      <c r="ES81" s="134"/>
      <c r="ET81" s="134"/>
      <c r="EU81" s="134"/>
      <c r="EV81" s="134"/>
      <c r="EW81" s="134"/>
      <c r="EX81" s="134"/>
      <c r="EY81" s="134"/>
      <c r="EZ81" s="134"/>
      <c r="FA81" s="134" t="str">
        <f t="array" ref="FA81">IFERROR(INDEX(TABLACONSOLIDADA[Buff Act],MATCH("AGROINSUMOSVERONICALEDESMA"&amp;Tabla_Buffers_Agroinsumos[[#This Row],[CODIGO ]],TABLACONSOLIDADA[Bodega]&amp;TABLACONSOLIDADA[Codigo],0)),"")</f>
        <v/>
      </c>
      <c r="FB81" s="157" t="str">
        <f t="array" ref="FB81">IFERROR(INDEX(TABLACONSOLIDADA[Inv Fís Act],MATCH("AGROINSUMOSVERONICALEDESMA"&amp;Tabla_Buffers_Agroinsumos[[#This Row],[CODIGO ]],TABLACONSOLIDADA[Bodega]&amp;TABLACONSOLIDADA[Codigo],0)),"")</f>
        <v/>
      </c>
      <c r="FC81" s="157" t="str">
        <f t="array" ref="FC8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8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81" s="134">
        <f>IFERROR(SUM(Tabla_Buffers_Agroinsumos[[#This Row],[VL-MP]:[VL-LF]]),"")</f>
        <v>0</v>
      </c>
      <c r="FF81" s="92" t="str">
        <f>IFERROR(Tabla_Buffers_Agroinsumos[[#This Row],[INV FIS VL]]-Tabla_Buffers_Agroinsumos[[#This Row],[BUFFER VL]],"")</f>
        <v/>
      </c>
      <c r="FG8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81" s="134"/>
      <c r="FI81" s="134"/>
      <c r="FJ81" s="134"/>
      <c r="FK81" s="134"/>
      <c r="FL81" s="134"/>
      <c r="FM81" s="134"/>
      <c r="FN81" s="134"/>
      <c r="FO81" s="134"/>
      <c r="FP81" s="134"/>
    </row>
    <row r="82" spans="1:172">
      <c r="A82" s="7" t="s">
        <v>1199</v>
      </c>
      <c r="B82" s="7" t="s">
        <v>1257</v>
      </c>
      <c r="C82" s="7" t="s">
        <v>787</v>
      </c>
      <c r="D82" s="7" t="s">
        <v>718</v>
      </c>
      <c r="E82" s="7" t="s">
        <v>863</v>
      </c>
      <c r="F82" s="19" t="s">
        <v>808</v>
      </c>
      <c r="G82" s="19" t="s">
        <v>802</v>
      </c>
      <c r="H82" s="19" t="e">
        <f>VLOOKUP(Tabla_Buffers_Agroinsumos[[#This Row],[CODIGO ]],TABLACONSOLIDADA[[Codigo]:[PV]],6,0)</f>
        <v>#N/A</v>
      </c>
      <c r="I82" s="19" t="e">
        <f>VLOOKUP(Tabla_Buffers_Agroinsumos[[#This Row],[CODIGO ]],TABLACONSOLIDADA[[Codigo]:[PV]],5,0)</f>
        <v>#N/A</v>
      </c>
      <c r="J82" s="19"/>
      <c r="K82" s="19"/>
      <c r="L82" s="19">
        <f>IFERROR(Tabla_Buffers_Agroinsumos[[#This Row],[BUFFER CENTRAL]]/((Tabla_Buffers_Agroinsumos[[#This Row],[TIEMPO REPOSICION ]]/Tabla_Buffers_Agroinsumos[[#This Row],[FRECUENCIA]])+1),0)</f>
        <v>0</v>
      </c>
      <c r="M82" s="19">
        <v>1000</v>
      </c>
      <c r="N82" s="160" t="str">
        <f t="array" ref="N82">IFERROR(INDEX(TABLACONSOLIDADA[Inv Fís Act],MATCH("AGROINSUMOSMATERIAPRIMA"&amp;Tabla_Buffers_Agroinsumos[[#This Row],[CODIGO ]],TABLACONSOLIDADA[Bodega]&amp;TABLACONSOLIDADA[Codigo],0)),"")</f>
        <v/>
      </c>
      <c r="O82" s="182" t="str">
        <f t="array" ref="O8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8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82" s="19">
        <f>IFERROR(SUM(Tabla_Buffers_Agroinsumos[[#This Row],[MP-C]:[MP-VL]]),"")</f>
        <v>0</v>
      </c>
      <c r="R82" s="92" t="str">
        <f>IFERROR(Tabla_Buffers_Agroinsumos[[#This Row],[INV FIS MATERIA PRIMA]]-Tabla_Buffers_Agroinsumos[[#This Row],[BUFFER MATERIA PRIMA]],"")</f>
        <v/>
      </c>
      <c r="S82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82" s="19"/>
      <c r="U82" s="19"/>
      <c r="V82" s="19"/>
      <c r="W82" s="19"/>
      <c r="X82" s="19"/>
      <c r="Y82" s="19"/>
      <c r="Z82" s="19"/>
      <c r="AA82" s="19"/>
      <c r="AB82" s="19"/>
      <c r="AC82" s="152" t="str">
        <f t="array" ref="AC82">IFERROR(INDEX(TABLACONSOLIDADA[Buff Act],MATCH("AGROINSUMOSCENTRAL"&amp;Tabla_Buffers_Agroinsumos[[#This Row],[CODIGO ]],TABLACONSOLIDADA[Bodega]&amp;TABLACONSOLIDADA[Codigo],0)),"")</f>
        <v/>
      </c>
      <c r="AD82" s="160" t="str">
        <f t="array" ref="AD82">IFERROR(INDEX(TABLACONSOLIDADA[Inv Fís Act],MATCH("AGROINSUMOSCENTRAL"&amp;Tabla_Buffers_Agroinsumos[[#This Row],[CODIGO ]],TABLACONSOLIDADA[Bodega]&amp;TABLACONSOLIDADA[Codigo],0)),"")</f>
        <v/>
      </c>
      <c r="AE82" s="184" t="str">
        <f t="array" ref="AE8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8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82" s="91">
        <f>IFERROR(SUM(Tabla_Buffers_Agroinsumos[[#This Row],[C-MP]:[C-VL]]),"")</f>
        <v>0</v>
      </c>
      <c r="AH82" s="92" t="str">
        <f>IFERROR(Tabla_Buffers_Agroinsumos[[#This Row],[INV FIS CENTRAL]]-Tabla_Buffers_Agroinsumos[[#This Row],[BUFFER CENTRAL]],"")</f>
        <v/>
      </c>
      <c r="AI8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82" s="134"/>
      <c r="AK82" s="134"/>
      <c r="AL82" s="134"/>
      <c r="AM82" s="134"/>
      <c r="AN82" s="134"/>
      <c r="AO82" s="134"/>
      <c r="AP82" s="134"/>
      <c r="AQ82" s="134"/>
      <c r="AR82" s="134"/>
      <c r="AS82" s="134" t="str">
        <f t="array" ref="AS82">IFERROR(INDEX(TABLACONSOLIDADA[Buff Act],MATCH("AGROINSUMOScentralPROPIA"&amp;Tabla_Buffers_Agroinsumos[[#This Row],[CODIGO ]],TABLACONSOLIDADA[Bodega]&amp;TABLACONSOLIDADA[Codigo],0)),"")</f>
        <v/>
      </c>
      <c r="AT82" s="160" t="str">
        <f t="array" ref="AT82">IFERROR(INDEX(TABLACONSOLIDADA[Inv Fís Act],MATCH("AGROINSUMOScentralPROPIA"&amp;Tabla_Buffers_Agroinsumos[[#This Row],[CODIGO ]],TABLACONSOLIDADA[Bodega]&amp;TABLACONSOLIDADA[Codigo],0)),"")</f>
        <v/>
      </c>
      <c r="AU82" s="182" t="str">
        <f t="array" ref="AU8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8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82" s="134">
        <f>IFERROR(SUM(Tabla_Buffers_Agroinsumos[[#This Row],[P-MP]:[P-VL]]),"")</f>
        <v>0</v>
      </c>
      <c r="AX82" s="92" t="str">
        <f>IFERROR(Tabla_Buffers_Agroinsumos[[#This Row],[INV FIS PROPIA]]-Tabla_Buffers_Agroinsumos[[#This Row],[BUFFER PROPIA]],"")</f>
        <v/>
      </c>
      <c r="AY8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82" s="134"/>
      <c r="BA82" s="134"/>
      <c r="BB82" s="134"/>
      <c r="BC82" s="134"/>
      <c r="BD82" s="134"/>
      <c r="BE82" s="134"/>
      <c r="BF82" s="134"/>
      <c r="BG82" s="134"/>
      <c r="BH82" s="134"/>
      <c r="BI82" s="91" t="str">
        <f t="array" ref="BI82">IFERROR(INDEX(TABLACONSOLIDADA[Buff Act],MATCH("AGROINSUMOSSTODOMINGO"&amp;Tabla_Buffers_Agroinsumos[[#This Row],[CODIGO ]],TABLACONSOLIDADA[Bodega]&amp;TABLACONSOLIDADA[Codigo],0)),"")</f>
        <v/>
      </c>
      <c r="BJ82" s="160" t="str">
        <f t="array" ref="BJ82">IFERROR(INDEX(TABLACONSOLIDADA[Inv Fís Act],MATCH("AGROINSUMOSSTODOMINGO"&amp;Tabla_Buffers_Agroinsumos[[#This Row],[CODIGO ]],TABLACONSOLIDADA[Bodega]&amp;TABLACONSOLIDADA[Codigo],0)),"")</f>
        <v/>
      </c>
      <c r="BK82" s="182" t="str">
        <f t="array" ref="BK8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8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82" s="91">
        <f>IFERROR(SUM(Tabla_Buffers_Agroinsumos[[#This Row],[SD-MP]:[SD-VL]]),"")</f>
        <v>0</v>
      </c>
      <c r="BN82" s="92"/>
      <c r="BO82" s="92"/>
      <c r="BP82" s="134"/>
      <c r="BQ82" s="134"/>
      <c r="BR82" s="134"/>
      <c r="BS82" s="134"/>
      <c r="BT82" s="134"/>
      <c r="BU82" s="134"/>
      <c r="BV82" s="134"/>
      <c r="BW82" s="134"/>
      <c r="BX82" s="134"/>
      <c r="BY82" s="134" t="str">
        <f t="array" ref="BY82">IFERROR(INDEX(TABLACONSOLIDADA[Buff Act],MATCH("AGROINSUMOSMONCAYOLOPEZ"&amp;Tabla_Buffers_Agroinsumos[[#This Row],[CODIGO ]],TABLACONSOLIDADA[Bodega]&amp;TABLACONSOLIDADA[Codigo],0)),"")</f>
        <v/>
      </c>
      <c r="BZ82" s="160" t="str">
        <f t="array" ref="BZ82">IFERROR(INDEX(TABLACONSOLIDADA[Inv Fís Act],MATCH("AGROINSUMOSMONCAYOLOPEZ"&amp;Tabla_Buffers_Agroinsumos[[#This Row],[CODIGO ]],TABLACONSOLIDADA[Bodega]&amp;TABLACONSOLIDADA[Codigo],0)),"")</f>
        <v/>
      </c>
      <c r="CA82" s="182" t="str">
        <f t="array" ref="CA8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8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82" s="134">
        <f>IFERROR(SUM(Tabla_Buffers_Agroinsumos[[#This Row],[ML-MP]:[ML-VL]]),"")</f>
        <v>0</v>
      </c>
      <c r="CD82" s="92" t="str">
        <f>IFERROR(Tabla_Buffers_Agroinsumos[[#This Row],[INV FIS ML]]-Tabla_Buffers_Agroinsumos[[#This Row],[BUFFER ML]],"")</f>
        <v/>
      </c>
      <c r="CE8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82" s="134"/>
      <c r="CG82" s="134"/>
      <c r="CH82" s="134"/>
      <c r="CI82" s="134"/>
      <c r="CJ82" s="134"/>
      <c r="CK82" s="134"/>
      <c r="CL82" s="134"/>
      <c r="CM82" s="134"/>
      <c r="CN82" s="134"/>
      <c r="CO82" s="134" t="str">
        <f t="array" ref="CO82">IFERROR(INDEX(TABLACONSOLIDADA[Buff Act],MATCH("AGROINSUMOSAGROHERMANOSLEON"&amp;Tabla_Buffers_Agroinsumos[[#This Row],[CODIGO ]],TABLACONSOLIDADA[Bodega]&amp;TABLACONSOLIDADA[Codigo],0)),"")</f>
        <v/>
      </c>
      <c r="CP82" s="160" t="str">
        <f t="array" ref="CP82">IFERROR(INDEX(TABLACONSOLIDADA[Inv Fís Act],MATCH("AGROINSUMOSAGROHERMANOSLEON"&amp;Tabla_Buffers_Agroinsumos[[#This Row],[CODIGO ]],TABLACONSOLIDADA[Bodega]&amp;TABLACONSOLIDADA[Codigo],0)),"")</f>
        <v/>
      </c>
      <c r="CQ82" s="182" t="str">
        <f t="array" ref="CQ8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8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82" s="134">
        <f>IFERROR(SUM(Tabla_Buffers_Agroinsumos[[#This Row],[AL-MP]:[AL-VL]]),"")</f>
        <v>0</v>
      </c>
      <c r="CT82" s="92" t="str">
        <f>IFERROR(Tabla_Buffers_Agroinsumos[[#This Row],[INV FIS AL]]-Tabla_Buffers_Agroinsumos[[#This Row],[BUFFER AL]],"")</f>
        <v/>
      </c>
      <c r="CU8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82" s="134"/>
      <c r="CW82" s="134"/>
      <c r="CX82" s="134"/>
      <c r="CY82" s="134"/>
      <c r="CZ82" s="134"/>
      <c r="DA82" s="134"/>
      <c r="DB82" s="134"/>
      <c r="DC82" s="134"/>
      <c r="DD82" s="134"/>
      <c r="DE82" s="134" t="str">
        <f t="array" ref="DE82">IFERROR(INDEX(TABLACONSOLIDADA[Buff Act],MATCH("AGROINSUMOSAGRONUEVO"&amp;Tabla_Buffers_Agroinsumos[[#This Row],[CODIGO ]],TABLACONSOLIDADA[Bodega]&amp;TABLACONSOLIDADA[Codigo],0)),"")</f>
        <v/>
      </c>
      <c r="DF82" s="160" t="str">
        <f t="array" ref="DF82">IFERROR(INDEX(TABLACONSOLIDADA[Inv Fís Act],MATCH("AGROINSUMOSAGRONUEVO"&amp;Tabla_Buffers_Agroinsumos[[#This Row],[CODIGO ]],TABLACONSOLIDADA[Bodega]&amp;TABLACONSOLIDADA[Codigo],0)),"")</f>
        <v/>
      </c>
      <c r="DG82" s="182" t="str">
        <f t="array" ref="DG8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8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82" s="134">
        <f>IFERROR(SUM(Tabla_Buffers_Agroinsumos[[#This Row],[AN-MP]:[AN-VL]]),"")</f>
        <v>0</v>
      </c>
      <c r="DJ82" s="92" t="str">
        <f>IFERROR(Tabla_Buffers_Agroinsumos[[#This Row],[INV FIS AN]]-Tabla_Buffers_Agroinsumos[[#This Row],[BUFFER AN]],"")</f>
        <v/>
      </c>
      <c r="DK8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82" s="134"/>
      <c r="DM82" s="134"/>
      <c r="DN82" s="134"/>
      <c r="DO82" s="134"/>
      <c r="DP82" s="134"/>
      <c r="DQ82" s="134"/>
      <c r="DR82" s="134"/>
      <c r="DS82" s="134"/>
      <c r="DT82" s="134"/>
      <c r="DU82" s="134" t="str">
        <f t="array" ref="DU82">IFERROR(INDEX(TABLACONSOLIDADA[Buff Act],MATCH("AGROINSUMOSAGROQUIMICOSSUR"&amp;Tabla_Buffers_Agroinsumos[[#This Row],[CODIGO ]],TABLACONSOLIDADA[Bodega]&amp;TABLACONSOLIDADA[Codigo],0)),"")</f>
        <v/>
      </c>
      <c r="DV82" s="160" t="str">
        <f t="array" ref="DV82">IFERROR(INDEX(TABLACONSOLIDADA[Inv Fís Act],MATCH("AGROINSUMOSAGROQUIMICOSSUR"&amp;Tabla_Buffers_Agroinsumos[[#This Row],[CODIGO ]],TABLACONSOLIDADA[Bodega]&amp;TABLACONSOLIDADA[Codigo],0)),"")</f>
        <v/>
      </c>
      <c r="DW82" s="182" t="str">
        <f t="array" ref="DW8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8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82" s="134">
        <f>IFERROR(SUM(Tabla_Buffers_Agroinsumos[[#This Row],[AS-MP]:[AS-VL]]),"")</f>
        <v>0</v>
      </c>
      <c r="DZ82" s="92" t="str">
        <f>IFERROR(Tabla_Buffers_Agroinsumos[[#This Row],[INV FIS AS]]-Tabla_Buffers_Agroinsumos[[#This Row],[BUFFER AS]],"")</f>
        <v/>
      </c>
      <c r="EA8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82" s="134"/>
      <c r="EC82" s="134"/>
      <c r="ED82" s="134"/>
      <c r="EE82" s="134"/>
      <c r="EF82" s="134"/>
      <c r="EG82" s="134"/>
      <c r="EH82" s="134"/>
      <c r="EI82" s="134"/>
      <c r="EJ82" s="134"/>
      <c r="EK82" s="134" t="str">
        <f t="array" ref="EK82">IFERROR(INDEX(TABLACONSOLIDADA[Buff Act],MATCH("AGROINSUMOSLAFINCA"&amp;Tabla_Buffers_Agroinsumos[[#This Row],[CODIGO ]],TABLACONSOLIDADA[Bodega]&amp;TABLACONSOLIDADA[Codigo],0)),"")</f>
        <v/>
      </c>
      <c r="EL82" s="160" t="str">
        <f t="array" ref="EL82">IFERROR(INDEX(TABLACONSOLIDADA[Inv Fís Act],MATCH("AGROINSUMOSLAFINCA"&amp;Tabla_Buffers_Agroinsumos[[#This Row],[CODIGO ]],TABLACONSOLIDADA[Bodega]&amp;TABLACONSOLIDADA[Codigo],0)),"")</f>
        <v/>
      </c>
      <c r="EM82" s="182" t="str">
        <f t="array" ref="EM8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8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82" s="134">
        <f>IFERROR(SUM(Tabla_Buffers_Agroinsumos[[#This Row],[LF-MP]:[LF-VL]]),"")</f>
        <v>0</v>
      </c>
      <c r="EP82" s="92" t="str">
        <f>IFERROR(Tabla_Buffers_Agroinsumos[[#This Row],[INV FIS LF]]-Tabla_Buffers_Agroinsumos[[#This Row],[BUFFER LF]],"")</f>
        <v/>
      </c>
      <c r="EQ8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82" s="134"/>
      <c r="ES82" s="134"/>
      <c r="ET82" s="134"/>
      <c r="EU82" s="134"/>
      <c r="EV82" s="134"/>
      <c r="EW82" s="134"/>
      <c r="EX82" s="134"/>
      <c r="EY82" s="134"/>
      <c r="EZ82" s="134"/>
      <c r="FA82" s="134" t="str">
        <f t="array" ref="FA82">IFERROR(INDEX(TABLACONSOLIDADA[Buff Act],MATCH("AGROINSUMOSVERONICALEDESMA"&amp;Tabla_Buffers_Agroinsumos[[#This Row],[CODIGO ]],TABLACONSOLIDADA[Bodega]&amp;TABLACONSOLIDADA[Codigo],0)),"")</f>
        <v/>
      </c>
      <c r="FB82" s="160" t="str">
        <f t="array" ref="FB82">IFERROR(INDEX(TABLACONSOLIDADA[Inv Fís Act],MATCH("AGROINSUMOSVERONICALEDESMA"&amp;Tabla_Buffers_Agroinsumos[[#This Row],[CODIGO ]],TABLACONSOLIDADA[Bodega]&amp;TABLACONSOLIDADA[Codigo],0)),"")</f>
        <v/>
      </c>
      <c r="FC82" s="182" t="str">
        <f t="array" ref="FC8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8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82" s="134">
        <f>IFERROR(SUM(Tabla_Buffers_Agroinsumos[[#This Row],[VL-MP]:[VL-LF]]),"")</f>
        <v>0</v>
      </c>
      <c r="FF82" s="92" t="str">
        <f>IFERROR(Tabla_Buffers_Agroinsumos[[#This Row],[INV FIS VL]]-Tabla_Buffers_Agroinsumos[[#This Row],[BUFFER VL]],"")</f>
        <v/>
      </c>
      <c r="FG8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82" s="134"/>
      <c r="FI82" s="134"/>
      <c r="FJ82" s="134"/>
      <c r="FK82" s="134"/>
      <c r="FL82" s="134"/>
      <c r="FM82" s="134"/>
      <c r="FN82" s="134"/>
      <c r="FO82" s="134"/>
      <c r="FP82" s="134"/>
    </row>
    <row r="83" spans="1:172">
      <c r="A83" s="20" t="s">
        <v>1256</v>
      </c>
      <c r="B83" s="20" t="s">
        <v>1200</v>
      </c>
      <c r="C83" s="20" t="s">
        <v>787</v>
      </c>
      <c r="D83" s="20" t="s">
        <v>718</v>
      </c>
      <c r="E83" s="20" t="s">
        <v>863</v>
      </c>
      <c r="F83" s="111" t="s">
        <v>1099</v>
      </c>
      <c r="G83" s="111" t="s">
        <v>802</v>
      </c>
      <c r="H83" s="111" t="e">
        <f>VLOOKUP(Tabla_Buffers_Agroinsumos[[#This Row],[CODIGO ]],TABLACONSOLIDADA[[Codigo]:[PV]],6,0)</f>
        <v>#N/A</v>
      </c>
      <c r="I83" s="111" t="e">
        <f>VLOOKUP(Tabla_Buffers_Agroinsumos[[#This Row],[CODIGO ]],TABLACONSOLIDADA[[Codigo]:[PV]],5,0)</f>
        <v>#N/A</v>
      </c>
      <c r="J83" s="111"/>
      <c r="K83" s="111"/>
      <c r="L83" s="111">
        <f>IFERROR(Tabla_Buffers_Agroinsumos[[#This Row],[BUFFER CENTRAL]]/((Tabla_Buffers_Agroinsumos[[#This Row],[TIEMPO REPOSICION ]]/Tabla_Buffers_Agroinsumos[[#This Row],[FRECUENCIA]])+1),0)</f>
        <v>0</v>
      </c>
      <c r="M83" s="111">
        <v>1500</v>
      </c>
      <c r="N83" s="111" t="str">
        <f t="array" ref="N83">IFERROR(INDEX(TABLACONSOLIDADA[Inv Fís Act],MATCH("AGROINSUMOSMATERIAPRIMA"&amp;Tabla_Buffers_Agroinsumos[[#This Row],[CODIGO ]],TABLACONSOLIDADA[Bodega]&amp;TABLACONSOLIDADA[Codigo],0)),"")</f>
        <v/>
      </c>
      <c r="O83" s="176" t="str">
        <f t="array" ref="O8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83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83" s="111">
        <f>IFERROR(SUM(Tabla_Buffers_Agroinsumos[[#This Row],[MP-C]:[MP-VL]]),"")</f>
        <v>0</v>
      </c>
      <c r="R83" s="154" t="str">
        <f>IFERROR(Tabla_Buffers_Agroinsumos[[#This Row],[INV FIS MATERIA PRIMA]]-Tabla_Buffers_Agroinsumos[[#This Row],[BUFFER MATERIA PRIMA]],"")</f>
        <v/>
      </c>
      <c r="S83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83" s="111"/>
      <c r="U83" s="111"/>
      <c r="V83" s="111"/>
      <c r="W83" s="111"/>
      <c r="X83" s="111"/>
      <c r="Y83" s="111"/>
      <c r="Z83" s="111"/>
      <c r="AA83" s="111"/>
      <c r="AB83" s="111"/>
      <c r="AC83" s="152">
        <v>50</v>
      </c>
      <c r="AD83" s="111" t="str">
        <f t="array" ref="AD83">IFERROR(INDEX(TABLACONSOLIDADA[Inv Fís Act],MATCH("AGROINSUMOSCENTRAL"&amp;Tabla_Buffers_Agroinsumos[[#This Row],[CODIGO ]],TABLACONSOLIDADA[Bodega]&amp;TABLACONSOLIDADA[Codigo],0)),"")</f>
        <v/>
      </c>
      <c r="AE83" s="176" t="str">
        <f t="array" ref="AE8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83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83" s="153">
        <f>IFERROR(SUM(Tabla_Buffers_Agroinsumos[[#This Row],[C-MP]:[C-VL]]),"")</f>
        <v>0</v>
      </c>
      <c r="AH83" s="154" t="str">
        <f>IFERROR(Tabla_Buffers_Agroinsumos[[#This Row],[INV FIS CENTRAL]]-Tabla_Buffers_Agroinsumos[[#This Row],[BUFFER CENTRAL]],"")</f>
        <v/>
      </c>
      <c r="AI83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83" s="135"/>
      <c r="AK83" s="135"/>
      <c r="AL83" s="135"/>
      <c r="AM83" s="135"/>
      <c r="AN83" s="135"/>
      <c r="AO83" s="135"/>
      <c r="AP83" s="135"/>
      <c r="AQ83" s="135"/>
      <c r="AR83" s="135"/>
      <c r="AS83" s="135" t="str">
        <f t="array" ref="AS83">IFERROR(INDEX(TABLACONSOLIDADA[Buff Act],MATCH("AGROINSUMOScentralPROPIA"&amp;Tabla_Buffers_Agroinsumos[[#This Row],[CODIGO ]],TABLACONSOLIDADA[Bodega]&amp;TABLACONSOLIDADA[Codigo],0)),"")</f>
        <v/>
      </c>
      <c r="AT83" s="111" t="str">
        <f t="array" ref="AT83">IFERROR(INDEX(TABLACONSOLIDADA[Inv Fís Act],MATCH("AGROINSUMOScentralPROPIA"&amp;Tabla_Buffers_Agroinsumos[[#This Row],[CODIGO ]],TABLACONSOLIDADA[Bodega]&amp;TABLACONSOLIDADA[Codigo],0)),"")</f>
        <v/>
      </c>
      <c r="AU83" s="176" t="str">
        <f t="array" ref="AU8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83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83" s="135">
        <f>IFERROR(SUM(Tabla_Buffers_Agroinsumos[[#This Row],[P-MP]:[P-VL]]),"")</f>
        <v>0</v>
      </c>
      <c r="AX83" s="154" t="str">
        <f>IFERROR(Tabla_Buffers_Agroinsumos[[#This Row],[INV FIS PROPIA]]-Tabla_Buffers_Agroinsumos[[#This Row],[BUFFER PROPIA]],"")</f>
        <v/>
      </c>
      <c r="AY83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83" s="135"/>
      <c r="BA83" s="135"/>
      <c r="BB83" s="135"/>
      <c r="BC83" s="135"/>
      <c r="BD83" s="135"/>
      <c r="BE83" s="135"/>
      <c r="BF83" s="135"/>
      <c r="BG83" s="135"/>
      <c r="BH83" s="135"/>
      <c r="BI83" s="153" t="str">
        <f t="array" ref="BI83">IFERROR(INDEX(TABLACONSOLIDADA[Buff Act],MATCH("AGROINSUMOSSTODOMINGO"&amp;Tabla_Buffers_Agroinsumos[[#This Row],[CODIGO ]],TABLACONSOLIDADA[Bodega]&amp;TABLACONSOLIDADA[Codigo],0)),"")</f>
        <v/>
      </c>
      <c r="BJ83" s="111" t="str">
        <f t="array" ref="BJ83">IFERROR(INDEX(TABLACONSOLIDADA[Inv Fís Act],MATCH("AGROINSUMOSSTODOMINGO"&amp;Tabla_Buffers_Agroinsumos[[#This Row],[CODIGO ]],TABLACONSOLIDADA[Bodega]&amp;TABLACONSOLIDADA[Codigo],0)),"")</f>
        <v/>
      </c>
      <c r="BK83" s="176" t="str">
        <f t="array" ref="BK8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83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83" s="153">
        <f>IFERROR(SUM(Tabla_Buffers_Agroinsumos[[#This Row],[SD-MP]:[SD-VL]]),"")</f>
        <v>0</v>
      </c>
      <c r="BN83" s="154"/>
      <c r="BO83" s="154"/>
      <c r="BP83" s="135"/>
      <c r="BQ83" s="135"/>
      <c r="BR83" s="135"/>
      <c r="BS83" s="135"/>
      <c r="BT83" s="135"/>
      <c r="BU83" s="135"/>
      <c r="BV83" s="135"/>
      <c r="BW83" s="135"/>
      <c r="BX83" s="135"/>
      <c r="BY83" s="135" t="str">
        <f t="array" ref="BY83">IFERROR(INDEX(TABLACONSOLIDADA[Buff Act],MATCH("AGROINSUMOSMONCAYOLOPEZ"&amp;Tabla_Buffers_Agroinsumos[[#This Row],[CODIGO ]],TABLACONSOLIDADA[Bodega]&amp;TABLACONSOLIDADA[Codigo],0)),"")</f>
        <v/>
      </c>
      <c r="BZ83" s="111" t="str">
        <f t="array" ref="BZ83">IFERROR(INDEX(TABLACONSOLIDADA[Inv Fís Act],MATCH("AGROINSUMOSMONCAYOLOPEZ"&amp;Tabla_Buffers_Agroinsumos[[#This Row],[CODIGO ]],TABLACONSOLIDADA[Bodega]&amp;TABLACONSOLIDADA[Codigo],0)),"")</f>
        <v/>
      </c>
      <c r="CA83" s="176" t="str">
        <f t="array" ref="CA8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83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83" s="135">
        <f>IFERROR(SUM(Tabla_Buffers_Agroinsumos[[#This Row],[ML-MP]:[ML-VL]]),"")</f>
        <v>0</v>
      </c>
      <c r="CD83" s="154" t="str">
        <f>IFERROR(Tabla_Buffers_Agroinsumos[[#This Row],[INV FIS ML]]-Tabla_Buffers_Agroinsumos[[#This Row],[BUFFER ML]],"")</f>
        <v/>
      </c>
      <c r="CE83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83" s="135"/>
      <c r="CG83" s="135"/>
      <c r="CH83" s="135"/>
      <c r="CI83" s="135"/>
      <c r="CJ83" s="135"/>
      <c r="CK83" s="135"/>
      <c r="CL83" s="135"/>
      <c r="CM83" s="135"/>
      <c r="CN83" s="135"/>
      <c r="CO83" s="135" t="str">
        <f t="array" ref="CO83">IFERROR(INDEX(TABLACONSOLIDADA[Buff Act],MATCH("AGROINSUMOSAGROHERMANOSLEON"&amp;Tabla_Buffers_Agroinsumos[[#This Row],[CODIGO ]],TABLACONSOLIDADA[Bodega]&amp;TABLACONSOLIDADA[Codigo],0)),"")</f>
        <v/>
      </c>
      <c r="CP83" s="111" t="str">
        <f t="array" ref="CP83">IFERROR(INDEX(TABLACONSOLIDADA[Inv Fís Act],MATCH("AGROINSUMOSAGROHERMANOSLEON"&amp;Tabla_Buffers_Agroinsumos[[#This Row],[CODIGO ]],TABLACONSOLIDADA[Bodega]&amp;TABLACONSOLIDADA[Codigo],0)),"")</f>
        <v/>
      </c>
      <c r="CQ83" s="176" t="str">
        <f t="array" ref="CQ8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83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83" s="135">
        <f>IFERROR(SUM(Tabla_Buffers_Agroinsumos[[#This Row],[AL-MP]:[AL-VL]]),"")</f>
        <v>0</v>
      </c>
      <c r="CT83" s="154" t="str">
        <f>IFERROR(Tabla_Buffers_Agroinsumos[[#This Row],[INV FIS AL]]-Tabla_Buffers_Agroinsumos[[#This Row],[BUFFER AL]],"")</f>
        <v/>
      </c>
      <c r="CU83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83" s="135"/>
      <c r="CW83" s="135"/>
      <c r="CX83" s="135"/>
      <c r="CY83" s="135"/>
      <c r="CZ83" s="135"/>
      <c r="DA83" s="135"/>
      <c r="DB83" s="135"/>
      <c r="DC83" s="135"/>
      <c r="DD83" s="135"/>
      <c r="DE83" s="135" t="str">
        <f t="array" ref="DE83">IFERROR(INDEX(TABLACONSOLIDADA[Buff Act],MATCH("AGROINSUMOSAGRONUEVO"&amp;Tabla_Buffers_Agroinsumos[[#This Row],[CODIGO ]],TABLACONSOLIDADA[Bodega]&amp;TABLACONSOLIDADA[Codigo],0)),"")</f>
        <v/>
      </c>
      <c r="DF83" s="111" t="str">
        <f t="array" ref="DF83">IFERROR(INDEX(TABLACONSOLIDADA[Inv Fís Act],MATCH("AGROINSUMOSAGRONUEVO"&amp;Tabla_Buffers_Agroinsumos[[#This Row],[CODIGO ]],TABLACONSOLIDADA[Bodega]&amp;TABLACONSOLIDADA[Codigo],0)),"")</f>
        <v/>
      </c>
      <c r="DG83" s="176" t="str">
        <f t="array" ref="DG8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83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83" s="135">
        <f>IFERROR(SUM(Tabla_Buffers_Agroinsumos[[#This Row],[AN-MP]:[AN-VL]]),"")</f>
        <v>0</v>
      </c>
      <c r="DJ83" s="154" t="str">
        <f>IFERROR(Tabla_Buffers_Agroinsumos[[#This Row],[INV FIS AN]]-Tabla_Buffers_Agroinsumos[[#This Row],[BUFFER AN]],"")</f>
        <v/>
      </c>
      <c r="DK83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83" s="135"/>
      <c r="DM83" s="135"/>
      <c r="DN83" s="135"/>
      <c r="DO83" s="135"/>
      <c r="DP83" s="135"/>
      <c r="DQ83" s="135"/>
      <c r="DR83" s="135"/>
      <c r="DS83" s="135"/>
      <c r="DT83" s="135"/>
      <c r="DU83" s="135" t="str">
        <f t="array" ref="DU83">IFERROR(INDEX(TABLACONSOLIDADA[Buff Act],MATCH("AGROINSUMOSAGROQUIMICOSSUR"&amp;Tabla_Buffers_Agroinsumos[[#This Row],[CODIGO ]],TABLACONSOLIDADA[Bodega]&amp;TABLACONSOLIDADA[Codigo],0)),"")</f>
        <v/>
      </c>
      <c r="DV83" s="111" t="str">
        <f t="array" ref="DV83">IFERROR(INDEX(TABLACONSOLIDADA[Inv Fís Act],MATCH("AGROINSUMOSAGROQUIMICOSSUR"&amp;Tabla_Buffers_Agroinsumos[[#This Row],[CODIGO ]],TABLACONSOLIDADA[Bodega]&amp;TABLACONSOLIDADA[Codigo],0)),"")</f>
        <v/>
      </c>
      <c r="DW83" s="176" t="str">
        <f t="array" ref="DW8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83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83" s="135">
        <f>IFERROR(SUM(Tabla_Buffers_Agroinsumos[[#This Row],[AS-MP]:[AS-VL]]),"")</f>
        <v>0</v>
      </c>
      <c r="DZ83" s="154" t="str">
        <f>IFERROR(Tabla_Buffers_Agroinsumos[[#This Row],[INV FIS AS]]-Tabla_Buffers_Agroinsumos[[#This Row],[BUFFER AS]],"")</f>
        <v/>
      </c>
      <c r="EA83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83" s="135"/>
      <c r="EC83" s="135"/>
      <c r="ED83" s="135"/>
      <c r="EE83" s="135"/>
      <c r="EF83" s="135"/>
      <c r="EG83" s="135"/>
      <c r="EH83" s="135"/>
      <c r="EI83" s="135"/>
      <c r="EJ83" s="135"/>
      <c r="EK83" s="135" t="str">
        <f t="array" ref="EK83">IFERROR(INDEX(TABLACONSOLIDADA[Buff Act],MATCH("AGROINSUMOSLAFINCA"&amp;Tabla_Buffers_Agroinsumos[[#This Row],[CODIGO ]],TABLACONSOLIDADA[Bodega]&amp;TABLACONSOLIDADA[Codigo],0)),"")</f>
        <v/>
      </c>
      <c r="EL83" s="111" t="str">
        <f t="array" ref="EL83">IFERROR(INDEX(TABLACONSOLIDADA[Inv Fís Act],MATCH("AGROINSUMOSLAFINCA"&amp;Tabla_Buffers_Agroinsumos[[#This Row],[CODIGO ]],TABLACONSOLIDADA[Bodega]&amp;TABLACONSOLIDADA[Codigo],0)),"")</f>
        <v/>
      </c>
      <c r="EM83" s="176" t="str">
        <f t="array" ref="EM8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83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83" s="135">
        <f>IFERROR(SUM(Tabla_Buffers_Agroinsumos[[#This Row],[LF-MP]:[LF-VL]]),"")</f>
        <v>0</v>
      </c>
      <c r="EP83" s="154" t="str">
        <f>IFERROR(Tabla_Buffers_Agroinsumos[[#This Row],[INV FIS LF]]-Tabla_Buffers_Agroinsumos[[#This Row],[BUFFER LF]],"")</f>
        <v/>
      </c>
      <c r="EQ83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83" s="135"/>
      <c r="ES83" s="135"/>
      <c r="ET83" s="135"/>
      <c r="EU83" s="135"/>
      <c r="EV83" s="135"/>
      <c r="EW83" s="135"/>
      <c r="EX83" s="135"/>
      <c r="EY83" s="135"/>
      <c r="EZ83" s="135"/>
      <c r="FA83" s="135" t="str">
        <f t="array" ref="FA83">IFERROR(INDEX(TABLACONSOLIDADA[Buff Act],MATCH("AGROINSUMOSVERONICALEDESMA"&amp;Tabla_Buffers_Agroinsumos[[#This Row],[CODIGO ]],TABLACONSOLIDADA[Bodega]&amp;TABLACONSOLIDADA[Codigo],0)),"")</f>
        <v/>
      </c>
      <c r="FB83" s="111" t="str">
        <f t="array" ref="FB83">IFERROR(INDEX(TABLACONSOLIDADA[Inv Fís Act],MATCH("AGROINSUMOSVERONICALEDESMA"&amp;Tabla_Buffers_Agroinsumos[[#This Row],[CODIGO ]],TABLACONSOLIDADA[Bodega]&amp;TABLACONSOLIDADA[Codigo],0)),"")</f>
        <v/>
      </c>
      <c r="FC83" s="176" t="str">
        <f t="array" ref="FC8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83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83" s="135">
        <f>IFERROR(SUM(Tabla_Buffers_Agroinsumos[[#This Row],[VL-MP]:[VL-LF]]),"")</f>
        <v>0</v>
      </c>
      <c r="FF83" s="154" t="str">
        <f>IFERROR(Tabla_Buffers_Agroinsumos[[#This Row],[INV FIS VL]]-Tabla_Buffers_Agroinsumos[[#This Row],[BUFFER VL]],"")</f>
        <v/>
      </c>
      <c r="FG83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83" s="135"/>
      <c r="FI83" s="135"/>
      <c r="FJ83" s="135"/>
      <c r="FK83" s="135"/>
      <c r="FL83" s="135"/>
      <c r="FM83" s="135"/>
      <c r="FN83" s="135"/>
      <c r="FO83" s="135"/>
      <c r="FP83" s="135"/>
    </row>
    <row r="84" spans="1:172">
      <c r="A84" s="7" t="s">
        <v>175</v>
      </c>
      <c r="B84" s="7" t="s">
        <v>176</v>
      </c>
      <c r="C84" s="7" t="s">
        <v>787</v>
      </c>
      <c r="D84" s="7" t="s">
        <v>718</v>
      </c>
      <c r="E84" s="7" t="s">
        <v>863</v>
      </c>
      <c r="F84" s="19" t="s">
        <v>808</v>
      </c>
      <c r="G84" s="19" t="s">
        <v>802</v>
      </c>
      <c r="H84" s="19">
        <f>VLOOKUP(Tabla_Buffers_Agroinsumos[[#This Row],[CODIGO ]],TABLACONSOLIDADA[[Codigo]:[PV]],6,0)</f>
        <v>0</v>
      </c>
      <c r="I84" s="19">
        <f>VLOOKUP(Tabla_Buffers_Agroinsumos[[#This Row],[CODIGO ]],TABLACONSOLIDADA[[Codigo]:[PV]],5,0)</f>
        <v>0.32</v>
      </c>
      <c r="J84" s="19">
        <v>12</v>
      </c>
      <c r="K84" s="19">
        <v>4</v>
      </c>
      <c r="L84" s="19">
        <f>IFERROR(Tabla_Buffers_Agroinsumos[[#This Row],[BUFFER CENTRAL]]/((Tabla_Buffers_Agroinsumos[[#This Row],[TIEMPO REPOSICION ]]/Tabla_Buffers_Agroinsumos[[#This Row],[FRECUENCIA]])+1),0)</f>
        <v>187.5</v>
      </c>
      <c r="M84" s="19">
        <f t="array" ref="M84">IFERROR(INDEX(TABLACONSOLIDADA[Buff Act],MATCH("AGROINSUMOSMATERIAPRIMA"&amp;Tabla_Buffers_Agroinsumos[[#This Row],[CODIGO ]],TABLACONSOLIDADA[Bodega]&amp;TABLACONSOLIDADA[Codigo],0)),"")</f>
        <v>1000</v>
      </c>
      <c r="N84" s="157">
        <f t="array" ref="N84">IFERROR(INDEX(TABLACONSOLIDADA[Inv Fís Act],MATCH("AGROINSUMOSMATERIAPRIMA"&amp;Tabla_Buffers_Agroinsumos[[#This Row],[CODIGO ]],TABLACONSOLIDADA[Bodega]&amp;TABLACONSOLIDADA[Codigo],0)),"")</f>
        <v>2022</v>
      </c>
      <c r="O84" s="157">
        <f t="array" ref="O8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2022</v>
      </c>
      <c r="P8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84" s="19">
        <f>IFERROR(SUM(Tabla_Buffers_Agroinsumos[[#This Row],[MP-C]:[MP-VL]]),"")</f>
        <v>0</v>
      </c>
      <c r="R84" s="92">
        <f>IFERROR(Tabla_Buffers_Agroinsumos[[#This Row],[INV FIS MATERIA PRIMA]]-Tabla_Buffers_Agroinsumos[[#This Row],[BUFFER MATERIA PRIMA]],"")</f>
        <v>1022</v>
      </c>
      <c r="S8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1022</v>
      </c>
      <c r="T84" s="19"/>
      <c r="U84" s="19"/>
      <c r="V84" s="19"/>
      <c r="W84" s="19"/>
      <c r="X84" s="19"/>
      <c r="Y84" s="19"/>
      <c r="Z84" s="19"/>
      <c r="AA84" s="19"/>
      <c r="AB84" s="19"/>
      <c r="AC84" s="152">
        <f t="array" ref="AC84">IFERROR(INDEX(TABLACONSOLIDADA[Buff Act],MATCH("AGROINSUMOSCENTRAL"&amp;Tabla_Buffers_Agroinsumos[[#This Row],[CODIGO ]],TABLACONSOLIDADA[Bodega]&amp;TABLACONSOLIDADA[Codigo],0)),"")</f>
        <v>250</v>
      </c>
      <c r="AD84" s="157">
        <f t="array" ref="AD84">IFERROR(INDEX(TABLACONSOLIDADA[Inv Fís Act],MATCH("AGROINSUMOSCENTRAL"&amp;Tabla_Buffers_Agroinsumos[[#This Row],[CODIGO ]],TABLACONSOLIDADA[Bodega]&amp;TABLACONSOLIDADA[Codigo],0)),"")</f>
        <v>226</v>
      </c>
      <c r="AE84" s="157">
        <f t="array" ref="AE8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250</v>
      </c>
      <c r="AF8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84" s="91">
        <f>IFERROR(SUM(Tabla_Buffers_Agroinsumos[[#This Row],[C-MP]:[C-VL]]),"")</f>
        <v>0</v>
      </c>
      <c r="AH84" s="92">
        <f>IFERROR(Tabla_Buffers_Agroinsumos[[#This Row],[INV FIS CENTRAL]]-Tabla_Buffers_Agroinsumos[[#This Row],[BUFFER CENTRAL]],"")</f>
        <v>-24</v>
      </c>
      <c r="AI8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-24</v>
      </c>
      <c r="AJ84" s="134"/>
      <c r="AK84" s="134"/>
      <c r="AL84" s="134"/>
      <c r="AM84" s="134"/>
      <c r="AN84" s="134"/>
      <c r="AO84" s="134"/>
      <c r="AP84" s="134"/>
      <c r="AQ84" s="134"/>
      <c r="AR84" s="134"/>
      <c r="AS84" s="134">
        <f t="array" ref="AS84">IFERROR(INDEX(TABLACONSOLIDADA[Buff Act],MATCH("AGROINSUMOScentralPROPIA"&amp;Tabla_Buffers_Agroinsumos[[#This Row],[CODIGO ]],TABLACONSOLIDADA[Bodega]&amp;TABLACONSOLIDADA[Codigo],0)),"")</f>
        <v>90</v>
      </c>
      <c r="AT84" s="157">
        <f t="array" ref="AT84">IFERROR(INDEX(TABLACONSOLIDADA[Inv Fís Act],MATCH("AGROINSUMOScentralPROPIA"&amp;Tabla_Buffers_Agroinsumos[[#This Row],[CODIGO ]],TABLACONSOLIDADA[Bodega]&amp;TABLACONSOLIDADA[Codigo],0)),"")</f>
        <v>0</v>
      </c>
      <c r="AU84" s="157">
        <f t="array" ref="AU8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8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84" s="134">
        <f>IFERROR(SUM(Tabla_Buffers_Agroinsumos[[#This Row],[P-MP]:[P-VL]]),"")</f>
        <v>0</v>
      </c>
      <c r="AX84" s="92">
        <f>IFERROR(Tabla_Buffers_Agroinsumos[[#This Row],[INV FIS PROPIA]]-Tabla_Buffers_Agroinsumos[[#This Row],[BUFFER PROPIA]],"")</f>
        <v>-90</v>
      </c>
      <c r="AY8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-90</v>
      </c>
      <c r="AZ84" s="134"/>
      <c r="BA84" s="134"/>
      <c r="BB84" s="134"/>
      <c r="BC84" s="134"/>
      <c r="BD84" s="134"/>
      <c r="BE84" s="134"/>
      <c r="BF84" s="134"/>
      <c r="BG84" s="134"/>
      <c r="BH84" s="134"/>
      <c r="BI84" s="91" t="str">
        <f t="array" ref="BI84">IFERROR(INDEX(TABLACONSOLIDADA[Buff Act],MATCH("AGROINSUMOSSTODOMINGO"&amp;Tabla_Buffers_Agroinsumos[[#This Row],[CODIGO ]],TABLACONSOLIDADA[Bodega]&amp;TABLACONSOLIDADA[Codigo],0)),"")</f>
        <v/>
      </c>
      <c r="BJ84" s="157" t="str">
        <f t="array" ref="BJ84">IFERROR(INDEX(TABLACONSOLIDADA[Inv Fís Act],MATCH("AGROINSUMOSSTODOMINGO"&amp;Tabla_Buffers_Agroinsumos[[#This Row],[CODIGO ]],TABLACONSOLIDADA[Bodega]&amp;TABLACONSOLIDADA[Codigo],0)),"")</f>
        <v/>
      </c>
      <c r="BK84" s="157" t="str">
        <f t="array" ref="BK8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8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84" s="91">
        <f>IFERROR(SUM(Tabla_Buffers_Agroinsumos[[#This Row],[SD-MP]:[SD-VL]]),"")</f>
        <v>0</v>
      </c>
      <c r="BN84" s="92"/>
      <c r="BO84" s="92"/>
      <c r="BP84" s="134"/>
      <c r="BQ84" s="134"/>
      <c r="BR84" s="134"/>
      <c r="BS84" s="134"/>
      <c r="BT84" s="134"/>
      <c r="BU84" s="134"/>
      <c r="BV84" s="134"/>
      <c r="BW84" s="134"/>
      <c r="BX84" s="134"/>
      <c r="BY84" s="134" t="str">
        <f t="array" ref="BY84">IFERROR(INDEX(TABLACONSOLIDADA[Buff Act],MATCH("AGROINSUMOSMONCAYOLOPEZ"&amp;Tabla_Buffers_Agroinsumos[[#This Row],[CODIGO ]],TABLACONSOLIDADA[Bodega]&amp;TABLACONSOLIDADA[Codigo],0)),"")</f>
        <v/>
      </c>
      <c r="BZ84" s="157" t="str">
        <f t="array" ref="BZ84">IFERROR(INDEX(TABLACONSOLIDADA[Inv Fís Act],MATCH("AGROINSUMOSMONCAYOLOPEZ"&amp;Tabla_Buffers_Agroinsumos[[#This Row],[CODIGO ]],TABLACONSOLIDADA[Bodega]&amp;TABLACONSOLIDADA[Codigo],0)),"")</f>
        <v/>
      </c>
      <c r="CA84" s="157" t="str">
        <f t="array" ref="CA8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8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84" s="134">
        <f>IFERROR(SUM(Tabla_Buffers_Agroinsumos[[#This Row],[ML-MP]:[ML-VL]]),"")</f>
        <v>0</v>
      </c>
      <c r="CD84" s="92" t="str">
        <f>IFERROR(Tabla_Buffers_Agroinsumos[[#This Row],[INV FIS ML]]-Tabla_Buffers_Agroinsumos[[#This Row],[BUFFER ML]],"")</f>
        <v/>
      </c>
      <c r="CE8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84" s="134"/>
      <c r="CG84" s="134"/>
      <c r="CH84" s="134"/>
      <c r="CI84" s="134"/>
      <c r="CJ84" s="134"/>
      <c r="CK84" s="134"/>
      <c r="CL84" s="134"/>
      <c r="CM84" s="134"/>
      <c r="CN84" s="134"/>
      <c r="CO84" s="134" t="str">
        <f t="array" ref="CO84">IFERROR(INDEX(TABLACONSOLIDADA[Buff Act],MATCH("AGROINSUMOSAGROHERMANOSLEON"&amp;Tabla_Buffers_Agroinsumos[[#This Row],[CODIGO ]],TABLACONSOLIDADA[Bodega]&amp;TABLACONSOLIDADA[Codigo],0)),"")</f>
        <v/>
      </c>
      <c r="CP84" s="157" t="str">
        <f t="array" ref="CP84">IFERROR(INDEX(TABLACONSOLIDADA[Inv Fís Act],MATCH("AGROINSUMOSAGROHERMANOSLEON"&amp;Tabla_Buffers_Agroinsumos[[#This Row],[CODIGO ]],TABLACONSOLIDADA[Bodega]&amp;TABLACONSOLIDADA[Codigo],0)),"")</f>
        <v/>
      </c>
      <c r="CQ84" s="157" t="str">
        <f t="array" ref="CQ8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8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84" s="134">
        <f>IFERROR(SUM(Tabla_Buffers_Agroinsumos[[#This Row],[AL-MP]:[AL-VL]]),"")</f>
        <v>0</v>
      </c>
      <c r="CT84" s="92" t="str">
        <f>IFERROR(Tabla_Buffers_Agroinsumos[[#This Row],[INV FIS AL]]-Tabla_Buffers_Agroinsumos[[#This Row],[BUFFER AL]],"")</f>
        <v/>
      </c>
      <c r="CU8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84" s="134"/>
      <c r="CW84" s="134"/>
      <c r="CX84" s="134"/>
      <c r="CY84" s="134"/>
      <c r="CZ84" s="134"/>
      <c r="DA84" s="134"/>
      <c r="DB84" s="134"/>
      <c r="DC84" s="134"/>
      <c r="DD84" s="134"/>
      <c r="DE84" s="134" t="str">
        <f t="array" ref="DE84">IFERROR(INDEX(TABLACONSOLIDADA[Buff Act],MATCH("AGROINSUMOSAGRONUEVO"&amp;Tabla_Buffers_Agroinsumos[[#This Row],[CODIGO ]],TABLACONSOLIDADA[Bodega]&amp;TABLACONSOLIDADA[Codigo],0)),"")</f>
        <v/>
      </c>
      <c r="DF84" s="157" t="str">
        <f t="array" ref="DF84">IFERROR(INDEX(TABLACONSOLIDADA[Inv Fís Act],MATCH("AGROINSUMOSAGRONUEVO"&amp;Tabla_Buffers_Agroinsumos[[#This Row],[CODIGO ]],TABLACONSOLIDADA[Bodega]&amp;TABLACONSOLIDADA[Codigo],0)),"")</f>
        <v/>
      </c>
      <c r="DG84" s="157" t="str">
        <f t="array" ref="DG8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8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84" s="134">
        <f>IFERROR(SUM(Tabla_Buffers_Agroinsumos[[#This Row],[AN-MP]:[AN-VL]]),"")</f>
        <v>0</v>
      </c>
      <c r="DJ84" s="92" t="str">
        <f>IFERROR(Tabla_Buffers_Agroinsumos[[#This Row],[INV FIS AN]]-Tabla_Buffers_Agroinsumos[[#This Row],[BUFFER AN]],"")</f>
        <v/>
      </c>
      <c r="DK8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84" s="134"/>
      <c r="DM84" s="134"/>
      <c r="DN84" s="134"/>
      <c r="DO84" s="134"/>
      <c r="DP84" s="134"/>
      <c r="DQ84" s="134"/>
      <c r="DR84" s="134"/>
      <c r="DS84" s="134"/>
      <c r="DT84" s="134"/>
      <c r="DU84" s="134" t="str">
        <f t="array" ref="DU84">IFERROR(INDEX(TABLACONSOLIDADA[Buff Act],MATCH("AGROINSUMOSAGROQUIMICOSSUR"&amp;Tabla_Buffers_Agroinsumos[[#This Row],[CODIGO ]],TABLACONSOLIDADA[Bodega]&amp;TABLACONSOLIDADA[Codigo],0)),"")</f>
        <v/>
      </c>
      <c r="DV84" s="157" t="str">
        <f t="array" ref="DV84">IFERROR(INDEX(TABLACONSOLIDADA[Inv Fís Act],MATCH("AGROINSUMOSAGROQUIMICOSSUR"&amp;Tabla_Buffers_Agroinsumos[[#This Row],[CODIGO ]],TABLACONSOLIDADA[Bodega]&amp;TABLACONSOLIDADA[Codigo],0)),"")</f>
        <v/>
      </c>
      <c r="DW84" s="157" t="str">
        <f t="array" ref="DW8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8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84" s="134">
        <f>IFERROR(SUM(Tabla_Buffers_Agroinsumos[[#This Row],[AS-MP]:[AS-VL]]),"")</f>
        <v>0</v>
      </c>
      <c r="DZ84" s="92" t="str">
        <f>IFERROR(Tabla_Buffers_Agroinsumos[[#This Row],[INV FIS AS]]-Tabla_Buffers_Agroinsumos[[#This Row],[BUFFER AS]],"")</f>
        <v/>
      </c>
      <c r="EA8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84" s="134"/>
      <c r="EC84" s="134"/>
      <c r="ED84" s="134"/>
      <c r="EE84" s="134"/>
      <c r="EF84" s="134"/>
      <c r="EG84" s="134"/>
      <c r="EH84" s="134"/>
      <c r="EI84" s="134"/>
      <c r="EJ84" s="134"/>
      <c r="EK84" s="134">
        <f t="array" ref="EK84">IFERROR(INDEX(TABLACONSOLIDADA[Buff Act],MATCH("AGROINSUMOSLAFINCA"&amp;Tabla_Buffers_Agroinsumos[[#This Row],[CODIGO ]],TABLACONSOLIDADA[Bodega]&amp;TABLACONSOLIDADA[Codigo],0)),"")</f>
        <v>0</v>
      </c>
      <c r="EL84" s="157">
        <f t="array" ref="EL84">IFERROR(INDEX(TABLACONSOLIDADA[Inv Fís Act],MATCH("AGROINSUMOSLAFINCA"&amp;Tabla_Buffers_Agroinsumos[[#This Row],[CODIGO ]],TABLACONSOLIDADA[Bodega]&amp;TABLACONSOLIDADA[Codigo],0)),"")</f>
        <v>0</v>
      </c>
      <c r="EM84" s="157">
        <f t="array" ref="EM8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8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84" s="134">
        <f>IFERROR(SUM(Tabla_Buffers_Agroinsumos[[#This Row],[LF-MP]:[LF-VL]]),"")</f>
        <v>0</v>
      </c>
      <c r="EP84" s="92">
        <f>IFERROR(Tabla_Buffers_Agroinsumos[[#This Row],[INV FIS LF]]-Tabla_Buffers_Agroinsumos[[#This Row],[BUFFER LF]],"")</f>
        <v>0</v>
      </c>
      <c r="EQ84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84" s="134"/>
      <c r="ES84" s="134"/>
      <c r="ET84" s="134"/>
      <c r="EU84" s="134"/>
      <c r="EV84" s="134"/>
      <c r="EW84" s="134"/>
      <c r="EX84" s="134"/>
      <c r="EY84" s="134"/>
      <c r="EZ84" s="134"/>
      <c r="FA84" s="134" t="str">
        <f t="array" ref="FA84">IFERROR(INDEX(TABLACONSOLIDADA[Buff Act],MATCH("AGROINSUMOSVERONICALEDESMA"&amp;Tabla_Buffers_Agroinsumos[[#This Row],[CODIGO ]],TABLACONSOLIDADA[Bodega]&amp;TABLACONSOLIDADA[Codigo],0)),"")</f>
        <v/>
      </c>
      <c r="FB84" s="157" t="str">
        <f t="array" ref="FB84">IFERROR(INDEX(TABLACONSOLIDADA[Inv Fís Act],MATCH("AGROINSUMOSVERONICALEDESMA"&amp;Tabla_Buffers_Agroinsumos[[#This Row],[CODIGO ]],TABLACONSOLIDADA[Bodega]&amp;TABLACONSOLIDADA[Codigo],0)),"")</f>
        <v/>
      </c>
      <c r="FC84" s="157" t="str">
        <f t="array" ref="FC8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8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84" s="134">
        <f>IFERROR(SUM(Tabla_Buffers_Agroinsumos[[#This Row],[VL-MP]:[VL-LF]]),"")</f>
        <v>0</v>
      </c>
      <c r="FF84" s="92" t="str">
        <f>IFERROR(Tabla_Buffers_Agroinsumos[[#This Row],[INV FIS VL]]-Tabla_Buffers_Agroinsumos[[#This Row],[BUFFER VL]],"")</f>
        <v/>
      </c>
      <c r="FG8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84" s="134"/>
      <c r="FI84" s="134"/>
      <c r="FJ84" s="134"/>
      <c r="FK84" s="134"/>
      <c r="FL84" s="134"/>
      <c r="FM84" s="134"/>
      <c r="FN84" s="134"/>
      <c r="FO84" s="134"/>
      <c r="FP84" s="134"/>
    </row>
    <row r="85" spans="1:172">
      <c r="A85" s="20" t="s">
        <v>1100</v>
      </c>
      <c r="B85" s="20" t="s">
        <v>1101</v>
      </c>
      <c r="C85" s="20" t="s">
        <v>787</v>
      </c>
      <c r="D85" s="20" t="s">
        <v>718</v>
      </c>
      <c r="E85" s="20" t="s">
        <v>863</v>
      </c>
      <c r="F85" s="111" t="s">
        <v>1099</v>
      </c>
      <c r="G85" s="111" t="s">
        <v>802</v>
      </c>
      <c r="H85" s="111">
        <f>VLOOKUP(Tabla_Buffers_Agroinsumos[[#This Row],[CODIGO ]],TABLACONSOLIDADA[[Codigo]:[PV]],6,0)</f>
        <v>0</v>
      </c>
      <c r="I85" s="111">
        <f>VLOOKUP(Tabla_Buffers_Agroinsumos[[#This Row],[CODIGO ]],TABLACONSOLIDADA[[Codigo]:[PV]],5,0)</f>
        <v>0.97</v>
      </c>
      <c r="J85" s="111"/>
      <c r="K85" s="111"/>
      <c r="L85" s="111">
        <f>IFERROR(Tabla_Buffers_Agroinsumos[[#This Row],[BUFFER CENTRAL]]/((Tabla_Buffers_Agroinsumos[[#This Row],[TIEMPO REPOSICION ]]/Tabla_Buffers_Agroinsumos[[#This Row],[FRECUENCIA]])+1),0)</f>
        <v>0</v>
      </c>
      <c r="M85" s="111">
        <f t="array" ref="M85">IFERROR(INDEX(TABLACONSOLIDADA[Buff Act],MATCH("AGROINSUMOSMATERIAPRIMA"&amp;Tabla_Buffers_Agroinsumos[[#This Row],[CODIGO ]],TABLACONSOLIDADA[Bodega]&amp;TABLACONSOLIDADA[Codigo],0)),"")</f>
        <v>1000</v>
      </c>
      <c r="N85" s="111">
        <f t="array" ref="N85">IFERROR(INDEX(TABLACONSOLIDADA[Inv Fís Act],MATCH("AGROINSUMOSMATERIAPRIMA"&amp;Tabla_Buffers_Agroinsumos[[#This Row],[CODIGO ]],TABLACONSOLIDADA[Bodega]&amp;TABLACONSOLIDADA[Codigo],0)),"")</f>
        <v>1125</v>
      </c>
      <c r="O85" s="165">
        <f t="array" ref="O8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1125</v>
      </c>
      <c r="P85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85" s="111">
        <f>IFERROR(SUM(Tabla_Buffers_Agroinsumos[[#This Row],[MP-C]:[MP-VL]]),"")</f>
        <v>0</v>
      </c>
      <c r="R85" s="154">
        <f>IFERROR(Tabla_Buffers_Agroinsumos[[#This Row],[INV FIS MATERIA PRIMA]]-Tabla_Buffers_Agroinsumos[[#This Row],[BUFFER MATERIA PRIMA]],"")</f>
        <v>125</v>
      </c>
      <c r="S85" s="154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125</v>
      </c>
      <c r="T85" s="111"/>
      <c r="U85" s="111"/>
      <c r="V85" s="111"/>
      <c r="W85" s="111"/>
      <c r="X85" s="111"/>
      <c r="Y85" s="111"/>
      <c r="Z85" s="111"/>
      <c r="AA85" s="111"/>
      <c r="AB85" s="111"/>
      <c r="AC85" s="152">
        <v>500</v>
      </c>
      <c r="AD85" s="111">
        <f t="array" ref="AD85">IFERROR(INDEX(TABLACONSOLIDADA[Inv Fís Act],MATCH("AGROINSUMOSCENTRAL"&amp;Tabla_Buffers_Agroinsumos[[#This Row],[CODIGO ]],TABLACONSOLIDADA[Bodega]&amp;TABLACONSOLIDADA[Codigo],0)),"")</f>
        <v>297</v>
      </c>
      <c r="AE85" s="165">
        <f t="array" ref="AE8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458</v>
      </c>
      <c r="AF85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85" s="153">
        <f>IFERROR(SUM(Tabla_Buffers_Agroinsumos[[#This Row],[C-MP]:[C-VL]]),"")</f>
        <v>0</v>
      </c>
      <c r="AH85" s="154">
        <f>IFERROR(Tabla_Buffers_Agroinsumos[[#This Row],[INV FIS CENTRAL]]-Tabla_Buffers_Agroinsumos[[#This Row],[BUFFER CENTRAL]],"")</f>
        <v>-203</v>
      </c>
      <c r="AI85" s="154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-203</v>
      </c>
      <c r="AJ85" s="135"/>
      <c r="AK85" s="135"/>
      <c r="AL85" s="135"/>
      <c r="AM85" s="135"/>
      <c r="AN85" s="135"/>
      <c r="AO85" s="135"/>
      <c r="AP85" s="135"/>
      <c r="AQ85" s="135"/>
      <c r="AR85" s="135"/>
      <c r="AS85" s="135" t="str">
        <f t="array" ref="AS85">IFERROR(INDEX(TABLACONSOLIDADA[Buff Act],MATCH("AGROINSUMOScentralPROPIA"&amp;Tabla_Buffers_Agroinsumos[[#This Row],[CODIGO ]],TABLACONSOLIDADA[Bodega]&amp;TABLACONSOLIDADA[Codigo],0)),"")</f>
        <v/>
      </c>
      <c r="AT85" s="111" t="str">
        <f t="array" ref="AT85">IFERROR(INDEX(TABLACONSOLIDADA[Inv Fís Act],MATCH("AGROINSUMOScentralPROPIA"&amp;Tabla_Buffers_Agroinsumos[[#This Row],[CODIGO ]],TABLACONSOLIDADA[Bodega]&amp;TABLACONSOLIDADA[Codigo],0)),"")</f>
        <v/>
      </c>
      <c r="AU85" s="165" t="str">
        <f t="array" ref="AU8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85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85" s="135">
        <f>IFERROR(SUM(Tabla_Buffers_Agroinsumos[[#This Row],[P-MP]:[P-VL]]),"")</f>
        <v>0</v>
      </c>
      <c r="AX85" s="154" t="str">
        <f>IFERROR(Tabla_Buffers_Agroinsumos[[#This Row],[INV FIS PROPIA]]-Tabla_Buffers_Agroinsumos[[#This Row],[BUFFER PROPIA]],"")</f>
        <v/>
      </c>
      <c r="AY85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85" s="135"/>
      <c r="BA85" s="135"/>
      <c r="BB85" s="135"/>
      <c r="BC85" s="135"/>
      <c r="BD85" s="135"/>
      <c r="BE85" s="135"/>
      <c r="BF85" s="135"/>
      <c r="BG85" s="135"/>
      <c r="BH85" s="135"/>
      <c r="BI85" s="153">
        <v>200</v>
      </c>
      <c r="BJ85" s="111">
        <f t="array" ref="BJ85">IFERROR(INDEX(TABLACONSOLIDADA[Inv Fís Act],MATCH("AGROINSUMOSSTODOMINGO"&amp;Tabla_Buffers_Agroinsumos[[#This Row],[CODIGO ]],TABLACONSOLIDADA[Bodega]&amp;TABLACONSOLIDADA[Codigo],0)),"")</f>
        <v>81</v>
      </c>
      <c r="BK85" s="165">
        <f t="array" ref="BK8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81</v>
      </c>
      <c r="BL85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85" s="153">
        <f>IFERROR(SUM(Tabla_Buffers_Agroinsumos[[#This Row],[SD-MP]:[SD-VL]]),"")</f>
        <v>0</v>
      </c>
      <c r="BN85" s="154"/>
      <c r="BO85" s="154"/>
      <c r="BP85" s="135"/>
      <c r="BQ85" s="135"/>
      <c r="BR85" s="135"/>
      <c r="BS85" s="135"/>
      <c r="BT85" s="135"/>
      <c r="BU85" s="135"/>
      <c r="BV85" s="135"/>
      <c r="BW85" s="135"/>
      <c r="BX85" s="135"/>
      <c r="BY85" s="135" t="str">
        <f t="array" ref="BY85">IFERROR(INDEX(TABLACONSOLIDADA[Buff Act],MATCH("AGROINSUMOSMONCAYOLOPEZ"&amp;Tabla_Buffers_Agroinsumos[[#This Row],[CODIGO ]],TABLACONSOLIDADA[Bodega]&amp;TABLACONSOLIDADA[Codigo],0)),"")</f>
        <v/>
      </c>
      <c r="BZ85" s="111" t="str">
        <f t="array" ref="BZ85">IFERROR(INDEX(TABLACONSOLIDADA[Inv Fís Act],MATCH("AGROINSUMOSMONCAYOLOPEZ"&amp;Tabla_Buffers_Agroinsumos[[#This Row],[CODIGO ]],TABLACONSOLIDADA[Bodega]&amp;TABLACONSOLIDADA[Codigo],0)),"")</f>
        <v/>
      </c>
      <c r="CA85" s="165" t="str">
        <f t="array" ref="CA8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85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85" s="135">
        <f>IFERROR(SUM(Tabla_Buffers_Agroinsumos[[#This Row],[ML-MP]:[ML-VL]]),"")</f>
        <v>0</v>
      </c>
      <c r="CD85" s="154" t="str">
        <f>IFERROR(Tabla_Buffers_Agroinsumos[[#This Row],[INV FIS ML]]-Tabla_Buffers_Agroinsumos[[#This Row],[BUFFER ML]],"")</f>
        <v/>
      </c>
      <c r="CE85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85" s="135"/>
      <c r="CG85" s="135"/>
      <c r="CH85" s="135"/>
      <c r="CI85" s="135"/>
      <c r="CJ85" s="135"/>
      <c r="CK85" s="135"/>
      <c r="CL85" s="135"/>
      <c r="CM85" s="135"/>
      <c r="CN85" s="135"/>
      <c r="CO85" s="135" t="str">
        <f t="array" ref="CO85">IFERROR(INDEX(TABLACONSOLIDADA[Buff Act],MATCH("AGROINSUMOSAGROHERMANOSLEON"&amp;Tabla_Buffers_Agroinsumos[[#This Row],[CODIGO ]],TABLACONSOLIDADA[Bodega]&amp;TABLACONSOLIDADA[Codigo],0)),"")</f>
        <v/>
      </c>
      <c r="CP85" s="111" t="str">
        <f t="array" ref="CP85">IFERROR(INDEX(TABLACONSOLIDADA[Inv Fís Act],MATCH("AGROINSUMOSAGROHERMANOSLEON"&amp;Tabla_Buffers_Agroinsumos[[#This Row],[CODIGO ]],TABLACONSOLIDADA[Bodega]&amp;TABLACONSOLIDADA[Codigo],0)),"")</f>
        <v/>
      </c>
      <c r="CQ85" s="165" t="str">
        <f t="array" ref="CQ8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85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85" s="135">
        <f>IFERROR(SUM(Tabla_Buffers_Agroinsumos[[#This Row],[AL-MP]:[AL-VL]]),"")</f>
        <v>0</v>
      </c>
      <c r="CT85" s="154" t="str">
        <f>IFERROR(Tabla_Buffers_Agroinsumos[[#This Row],[INV FIS AL]]-Tabla_Buffers_Agroinsumos[[#This Row],[BUFFER AL]],"")</f>
        <v/>
      </c>
      <c r="CU85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85" s="135"/>
      <c r="CW85" s="135"/>
      <c r="CX85" s="135"/>
      <c r="CY85" s="135"/>
      <c r="CZ85" s="135"/>
      <c r="DA85" s="135"/>
      <c r="DB85" s="135"/>
      <c r="DC85" s="135"/>
      <c r="DD85" s="135"/>
      <c r="DE85" s="135" t="str">
        <f t="array" ref="DE85">IFERROR(INDEX(TABLACONSOLIDADA[Buff Act],MATCH("AGROINSUMOSAGRONUEVO"&amp;Tabla_Buffers_Agroinsumos[[#This Row],[CODIGO ]],TABLACONSOLIDADA[Bodega]&amp;TABLACONSOLIDADA[Codigo],0)),"")</f>
        <v/>
      </c>
      <c r="DF85" s="111" t="str">
        <f t="array" ref="DF85">IFERROR(INDEX(TABLACONSOLIDADA[Inv Fís Act],MATCH("AGROINSUMOSAGRONUEVO"&amp;Tabla_Buffers_Agroinsumos[[#This Row],[CODIGO ]],TABLACONSOLIDADA[Bodega]&amp;TABLACONSOLIDADA[Codigo],0)),"")</f>
        <v/>
      </c>
      <c r="DG85" s="165" t="str">
        <f t="array" ref="DG8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85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85" s="135">
        <f>IFERROR(SUM(Tabla_Buffers_Agroinsumos[[#This Row],[AN-MP]:[AN-VL]]),"")</f>
        <v>0</v>
      </c>
      <c r="DJ85" s="154" t="str">
        <f>IFERROR(Tabla_Buffers_Agroinsumos[[#This Row],[INV FIS AN]]-Tabla_Buffers_Agroinsumos[[#This Row],[BUFFER AN]],"")</f>
        <v/>
      </c>
      <c r="DK85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85" s="135"/>
      <c r="DM85" s="135"/>
      <c r="DN85" s="135"/>
      <c r="DO85" s="135"/>
      <c r="DP85" s="135"/>
      <c r="DQ85" s="135"/>
      <c r="DR85" s="135"/>
      <c r="DS85" s="135"/>
      <c r="DT85" s="135"/>
      <c r="DU85" s="135" t="str">
        <f t="array" ref="DU85">IFERROR(INDEX(TABLACONSOLIDADA[Buff Act],MATCH("AGROINSUMOSAGROQUIMICOSSUR"&amp;Tabla_Buffers_Agroinsumos[[#This Row],[CODIGO ]],TABLACONSOLIDADA[Bodega]&amp;TABLACONSOLIDADA[Codigo],0)),"")</f>
        <v/>
      </c>
      <c r="DV85" s="111" t="str">
        <f t="array" ref="DV85">IFERROR(INDEX(TABLACONSOLIDADA[Inv Fís Act],MATCH("AGROINSUMOSAGROQUIMICOSSUR"&amp;Tabla_Buffers_Agroinsumos[[#This Row],[CODIGO ]],TABLACONSOLIDADA[Bodega]&amp;TABLACONSOLIDADA[Codigo],0)),"")</f>
        <v/>
      </c>
      <c r="DW85" s="165" t="str">
        <f t="array" ref="DW8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85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85" s="135">
        <f>IFERROR(SUM(Tabla_Buffers_Agroinsumos[[#This Row],[AS-MP]:[AS-VL]]),"")</f>
        <v>0</v>
      </c>
      <c r="DZ85" s="154" t="str">
        <f>IFERROR(Tabla_Buffers_Agroinsumos[[#This Row],[INV FIS AS]]-Tabla_Buffers_Agroinsumos[[#This Row],[BUFFER AS]],"")</f>
        <v/>
      </c>
      <c r="EA85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85" s="135"/>
      <c r="EC85" s="135"/>
      <c r="ED85" s="135"/>
      <c r="EE85" s="135"/>
      <c r="EF85" s="135"/>
      <c r="EG85" s="135"/>
      <c r="EH85" s="135"/>
      <c r="EI85" s="135"/>
      <c r="EJ85" s="135"/>
      <c r="EK85" s="135" t="str">
        <f t="array" ref="EK85">IFERROR(INDEX(TABLACONSOLIDADA[Buff Act],MATCH("AGROINSUMOSLAFINCA"&amp;Tabla_Buffers_Agroinsumos[[#This Row],[CODIGO ]],TABLACONSOLIDADA[Bodega]&amp;TABLACONSOLIDADA[Codigo],0)),"")</f>
        <v/>
      </c>
      <c r="EL85" s="111" t="str">
        <f t="array" ref="EL85">IFERROR(INDEX(TABLACONSOLIDADA[Inv Fís Act],MATCH("AGROINSUMOSLAFINCA"&amp;Tabla_Buffers_Agroinsumos[[#This Row],[CODIGO ]],TABLACONSOLIDADA[Bodega]&amp;TABLACONSOLIDADA[Codigo],0)),"")</f>
        <v/>
      </c>
      <c r="EM85" s="165" t="str">
        <f t="array" ref="EM8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85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85" s="135">
        <f>IFERROR(SUM(Tabla_Buffers_Agroinsumos[[#This Row],[LF-MP]:[LF-VL]]),"")</f>
        <v>0</v>
      </c>
      <c r="EP85" s="154" t="str">
        <f>IFERROR(Tabla_Buffers_Agroinsumos[[#This Row],[INV FIS LF]]-Tabla_Buffers_Agroinsumos[[#This Row],[BUFFER LF]],"")</f>
        <v/>
      </c>
      <c r="EQ85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85" s="135"/>
      <c r="ES85" s="135"/>
      <c r="ET85" s="135"/>
      <c r="EU85" s="135"/>
      <c r="EV85" s="135"/>
      <c r="EW85" s="135"/>
      <c r="EX85" s="135"/>
      <c r="EY85" s="135"/>
      <c r="EZ85" s="135"/>
      <c r="FA85" s="135" t="str">
        <f t="array" ref="FA85">IFERROR(INDEX(TABLACONSOLIDADA[Buff Act],MATCH("AGROINSUMOSVERONICALEDESMA"&amp;Tabla_Buffers_Agroinsumos[[#This Row],[CODIGO ]],TABLACONSOLIDADA[Bodega]&amp;TABLACONSOLIDADA[Codigo],0)),"")</f>
        <v/>
      </c>
      <c r="FB85" s="111" t="str">
        <f t="array" ref="FB85">IFERROR(INDEX(TABLACONSOLIDADA[Inv Fís Act],MATCH("AGROINSUMOSVERONICALEDESMA"&amp;Tabla_Buffers_Agroinsumos[[#This Row],[CODIGO ]],TABLACONSOLIDADA[Bodega]&amp;TABLACONSOLIDADA[Codigo],0)),"")</f>
        <v/>
      </c>
      <c r="FC85" s="165" t="str">
        <f t="array" ref="FC8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85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85" s="135">
        <f>IFERROR(SUM(Tabla_Buffers_Agroinsumos[[#This Row],[VL-MP]:[VL-LF]]),"")</f>
        <v>0</v>
      </c>
      <c r="FF85" s="154" t="str">
        <f>IFERROR(Tabla_Buffers_Agroinsumos[[#This Row],[INV FIS VL]]-Tabla_Buffers_Agroinsumos[[#This Row],[BUFFER VL]],"")</f>
        <v/>
      </c>
      <c r="FG85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85" s="135"/>
      <c r="FI85" s="135"/>
      <c r="FJ85" s="135"/>
      <c r="FK85" s="135"/>
      <c r="FL85" s="135"/>
      <c r="FM85" s="135"/>
      <c r="FN85" s="135"/>
      <c r="FO85" s="135"/>
      <c r="FP85" s="135"/>
    </row>
    <row r="86" spans="1:172">
      <c r="A86" s="7" t="s">
        <v>177</v>
      </c>
      <c r="B86" s="7" t="s">
        <v>178</v>
      </c>
      <c r="C86" s="7" t="s">
        <v>787</v>
      </c>
      <c r="D86" s="7" t="s">
        <v>718</v>
      </c>
      <c r="E86" s="7" t="s">
        <v>863</v>
      </c>
      <c r="F86" s="19" t="s">
        <v>808</v>
      </c>
      <c r="G86" s="19" t="s">
        <v>802</v>
      </c>
      <c r="H86" s="19">
        <f>VLOOKUP(Tabla_Buffers_Agroinsumos[[#This Row],[CODIGO ]],TABLACONSOLIDADA[[Codigo]:[PV]],6,0)</f>
        <v>0</v>
      </c>
      <c r="I86" s="19">
        <f>VLOOKUP(Tabla_Buffers_Agroinsumos[[#This Row],[CODIGO ]],TABLACONSOLIDADA[[Codigo]:[PV]],5,0)</f>
        <v>0.53</v>
      </c>
      <c r="J86" s="19">
        <v>12</v>
      </c>
      <c r="K86" s="19">
        <v>4</v>
      </c>
      <c r="L86" s="19">
        <f>IFERROR(Tabla_Buffers_Agroinsumos[[#This Row],[BUFFER CENTRAL]]/((Tabla_Buffers_Agroinsumos[[#This Row],[TIEMPO REPOSICION ]]/Tabla_Buffers_Agroinsumos[[#This Row],[FRECUENCIA]])+1),0)</f>
        <v>0</v>
      </c>
      <c r="M86" s="19">
        <f t="array" ref="M86">IFERROR(INDEX(TABLACONSOLIDADA[Buff Act],MATCH("AGROINSUMOSMATERIAPRIMA"&amp;Tabla_Buffers_Agroinsumos[[#This Row],[CODIGO ]],TABLACONSOLIDADA[Bodega]&amp;TABLACONSOLIDADA[Codigo],0)),"")</f>
        <v>500</v>
      </c>
      <c r="N86" s="157">
        <f t="array" ref="N86">IFERROR(INDEX(TABLACONSOLIDADA[Inv Fís Act],MATCH("AGROINSUMOSMATERIAPRIMA"&amp;Tabla_Buffers_Agroinsumos[[#This Row],[CODIGO ]],TABLACONSOLIDADA[Bodega]&amp;TABLACONSOLIDADA[Codigo],0)),"")</f>
        <v>516</v>
      </c>
      <c r="O86" s="157">
        <f t="array" ref="O8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516</v>
      </c>
      <c r="P8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86" s="19">
        <f>IFERROR(SUM(Tabla_Buffers_Agroinsumos[[#This Row],[MP-C]:[MP-VL]]),"")</f>
        <v>0</v>
      </c>
      <c r="R86" s="92">
        <f>IFERROR(Tabla_Buffers_Agroinsumos[[#This Row],[INV FIS MATERIA PRIMA]]-Tabla_Buffers_Agroinsumos[[#This Row],[BUFFER MATERIA PRIMA]],"")</f>
        <v>16</v>
      </c>
      <c r="S8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16</v>
      </c>
      <c r="T86" s="19"/>
      <c r="U86" s="19"/>
      <c r="V86" s="19"/>
      <c r="W86" s="19"/>
      <c r="X86" s="19"/>
      <c r="Y86" s="19"/>
      <c r="Z86" s="19"/>
      <c r="AA86" s="19"/>
      <c r="AB86" s="19"/>
      <c r="AC86" s="152" t="str">
        <f t="array" ref="AC86">IFERROR(INDEX(TABLACONSOLIDADA[Buff Act],MATCH("AGROINSUMOSCENTRAL"&amp;Tabla_Buffers_Agroinsumos[[#This Row],[CODIGO ]],TABLACONSOLIDADA[Bodega]&amp;TABLACONSOLIDADA[Codigo],0)),"")</f>
        <v/>
      </c>
      <c r="AD86" s="157" t="str">
        <f t="array" ref="AD86">IFERROR(INDEX(TABLACONSOLIDADA[Inv Fís Act],MATCH("AGROINSUMOSCENTRAL"&amp;Tabla_Buffers_Agroinsumos[[#This Row],[CODIGO ]],TABLACONSOLIDADA[Bodega]&amp;TABLACONSOLIDADA[Codigo],0)),"")</f>
        <v/>
      </c>
      <c r="AE86" s="157" t="str">
        <f t="array" ref="AE8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8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86" s="91">
        <f>IFERROR(SUM(Tabla_Buffers_Agroinsumos[[#This Row],[C-MP]:[C-VL]]),"")</f>
        <v>0</v>
      </c>
      <c r="AH86" s="92" t="str">
        <f>IFERROR(Tabla_Buffers_Agroinsumos[[#This Row],[INV FIS CENTRAL]]-Tabla_Buffers_Agroinsumos[[#This Row],[BUFFER CENTRAL]],"")</f>
        <v/>
      </c>
      <c r="AI8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86" s="134"/>
      <c r="AK86" s="134"/>
      <c r="AL86" s="134"/>
      <c r="AM86" s="134"/>
      <c r="AN86" s="134"/>
      <c r="AO86" s="134"/>
      <c r="AP86" s="134"/>
      <c r="AQ86" s="134"/>
      <c r="AR86" s="134"/>
      <c r="AS86" s="134" t="str">
        <f t="array" ref="AS86">IFERROR(INDEX(TABLACONSOLIDADA[Buff Act],MATCH("AGROINSUMOScentralPROPIA"&amp;Tabla_Buffers_Agroinsumos[[#This Row],[CODIGO ]],TABLACONSOLIDADA[Bodega]&amp;TABLACONSOLIDADA[Codigo],0)),"")</f>
        <v/>
      </c>
      <c r="AT86" s="157" t="str">
        <f t="array" ref="AT86">IFERROR(INDEX(TABLACONSOLIDADA[Inv Fís Act],MATCH("AGROINSUMOScentralPROPIA"&amp;Tabla_Buffers_Agroinsumos[[#This Row],[CODIGO ]],TABLACONSOLIDADA[Bodega]&amp;TABLACONSOLIDADA[Codigo],0)),"")</f>
        <v/>
      </c>
      <c r="AU86" s="157" t="str">
        <f t="array" ref="AU8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8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86" s="134">
        <f>IFERROR(SUM(Tabla_Buffers_Agroinsumos[[#This Row],[P-MP]:[P-VL]]),"")</f>
        <v>0</v>
      </c>
      <c r="AX86" s="92" t="str">
        <f>IFERROR(Tabla_Buffers_Agroinsumos[[#This Row],[INV FIS PROPIA]]-Tabla_Buffers_Agroinsumos[[#This Row],[BUFFER PROPIA]],"")</f>
        <v/>
      </c>
      <c r="AY8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86" s="134"/>
      <c r="BA86" s="134"/>
      <c r="BB86" s="134"/>
      <c r="BC86" s="134"/>
      <c r="BD86" s="134"/>
      <c r="BE86" s="134"/>
      <c r="BF86" s="134"/>
      <c r="BG86" s="134"/>
      <c r="BH86" s="134"/>
      <c r="BI86" s="91" t="str">
        <f t="array" ref="BI86">IFERROR(INDEX(TABLACONSOLIDADA[Buff Act],MATCH("AGROINSUMOSSTODOMINGO"&amp;Tabla_Buffers_Agroinsumos[[#This Row],[CODIGO ]],TABLACONSOLIDADA[Bodega]&amp;TABLACONSOLIDADA[Codigo],0)),"")</f>
        <v/>
      </c>
      <c r="BJ86" s="157" t="str">
        <f t="array" ref="BJ86">IFERROR(INDEX(TABLACONSOLIDADA[Inv Fís Act],MATCH("AGROINSUMOSSTODOMINGO"&amp;Tabla_Buffers_Agroinsumos[[#This Row],[CODIGO ]],TABLACONSOLIDADA[Bodega]&amp;TABLACONSOLIDADA[Codigo],0)),"")</f>
        <v/>
      </c>
      <c r="BK86" s="157" t="str">
        <f t="array" ref="BK8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8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86" s="91">
        <f>IFERROR(SUM(Tabla_Buffers_Agroinsumos[[#This Row],[SD-MP]:[SD-VL]]),"")</f>
        <v>0</v>
      </c>
      <c r="BN86" s="92"/>
      <c r="BO86" s="92"/>
      <c r="BP86" s="134"/>
      <c r="BQ86" s="134"/>
      <c r="BR86" s="134"/>
      <c r="BS86" s="134"/>
      <c r="BT86" s="134"/>
      <c r="BU86" s="134"/>
      <c r="BV86" s="134"/>
      <c r="BW86" s="134"/>
      <c r="BX86" s="134"/>
      <c r="BY86" s="134" t="str">
        <f t="array" ref="BY86">IFERROR(INDEX(TABLACONSOLIDADA[Buff Act],MATCH("AGROINSUMOSMONCAYOLOPEZ"&amp;Tabla_Buffers_Agroinsumos[[#This Row],[CODIGO ]],TABLACONSOLIDADA[Bodega]&amp;TABLACONSOLIDADA[Codigo],0)),"")</f>
        <v/>
      </c>
      <c r="BZ86" s="157" t="str">
        <f t="array" ref="BZ86">IFERROR(INDEX(TABLACONSOLIDADA[Inv Fís Act],MATCH("AGROINSUMOSMONCAYOLOPEZ"&amp;Tabla_Buffers_Agroinsumos[[#This Row],[CODIGO ]],TABLACONSOLIDADA[Bodega]&amp;TABLACONSOLIDADA[Codigo],0)),"")</f>
        <v/>
      </c>
      <c r="CA86" s="157" t="str">
        <f t="array" ref="CA8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8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86" s="134">
        <f>IFERROR(SUM(Tabla_Buffers_Agroinsumos[[#This Row],[ML-MP]:[ML-VL]]),"")</f>
        <v>0</v>
      </c>
      <c r="CD86" s="92" t="str">
        <f>IFERROR(Tabla_Buffers_Agroinsumos[[#This Row],[INV FIS ML]]-Tabla_Buffers_Agroinsumos[[#This Row],[BUFFER ML]],"")</f>
        <v/>
      </c>
      <c r="CE8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86" s="134"/>
      <c r="CG86" s="134"/>
      <c r="CH86" s="134"/>
      <c r="CI86" s="134"/>
      <c r="CJ86" s="134"/>
      <c r="CK86" s="134"/>
      <c r="CL86" s="134"/>
      <c r="CM86" s="134"/>
      <c r="CN86" s="134"/>
      <c r="CO86" s="134" t="str">
        <f t="array" ref="CO86">IFERROR(INDEX(TABLACONSOLIDADA[Buff Act],MATCH("AGROINSUMOSAGROHERMANOSLEON"&amp;Tabla_Buffers_Agroinsumos[[#This Row],[CODIGO ]],TABLACONSOLIDADA[Bodega]&amp;TABLACONSOLIDADA[Codigo],0)),"")</f>
        <v/>
      </c>
      <c r="CP86" s="157" t="str">
        <f t="array" ref="CP86">IFERROR(INDEX(TABLACONSOLIDADA[Inv Fís Act],MATCH("AGROINSUMOSAGROHERMANOSLEON"&amp;Tabla_Buffers_Agroinsumos[[#This Row],[CODIGO ]],TABLACONSOLIDADA[Bodega]&amp;TABLACONSOLIDADA[Codigo],0)),"")</f>
        <v/>
      </c>
      <c r="CQ86" s="157" t="str">
        <f t="array" ref="CQ8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8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86" s="134">
        <f>IFERROR(SUM(Tabla_Buffers_Agroinsumos[[#This Row],[AL-MP]:[AL-VL]]),"")</f>
        <v>0</v>
      </c>
      <c r="CT86" s="92" t="str">
        <f>IFERROR(Tabla_Buffers_Agroinsumos[[#This Row],[INV FIS AL]]-Tabla_Buffers_Agroinsumos[[#This Row],[BUFFER AL]],"")</f>
        <v/>
      </c>
      <c r="CU8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86" s="134"/>
      <c r="CW86" s="134"/>
      <c r="CX86" s="134"/>
      <c r="CY86" s="134"/>
      <c r="CZ86" s="134"/>
      <c r="DA86" s="134"/>
      <c r="DB86" s="134"/>
      <c r="DC86" s="134"/>
      <c r="DD86" s="134"/>
      <c r="DE86" s="134" t="str">
        <f t="array" ref="DE86">IFERROR(INDEX(TABLACONSOLIDADA[Buff Act],MATCH("AGROINSUMOSAGRONUEVO"&amp;Tabla_Buffers_Agroinsumos[[#This Row],[CODIGO ]],TABLACONSOLIDADA[Bodega]&amp;TABLACONSOLIDADA[Codigo],0)),"")</f>
        <v/>
      </c>
      <c r="DF86" s="157" t="str">
        <f t="array" ref="DF86">IFERROR(INDEX(TABLACONSOLIDADA[Inv Fís Act],MATCH("AGROINSUMOSAGRONUEVO"&amp;Tabla_Buffers_Agroinsumos[[#This Row],[CODIGO ]],TABLACONSOLIDADA[Bodega]&amp;TABLACONSOLIDADA[Codigo],0)),"")</f>
        <v/>
      </c>
      <c r="DG86" s="157" t="str">
        <f t="array" ref="DG8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8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86" s="134">
        <f>IFERROR(SUM(Tabla_Buffers_Agroinsumos[[#This Row],[AN-MP]:[AN-VL]]),"")</f>
        <v>0</v>
      </c>
      <c r="DJ86" s="92" t="str">
        <f>IFERROR(Tabla_Buffers_Agroinsumos[[#This Row],[INV FIS AN]]-Tabla_Buffers_Agroinsumos[[#This Row],[BUFFER AN]],"")</f>
        <v/>
      </c>
      <c r="DK8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86" s="134"/>
      <c r="DM86" s="134"/>
      <c r="DN86" s="134"/>
      <c r="DO86" s="134"/>
      <c r="DP86" s="134"/>
      <c r="DQ86" s="134"/>
      <c r="DR86" s="134"/>
      <c r="DS86" s="134"/>
      <c r="DT86" s="134"/>
      <c r="DU86" s="134" t="str">
        <f t="array" ref="DU86">IFERROR(INDEX(TABLACONSOLIDADA[Buff Act],MATCH("AGROINSUMOSAGROQUIMICOSSUR"&amp;Tabla_Buffers_Agroinsumos[[#This Row],[CODIGO ]],TABLACONSOLIDADA[Bodega]&amp;TABLACONSOLIDADA[Codigo],0)),"")</f>
        <v/>
      </c>
      <c r="DV86" s="157" t="str">
        <f t="array" ref="DV86">IFERROR(INDEX(TABLACONSOLIDADA[Inv Fís Act],MATCH("AGROINSUMOSAGROQUIMICOSSUR"&amp;Tabla_Buffers_Agroinsumos[[#This Row],[CODIGO ]],TABLACONSOLIDADA[Bodega]&amp;TABLACONSOLIDADA[Codigo],0)),"")</f>
        <v/>
      </c>
      <c r="DW86" s="157" t="str">
        <f t="array" ref="DW8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8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86" s="134">
        <f>IFERROR(SUM(Tabla_Buffers_Agroinsumos[[#This Row],[AS-MP]:[AS-VL]]),"")</f>
        <v>0</v>
      </c>
      <c r="DZ86" s="92" t="str">
        <f>IFERROR(Tabla_Buffers_Agroinsumos[[#This Row],[INV FIS AS]]-Tabla_Buffers_Agroinsumos[[#This Row],[BUFFER AS]],"")</f>
        <v/>
      </c>
      <c r="EA8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86" s="134"/>
      <c r="EC86" s="134"/>
      <c r="ED86" s="134"/>
      <c r="EE86" s="134"/>
      <c r="EF86" s="134"/>
      <c r="EG86" s="134"/>
      <c r="EH86" s="134"/>
      <c r="EI86" s="134"/>
      <c r="EJ86" s="134"/>
      <c r="EK86" s="134" t="str">
        <f t="array" ref="EK86">IFERROR(INDEX(TABLACONSOLIDADA[Buff Act],MATCH("AGROINSUMOSLAFINCA"&amp;Tabla_Buffers_Agroinsumos[[#This Row],[CODIGO ]],TABLACONSOLIDADA[Bodega]&amp;TABLACONSOLIDADA[Codigo],0)),"")</f>
        <v/>
      </c>
      <c r="EL86" s="157" t="str">
        <f t="array" ref="EL86">IFERROR(INDEX(TABLACONSOLIDADA[Inv Fís Act],MATCH("AGROINSUMOSLAFINCA"&amp;Tabla_Buffers_Agroinsumos[[#This Row],[CODIGO ]],TABLACONSOLIDADA[Bodega]&amp;TABLACONSOLIDADA[Codigo],0)),"")</f>
        <v/>
      </c>
      <c r="EM86" s="157" t="str">
        <f t="array" ref="EM8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8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86" s="134">
        <f>IFERROR(SUM(Tabla_Buffers_Agroinsumos[[#This Row],[LF-MP]:[LF-VL]]),"")</f>
        <v>0</v>
      </c>
      <c r="EP86" s="92" t="str">
        <f>IFERROR(Tabla_Buffers_Agroinsumos[[#This Row],[INV FIS LF]]-Tabla_Buffers_Agroinsumos[[#This Row],[BUFFER LF]],"")</f>
        <v/>
      </c>
      <c r="EQ8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86" s="134"/>
      <c r="ES86" s="134"/>
      <c r="ET86" s="134"/>
      <c r="EU86" s="134"/>
      <c r="EV86" s="134"/>
      <c r="EW86" s="134"/>
      <c r="EX86" s="134"/>
      <c r="EY86" s="134"/>
      <c r="EZ86" s="134"/>
      <c r="FA86" s="134" t="str">
        <f t="array" ref="FA86">IFERROR(INDEX(TABLACONSOLIDADA[Buff Act],MATCH("AGROINSUMOSVERONICALEDESMA"&amp;Tabla_Buffers_Agroinsumos[[#This Row],[CODIGO ]],TABLACONSOLIDADA[Bodega]&amp;TABLACONSOLIDADA[Codigo],0)),"")</f>
        <v/>
      </c>
      <c r="FB86" s="157" t="str">
        <f t="array" ref="FB86">IFERROR(INDEX(TABLACONSOLIDADA[Inv Fís Act],MATCH("AGROINSUMOSVERONICALEDESMA"&amp;Tabla_Buffers_Agroinsumos[[#This Row],[CODIGO ]],TABLACONSOLIDADA[Bodega]&amp;TABLACONSOLIDADA[Codigo],0)),"")</f>
        <v/>
      </c>
      <c r="FC86" s="157" t="str">
        <f t="array" ref="FC8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8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86" s="134">
        <f>IFERROR(SUM(Tabla_Buffers_Agroinsumos[[#This Row],[VL-MP]:[VL-LF]]),"")</f>
        <v>0</v>
      </c>
      <c r="FF86" s="92" t="str">
        <f>IFERROR(Tabla_Buffers_Agroinsumos[[#This Row],[INV FIS VL]]-Tabla_Buffers_Agroinsumos[[#This Row],[BUFFER VL]],"")</f>
        <v/>
      </c>
      <c r="FG8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86" s="134"/>
      <c r="FI86" s="134"/>
      <c r="FJ86" s="134"/>
      <c r="FK86" s="134"/>
      <c r="FL86" s="134"/>
      <c r="FM86" s="134"/>
      <c r="FN86" s="134"/>
      <c r="FO86" s="134"/>
      <c r="FP86" s="134"/>
    </row>
    <row r="87" spans="1:172">
      <c r="A87" s="7" t="s">
        <v>877</v>
      </c>
      <c r="B87" s="7" t="s">
        <v>933</v>
      </c>
      <c r="C87" s="7" t="s">
        <v>710</v>
      </c>
      <c r="D87" s="7" t="s">
        <v>718</v>
      </c>
      <c r="E87" s="7" t="s">
        <v>863</v>
      </c>
      <c r="F87" s="19"/>
      <c r="G87" s="19" t="s">
        <v>802</v>
      </c>
      <c r="H87" s="19">
        <f>VLOOKUP(Tabla_Buffers_Agroinsumos[[#This Row],[CODIGO ]],TABLACONSOLIDADA[[Codigo]:[PV]],6,0)</f>
        <v>0</v>
      </c>
      <c r="I87" s="19">
        <f>VLOOKUP(Tabla_Buffers_Agroinsumos[[#This Row],[CODIGO ]],TABLACONSOLIDADA[[Codigo]:[PV]],5,0)</f>
        <v>0.98</v>
      </c>
      <c r="J87" s="19">
        <v>4</v>
      </c>
      <c r="K87" s="19">
        <v>4</v>
      </c>
      <c r="L87" s="19">
        <f>IFERROR(Tabla_Buffers_Agroinsumos[[#This Row],[BUFFER CENTRAL]]/((Tabla_Buffers_Agroinsumos[[#This Row],[TIEMPO REPOSICION ]]/Tabla_Buffers_Agroinsumos[[#This Row],[FRECUENCIA]])+1),0)</f>
        <v>25</v>
      </c>
      <c r="M87" s="19">
        <f t="array" ref="M87">IFERROR(INDEX(TABLACONSOLIDADA[Buff Act],MATCH("AGROINSUMOSMATERIAPRIMA"&amp;Tabla_Buffers_Agroinsumos[[#This Row],[CODIGO ]],TABLACONSOLIDADA[Bodega]&amp;TABLACONSOLIDADA[Codigo],0)),"")</f>
        <v>200</v>
      </c>
      <c r="N87" s="157">
        <f t="array" ref="N87">IFERROR(INDEX(TABLACONSOLIDADA[Inv Fís Act],MATCH("AGROINSUMOSMATERIAPRIMA"&amp;Tabla_Buffers_Agroinsumos[[#This Row],[CODIGO ]],TABLACONSOLIDADA[Bodega]&amp;TABLACONSOLIDADA[Codigo],0)),"")</f>
        <v>1065</v>
      </c>
      <c r="O87" s="157">
        <f t="array" ref="O8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1065</v>
      </c>
      <c r="P8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87" s="19">
        <f>IFERROR(SUM(Tabla_Buffers_Agroinsumos[[#This Row],[MP-C]:[MP-VL]]),"")</f>
        <v>0</v>
      </c>
      <c r="R87" s="92">
        <f>IFERROR(Tabla_Buffers_Agroinsumos[[#This Row],[INV FIS MATERIA PRIMA]]-Tabla_Buffers_Agroinsumos[[#This Row],[BUFFER MATERIA PRIMA]],"")</f>
        <v>865</v>
      </c>
      <c r="S8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865</v>
      </c>
      <c r="T87" s="19"/>
      <c r="U87" s="19"/>
      <c r="V87" s="19"/>
      <c r="W87" s="19"/>
      <c r="X87" s="19"/>
      <c r="Y87" s="19"/>
      <c r="Z87" s="19"/>
      <c r="AA87" s="19"/>
      <c r="AB87" s="19"/>
      <c r="AC87" s="152">
        <f t="array" ref="AC87">IFERROR(INDEX(TABLACONSOLIDADA[Buff Act],MATCH("AGROINSUMOSCENTRAL"&amp;Tabla_Buffers_Agroinsumos[[#This Row],[CODIGO ]],TABLACONSOLIDADA[Bodega]&amp;TABLACONSOLIDADA[Codigo],0)),"")</f>
        <v>50</v>
      </c>
      <c r="AD87" s="157">
        <f t="array" ref="AD87">IFERROR(INDEX(TABLACONSOLIDADA[Inv Fís Act],MATCH("AGROINSUMOSCENTRAL"&amp;Tabla_Buffers_Agroinsumos[[#This Row],[CODIGO ]],TABLACONSOLIDADA[Bodega]&amp;TABLACONSOLIDADA[Codigo],0)),"")</f>
        <v>98</v>
      </c>
      <c r="AE87" s="157">
        <f t="array" ref="AE8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98</v>
      </c>
      <c r="AF8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87" s="91">
        <f>IFERROR(SUM(Tabla_Buffers_Agroinsumos[[#This Row],[C-MP]:[C-VL]]),"")</f>
        <v>0</v>
      </c>
      <c r="AH87" s="92">
        <f>IFERROR(Tabla_Buffers_Agroinsumos[[#This Row],[INV FIS CENTRAL]]-Tabla_Buffers_Agroinsumos[[#This Row],[BUFFER CENTRAL]],"")</f>
        <v>48</v>
      </c>
      <c r="AI8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48</v>
      </c>
      <c r="AJ87" s="134"/>
      <c r="AK87" s="134"/>
      <c r="AL87" s="134"/>
      <c r="AM87" s="134"/>
      <c r="AN87" s="134"/>
      <c r="AO87" s="134"/>
      <c r="AP87" s="134"/>
      <c r="AQ87" s="134"/>
      <c r="AR87" s="134"/>
      <c r="AS87" s="134">
        <f t="array" ref="AS87">IFERROR(INDEX(TABLACONSOLIDADA[Buff Act],MATCH("AGROINSUMOScentralPROPIA"&amp;Tabla_Buffers_Agroinsumos[[#This Row],[CODIGO ]],TABLACONSOLIDADA[Bodega]&amp;TABLACONSOLIDADA[Codigo],0)),"")</f>
        <v>15</v>
      </c>
      <c r="AT87" s="157">
        <f t="array" ref="AT87">IFERROR(INDEX(TABLACONSOLIDADA[Inv Fís Act],MATCH("AGROINSUMOScentralPROPIA"&amp;Tabla_Buffers_Agroinsumos[[#This Row],[CODIGO ]],TABLACONSOLIDADA[Bodega]&amp;TABLACONSOLIDADA[Codigo],0)),"")</f>
        <v>0</v>
      </c>
      <c r="AU87" s="157">
        <f t="array" ref="AU8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8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87" s="134">
        <f>IFERROR(SUM(Tabla_Buffers_Agroinsumos[[#This Row],[P-MP]:[P-VL]]),"")</f>
        <v>0</v>
      </c>
      <c r="AX87" s="92">
        <f>IFERROR(Tabla_Buffers_Agroinsumos[[#This Row],[INV FIS PROPIA]]-Tabla_Buffers_Agroinsumos[[#This Row],[BUFFER PROPIA]],"")</f>
        <v>-15</v>
      </c>
      <c r="AY8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-15</v>
      </c>
      <c r="AZ87" s="134"/>
      <c r="BA87" s="134"/>
      <c r="BB87" s="134"/>
      <c r="BC87" s="134"/>
      <c r="BD87" s="134"/>
      <c r="BE87" s="134"/>
      <c r="BF87" s="134"/>
      <c r="BG87" s="134"/>
      <c r="BH87" s="134"/>
      <c r="BI87" s="91" t="str">
        <f t="array" ref="BI87">IFERROR(INDEX(TABLACONSOLIDADA[Buff Act],MATCH("AGROINSUMOSSTODOMINGO"&amp;Tabla_Buffers_Agroinsumos[[#This Row],[CODIGO ]],TABLACONSOLIDADA[Bodega]&amp;TABLACONSOLIDADA[Codigo],0)),"")</f>
        <v/>
      </c>
      <c r="BJ87" s="157" t="str">
        <f t="array" ref="BJ87">IFERROR(INDEX(TABLACONSOLIDADA[Inv Fís Act],MATCH("AGROINSUMOSSTODOMINGO"&amp;Tabla_Buffers_Agroinsumos[[#This Row],[CODIGO ]],TABLACONSOLIDADA[Bodega]&amp;TABLACONSOLIDADA[Codigo],0)),"")</f>
        <v/>
      </c>
      <c r="BK87" s="157" t="str">
        <f t="array" ref="BK8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8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87" s="91">
        <f>IFERROR(SUM(Tabla_Buffers_Agroinsumos[[#This Row],[SD-MP]:[SD-VL]]),"")</f>
        <v>0</v>
      </c>
      <c r="BN87" s="92"/>
      <c r="BO87" s="92"/>
      <c r="BP87" s="134"/>
      <c r="BQ87" s="134"/>
      <c r="BR87" s="134"/>
      <c r="BS87" s="134"/>
      <c r="BT87" s="134"/>
      <c r="BU87" s="134"/>
      <c r="BV87" s="134"/>
      <c r="BW87" s="134"/>
      <c r="BX87" s="134"/>
      <c r="BY87" s="134" t="str">
        <f t="array" ref="BY87">IFERROR(INDEX(TABLACONSOLIDADA[Buff Act],MATCH("AGROINSUMOSMONCAYOLOPEZ"&amp;Tabla_Buffers_Agroinsumos[[#This Row],[CODIGO ]],TABLACONSOLIDADA[Bodega]&amp;TABLACONSOLIDADA[Codigo],0)),"")</f>
        <v/>
      </c>
      <c r="BZ87" s="157" t="str">
        <f t="array" ref="BZ87">IFERROR(INDEX(TABLACONSOLIDADA[Inv Fís Act],MATCH("AGROINSUMOSMONCAYOLOPEZ"&amp;Tabla_Buffers_Agroinsumos[[#This Row],[CODIGO ]],TABLACONSOLIDADA[Bodega]&amp;TABLACONSOLIDADA[Codigo],0)),"")</f>
        <v/>
      </c>
      <c r="CA87" s="157" t="str">
        <f t="array" ref="CA8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8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87" s="134">
        <f>IFERROR(SUM(Tabla_Buffers_Agroinsumos[[#This Row],[ML-MP]:[ML-VL]]),"")</f>
        <v>0</v>
      </c>
      <c r="CD87" s="92" t="str">
        <f>IFERROR(Tabla_Buffers_Agroinsumos[[#This Row],[INV FIS ML]]-Tabla_Buffers_Agroinsumos[[#This Row],[BUFFER ML]],"")</f>
        <v/>
      </c>
      <c r="CE8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87" s="134"/>
      <c r="CG87" s="134"/>
      <c r="CH87" s="134"/>
      <c r="CI87" s="134"/>
      <c r="CJ87" s="134"/>
      <c r="CK87" s="134"/>
      <c r="CL87" s="134"/>
      <c r="CM87" s="134"/>
      <c r="CN87" s="134"/>
      <c r="CO87" s="134" t="str">
        <f t="array" ref="CO87">IFERROR(INDEX(TABLACONSOLIDADA[Buff Act],MATCH("AGROINSUMOSAGROHERMANOSLEON"&amp;Tabla_Buffers_Agroinsumos[[#This Row],[CODIGO ]],TABLACONSOLIDADA[Bodega]&amp;TABLACONSOLIDADA[Codigo],0)),"")</f>
        <v/>
      </c>
      <c r="CP87" s="157" t="str">
        <f t="array" ref="CP87">IFERROR(INDEX(TABLACONSOLIDADA[Inv Fís Act],MATCH("AGROINSUMOSAGROHERMANOSLEON"&amp;Tabla_Buffers_Agroinsumos[[#This Row],[CODIGO ]],TABLACONSOLIDADA[Bodega]&amp;TABLACONSOLIDADA[Codigo],0)),"")</f>
        <v/>
      </c>
      <c r="CQ87" s="157" t="str">
        <f t="array" ref="CQ8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8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87" s="134">
        <f>IFERROR(SUM(Tabla_Buffers_Agroinsumos[[#This Row],[AL-MP]:[AL-VL]]),"")</f>
        <v>0</v>
      </c>
      <c r="CT87" s="92" t="str">
        <f>IFERROR(Tabla_Buffers_Agroinsumos[[#This Row],[INV FIS AL]]-Tabla_Buffers_Agroinsumos[[#This Row],[BUFFER AL]],"")</f>
        <v/>
      </c>
      <c r="CU8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87" s="134"/>
      <c r="CW87" s="134"/>
      <c r="CX87" s="134"/>
      <c r="CY87" s="134"/>
      <c r="CZ87" s="134"/>
      <c r="DA87" s="134"/>
      <c r="DB87" s="134"/>
      <c r="DC87" s="134"/>
      <c r="DD87" s="134"/>
      <c r="DE87" s="134" t="str">
        <f t="array" ref="DE87">IFERROR(INDEX(TABLACONSOLIDADA[Buff Act],MATCH("AGROINSUMOSAGRONUEVO"&amp;Tabla_Buffers_Agroinsumos[[#This Row],[CODIGO ]],TABLACONSOLIDADA[Bodega]&amp;TABLACONSOLIDADA[Codigo],0)),"")</f>
        <v/>
      </c>
      <c r="DF87" s="157" t="str">
        <f t="array" ref="DF87">IFERROR(INDEX(TABLACONSOLIDADA[Inv Fís Act],MATCH("AGROINSUMOSAGRONUEVO"&amp;Tabla_Buffers_Agroinsumos[[#This Row],[CODIGO ]],TABLACONSOLIDADA[Bodega]&amp;TABLACONSOLIDADA[Codigo],0)),"")</f>
        <v/>
      </c>
      <c r="DG87" s="157" t="str">
        <f t="array" ref="DG8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8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87" s="134">
        <f>IFERROR(SUM(Tabla_Buffers_Agroinsumos[[#This Row],[AN-MP]:[AN-VL]]),"")</f>
        <v>0</v>
      </c>
      <c r="DJ87" s="92" t="str">
        <f>IFERROR(Tabla_Buffers_Agroinsumos[[#This Row],[INV FIS AN]]-Tabla_Buffers_Agroinsumos[[#This Row],[BUFFER AN]],"")</f>
        <v/>
      </c>
      <c r="DK8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87" s="134"/>
      <c r="DM87" s="134"/>
      <c r="DN87" s="134"/>
      <c r="DO87" s="134"/>
      <c r="DP87" s="134"/>
      <c r="DQ87" s="134"/>
      <c r="DR87" s="134"/>
      <c r="DS87" s="134"/>
      <c r="DT87" s="134"/>
      <c r="DU87" s="134" t="str">
        <f t="array" ref="DU87">IFERROR(INDEX(TABLACONSOLIDADA[Buff Act],MATCH("AGROINSUMOSAGROQUIMICOSSUR"&amp;Tabla_Buffers_Agroinsumos[[#This Row],[CODIGO ]],TABLACONSOLIDADA[Bodega]&amp;TABLACONSOLIDADA[Codigo],0)),"")</f>
        <v/>
      </c>
      <c r="DV87" s="157" t="str">
        <f t="array" ref="DV87">IFERROR(INDEX(TABLACONSOLIDADA[Inv Fís Act],MATCH("AGROINSUMOSAGROQUIMICOSSUR"&amp;Tabla_Buffers_Agroinsumos[[#This Row],[CODIGO ]],TABLACONSOLIDADA[Bodega]&amp;TABLACONSOLIDADA[Codigo],0)),"")</f>
        <v/>
      </c>
      <c r="DW87" s="157" t="str">
        <f t="array" ref="DW8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8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87" s="134">
        <f>IFERROR(SUM(Tabla_Buffers_Agroinsumos[[#This Row],[AS-MP]:[AS-VL]]),"")</f>
        <v>0</v>
      </c>
      <c r="DZ87" s="92" t="str">
        <f>IFERROR(Tabla_Buffers_Agroinsumos[[#This Row],[INV FIS AS]]-Tabla_Buffers_Agroinsumos[[#This Row],[BUFFER AS]],"")</f>
        <v/>
      </c>
      <c r="EA8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87" s="134"/>
      <c r="EC87" s="134"/>
      <c r="ED87" s="134"/>
      <c r="EE87" s="134"/>
      <c r="EF87" s="134"/>
      <c r="EG87" s="134"/>
      <c r="EH87" s="134"/>
      <c r="EI87" s="134"/>
      <c r="EJ87" s="134"/>
      <c r="EK87" s="134">
        <f t="array" ref="EK87">IFERROR(INDEX(TABLACONSOLIDADA[Buff Act],MATCH("AGROINSUMOSLAFINCA"&amp;Tabla_Buffers_Agroinsumos[[#This Row],[CODIGO ]],TABLACONSOLIDADA[Bodega]&amp;TABLACONSOLIDADA[Codigo],0)),"")</f>
        <v>0</v>
      </c>
      <c r="EL87" s="157">
        <f t="array" ref="EL87">IFERROR(INDEX(TABLACONSOLIDADA[Inv Fís Act],MATCH("AGROINSUMOSLAFINCA"&amp;Tabla_Buffers_Agroinsumos[[#This Row],[CODIGO ]],TABLACONSOLIDADA[Bodega]&amp;TABLACONSOLIDADA[Codigo],0)),"")</f>
        <v>0</v>
      </c>
      <c r="EM87" s="157">
        <f t="array" ref="EM8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8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87" s="134">
        <f>IFERROR(SUM(Tabla_Buffers_Agroinsumos[[#This Row],[LF-MP]:[LF-VL]]),"")</f>
        <v>0</v>
      </c>
      <c r="EP87" s="92">
        <f>IFERROR(Tabla_Buffers_Agroinsumos[[#This Row],[INV FIS LF]]-Tabla_Buffers_Agroinsumos[[#This Row],[BUFFER LF]],"")</f>
        <v>0</v>
      </c>
      <c r="EQ8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87" s="134"/>
      <c r="ES87" s="134"/>
      <c r="ET87" s="134"/>
      <c r="EU87" s="134"/>
      <c r="EV87" s="134"/>
      <c r="EW87" s="134"/>
      <c r="EX87" s="134"/>
      <c r="EY87" s="134"/>
      <c r="EZ87" s="134"/>
      <c r="FA87" s="134" t="str">
        <f t="array" ref="FA87">IFERROR(INDEX(TABLACONSOLIDADA[Buff Act],MATCH("AGROINSUMOSVERONICALEDESMA"&amp;Tabla_Buffers_Agroinsumos[[#This Row],[CODIGO ]],TABLACONSOLIDADA[Bodega]&amp;TABLACONSOLIDADA[Codigo],0)),"")</f>
        <v/>
      </c>
      <c r="FB87" s="157" t="str">
        <f t="array" ref="FB87">IFERROR(INDEX(TABLACONSOLIDADA[Inv Fís Act],MATCH("AGROINSUMOSVERONICALEDESMA"&amp;Tabla_Buffers_Agroinsumos[[#This Row],[CODIGO ]],TABLACONSOLIDADA[Bodega]&amp;TABLACONSOLIDADA[Codigo],0)),"")</f>
        <v/>
      </c>
      <c r="FC87" s="157" t="str">
        <f t="array" ref="FC8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8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87" s="134">
        <f>IFERROR(SUM(Tabla_Buffers_Agroinsumos[[#This Row],[VL-MP]:[VL-LF]]),"")</f>
        <v>0</v>
      </c>
      <c r="FF87" s="92" t="str">
        <f>IFERROR(Tabla_Buffers_Agroinsumos[[#This Row],[INV FIS VL]]-Tabla_Buffers_Agroinsumos[[#This Row],[BUFFER VL]],"")</f>
        <v/>
      </c>
      <c r="FG8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87" s="134"/>
      <c r="FI87" s="134"/>
      <c r="FJ87" s="134"/>
      <c r="FK87" s="134"/>
      <c r="FL87" s="134"/>
      <c r="FM87" s="134"/>
      <c r="FN87" s="134"/>
      <c r="FO87" s="134"/>
      <c r="FP87" s="134"/>
    </row>
    <row r="88" spans="1:172">
      <c r="A88" s="7" t="s">
        <v>179</v>
      </c>
      <c r="B88" s="7" t="s">
        <v>180</v>
      </c>
      <c r="C88" s="7" t="s">
        <v>787</v>
      </c>
      <c r="D88" s="7" t="s">
        <v>718</v>
      </c>
      <c r="E88" s="7" t="s">
        <v>863</v>
      </c>
      <c r="F88" s="19" t="s">
        <v>808</v>
      </c>
      <c r="G88" s="19" t="s">
        <v>802</v>
      </c>
      <c r="H88" s="19">
        <f>VLOOKUP(Tabla_Buffers_Agroinsumos[[#This Row],[CODIGO ]],TABLACONSOLIDADA[[Codigo]:[PV]],6,0)</f>
        <v>0</v>
      </c>
      <c r="I88" s="19">
        <f>VLOOKUP(Tabla_Buffers_Agroinsumos[[#This Row],[CODIGO ]],TABLACONSOLIDADA[[Codigo]:[PV]],5,0)</f>
        <v>0.66</v>
      </c>
      <c r="J88" s="19">
        <v>12</v>
      </c>
      <c r="K88" s="19">
        <v>4</v>
      </c>
      <c r="L88" s="19">
        <f>IFERROR(Tabla_Buffers_Agroinsumos[[#This Row],[BUFFER CENTRAL]]/((Tabla_Buffers_Agroinsumos[[#This Row],[TIEMPO REPOSICION ]]/Tabla_Buffers_Agroinsumos[[#This Row],[FRECUENCIA]])+1),0)</f>
        <v>37.5</v>
      </c>
      <c r="M88" s="19">
        <f t="array" ref="M88">IFERROR(INDEX(TABLACONSOLIDADA[Buff Act],MATCH("AGROINSUMOSMATERIAPRIMA"&amp;Tabla_Buffers_Agroinsumos[[#This Row],[CODIGO ]],TABLACONSOLIDADA[Bodega]&amp;TABLACONSOLIDADA[Codigo],0)),"")</f>
        <v>500</v>
      </c>
      <c r="N88" s="157">
        <f t="array" ref="N88">IFERROR(INDEX(TABLACONSOLIDADA[Inv Fís Act],MATCH("AGROINSUMOSMATERIAPRIMA"&amp;Tabla_Buffers_Agroinsumos[[#This Row],[CODIGO ]],TABLACONSOLIDADA[Bodega]&amp;TABLACONSOLIDADA[Codigo],0)),"")</f>
        <v>1018</v>
      </c>
      <c r="O88" s="157">
        <f t="array" ref="O8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1018</v>
      </c>
      <c r="P8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88" s="19">
        <f>IFERROR(SUM(Tabla_Buffers_Agroinsumos[[#This Row],[MP-C]:[MP-VL]]),"")</f>
        <v>0</v>
      </c>
      <c r="R88" s="92">
        <f>IFERROR(Tabla_Buffers_Agroinsumos[[#This Row],[INV FIS MATERIA PRIMA]]-Tabla_Buffers_Agroinsumos[[#This Row],[BUFFER MATERIA PRIMA]],"")</f>
        <v>518</v>
      </c>
      <c r="S8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518</v>
      </c>
      <c r="T88" s="19"/>
      <c r="U88" s="19"/>
      <c r="V88" s="19"/>
      <c r="W88" s="19"/>
      <c r="X88" s="19"/>
      <c r="Y88" s="19"/>
      <c r="Z88" s="19"/>
      <c r="AA88" s="19"/>
      <c r="AB88" s="19"/>
      <c r="AC88" s="152">
        <f t="array" ref="AC88">IFERROR(INDEX(TABLACONSOLIDADA[Buff Act],MATCH("AGROINSUMOSCENTRAL"&amp;Tabla_Buffers_Agroinsumos[[#This Row],[CODIGO ]],TABLACONSOLIDADA[Bodega]&amp;TABLACONSOLIDADA[Codigo],0)),"")</f>
        <v>50</v>
      </c>
      <c r="AD88" s="157">
        <f t="array" ref="AD88">IFERROR(INDEX(TABLACONSOLIDADA[Inv Fís Act],MATCH("AGROINSUMOSCENTRAL"&amp;Tabla_Buffers_Agroinsumos[[#This Row],[CODIGO ]],TABLACONSOLIDADA[Bodega]&amp;TABLACONSOLIDADA[Codigo],0)),"")</f>
        <v>50</v>
      </c>
      <c r="AE88" s="157">
        <f t="array" ref="AE8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50</v>
      </c>
      <c r="AF8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88" s="91">
        <f>IFERROR(SUM(Tabla_Buffers_Agroinsumos[[#This Row],[C-MP]:[C-VL]]),"")</f>
        <v>0</v>
      </c>
      <c r="AH88" s="92">
        <f>IFERROR(Tabla_Buffers_Agroinsumos[[#This Row],[INV FIS CENTRAL]]-Tabla_Buffers_Agroinsumos[[#This Row],[BUFFER CENTRAL]],"")</f>
        <v>0</v>
      </c>
      <c r="AI8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88" s="134"/>
      <c r="AK88" s="134"/>
      <c r="AL88" s="134"/>
      <c r="AM88" s="134"/>
      <c r="AN88" s="134"/>
      <c r="AO88" s="134"/>
      <c r="AP88" s="134"/>
      <c r="AQ88" s="134"/>
      <c r="AR88" s="134"/>
      <c r="AS88" s="134">
        <f t="array" ref="AS88">IFERROR(INDEX(TABLACONSOLIDADA[Buff Act],MATCH("AGROINSUMOScentralPROPIA"&amp;Tabla_Buffers_Agroinsumos[[#This Row],[CODIGO ]],TABLACONSOLIDADA[Bodega]&amp;TABLACONSOLIDADA[Codigo],0)),"")</f>
        <v>15</v>
      </c>
      <c r="AT88" s="157">
        <f t="array" ref="AT88">IFERROR(INDEX(TABLACONSOLIDADA[Inv Fís Act],MATCH("AGROINSUMOScentralPROPIA"&amp;Tabla_Buffers_Agroinsumos[[#This Row],[CODIGO ]],TABLACONSOLIDADA[Bodega]&amp;TABLACONSOLIDADA[Codigo],0)),"")</f>
        <v>0</v>
      </c>
      <c r="AU88" s="157">
        <f t="array" ref="AU8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8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88" s="134">
        <f>IFERROR(SUM(Tabla_Buffers_Agroinsumos[[#This Row],[P-MP]:[P-VL]]),"")</f>
        <v>0</v>
      </c>
      <c r="AX88" s="92">
        <f>IFERROR(Tabla_Buffers_Agroinsumos[[#This Row],[INV FIS PROPIA]]-Tabla_Buffers_Agroinsumos[[#This Row],[BUFFER PROPIA]],"")</f>
        <v>-15</v>
      </c>
      <c r="AY8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-15</v>
      </c>
      <c r="AZ88" s="134"/>
      <c r="BA88" s="134"/>
      <c r="BB88" s="134"/>
      <c r="BC88" s="134"/>
      <c r="BD88" s="134"/>
      <c r="BE88" s="134"/>
      <c r="BF88" s="134"/>
      <c r="BG88" s="134"/>
      <c r="BH88" s="134"/>
      <c r="BI88" s="91" t="str">
        <f t="array" ref="BI88">IFERROR(INDEX(TABLACONSOLIDADA[Buff Act],MATCH("AGROINSUMOSSTODOMINGO"&amp;Tabla_Buffers_Agroinsumos[[#This Row],[CODIGO ]],TABLACONSOLIDADA[Bodega]&amp;TABLACONSOLIDADA[Codigo],0)),"")</f>
        <v/>
      </c>
      <c r="BJ88" s="157" t="str">
        <f t="array" ref="BJ88">IFERROR(INDEX(TABLACONSOLIDADA[Inv Fís Act],MATCH("AGROINSUMOSSTODOMINGO"&amp;Tabla_Buffers_Agroinsumos[[#This Row],[CODIGO ]],TABLACONSOLIDADA[Bodega]&amp;TABLACONSOLIDADA[Codigo],0)),"")</f>
        <v/>
      </c>
      <c r="BK88" s="157" t="str">
        <f t="array" ref="BK8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8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88" s="91">
        <f>IFERROR(SUM(Tabla_Buffers_Agroinsumos[[#This Row],[SD-MP]:[SD-VL]]),"")</f>
        <v>0</v>
      </c>
      <c r="BN88" s="92"/>
      <c r="BO88" s="92"/>
      <c r="BP88" s="134"/>
      <c r="BQ88" s="134"/>
      <c r="BR88" s="134"/>
      <c r="BS88" s="134"/>
      <c r="BT88" s="134"/>
      <c r="BU88" s="134"/>
      <c r="BV88" s="134"/>
      <c r="BW88" s="134"/>
      <c r="BX88" s="134"/>
      <c r="BY88" s="134" t="str">
        <f t="array" ref="BY88">IFERROR(INDEX(TABLACONSOLIDADA[Buff Act],MATCH("AGROINSUMOSMONCAYOLOPEZ"&amp;Tabla_Buffers_Agroinsumos[[#This Row],[CODIGO ]],TABLACONSOLIDADA[Bodega]&amp;TABLACONSOLIDADA[Codigo],0)),"")</f>
        <v/>
      </c>
      <c r="BZ88" s="157" t="str">
        <f t="array" ref="BZ88">IFERROR(INDEX(TABLACONSOLIDADA[Inv Fís Act],MATCH("AGROINSUMOSMONCAYOLOPEZ"&amp;Tabla_Buffers_Agroinsumos[[#This Row],[CODIGO ]],TABLACONSOLIDADA[Bodega]&amp;TABLACONSOLIDADA[Codigo],0)),"")</f>
        <v/>
      </c>
      <c r="CA88" s="157" t="str">
        <f t="array" ref="CA8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8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88" s="134">
        <f>IFERROR(SUM(Tabla_Buffers_Agroinsumos[[#This Row],[ML-MP]:[ML-VL]]),"")</f>
        <v>0</v>
      </c>
      <c r="CD88" s="92" t="str">
        <f>IFERROR(Tabla_Buffers_Agroinsumos[[#This Row],[INV FIS ML]]-Tabla_Buffers_Agroinsumos[[#This Row],[BUFFER ML]],"")</f>
        <v/>
      </c>
      <c r="CE8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88" s="134"/>
      <c r="CG88" s="134"/>
      <c r="CH88" s="134"/>
      <c r="CI88" s="134"/>
      <c r="CJ88" s="134"/>
      <c r="CK88" s="134"/>
      <c r="CL88" s="134"/>
      <c r="CM88" s="134"/>
      <c r="CN88" s="134"/>
      <c r="CO88" s="134" t="str">
        <f t="array" ref="CO88">IFERROR(INDEX(TABLACONSOLIDADA[Buff Act],MATCH("AGROINSUMOSAGROHERMANOSLEON"&amp;Tabla_Buffers_Agroinsumos[[#This Row],[CODIGO ]],TABLACONSOLIDADA[Bodega]&amp;TABLACONSOLIDADA[Codigo],0)),"")</f>
        <v/>
      </c>
      <c r="CP88" s="157" t="str">
        <f t="array" ref="CP88">IFERROR(INDEX(TABLACONSOLIDADA[Inv Fís Act],MATCH("AGROINSUMOSAGROHERMANOSLEON"&amp;Tabla_Buffers_Agroinsumos[[#This Row],[CODIGO ]],TABLACONSOLIDADA[Bodega]&amp;TABLACONSOLIDADA[Codigo],0)),"")</f>
        <v/>
      </c>
      <c r="CQ88" s="157" t="str">
        <f t="array" ref="CQ8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8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88" s="134">
        <f>IFERROR(SUM(Tabla_Buffers_Agroinsumos[[#This Row],[AL-MP]:[AL-VL]]),"")</f>
        <v>0</v>
      </c>
      <c r="CT88" s="92" t="str">
        <f>IFERROR(Tabla_Buffers_Agroinsumos[[#This Row],[INV FIS AL]]-Tabla_Buffers_Agroinsumos[[#This Row],[BUFFER AL]],"")</f>
        <v/>
      </c>
      <c r="CU8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88" s="134"/>
      <c r="CW88" s="134"/>
      <c r="CX88" s="134"/>
      <c r="CY88" s="134"/>
      <c r="CZ88" s="134"/>
      <c r="DA88" s="134"/>
      <c r="DB88" s="134"/>
      <c r="DC88" s="134"/>
      <c r="DD88" s="134"/>
      <c r="DE88" s="134" t="str">
        <f t="array" ref="DE88">IFERROR(INDEX(TABLACONSOLIDADA[Buff Act],MATCH("AGROINSUMOSAGRONUEVO"&amp;Tabla_Buffers_Agroinsumos[[#This Row],[CODIGO ]],TABLACONSOLIDADA[Bodega]&amp;TABLACONSOLIDADA[Codigo],0)),"")</f>
        <v/>
      </c>
      <c r="DF88" s="157" t="str">
        <f t="array" ref="DF88">IFERROR(INDEX(TABLACONSOLIDADA[Inv Fís Act],MATCH("AGROINSUMOSAGRONUEVO"&amp;Tabla_Buffers_Agroinsumos[[#This Row],[CODIGO ]],TABLACONSOLIDADA[Bodega]&amp;TABLACONSOLIDADA[Codigo],0)),"")</f>
        <v/>
      </c>
      <c r="DG88" s="157" t="str">
        <f t="array" ref="DG8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8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88" s="134">
        <f>IFERROR(SUM(Tabla_Buffers_Agroinsumos[[#This Row],[AN-MP]:[AN-VL]]),"")</f>
        <v>0</v>
      </c>
      <c r="DJ88" s="92" t="str">
        <f>IFERROR(Tabla_Buffers_Agroinsumos[[#This Row],[INV FIS AN]]-Tabla_Buffers_Agroinsumos[[#This Row],[BUFFER AN]],"")</f>
        <v/>
      </c>
      <c r="DK8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88" s="134"/>
      <c r="DM88" s="134"/>
      <c r="DN88" s="134"/>
      <c r="DO88" s="134"/>
      <c r="DP88" s="134"/>
      <c r="DQ88" s="134"/>
      <c r="DR88" s="134"/>
      <c r="DS88" s="134"/>
      <c r="DT88" s="134"/>
      <c r="DU88" s="134" t="str">
        <f t="array" ref="DU88">IFERROR(INDEX(TABLACONSOLIDADA[Buff Act],MATCH("AGROINSUMOSAGROQUIMICOSSUR"&amp;Tabla_Buffers_Agroinsumos[[#This Row],[CODIGO ]],TABLACONSOLIDADA[Bodega]&amp;TABLACONSOLIDADA[Codigo],0)),"")</f>
        <v/>
      </c>
      <c r="DV88" s="157" t="str">
        <f t="array" ref="DV88">IFERROR(INDEX(TABLACONSOLIDADA[Inv Fís Act],MATCH("AGROINSUMOSAGROQUIMICOSSUR"&amp;Tabla_Buffers_Agroinsumos[[#This Row],[CODIGO ]],TABLACONSOLIDADA[Bodega]&amp;TABLACONSOLIDADA[Codigo],0)),"")</f>
        <v/>
      </c>
      <c r="DW88" s="157" t="str">
        <f t="array" ref="DW8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8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88" s="134">
        <f>IFERROR(SUM(Tabla_Buffers_Agroinsumos[[#This Row],[AS-MP]:[AS-VL]]),"")</f>
        <v>0</v>
      </c>
      <c r="DZ88" s="92" t="str">
        <f>IFERROR(Tabla_Buffers_Agroinsumos[[#This Row],[INV FIS AS]]-Tabla_Buffers_Agroinsumos[[#This Row],[BUFFER AS]],"")</f>
        <v/>
      </c>
      <c r="EA8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88" s="134"/>
      <c r="EC88" s="134"/>
      <c r="ED88" s="134"/>
      <c r="EE88" s="134"/>
      <c r="EF88" s="134"/>
      <c r="EG88" s="134"/>
      <c r="EH88" s="134"/>
      <c r="EI88" s="134"/>
      <c r="EJ88" s="134"/>
      <c r="EK88" s="134">
        <f t="array" ref="EK88">IFERROR(INDEX(TABLACONSOLIDADA[Buff Act],MATCH("AGROINSUMOSLAFINCA"&amp;Tabla_Buffers_Agroinsumos[[#This Row],[CODIGO ]],TABLACONSOLIDADA[Bodega]&amp;TABLACONSOLIDADA[Codigo],0)),"")</f>
        <v>0</v>
      </c>
      <c r="EL88" s="157">
        <f t="array" ref="EL88">IFERROR(INDEX(TABLACONSOLIDADA[Inv Fís Act],MATCH("AGROINSUMOSLAFINCA"&amp;Tabla_Buffers_Agroinsumos[[#This Row],[CODIGO ]],TABLACONSOLIDADA[Bodega]&amp;TABLACONSOLIDADA[Codigo],0)),"")</f>
        <v>0</v>
      </c>
      <c r="EM88" s="157">
        <f t="array" ref="EM8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8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88" s="134">
        <f>IFERROR(SUM(Tabla_Buffers_Agroinsumos[[#This Row],[LF-MP]:[LF-VL]]),"")</f>
        <v>0</v>
      </c>
      <c r="EP88" s="92">
        <f>IFERROR(Tabla_Buffers_Agroinsumos[[#This Row],[INV FIS LF]]-Tabla_Buffers_Agroinsumos[[#This Row],[BUFFER LF]],"")</f>
        <v>0</v>
      </c>
      <c r="EQ8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88" s="134"/>
      <c r="ES88" s="134"/>
      <c r="ET88" s="134"/>
      <c r="EU88" s="134"/>
      <c r="EV88" s="134"/>
      <c r="EW88" s="134"/>
      <c r="EX88" s="134"/>
      <c r="EY88" s="134"/>
      <c r="EZ88" s="134"/>
      <c r="FA88" s="134" t="str">
        <f t="array" ref="FA88">IFERROR(INDEX(TABLACONSOLIDADA[Buff Act],MATCH("AGROINSUMOSVERONICALEDESMA"&amp;Tabla_Buffers_Agroinsumos[[#This Row],[CODIGO ]],TABLACONSOLIDADA[Bodega]&amp;TABLACONSOLIDADA[Codigo],0)),"")</f>
        <v/>
      </c>
      <c r="FB88" s="157" t="str">
        <f t="array" ref="FB88">IFERROR(INDEX(TABLACONSOLIDADA[Inv Fís Act],MATCH("AGROINSUMOSVERONICALEDESMA"&amp;Tabla_Buffers_Agroinsumos[[#This Row],[CODIGO ]],TABLACONSOLIDADA[Bodega]&amp;TABLACONSOLIDADA[Codigo],0)),"")</f>
        <v/>
      </c>
      <c r="FC88" s="157" t="str">
        <f t="array" ref="FC8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8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88" s="134">
        <f>IFERROR(SUM(Tabla_Buffers_Agroinsumos[[#This Row],[VL-MP]:[VL-LF]]),"")</f>
        <v>0</v>
      </c>
      <c r="FF88" s="92" t="str">
        <f>IFERROR(Tabla_Buffers_Agroinsumos[[#This Row],[INV FIS VL]]-Tabla_Buffers_Agroinsumos[[#This Row],[BUFFER VL]],"")</f>
        <v/>
      </c>
      <c r="FG8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88" s="134"/>
      <c r="FI88" s="134"/>
      <c r="FJ88" s="134"/>
      <c r="FK88" s="134"/>
      <c r="FL88" s="134"/>
      <c r="FM88" s="134"/>
      <c r="FN88" s="134"/>
      <c r="FO88" s="134"/>
      <c r="FP88" s="134"/>
    </row>
    <row r="89" spans="1:172" s="44" customFormat="1">
      <c r="A89" s="7" t="s">
        <v>852</v>
      </c>
      <c r="B89" s="7" t="s">
        <v>928</v>
      </c>
      <c r="C89" s="7" t="s">
        <v>787</v>
      </c>
      <c r="D89" s="7" t="s">
        <v>718</v>
      </c>
      <c r="E89" s="7" t="s">
        <v>863</v>
      </c>
      <c r="F89" s="19"/>
      <c r="G89" s="19" t="s">
        <v>802</v>
      </c>
      <c r="H89" s="19">
        <f>VLOOKUP(Tabla_Buffers_Agroinsumos[[#This Row],[CODIGO ]],TABLACONSOLIDADA[[Codigo]:[PV]],6,0)</f>
        <v>0</v>
      </c>
      <c r="I89" s="19">
        <f>VLOOKUP(Tabla_Buffers_Agroinsumos[[#This Row],[CODIGO ]],TABLACONSOLIDADA[[Codigo]:[PV]],5,0)</f>
        <v>0.74</v>
      </c>
      <c r="J89" s="19">
        <v>4</v>
      </c>
      <c r="K89" s="19">
        <v>4</v>
      </c>
      <c r="L89" s="19">
        <f>IFERROR(Tabla_Buffers_Agroinsumos[[#This Row],[BUFFER CENTRAL]]/((Tabla_Buffers_Agroinsumos[[#This Row],[TIEMPO REPOSICION ]]/Tabla_Buffers_Agroinsumos[[#This Row],[FRECUENCIA]])+1),0)</f>
        <v>75</v>
      </c>
      <c r="M89" s="19">
        <f t="array" ref="M89">IFERROR(INDEX(TABLACONSOLIDADA[Buff Act],MATCH("AGROINSUMOSMATERIAPRIMA"&amp;Tabla_Buffers_Agroinsumos[[#This Row],[CODIGO ]],TABLACONSOLIDADA[Bodega]&amp;TABLACONSOLIDADA[Codigo],0)),"")</f>
        <v>500</v>
      </c>
      <c r="N89" s="157">
        <f t="array" ref="N89">IFERROR(INDEX(TABLACONSOLIDADA[Inv Fís Act],MATCH("AGROINSUMOSMATERIAPRIMA"&amp;Tabla_Buffers_Agroinsumos[[#This Row],[CODIGO ]],TABLACONSOLIDADA[Bodega]&amp;TABLACONSOLIDADA[Codigo],0)),"")</f>
        <v>1306</v>
      </c>
      <c r="O89" s="157">
        <f t="array" ref="O8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1306</v>
      </c>
      <c r="P8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89" s="19">
        <f>IFERROR(SUM(Tabla_Buffers_Agroinsumos[[#This Row],[MP-C]:[MP-VL]]),"")</f>
        <v>0</v>
      </c>
      <c r="R89" s="92">
        <f>IFERROR(Tabla_Buffers_Agroinsumos[[#This Row],[INV FIS MATERIA PRIMA]]-Tabla_Buffers_Agroinsumos[[#This Row],[BUFFER MATERIA PRIMA]],"")</f>
        <v>806</v>
      </c>
      <c r="S8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806</v>
      </c>
      <c r="T89" s="19"/>
      <c r="U89" s="19"/>
      <c r="V89" s="19"/>
      <c r="W89" s="19"/>
      <c r="X89" s="19"/>
      <c r="Y89" s="19"/>
      <c r="Z89" s="19"/>
      <c r="AA89" s="19"/>
      <c r="AB89" s="19"/>
      <c r="AC89" s="152">
        <f t="array" ref="AC89">IFERROR(INDEX(TABLACONSOLIDADA[Buff Act],MATCH("AGROINSUMOSCENTRAL"&amp;Tabla_Buffers_Agroinsumos[[#This Row],[CODIGO ]],TABLACONSOLIDADA[Bodega]&amp;TABLACONSOLIDADA[Codigo],0)),"")</f>
        <v>150</v>
      </c>
      <c r="AD89" s="157">
        <f t="array" ref="AD89">IFERROR(INDEX(TABLACONSOLIDADA[Inv Fís Act],MATCH("AGROINSUMOSCENTRAL"&amp;Tabla_Buffers_Agroinsumos[[#This Row],[CODIGO ]],TABLACONSOLIDADA[Bodega]&amp;TABLACONSOLIDADA[Codigo],0)),"")</f>
        <v>279</v>
      </c>
      <c r="AE89" s="157">
        <f t="array" ref="AE8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279</v>
      </c>
      <c r="AF8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89" s="91">
        <f>IFERROR(SUM(Tabla_Buffers_Agroinsumos[[#This Row],[C-MP]:[C-VL]]),"")</f>
        <v>0</v>
      </c>
      <c r="AH89" s="92">
        <f>IFERROR(Tabla_Buffers_Agroinsumos[[#This Row],[INV FIS CENTRAL]]-Tabla_Buffers_Agroinsumos[[#This Row],[BUFFER CENTRAL]],"")</f>
        <v>129</v>
      </c>
      <c r="AI8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129</v>
      </c>
      <c r="AJ89" s="134"/>
      <c r="AK89" s="134"/>
      <c r="AL89" s="134"/>
      <c r="AM89" s="134"/>
      <c r="AN89" s="134"/>
      <c r="AO89" s="134"/>
      <c r="AP89" s="134"/>
      <c r="AQ89" s="134"/>
      <c r="AR89" s="134"/>
      <c r="AS89" s="134">
        <f t="array" ref="AS89">IFERROR(INDEX(TABLACONSOLIDADA[Buff Act],MATCH("AGROINSUMOScentralPROPIA"&amp;Tabla_Buffers_Agroinsumos[[#This Row],[CODIGO ]],TABLACONSOLIDADA[Bodega]&amp;TABLACONSOLIDADA[Codigo],0)),"")</f>
        <v>120</v>
      </c>
      <c r="AT89" s="157">
        <f t="array" ref="AT89">IFERROR(INDEX(TABLACONSOLIDADA[Inv Fís Act],MATCH("AGROINSUMOScentralPROPIA"&amp;Tabla_Buffers_Agroinsumos[[#This Row],[CODIGO ]],TABLACONSOLIDADA[Bodega]&amp;TABLACONSOLIDADA[Codigo],0)),"")</f>
        <v>0</v>
      </c>
      <c r="AU89" s="157">
        <f t="array" ref="AU8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8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89" s="134">
        <f>IFERROR(SUM(Tabla_Buffers_Agroinsumos[[#This Row],[P-MP]:[P-VL]]),"")</f>
        <v>0</v>
      </c>
      <c r="AX89" s="92">
        <f>IFERROR(Tabla_Buffers_Agroinsumos[[#This Row],[INV FIS PROPIA]]-Tabla_Buffers_Agroinsumos[[#This Row],[BUFFER PROPIA]],"")</f>
        <v>-120</v>
      </c>
      <c r="AY8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-120</v>
      </c>
      <c r="AZ89" s="134"/>
      <c r="BA89" s="134"/>
      <c r="BB89" s="134"/>
      <c r="BC89" s="134"/>
      <c r="BD89" s="134"/>
      <c r="BE89" s="134"/>
      <c r="BF89" s="134"/>
      <c r="BG89" s="134"/>
      <c r="BH89" s="134"/>
      <c r="BI89" s="91">
        <f t="array" ref="BI89">IFERROR(INDEX(TABLACONSOLIDADA[Buff Act],MATCH("AGROINSUMOSSTODOMINGO"&amp;Tabla_Buffers_Agroinsumos[[#This Row],[CODIGO ]],TABLACONSOLIDADA[Bodega]&amp;TABLACONSOLIDADA[Codigo],0)),"")</f>
        <v>200</v>
      </c>
      <c r="BJ89" s="157">
        <f t="array" ref="BJ89">IFERROR(INDEX(TABLACONSOLIDADA[Inv Fís Act],MATCH("AGROINSUMOSSTODOMINGO"&amp;Tabla_Buffers_Agroinsumos[[#This Row],[CODIGO ]],TABLACONSOLIDADA[Bodega]&amp;TABLACONSOLIDADA[Codigo],0)),"")</f>
        <v>81</v>
      </c>
      <c r="BK89" s="157">
        <f t="array" ref="BK8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81</v>
      </c>
      <c r="BL8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89" s="91">
        <f>IFERROR(SUM(Tabla_Buffers_Agroinsumos[[#This Row],[SD-MP]:[SD-VL]]),"")</f>
        <v>0</v>
      </c>
      <c r="BN89" s="92"/>
      <c r="BO89" s="92"/>
      <c r="BP89" s="134"/>
      <c r="BQ89" s="134"/>
      <c r="BR89" s="134"/>
      <c r="BS89" s="134"/>
      <c r="BT89" s="134"/>
      <c r="BU89" s="134"/>
      <c r="BV89" s="134"/>
      <c r="BW89" s="134"/>
      <c r="BX89" s="134"/>
      <c r="BY89" s="134" t="str">
        <f t="array" ref="BY89">IFERROR(INDEX(TABLACONSOLIDADA[Buff Act],MATCH("AGROINSUMOSMONCAYOLOPEZ"&amp;Tabla_Buffers_Agroinsumos[[#This Row],[CODIGO ]],TABLACONSOLIDADA[Bodega]&amp;TABLACONSOLIDADA[Codigo],0)),"")</f>
        <v/>
      </c>
      <c r="BZ89" s="157" t="str">
        <f t="array" ref="BZ89">IFERROR(INDEX(TABLACONSOLIDADA[Inv Fís Act],MATCH("AGROINSUMOSMONCAYOLOPEZ"&amp;Tabla_Buffers_Agroinsumos[[#This Row],[CODIGO ]],TABLACONSOLIDADA[Bodega]&amp;TABLACONSOLIDADA[Codigo],0)),"")</f>
        <v/>
      </c>
      <c r="CA89" s="157" t="str">
        <f t="array" ref="CA8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8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89" s="134">
        <f>IFERROR(SUM(Tabla_Buffers_Agroinsumos[[#This Row],[ML-MP]:[ML-VL]]),"")</f>
        <v>0</v>
      </c>
      <c r="CD89" s="92" t="str">
        <f>IFERROR(Tabla_Buffers_Agroinsumos[[#This Row],[INV FIS ML]]-Tabla_Buffers_Agroinsumos[[#This Row],[BUFFER ML]],"")</f>
        <v/>
      </c>
      <c r="CE8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89" s="134"/>
      <c r="CG89" s="134"/>
      <c r="CH89" s="134"/>
      <c r="CI89" s="134"/>
      <c r="CJ89" s="134"/>
      <c r="CK89" s="134"/>
      <c r="CL89" s="134"/>
      <c r="CM89" s="134"/>
      <c r="CN89" s="134"/>
      <c r="CO89" s="134" t="str">
        <f t="array" ref="CO89">IFERROR(INDEX(TABLACONSOLIDADA[Buff Act],MATCH("AGROINSUMOSAGROHERMANOSLEON"&amp;Tabla_Buffers_Agroinsumos[[#This Row],[CODIGO ]],TABLACONSOLIDADA[Bodega]&amp;TABLACONSOLIDADA[Codigo],0)),"")</f>
        <v/>
      </c>
      <c r="CP89" s="157" t="str">
        <f t="array" ref="CP89">IFERROR(INDEX(TABLACONSOLIDADA[Inv Fís Act],MATCH("AGROINSUMOSAGROHERMANOSLEON"&amp;Tabla_Buffers_Agroinsumos[[#This Row],[CODIGO ]],TABLACONSOLIDADA[Bodega]&amp;TABLACONSOLIDADA[Codigo],0)),"")</f>
        <v/>
      </c>
      <c r="CQ89" s="157" t="str">
        <f t="array" ref="CQ8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8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89" s="134">
        <f>IFERROR(SUM(Tabla_Buffers_Agroinsumos[[#This Row],[AL-MP]:[AL-VL]]),"")</f>
        <v>0</v>
      </c>
      <c r="CT89" s="92" t="str">
        <f>IFERROR(Tabla_Buffers_Agroinsumos[[#This Row],[INV FIS AL]]-Tabla_Buffers_Agroinsumos[[#This Row],[BUFFER AL]],"")</f>
        <v/>
      </c>
      <c r="CU8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89" s="134"/>
      <c r="CW89" s="134"/>
      <c r="CX89" s="134"/>
      <c r="CY89" s="134"/>
      <c r="CZ89" s="134"/>
      <c r="DA89" s="134"/>
      <c r="DB89" s="134"/>
      <c r="DC89" s="134"/>
      <c r="DD89" s="134"/>
      <c r="DE89" s="134" t="str">
        <f t="array" ref="DE89">IFERROR(INDEX(TABLACONSOLIDADA[Buff Act],MATCH("AGROINSUMOSAGRONUEVO"&amp;Tabla_Buffers_Agroinsumos[[#This Row],[CODIGO ]],TABLACONSOLIDADA[Bodega]&amp;TABLACONSOLIDADA[Codigo],0)),"")</f>
        <v/>
      </c>
      <c r="DF89" s="157" t="str">
        <f t="array" ref="DF89">IFERROR(INDEX(TABLACONSOLIDADA[Inv Fís Act],MATCH("AGROINSUMOSAGRONUEVO"&amp;Tabla_Buffers_Agroinsumos[[#This Row],[CODIGO ]],TABLACONSOLIDADA[Bodega]&amp;TABLACONSOLIDADA[Codigo],0)),"")</f>
        <v/>
      </c>
      <c r="DG89" s="157" t="str">
        <f t="array" ref="DG8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8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89" s="134">
        <f>IFERROR(SUM(Tabla_Buffers_Agroinsumos[[#This Row],[AN-MP]:[AN-VL]]),"")</f>
        <v>0</v>
      </c>
      <c r="DJ89" s="92" t="str">
        <f>IFERROR(Tabla_Buffers_Agroinsumos[[#This Row],[INV FIS AN]]-Tabla_Buffers_Agroinsumos[[#This Row],[BUFFER AN]],"")</f>
        <v/>
      </c>
      <c r="DK8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89" s="134"/>
      <c r="DM89" s="134"/>
      <c r="DN89" s="134"/>
      <c r="DO89" s="134"/>
      <c r="DP89" s="134"/>
      <c r="DQ89" s="134"/>
      <c r="DR89" s="134"/>
      <c r="DS89" s="134"/>
      <c r="DT89" s="134"/>
      <c r="DU89" s="134" t="str">
        <f t="array" ref="DU89">IFERROR(INDEX(TABLACONSOLIDADA[Buff Act],MATCH("AGROINSUMOSAGROQUIMICOSSUR"&amp;Tabla_Buffers_Agroinsumos[[#This Row],[CODIGO ]],TABLACONSOLIDADA[Bodega]&amp;TABLACONSOLIDADA[Codigo],0)),"")</f>
        <v/>
      </c>
      <c r="DV89" s="157" t="str">
        <f t="array" ref="DV89">IFERROR(INDEX(TABLACONSOLIDADA[Inv Fís Act],MATCH("AGROINSUMOSAGROQUIMICOSSUR"&amp;Tabla_Buffers_Agroinsumos[[#This Row],[CODIGO ]],TABLACONSOLIDADA[Bodega]&amp;TABLACONSOLIDADA[Codigo],0)),"")</f>
        <v/>
      </c>
      <c r="DW89" s="157" t="str">
        <f t="array" ref="DW8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8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89" s="134">
        <f>IFERROR(SUM(Tabla_Buffers_Agroinsumos[[#This Row],[AS-MP]:[AS-VL]]),"")</f>
        <v>0</v>
      </c>
      <c r="DZ89" s="92" t="str">
        <f>IFERROR(Tabla_Buffers_Agroinsumos[[#This Row],[INV FIS AS]]-Tabla_Buffers_Agroinsumos[[#This Row],[BUFFER AS]],"")</f>
        <v/>
      </c>
      <c r="EA8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89" s="134"/>
      <c r="EC89" s="134"/>
      <c r="ED89" s="134"/>
      <c r="EE89" s="134"/>
      <c r="EF89" s="134"/>
      <c r="EG89" s="134"/>
      <c r="EH89" s="134"/>
      <c r="EI89" s="134"/>
      <c r="EJ89" s="134"/>
      <c r="EK89" s="134">
        <f t="array" ref="EK89">IFERROR(INDEX(TABLACONSOLIDADA[Buff Act],MATCH("AGROINSUMOSLAFINCA"&amp;Tabla_Buffers_Agroinsumos[[#This Row],[CODIGO ]],TABLACONSOLIDADA[Bodega]&amp;TABLACONSOLIDADA[Codigo],0)),"")</f>
        <v>0</v>
      </c>
      <c r="EL89" s="157">
        <f t="array" ref="EL89">IFERROR(INDEX(TABLACONSOLIDADA[Inv Fís Act],MATCH("AGROINSUMOSLAFINCA"&amp;Tabla_Buffers_Agroinsumos[[#This Row],[CODIGO ]],TABLACONSOLIDADA[Bodega]&amp;TABLACONSOLIDADA[Codigo],0)),"")</f>
        <v>0</v>
      </c>
      <c r="EM89" s="157">
        <f t="array" ref="EM8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8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89" s="134">
        <f>IFERROR(SUM(Tabla_Buffers_Agroinsumos[[#This Row],[LF-MP]:[LF-VL]]),"")</f>
        <v>0</v>
      </c>
      <c r="EP89" s="92">
        <f>IFERROR(Tabla_Buffers_Agroinsumos[[#This Row],[INV FIS LF]]-Tabla_Buffers_Agroinsumos[[#This Row],[BUFFER LF]],"")</f>
        <v>0</v>
      </c>
      <c r="EQ8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89" s="134"/>
      <c r="ES89" s="134"/>
      <c r="ET89" s="134"/>
      <c r="EU89" s="134"/>
      <c r="EV89" s="134"/>
      <c r="EW89" s="134"/>
      <c r="EX89" s="134"/>
      <c r="EY89" s="134"/>
      <c r="EZ89" s="134"/>
      <c r="FA89" s="134" t="str">
        <f t="array" ref="FA89">IFERROR(INDEX(TABLACONSOLIDADA[Buff Act],MATCH("AGROINSUMOSVERONICALEDESMA"&amp;Tabla_Buffers_Agroinsumos[[#This Row],[CODIGO ]],TABLACONSOLIDADA[Bodega]&amp;TABLACONSOLIDADA[Codigo],0)),"")</f>
        <v/>
      </c>
      <c r="FB89" s="157" t="str">
        <f t="array" ref="FB89">IFERROR(INDEX(TABLACONSOLIDADA[Inv Fís Act],MATCH("AGROINSUMOSVERONICALEDESMA"&amp;Tabla_Buffers_Agroinsumos[[#This Row],[CODIGO ]],TABLACONSOLIDADA[Bodega]&amp;TABLACONSOLIDADA[Codigo],0)),"")</f>
        <v/>
      </c>
      <c r="FC89" s="157" t="str">
        <f t="array" ref="FC8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8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89" s="134">
        <f>IFERROR(SUM(Tabla_Buffers_Agroinsumos[[#This Row],[VL-MP]:[VL-LF]]),"")</f>
        <v>0</v>
      </c>
      <c r="FF89" s="92" t="str">
        <f>IFERROR(Tabla_Buffers_Agroinsumos[[#This Row],[INV FIS VL]]-Tabla_Buffers_Agroinsumos[[#This Row],[BUFFER VL]],"")</f>
        <v/>
      </c>
      <c r="FG8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89" s="134"/>
      <c r="FI89" s="134"/>
      <c r="FJ89" s="134"/>
      <c r="FK89" s="134"/>
      <c r="FL89" s="134"/>
      <c r="FM89" s="134"/>
      <c r="FN89" s="134"/>
      <c r="FO89" s="134"/>
      <c r="FP89" s="134"/>
    </row>
    <row r="90" spans="1:172">
      <c r="A90" s="7" t="s">
        <v>181</v>
      </c>
      <c r="B90" s="7" t="s">
        <v>182</v>
      </c>
      <c r="C90" s="7" t="s">
        <v>787</v>
      </c>
      <c r="D90" s="7" t="s">
        <v>718</v>
      </c>
      <c r="E90" s="7" t="s">
        <v>863</v>
      </c>
      <c r="F90" s="19" t="s">
        <v>808</v>
      </c>
      <c r="G90" s="19" t="s">
        <v>802</v>
      </c>
      <c r="H90" s="19">
        <f>VLOOKUP(Tabla_Buffers_Agroinsumos[[#This Row],[CODIGO ]],TABLACONSOLIDADA[[Codigo]:[PV]],6,0)</f>
        <v>0</v>
      </c>
      <c r="I90" s="19">
        <f>VLOOKUP(Tabla_Buffers_Agroinsumos[[#This Row],[CODIGO ]],TABLACONSOLIDADA[[Codigo]:[PV]],5,0)</f>
        <v>0.86</v>
      </c>
      <c r="J90" s="19">
        <v>12</v>
      </c>
      <c r="K90" s="19">
        <v>4</v>
      </c>
      <c r="L90" s="19">
        <f>IFERROR(Tabla_Buffers_Agroinsumos[[#This Row],[BUFFER CENTRAL]]/((Tabla_Buffers_Agroinsumos[[#This Row],[TIEMPO REPOSICION ]]/Tabla_Buffers_Agroinsumos[[#This Row],[FRECUENCIA]])+1),0)</f>
        <v>0</v>
      </c>
      <c r="M90" s="19">
        <f t="array" ref="M90">IFERROR(INDEX(TABLACONSOLIDADA[Buff Act],MATCH("AGROINSUMOSMATERIAPRIMA"&amp;Tabla_Buffers_Agroinsumos[[#This Row],[CODIGO ]],TABLACONSOLIDADA[Bodega]&amp;TABLACONSOLIDADA[Codigo],0)),"")</f>
        <v>250</v>
      </c>
      <c r="N90" s="157">
        <f t="array" ref="N90">IFERROR(INDEX(TABLACONSOLIDADA[Inv Fís Act],MATCH("AGROINSUMOSMATERIAPRIMA"&amp;Tabla_Buffers_Agroinsumos[[#This Row],[CODIGO ]],TABLACONSOLIDADA[Bodega]&amp;TABLACONSOLIDADA[Codigo],0)),"")</f>
        <v>942</v>
      </c>
      <c r="O90" s="157">
        <f t="array" ref="O9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942</v>
      </c>
      <c r="P9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90" s="19">
        <f>IFERROR(SUM(Tabla_Buffers_Agroinsumos[[#This Row],[MP-C]:[MP-VL]]),"")</f>
        <v>0</v>
      </c>
      <c r="R90" s="92">
        <f>IFERROR(Tabla_Buffers_Agroinsumos[[#This Row],[INV FIS MATERIA PRIMA]]-Tabla_Buffers_Agroinsumos[[#This Row],[BUFFER MATERIA PRIMA]],"")</f>
        <v>692</v>
      </c>
      <c r="S9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692</v>
      </c>
      <c r="T90" s="19"/>
      <c r="U90" s="19"/>
      <c r="V90" s="19"/>
      <c r="W90" s="19"/>
      <c r="X90" s="19"/>
      <c r="Y90" s="19"/>
      <c r="Z90" s="19"/>
      <c r="AA90" s="19"/>
      <c r="AB90" s="19"/>
      <c r="AC90" s="152" t="str">
        <f t="array" ref="AC90">IFERROR(INDEX(TABLACONSOLIDADA[Buff Act],MATCH("AGROINSUMOSCENTRAL"&amp;Tabla_Buffers_Agroinsumos[[#This Row],[CODIGO ]],TABLACONSOLIDADA[Bodega]&amp;TABLACONSOLIDADA[Codigo],0)),"")</f>
        <v/>
      </c>
      <c r="AD90" s="157" t="str">
        <f t="array" ref="AD90">IFERROR(INDEX(TABLACONSOLIDADA[Inv Fís Act],MATCH("AGROINSUMOSCENTRAL"&amp;Tabla_Buffers_Agroinsumos[[#This Row],[CODIGO ]],TABLACONSOLIDADA[Bodega]&amp;TABLACONSOLIDADA[Codigo],0)),"")</f>
        <v/>
      </c>
      <c r="AE90" s="157" t="str">
        <f t="array" ref="AE9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9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90" s="91">
        <f>IFERROR(SUM(Tabla_Buffers_Agroinsumos[[#This Row],[C-MP]:[C-VL]]),"")</f>
        <v>0</v>
      </c>
      <c r="AH90" s="92" t="str">
        <f>IFERROR(Tabla_Buffers_Agroinsumos[[#This Row],[INV FIS CENTRAL]]-Tabla_Buffers_Agroinsumos[[#This Row],[BUFFER CENTRAL]],"")</f>
        <v/>
      </c>
      <c r="AI9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90" s="134"/>
      <c r="AK90" s="134"/>
      <c r="AL90" s="134"/>
      <c r="AM90" s="134"/>
      <c r="AN90" s="134"/>
      <c r="AO90" s="134"/>
      <c r="AP90" s="134"/>
      <c r="AQ90" s="134"/>
      <c r="AR90" s="134"/>
      <c r="AS90" s="134" t="str">
        <f t="array" ref="AS90">IFERROR(INDEX(TABLACONSOLIDADA[Buff Act],MATCH("AGROINSUMOScentralPROPIA"&amp;Tabla_Buffers_Agroinsumos[[#This Row],[CODIGO ]],TABLACONSOLIDADA[Bodega]&amp;TABLACONSOLIDADA[Codigo],0)),"")</f>
        <v/>
      </c>
      <c r="AT90" s="157" t="str">
        <f t="array" ref="AT90">IFERROR(INDEX(TABLACONSOLIDADA[Inv Fís Act],MATCH("AGROINSUMOScentralPROPIA"&amp;Tabla_Buffers_Agroinsumos[[#This Row],[CODIGO ]],TABLACONSOLIDADA[Bodega]&amp;TABLACONSOLIDADA[Codigo],0)),"")</f>
        <v/>
      </c>
      <c r="AU90" s="157" t="str">
        <f t="array" ref="AU9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9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90" s="134">
        <f>IFERROR(SUM(Tabla_Buffers_Agroinsumos[[#This Row],[P-MP]:[P-VL]]),"")</f>
        <v>0</v>
      </c>
      <c r="AX90" s="92" t="str">
        <f>IFERROR(Tabla_Buffers_Agroinsumos[[#This Row],[INV FIS PROPIA]]-Tabla_Buffers_Agroinsumos[[#This Row],[BUFFER PROPIA]],"")</f>
        <v/>
      </c>
      <c r="AY9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90" s="134"/>
      <c r="BA90" s="134"/>
      <c r="BB90" s="134"/>
      <c r="BC90" s="134"/>
      <c r="BD90" s="134"/>
      <c r="BE90" s="134"/>
      <c r="BF90" s="134"/>
      <c r="BG90" s="134"/>
      <c r="BH90" s="134"/>
      <c r="BI90" s="91" t="str">
        <f t="array" ref="BI90">IFERROR(INDEX(TABLACONSOLIDADA[Buff Act],MATCH("AGROINSUMOSSTODOMINGO"&amp;Tabla_Buffers_Agroinsumos[[#This Row],[CODIGO ]],TABLACONSOLIDADA[Bodega]&amp;TABLACONSOLIDADA[Codigo],0)),"")</f>
        <v/>
      </c>
      <c r="BJ90" s="157" t="str">
        <f t="array" ref="BJ90">IFERROR(INDEX(TABLACONSOLIDADA[Inv Fís Act],MATCH("AGROINSUMOSSTODOMINGO"&amp;Tabla_Buffers_Agroinsumos[[#This Row],[CODIGO ]],TABLACONSOLIDADA[Bodega]&amp;TABLACONSOLIDADA[Codigo],0)),"")</f>
        <v/>
      </c>
      <c r="BK90" s="157" t="str">
        <f t="array" ref="BK9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9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90" s="91">
        <f>IFERROR(SUM(Tabla_Buffers_Agroinsumos[[#This Row],[SD-MP]:[SD-VL]]),"")</f>
        <v>0</v>
      </c>
      <c r="BN90" s="92"/>
      <c r="BO90" s="92"/>
      <c r="BP90" s="134"/>
      <c r="BQ90" s="134"/>
      <c r="BR90" s="134"/>
      <c r="BS90" s="134"/>
      <c r="BT90" s="134"/>
      <c r="BU90" s="134"/>
      <c r="BV90" s="134"/>
      <c r="BW90" s="134"/>
      <c r="BX90" s="134"/>
      <c r="BY90" s="134" t="str">
        <f t="array" ref="BY90">IFERROR(INDEX(TABLACONSOLIDADA[Buff Act],MATCH("AGROINSUMOSMONCAYOLOPEZ"&amp;Tabla_Buffers_Agroinsumos[[#This Row],[CODIGO ]],TABLACONSOLIDADA[Bodega]&amp;TABLACONSOLIDADA[Codigo],0)),"")</f>
        <v/>
      </c>
      <c r="BZ90" s="157" t="str">
        <f t="array" ref="BZ90">IFERROR(INDEX(TABLACONSOLIDADA[Inv Fís Act],MATCH("AGROINSUMOSMONCAYOLOPEZ"&amp;Tabla_Buffers_Agroinsumos[[#This Row],[CODIGO ]],TABLACONSOLIDADA[Bodega]&amp;TABLACONSOLIDADA[Codigo],0)),"")</f>
        <v/>
      </c>
      <c r="CA90" s="157" t="str">
        <f t="array" ref="CA9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9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90" s="134">
        <f>IFERROR(SUM(Tabla_Buffers_Agroinsumos[[#This Row],[ML-MP]:[ML-VL]]),"")</f>
        <v>0</v>
      </c>
      <c r="CD90" s="92" t="str">
        <f>IFERROR(Tabla_Buffers_Agroinsumos[[#This Row],[INV FIS ML]]-Tabla_Buffers_Agroinsumos[[#This Row],[BUFFER ML]],"")</f>
        <v/>
      </c>
      <c r="CE9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90" s="134"/>
      <c r="CG90" s="134"/>
      <c r="CH90" s="134"/>
      <c r="CI90" s="134"/>
      <c r="CJ90" s="134"/>
      <c r="CK90" s="134"/>
      <c r="CL90" s="134"/>
      <c r="CM90" s="134"/>
      <c r="CN90" s="134"/>
      <c r="CO90" s="134" t="str">
        <f t="array" ref="CO90">IFERROR(INDEX(TABLACONSOLIDADA[Buff Act],MATCH("AGROINSUMOSAGROHERMANOSLEON"&amp;Tabla_Buffers_Agroinsumos[[#This Row],[CODIGO ]],TABLACONSOLIDADA[Bodega]&amp;TABLACONSOLIDADA[Codigo],0)),"")</f>
        <v/>
      </c>
      <c r="CP90" s="157" t="str">
        <f t="array" ref="CP90">IFERROR(INDEX(TABLACONSOLIDADA[Inv Fís Act],MATCH("AGROINSUMOSAGROHERMANOSLEON"&amp;Tabla_Buffers_Agroinsumos[[#This Row],[CODIGO ]],TABLACONSOLIDADA[Bodega]&amp;TABLACONSOLIDADA[Codigo],0)),"")</f>
        <v/>
      </c>
      <c r="CQ90" s="157" t="str">
        <f t="array" ref="CQ9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9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90" s="134">
        <f>IFERROR(SUM(Tabla_Buffers_Agroinsumos[[#This Row],[AL-MP]:[AL-VL]]),"")</f>
        <v>0</v>
      </c>
      <c r="CT90" s="92" t="str">
        <f>IFERROR(Tabla_Buffers_Agroinsumos[[#This Row],[INV FIS AL]]-Tabla_Buffers_Agroinsumos[[#This Row],[BUFFER AL]],"")</f>
        <v/>
      </c>
      <c r="CU9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90" s="134"/>
      <c r="CW90" s="134"/>
      <c r="CX90" s="134"/>
      <c r="CY90" s="134"/>
      <c r="CZ90" s="134"/>
      <c r="DA90" s="134"/>
      <c r="DB90" s="134"/>
      <c r="DC90" s="134"/>
      <c r="DD90" s="134"/>
      <c r="DE90" s="134" t="str">
        <f t="array" ref="DE90">IFERROR(INDEX(TABLACONSOLIDADA[Buff Act],MATCH("AGROINSUMOSAGRONUEVO"&amp;Tabla_Buffers_Agroinsumos[[#This Row],[CODIGO ]],TABLACONSOLIDADA[Bodega]&amp;TABLACONSOLIDADA[Codigo],0)),"")</f>
        <v/>
      </c>
      <c r="DF90" s="157" t="str">
        <f t="array" ref="DF90">IFERROR(INDEX(TABLACONSOLIDADA[Inv Fís Act],MATCH("AGROINSUMOSAGRONUEVO"&amp;Tabla_Buffers_Agroinsumos[[#This Row],[CODIGO ]],TABLACONSOLIDADA[Bodega]&amp;TABLACONSOLIDADA[Codigo],0)),"")</f>
        <v/>
      </c>
      <c r="DG90" s="157" t="str">
        <f t="array" ref="DG9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9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90" s="134">
        <f>IFERROR(SUM(Tabla_Buffers_Agroinsumos[[#This Row],[AN-MP]:[AN-VL]]),"")</f>
        <v>0</v>
      </c>
      <c r="DJ90" s="92" t="str">
        <f>IFERROR(Tabla_Buffers_Agroinsumos[[#This Row],[INV FIS AN]]-Tabla_Buffers_Agroinsumos[[#This Row],[BUFFER AN]],"")</f>
        <v/>
      </c>
      <c r="DK9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90" s="134"/>
      <c r="DM90" s="134"/>
      <c r="DN90" s="134"/>
      <c r="DO90" s="134"/>
      <c r="DP90" s="134"/>
      <c r="DQ90" s="134"/>
      <c r="DR90" s="134"/>
      <c r="DS90" s="134"/>
      <c r="DT90" s="134"/>
      <c r="DU90" s="134" t="str">
        <f t="array" ref="DU90">IFERROR(INDEX(TABLACONSOLIDADA[Buff Act],MATCH("AGROINSUMOSAGROQUIMICOSSUR"&amp;Tabla_Buffers_Agroinsumos[[#This Row],[CODIGO ]],TABLACONSOLIDADA[Bodega]&amp;TABLACONSOLIDADA[Codigo],0)),"")</f>
        <v/>
      </c>
      <c r="DV90" s="157" t="str">
        <f t="array" ref="DV90">IFERROR(INDEX(TABLACONSOLIDADA[Inv Fís Act],MATCH("AGROINSUMOSAGROQUIMICOSSUR"&amp;Tabla_Buffers_Agroinsumos[[#This Row],[CODIGO ]],TABLACONSOLIDADA[Bodega]&amp;TABLACONSOLIDADA[Codigo],0)),"")</f>
        <v/>
      </c>
      <c r="DW90" s="157" t="str">
        <f t="array" ref="DW9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9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90" s="134">
        <f>IFERROR(SUM(Tabla_Buffers_Agroinsumos[[#This Row],[AS-MP]:[AS-VL]]),"")</f>
        <v>0</v>
      </c>
      <c r="DZ90" s="92" t="str">
        <f>IFERROR(Tabla_Buffers_Agroinsumos[[#This Row],[INV FIS AS]]-Tabla_Buffers_Agroinsumos[[#This Row],[BUFFER AS]],"")</f>
        <v/>
      </c>
      <c r="EA9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90" s="134"/>
      <c r="EC90" s="134"/>
      <c r="ED90" s="134"/>
      <c r="EE90" s="134"/>
      <c r="EF90" s="134"/>
      <c r="EG90" s="134"/>
      <c r="EH90" s="134"/>
      <c r="EI90" s="134"/>
      <c r="EJ90" s="134"/>
      <c r="EK90" s="134" t="str">
        <f t="array" ref="EK90">IFERROR(INDEX(TABLACONSOLIDADA[Buff Act],MATCH("AGROINSUMOSLAFINCA"&amp;Tabla_Buffers_Agroinsumos[[#This Row],[CODIGO ]],TABLACONSOLIDADA[Bodega]&amp;TABLACONSOLIDADA[Codigo],0)),"")</f>
        <v/>
      </c>
      <c r="EL90" s="157" t="str">
        <f t="array" ref="EL90">IFERROR(INDEX(TABLACONSOLIDADA[Inv Fís Act],MATCH("AGROINSUMOSLAFINCA"&amp;Tabla_Buffers_Agroinsumos[[#This Row],[CODIGO ]],TABLACONSOLIDADA[Bodega]&amp;TABLACONSOLIDADA[Codigo],0)),"")</f>
        <v/>
      </c>
      <c r="EM90" s="157" t="str">
        <f t="array" ref="EM9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9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90" s="134">
        <f>IFERROR(SUM(Tabla_Buffers_Agroinsumos[[#This Row],[LF-MP]:[LF-VL]]),"")</f>
        <v>0</v>
      </c>
      <c r="EP90" s="92" t="str">
        <f>IFERROR(Tabla_Buffers_Agroinsumos[[#This Row],[INV FIS LF]]-Tabla_Buffers_Agroinsumos[[#This Row],[BUFFER LF]],"")</f>
        <v/>
      </c>
      <c r="EQ9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90" s="134"/>
      <c r="ES90" s="134"/>
      <c r="ET90" s="134"/>
      <c r="EU90" s="134"/>
      <c r="EV90" s="134"/>
      <c r="EW90" s="134"/>
      <c r="EX90" s="134"/>
      <c r="EY90" s="134"/>
      <c r="EZ90" s="134"/>
      <c r="FA90" s="134" t="str">
        <f t="array" ref="FA90">IFERROR(INDEX(TABLACONSOLIDADA[Buff Act],MATCH("AGROINSUMOSVERONICALEDESMA"&amp;Tabla_Buffers_Agroinsumos[[#This Row],[CODIGO ]],TABLACONSOLIDADA[Bodega]&amp;TABLACONSOLIDADA[Codigo],0)),"")</f>
        <v/>
      </c>
      <c r="FB90" s="157" t="str">
        <f t="array" ref="FB90">IFERROR(INDEX(TABLACONSOLIDADA[Inv Fís Act],MATCH("AGROINSUMOSVERONICALEDESMA"&amp;Tabla_Buffers_Agroinsumos[[#This Row],[CODIGO ]],TABLACONSOLIDADA[Bodega]&amp;TABLACONSOLIDADA[Codigo],0)),"")</f>
        <v/>
      </c>
      <c r="FC90" s="157" t="str">
        <f t="array" ref="FC9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9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90" s="134">
        <f>IFERROR(SUM(Tabla_Buffers_Agroinsumos[[#This Row],[VL-MP]:[VL-LF]]),"")</f>
        <v>0</v>
      </c>
      <c r="FF90" s="92" t="str">
        <f>IFERROR(Tabla_Buffers_Agroinsumos[[#This Row],[INV FIS VL]]-Tabla_Buffers_Agroinsumos[[#This Row],[BUFFER VL]],"")</f>
        <v/>
      </c>
      <c r="FG9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90" s="134"/>
      <c r="FI90" s="134"/>
      <c r="FJ90" s="134"/>
      <c r="FK90" s="134"/>
      <c r="FL90" s="134"/>
      <c r="FM90" s="134"/>
      <c r="FN90" s="134"/>
      <c r="FO90" s="134"/>
      <c r="FP90" s="134"/>
    </row>
    <row r="91" spans="1:172">
      <c r="A91" s="7" t="s">
        <v>183</v>
      </c>
      <c r="B91" s="7" t="s">
        <v>184</v>
      </c>
      <c r="C91" s="7" t="s">
        <v>787</v>
      </c>
      <c r="D91" s="7" t="s">
        <v>718</v>
      </c>
      <c r="E91" s="7" t="s">
        <v>863</v>
      </c>
      <c r="F91" s="19" t="s">
        <v>808</v>
      </c>
      <c r="G91" s="19" t="s">
        <v>802</v>
      </c>
      <c r="H91" s="19">
        <f>VLOOKUP(Tabla_Buffers_Agroinsumos[[#This Row],[CODIGO ]],TABLACONSOLIDADA[[Codigo]:[PV]],6,0)</f>
        <v>0</v>
      </c>
      <c r="I91" s="19">
        <f>VLOOKUP(Tabla_Buffers_Agroinsumos[[#This Row],[CODIGO ]],TABLACONSOLIDADA[[Codigo]:[PV]],5,0)</f>
        <v>0.86</v>
      </c>
      <c r="J91" s="19">
        <v>12</v>
      </c>
      <c r="K91" s="19">
        <v>4</v>
      </c>
      <c r="L91" s="19">
        <f>IFERROR(Tabla_Buffers_Agroinsumos[[#This Row],[BUFFER CENTRAL]]/((Tabla_Buffers_Agroinsumos[[#This Row],[TIEMPO REPOSICION ]]/Tabla_Buffers_Agroinsumos[[#This Row],[FRECUENCIA]])+1),0)</f>
        <v>37.5</v>
      </c>
      <c r="M91" s="19">
        <f t="array" ref="M91">IFERROR(INDEX(TABLACONSOLIDADA[Buff Act],MATCH("AGROINSUMOSMATERIAPRIMA"&amp;Tabla_Buffers_Agroinsumos[[#This Row],[CODIGO ]],TABLACONSOLIDADA[Bodega]&amp;TABLACONSOLIDADA[Codigo],0)),"")</f>
        <v>250</v>
      </c>
      <c r="N91" s="157">
        <f t="array" ref="N91">IFERROR(INDEX(TABLACONSOLIDADA[Inv Fís Act],MATCH("AGROINSUMOSMATERIAPRIMA"&amp;Tabla_Buffers_Agroinsumos[[#This Row],[CODIGO ]],TABLACONSOLIDADA[Bodega]&amp;TABLACONSOLIDADA[Codigo],0)),"")</f>
        <v>360</v>
      </c>
      <c r="O91" s="157">
        <f t="array" ref="O9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360</v>
      </c>
      <c r="P9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91" s="19">
        <f>IFERROR(SUM(Tabla_Buffers_Agroinsumos[[#This Row],[MP-C]:[MP-VL]]),"")</f>
        <v>0</v>
      </c>
      <c r="R91" s="92">
        <f>IFERROR(Tabla_Buffers_Agroinsumos[[#This Row],[INV FIS MATERIA PRIMA]]-Tabla_Buffers_Agroinsumos[[#This Row],[BUFFER MATERIA PRIMA]],"")</f>
        <v>110</v>
      </c>
      <c r="S9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110</v>
      </c>
      <c r="T91" s="19"/>
      <c r="U91" s="19"/>
      <c r="V91" s="19"/>
      <c r="W91" s="19"/>
      <c r="X91" s="19"/>
      <c r="Y91" s="19"/>
      <c r="Z91" s="19"/>
      <c r="AA91" s="19"/>
      <c r="AB91" s="19"/>
      <c r="AC91" s="152">
        <f t="array" ref="AC91">IFERROR(INDEX(TABLACONSOLIDADA[Buff Act],MATCH("AGROINSUMOSCENTRAL"&amp;Tabla_Buffers_Agroinsumos[[#This Row],[CODIGO ]],TABLACONSOLIDADA[Bodega]&amp;TABLACONSOLIDADA[Codigo],0)),"")</f>
        <v>50</v>
      </c>
      <c r="AD91" s="157">
        <f t="array" ref="AD91">IFERROR(INDEX(TABLACONSOLIDADA[Inv Fís Act],MATCH("AGROINSUMOSCENTRAL"&amp;Tabla_Buffers_Agroinsumos[[#This Row],[CODIGO ]],TABLACONSOLIDADA[Bodega]&amp;TABLACONSOLIDADA[Codigo],0)),"")</f>
        <v>50</v>
      </c>
      <c r="AE91" s="157">
        <f t="array" ref="AE9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50</v>
      </c>
      <c r="AF9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91" s="91">
        <f>IFERROR(SUM(Tabla_Buffers_Agroinsumos[[#This Row],[C-MP]:[C-VL]]),"")</f>
        <v>0</v>
      </c>
      <c r="AH91" s="92">
        <f>IFERROR(Tabla_Buffers_Agroinsumos[[#This Row],[INV FIS CENTRAL]]-Tabla_Buffers_Agroinsumos[[#This Row],[BUFFER CENTRAL]],"")</f>
        <v>0</v>
      </c>
      <c r="AI9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91" s="134"/>
      <c r="AK91" s="134"/>
      <c r="AL91" s="134"/>
      <c r="AM91" s="134"/>
      <c r="AN91" s="134"/>
      <c r="AO91" s="134"/>
      <c r="AP91" s="134"/>
      <c r="AQ91" s="134"/>
      <c r="AR91" s="134"/>
      <c r="AS91" s="134">
        <f t="array" ref="AS91">IFERROR(INDEX(TABLACONSOLIDADA[Buff Act],MATCH("AGROINSUMOScentralPROPIA"&amp;Tabla_Buffers_Agroinsumos[[#This Row],[CODIGO ]],TABLACONSOLIDADA[Bodega]&amp;TABLACONSOLIDADA[Codigo],0)),"")</f>
        <v>15</v>
      </c>
      <c r="AT91" s="157">
        <f t="array" ref="AT91">IFERROR(INDEX(TABLACONSOLIDADA[Inv Fís Act],MATCH("AGROINSUMOScentralPROPIA"&amp;Tabla_Buffers_Agroinsumos[[#This Row],[CODIGO ]],TABLACONSOLIDADA[Bodega]&amp;TABLACONSOLIDADA[Codigo],0)),"")</f>
        <v>0</v>
      </c>
      <c r="AU91" s="157">
        <f t="array" ref="AU9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9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91" s="134">
        <f>IFERROR(SUM(Tabla_Buffers_Agroinsumos[[#This Row],[P-MP]:[P-VL]]),"")</f>
        <v>0</v>
      </c>
      <c r="AX91" s="92">
        <f>IFERROR(Tabla_Buffers_Agroinsumos[[#This Row],[INV FIS PROPIA]]-Tabla_Buffers_Agroinsumos[[#This Row],[BUFFER PROPIA]],"")</f>
        <v>-15</v>
      </c>
      <c r="AY9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-15</v>
      </c>
      <c r="AZ91" s="134"/>
      <c r="BA91" s="134"/>
      <c r="BB91" s="134"/>
      <c r="BC91" s="134"/>
      <c r="BD91" s="134"/>
      <c r="BE91" s="134"/>
      <c r="BF91" s="134"/>
      <c r="BG91" s="134"/>
      <c r="BH91" s="134"/>
      <c r="BI91" s="91" t="str">
        <f t="array" ref="BI91">IFERROR(INDEX(TABLACONSOLIDADA[Buff Act],MATCH("AGROINSUMOSSTODOMINGO"&amp;Tabla_Buffers_Agroinsumos[[#This Row],[CODIGO ]],TABLACONSOLIDADA[Bodega]&amp;TABLACONSOLIDADA[Codigo],0)),"")</f>
        <v/>
      </c>
      <c r="BJ91" s="157" t="str">
        <f t="array" ref="BJ91">IFERROR(INDEX(TABLACONSOLIDADA[Inv Fís Act],MATCH("AGROINSUMOSSTODOMINGO"&amp;Tabla_Buffers_Agroinsumos[[#This Row],[CODIGO ]],TABLACONSOLIDADA[Bodega]&amp;TABLACONSOLIDADA[Codigo],0)),"")</f>
        <v/>
      </c>
      <c r="BK91" s="157" t="str">
        <f t="array" ref="BK9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9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91" s="91">
        <f>IFERROR(SUM(Tabla_Buffers_Agroinsumos[[#This Row],[SD-MP]:[SD-VL]]),"")</f>
        <v>0</v>
      </c>
      <c r="BN91" s="92"/>
      <c r="BO91" s="92"/>
      <c r="BP91" s="134"/>
      <c r="BQ91" s="134"/>
      <c r="BR91" s="134"/>
      <c r="BS91" s="134"/>
      <c r="BT91" s="134"/>
      <c r="BU91" s="134"/>
      <c r="BV91" s="134"/>
      <c r="BW91" s="134"/>
      <c r="BX91" s="134"/>
      <c r="BY91" s="134" t="str">
        <f t="array" ref="BY91">IFERROR(INDEX(TABLACONSOLIDADA[Buff Act],MATCH("AGROINSUMOSMONCAYOLOPEZ"&amp;Tabla_Buffers_Agroinsumos[[#This Row],[CODIGO ]],TABLACONSOLIDADA[Bodega]&amp;TABLACONSOLIDADA[Codigo],0)),"")</f>
        <v/>
      </c>
      <c r="BZ91" s="157" t="str">
        <f t="array" ref="BZ91">IFERROR(INDEX(TABLACONSOLIDADA[Inv Fís Act],MATCH("AGROINSUMOSMONCAYOLOPEZ"&amp;Tabla_Buffers_Agroinsumos[[#This Row],[CODIGO ]],TABLACONSOLIDADA[Bodega]&amp;TABLACONSOLIDADA[Codigo],0)),"")</f>
        <v/>
      </c>
      <c r="CA91" s="157" t="str">
        <f t="array" ref="CA9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9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91" s="134">
        <f>IFERROR(SUM(Tabla_Buffers_Agroinsumos[[#This Row],[ML-MP]:[ML-VL]]),"")</f>
        <v>0</v>
      </c>
      <c r="CD91" s="92" t="str">
        <f>IFERROR(Tabla_Buffers_Agroinsumos[[#This Row],[INV FIS ML]]-Tabla_Buffers_Agroinsumos[[#This Row],[BUFFER ML]],"")</f>
        <v/>
      </c>
      <c r="CE9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91" s="134"/>
      <c r="CG91" s="134"/>
      <c r="CH91" s="134"/>
      <c r="CI91" s="134"/>
      <c r="CJ91" s="134"/>
      <c r="CK91" s="134"/>
      <c r="CL91" s="134"/>
      <c r="CM91" s="134"/>
      <c r="CN91" s="134"/>
      <c r="CO91" s="134" t="str">
        <f t="array" ref="CO91">IFERROR(INDEX(TABLACONSOLIDADA[Buff Act],MATCH("AGROINSUMOSAGROHERMANOSLEON"&amp;Tabla_Buffers_Agroinsumos[[#This Row],[CODIGO ]],TABLACONSOLIDADA[Bodega]&amp;TABLACONSOLIDADA[Codigo],0)),"")</f>
        <v/>
      </c>
      <c r="CP91" s="157" t="str">
        <f t="array" ref="CP91">IFERROR(INDEX(TABLACONSOLIDADA[Inv Fís Act],MATCH("AGROINSUMOSAGROHERMANOSLEON"&amp;Tabla_Buffers_Agroinsumos[[#This Row],[CODIGO ]],TABLACONSOLIDADA[Bodega]&amp;TABLACONSOLIDADA[Codigo],0)),"")</f>
        <v/>
      </c>
      <c r="CQ91" s="157" t="str">
        <f t="array" ref="CQ9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9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91" s="134">
        <f>IFERROR(SUM(Tabla_Buffers_Agroinsumos[[#This Row],[AL-MP]:[AL-VL]]),"")</f>
        <v>0</v>
      </c>
      <c r="CT91" s="92" t="str">
        <f>IFERROR(Tabla_Buffers_Agroinsumos[[#This Row],[INV FIS AL]]-Tabla_Buffers_Agroinsumos[[#This Row],[BUFFER AL]],"")</f>
        <v/>
      </c>
      <c r="CU9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91" s="134"/>
      <c r="CW91" s="134"/>
      <c r="CX91" s="134"/>
      <c r="CY91" s="134"/>
      <c r="CZ91" s="134"/>
      <c r="DA91" s="134"/>
      <c r="DB91" s="134"/>
      <c r="DC91" s="134"/>
      <c r="DD91" s="134"/>
      <c r="DE91" s="134" t="str">
        <f t="array" ref="DE91">IFERROR(INDEX(TABLACONSOLIDADA[Buff Act],MATCH("AGROINSUMOSAGRONUEVO"&amp;Tabla_Buffers_Agroinsumos[[#This Row],[CODIGO ]],TABLACONSOLIDADA[Bodega]&amp;TABLACONSOLIDADA[Codigo],0)),"")</f>
        <v/>
      </c>
      <c r="DF91" s="157" t="str">
        <f t="array" ref="DF91">IFERROR(INDEX(TABLACONSOLIDADA[Inv Fís Act],MATCH("AGROINSUMOSAGRONUEVO"&amp;Tabla_Buffers_Agroinsumos[[#This Row],[CODIGO ]],TABLACONSOLIDADA[Bodega]&amp;TABLACONSOLIDADA[Codigo],0)),"")</f>
        <v/>
      </c>
      <c r="DG91" s="157" t="str">
        <f t="array" ref="DG9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9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91" s="134">
        <f>IFERROR(SUM(Tabla_Buffers_Agroinsumos[[#This Row],[AN-MP]:[AN-VL]]),"")</f>
        <v>0</v>
      </c>
      <c r="DJ91" s="92" t="str">
        <f>IFERROR(Tabla_Buffers_Agroinsumos[[#This Row],[INV FIS AN]]-Tabla_Buffers_Agroinsumos[[#This Row],[BUFFER AN]],"")</f>
        <v/>
      </c>
      <c r="DK9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91" s="134"/>
      <c r="DM91" s="134"/>
      <c r="DN91" s="134"/>
      <c r="DO91" s="134"/>
      <c r="DP91" s="134"/>
      <c r="DQ91" s="134"/>
      <c r="DR91" s="134"/>
      <c r="DS91" s="134"/>
      <c r="DT91" s="134"/>
      <c r="DU91" s="134" t="str">
        <f t="array" ref="DU91">IFERROR(INDEX(TABLACONSOLIDADA[Buff Act],MATCH("AGROINSUMOSAGROQUIMICOSSUR"&amp;Tabla_Buffers_Agroinsumos[[#This Row],[CODIGO ]],TABLACONSOLIDADA[Bodega]&amp;TABLACONSOLIDADA[Codigo],0)),"")</f>
        <v/>
      </c>
      <c r="DV91" s="157" t="str">
        <f t="array" ref="DV91">IFERROR(INDEX(TABLACONSOLIDADA[Inv Fís Act],MATCH("AGROINSUMOSAGROQUIMICOSSUR"&amp;Tabla_Buffers_Agroinsumos[[#This Row],[CODIGO ]],TABLACONSOLIDADA[Bodega]&amp;TABLACONSOLIDADA[Codigo],0)),"")</f>
        <v/>
      </c>
      <c r="DW91" s="157" t="str">
        <f t="array" ref="DW9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9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91" s="134">
        <f>IFERROR(SUM(Tabla_Buffers_Agroinsumos[[#This Row],[AS-MP]:[AS-VL]]),"")</f>
        <v>0</v>
      </c>
      <c r="DZ91" s="92" t="str">
        <f>IFERROR(Tabla_Buffers_Agroinsumos[[#This Row],[INV FIS AS]]-Tabla_Buffers_Agroinsumos[[#This Row],[BUFFER AS]],"")</f>
        <v/>
      </c>
      <c r="EA9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91" s="134"/>
      <c r="EC91" s="134"/>
      <c r="ED91" s="134"/>
      <c r="EE91" s="134"/>
      <c r="EF91" s="134"/>
      <c r="EG91" s="134"/>
      <c r="EH91" s="134"/>
      <c r="EI91" s="134"/>
      <c r="EJ91" s="134"/>
      <c r="EK91" s="134">
        <f t="array" ref="EK91">IFERROR(INDEX(TABLACONSOLIDADA[Buff Act],MATCH("AGROINSUMOSLAFINCA"&amp;Tabla_Buffers_Agroinsumos[[#This Row],[CODIGO ]],TABLACONSOLIDADA[Bodega]&amp;TABLACONSOLIDADA[Codigo],0)),"")</f>
        <v>0</v>
      </c>
      <c r="EL91" s="157">
        <f t="array" ref="EL91">IFERROR(INDEX(TABLACONSOLIDADA[Inv Fís Act],MATCH("AGROINSUMOSLAFINCA"&amp;Tabla_Buffers_Agroinsumos[[#This Row],[CODIGO ]],TABLACONSOLIDADA[Bodega]&amp;TABLACONSOLIDADA[Codigo],0)),"")</f>
        <v>0</v>
      </c>
      <c r="EM91" s="157">
        <f t="array" ref="EM9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9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91" s="134">
        <f>IFERROR(SUM(Tabla_Buffers_Agroinsumos[[#This Row],[LF-MP]:[LF-VL]]),"")</f>
        <v>0</v>
      </c>
      <c r="EP91" s="92">
        <f>IFERROR(Tabla_Buffers_Agroinsumos[[#This Row],[INV FIS LF]]-Tabla_Buffers_Agroinsumos[[#This Row],[BUFFER LF]],"")</f>
        <v>0</v>
      </c>
      <c r="EQ91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91" s="134"/>
      <c r="ES91" s="134"/>
      <c r="ET91" s="134"/>
      <c r="EU91" s="134"/>
      <c r="EV91" s="134"/>
      <c r="EW91" s="134"/>
      <c r="EX91" s="134"/>
      <c r="EY91" s="134"/>
      <c r="EZ91" s="134"/>
      <c r="FA91" s="134" t="str">
        <f t="array" ref="FA91">IFERROR(INDEX(TABLACONSOLIDADA[Buff Act],MATCH("AGROINSUMOSVERONICALEDESMA"&amp;Tabla_Buffers_Agroinsumos[[#This Row],[CODIGO ]],TABLACONSOLIDADA[Bodega]&amp;TABLACONSOLIDADA[Codigo],0)),"")</f>
        <v/>
      </c>
      <c r="FB91" s="157" t="str">
        <f t="array" ref="FB91">IFERROR(INDEX(TABLACONSOLIDADA[Inv Fís Act],MATCH("AGROINSUMOSVERONICALEDESMA"&amp;Tabla_Buffers_Agroinsumos[[#This Row],[CODIGO ]],TABLACONSOLIDADA[Bodega]&amp;TABLACONSOLIDADA[Codigo],0)),"")</f>
        <v/>
      </c>
      <c r="FC91" s="157" t="str">
        <f t="array" ref="FC9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9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91" s="134">
        <f>IFERROR(SUM(Tabla_Buffers_Agroinsumos[[#This Row],[VL-MP]:[VL-LF]]),"")</f>
        <v>0</v>
      </c>
      <c r="FF91" s="92" t="str">
        <f>IFERROR(Tabla_Buffers_Agroinsumos[[#This Row],[INV FIS VL]]-Tabla_Buffers_Agroinsumos[[#This Row],[BUFFER VL]],"")</f>
        <v/>
      </c>
      <c r="FG9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91" s="134"/>
      <c r="FI91" s="134"/>
      <c r="FJ91" s="134"/>
      <c r="FK91" s="134"/>
      <c r="FL91" s="134"/>
      <c r="FM91" s="134"/>
      <c r="FN91" s="134"/>
      <c r="FO91" s="134"/>
      <c r="FP91" s="134"/>
    </row>
    <row r="92" spans="1:172">
      <c r="A92" s="20" t="s">
        <v>1097</v>
      </c>
      <c r="B92" s="20" t="s">
        <v>1098</v>
      </c>
      <c r="C92" s="20" t="s">
        <v>787</v>
      </c>
      <c r="D92" s="20" t="s">
        <v>718</v>
      </c>
      <c r="E92" s="20" t="s">
        <v>863</v>
      </c>
      <c r="F92" s="111" t="s">
        <v>1099</v>
      </c>
      <c r="G92" s="111" t="s">
        <v>802</v>
      </c>
      <c r="H92" s="111">
        <f>VLOOKUP(Tabla_Buffers_Agroinsumos[[#This Row],[CODIGO ]],TABLACONSOLIDADA[[Codigo]:[PV]],6,0)</f>
        <v>0</v>
      </c>
      <c r="I92" s="111">
        <f>VLOOKUP(Tabla_Buffers_Agroinsumos[[#This Row],[CODIGO ]],TABLACONSOLIDADA[[Codigo]:[PV]],5,0)</f>
        <v>0.97</v>
      </c>
      <c r="J92" s="111"/>
      <c r="K92" s="111"/>
      <c r="L92" s="111">
        <f>IFERROR(Tabla_Buffers_Agroinsumos[[#This Row],[BUFFER CENTRAL]]/((Tabla_Buffers_Agroinsumos[[#This Row],[TIEMPO REPOSICION ]]/Tabla_Buffers_Agroinsumos[[#This Row],[FRECUENCIA]])+1),0)</f>
        <v>0</v>
      </c>
      <c r="M92" s="111">
        <f t="array" ref="M92">IFERROR(INDEX(TABLACONSOLIDADA[Buff Act],MATCH("AGROINSUMOSMATERIAPRIMA"&amp;Tabla_Buffers_Agroinsumos[[#This Row],[CODIGO ]],TABLACONSOLIDADA[Bodega]&amp;TABLACONSOLIDADA[Codigo],0)),"")</f>
        <v>1000</v>
      </c>
      <c r="N92" s="111">
        <f t="array" ref="N92">IFERROR(INDEX(TABLACONSOLIDADA[Inv Fís Act],MATCH("AGROINSUMOSMATERIAPRIMA"&amp;Tabla_Buffers_Agroinsumos[[#This Row],[CODIGO ]],TABLACONSOLIDADA[Bodega]&amp;TABLACONSOLIDADA[Codigo],0)),"")</f>
        <v>1014</v>
      </c>
      <c r="O92" s="165">
        <f t="array" ref="O9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1014</v>
      </c>
      <c r="P92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92" s="111">
        <f>IFERROR(SUM(Tabla_Buffers_Agroinsumos[[#This Row],[MP-C]:[MP-VL]]),"")</f>
        <v>0</v>
      </c>
      <c r="R92" s="154">
        <f>IFERROR(Tabla_Buffers_Agroinsumos[[#This Row],[INV FIS MATERIA PRIMA]]-Tabla_Buffers_Agroinsumos[[#This Row],[BUFFER MATERIA PRIMA]],"")</f>
        <v>14</v>
      </c>
      <c r="S92" s="154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14</v>
      </c>
      <c r="T92" s="111"/>
      <c r="U92" s="111"/>
      <c r="V92" s="111"/>
      <c r="W92" s="111"/>
      <c r="X92" s="111"/>
      <c r="Y92" s="111"/>
      <c r="Z92" s="111"/>
      <c r="AA92" s="111"/>
      <c r="AB92" s="111"/>
      <c r="AC92" s="152">
        <v>500</v>
      </c>
      <c r="AD92" s="111">
        <f t="array" ref="AD92">IFERROR(INDEX(TABLACONSOLIDADA[Inv Fís Act],MATCH("AGROINSUMOSCENTRAL"&amp;Tabla_Buffers_Agroinsumos[[#This Row],[CODIGO ]],TABLACONSOLIDADA[Bodega]&amp;TABLACONSOLIDADA[Codigo],0)),"")</f>
        <v>286</v>
      </c>
      <c r="AE92" s="165">
        <f t="array" ref="AE9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473</v>
      </c>
      <c r="AF92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92" s="153">
        <f>IFERROR(SUM(Tabla_Buffers_Agroinsumos[[#This Row],[C-MP]:[C-VL]]),"")</f>
        <v>0</v>
      </c>
      <c r="AH92" s="154">
        <f>IFERROR(Tabla_Buffers_Agroinsumos[[#This Row],[INV FIS CENTRAL]]-Tabla_Buffers_Agroinsumos[[#This Row],[BUFFER CENTRAL]],"")</f>
        <v>-214</v>
      </c>
      <c r="AI92" s="154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-214</v>
      </c>
      <c r="AJ92" s="135"/>
      <c r="AK92" s="135"/>
      <c r="AL92" s="135"/>
      <c r="AM92" s="135"/>
      <c r="AN92" s="135"/>
      <c r="AO92" s="135"/>
      <c r="AP92" s="135"/>
      <c r="AQ92" s="135"/>
      <c r="AR92" s="135"/>
      <c r="AS92" s="135" t="str">
        <f t="array" ref="AS92">IFERROR(INDEX(TABLACONSOLIDADA[Buff Act],MATCH("AGROINSUMOScentralPROPIA"&amp;Tabla_Buffers_Agroinsumos[[#This Row],[CODIGO ]],TABLACONSOLIDADA[Bodega]&amp;TABLACONSOLIDADA[Codigo],0)),"")</f>
        <v/>
      </c>
      <c r="AT92" s="111" t="str">
        <f t="array" ref="AT92">IFERROR(INDEX(TABLACONSOLIDADA[Inv Fís Act],MATCH("AGROINSUMOScentralPROPIA"&amp;Tabla_Buffers_Agroinsumos[[#This Row],[CODIGO ]],TABLACONSOLIDADA[Bodega]&amp;TABLACONSOLIDADA[Codigo],0)),"")</f>
        <v/>
      </c>
      <c r="AU92" s="165" t="str">
        <f t="array" ref="AU9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92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92" s="135">
        <f>IFERROR(SUM(Tabla_Buffers_Agroinsumos[[#This Row],[P-MP]:[P-VL]]),"")</f>
        <v>0</v>
      </c>
      <c r="AX92" s="154" t="str">
        <f>IFERROR(Tabla_Buffers_Agroinsumos[[#This Row],[INV FIS PROPIA]]-Tabla_Buffers_Agroinsumos[[#This Row],[BUFFER PROPIA]],"")</f>
        <v/>
      </c>
      <c r="AY92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92" s="135"/>
      <c r="BA92" s="135"/>
      <c r="BB92" s="135"/>
      <c r="BC92" s="135"/>
      <c r="BD92" s="135"/>
      <c r="BE92" s="135"/>
      <c r="BF92" s="135"/>
      <c r="BG92" s="135"/>
      <c r="BH92" s="135"/>
      <c r="BI92" s="153">
        <v>200</v>
      </c>
      <c r="BJ92" s="111">
        <f t="array" ref="BJ92">IFERROR(INDEX(TABLACONSOLIDADA[Inv Fís Act],MATCH("AGROINSUMOSSTODOMINGO"&amp;Tabla_Buffers_Agroinsumos[[#This Row],[CODIGO ]],TABLACONSOLIDADA[Bodega]&amp;TABLACONSOLIDADA[Codigo],0)),"")</f>
        <v>32</v>
      </c>
      <c r="BK92" s="165">
        <f t="array" ref="BK9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32</v>
      </c>
      <c r="BL92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92" s="153">
        <f>IFERROR(SUM(Tabla_Buffers_Agroinsumos[[#This Row],[SD-MP]:[SD-VL]]),"")</f>
        <v>0</v>
      </c>
      <c r="BN92" s="154"/>
      <c r="BO92" s="154"/>
      <c r="BP92" s="135"/>
      <c r="BQ92" s="135"/>
      <c r="BR92" s="135"/>
      <c r="BS92" s="135"/>
      <c r="BT92" s="135"/>
      <c r="BU92" s="135"/>
      <c r="BV92" s="135"/>
      <c r="BW92" s="135"/>
      <c r="BX92" s="135"/>
      <c r="BY92" s="135" t="str">
        <f t="array" ref="BY92">IFERROR(INDEX(TABLACONSOLIDADA[Buff Act],MATCH("AGROINSUMOSMONCAYOLOPEZ"&amp;Tabla_Buffers_Agroinsumos[[#This Row],[CODIGO ]],TABLACONSOLIDADA[Bodega]&amp;TABLACONSOLIDADA[Codigo],0)),"")</f>
        <v/>
      </c>
      <c r="BZ92" s="111" t="str">
        <f t="array" ref="BZ92">IFERROR(INDEX(TABLACONSOLIDADA[Inv Fís Act],MATCH("AGROINSUMOSMONCAYOLOPEZ"&amp;Tabla_Buffers_Agroinsumos[[#This Row],[CODIGO ]],TABLACONSOLIDADA[Bodega]&amp;TABLACONSOLIDADA[Codigo],0)),"")</f>
        <v/>
      </c>
      <c r="CA92" s="165" t="str">
        <f t="array" ref="CA9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92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92" s="135">
        <f>IFERROR(SUM(Tabla_Buffers_Agroinsumos[[#This Row],[ML-MP]:[ML-VL]]),"")</f>
        <v>0</v>
      </c>
      <c r="CD92" s="154" t="str">
        <f>IFERROR(Tabla_Buffers_Agroinsumos[[#This Row],[INV FIS ML]]-Tabla_Buffers_Agroinsumos[[#This Row],[BUFFER ML]],"")</f>
        <v/>
      </c>
      <c r="CE92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92" s="135"/>
      <c r="CG92" s="135"/>
      <c r="CH92" s="135"/>
      <c r="CI92" s="135"/>
      <c r="CJ92" s="135"/>
      <c r="CK92" s="135"/>
      <c r="CL92" s="135"/>
      <c r="CM92" s="135"/>
      <c r="CN92" s="135"/>
      <c r="CO92" s="135" t="str">
        <f t="array" ref="CO92">IFERROR(INDEX(TABLACONSOLIDADA[Buff Act],MATCH("AGROINSUMOSAGROHERMANOSLEON"&amp;Tabla_Buffers_Agroinsumos[[#This Row],[CODIGO ]],TABLACONSOLIDADA[Bodega]&amp;TABLACONSOLIDADA[Codigo],0)),"")</f>
        <v/>
      </c>
      <c r="CP92" s="111" t="str">
        <f t="array" ref="CP92">IFERROR(INDEX(TABLACONSOLIDADA[Inv Fís Act],MATCH("AGROINSUMOSAGROHERMANOSLEON"&amp;Tabla_Buffers_Agroinsumos[[#This Row],[CODIGO ]],TABLACONSOLIDADA[Bodega]&amp;TABLACONSOLIDADA[Codigo],0)),"")</f>
        <v/>
      </c>
      <c r="CQ92" s="165" t="str">
        <f t="array" ref="CQ9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92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92" s="135">
        <f>IFERROR(SUM(Tabla_Buffers_Agroinsumos[[#This Row],[AL-MP]:[AL-VL]]),"")</f>
        <v>0</v>
      </c>
      <c r="CT92" s="154" t="str">
        <f>IFERROR(Tabla_Buffers_Agroinsumos[[#This Row],[INV FIS AL]]-Tabla_Buffers_Agroinsumos[[#This Row],[BUFFER AL]],"")</f>
        <v/>
      </c>
      <c r="CU92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92" s="135"/>
      <c r="CW92" s="135"/>
      <c r="CX92" s="135"/>
      <c r="CY92" s="135"/>
      <c r="CZ92" s="135"/>
      <c r="DA92" s="135"/>
      <c r="DB92" s="135"/>
      <c r="DC92" s="135"/>
      <c r="DD92" s="135"/>
      <c r="DE92" s="135" t="str">
        <f t="array" ref="DE92">IFERROR(INDEX(TABLACONSOLIDADA[Buff Act],MATCH("AGROINSUMOSAGRONUEVO"&amp;Tabla_Buffers_Agroinsumos[[#This Row],[CODIGO ]],TABLACONSOLIDADA[Bodega]&amp;TABLACONSOLIDADA[Codigo],0)),"")</f>
        <v/>
      </c>
      <c r="DF92" s="111" t="str">
        <f t="array" ref="DF92">IFERROR(INDEX(TABLACONSOLIDADA[Inv Fís Act],MATCH("AGROINSUMOSAGRONUEVO"&amp;Tabla_Buffers_Agroinsumos[[#This Row],[CODIGO ]],TABLACONSOLIDADA[Bodega]&amp;TABLACONSOLIDADA[Codigo],0)),"")</f>
        <v/>
      </c>
      <c r="DG92" s="165" t="str">
        <f t="array" ref="DG9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92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92" s="135">
        <f>IFERROR(SUM(Tabla_Buffers_Agroinsumos[[#This Row],[AN-MP]:[AN-VL]]),"")</f>
        <v>0</v>
      </c>
      <c r="DJ92" s="154" t="str">
        <f>IFERROR(Tabla_Buffers_Agroinsumos[[#This Row],[INV FIS AN]]-Tabla_Buffers_Agroinsumos[[#This Row],[BUFFER AN]],"")</f>
        <v/>
      </c>
      <c r="DK92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92" s="135"/>
      <c r="DM92" s="135"/>
      <c r="DN92" s="135"/>
      <c r="DO92" s="135"/>
      <c r="DP92" s="135"/>
      <c r="DQ92" s="135"/>
      <c r="DR92" s="135"/>
      <c r="DS92" s="135"/>
      <c r="DT92" s="135"/>
      <c r="DU92" s="135" t="str">
        <f t="array" ref="DU92">IFERROR(INDEX(TABLACONSOLIDADA[Buff Act],MATCH("AGROINSUMOSAGROQUIMICOSSUR"&amp;Tabla_Buffers_Agroinsumos[[#This Row],[CODIGO ]],TABLACONSOLIDADA[Bodega]&amp;TABLACONSOLIDADA[Codigo],0)),"")</f>
        <v/>
      </c>
      <c r="DV92" s="111" t="str">
        <f t="array" ref="DV92">IFERROR(INDEX(TABLACONSOLIDADA[Inv Fís Act],MATCH("AGROINSUMOSAGROQUIMICOSSUR"&amp;Tabla_Buffers_Agroinsumos[[#This Row],[CODIGO ]],TABLACONSOLIDADA[Bodega]&amp;TABLACONSOLIDADA[Codigo],0)),"")</f>
        <v/>
      </c>
      <c r="DW92" s="165" t="str">
        <f t="array" ref="DW9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92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92" s="135">
        <f>IFERROR(SUM(Tabla_Buffers_Agroinsumos[[#This Row],[AS-MP]:[AS-VL]]),"")</f>
        <v>0</v>
      </c>
      <c r="DZ92" s="154" t="str">
        <f>IFERROR(Tabla_Buffers_Agroinsumos[[#This Row],[INV FIS AS]]-Tabla_Buffers_Agroinsumos[[#This Row],[BUFFER AS]],"")</f>
        <v/>
      </c>
      <c r="EA92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92" s="135"/>
      <c r="EC92" s="135"/>
      <c r="ED92" s="135"/>
      <c r="EE92" s="135"/>
      <c r="EF92" s="135"/>
      <c r="EG92" s="135"/>
      <c r="EH92" s="135"/>
      <c r="EI92" s="135"/>
      <c r="EJ92" s="135"/>
      <c r="EK92" s="135" t="str">
        <f t="array" ref="EK92">IFERROR(INDEX(TABLACONSOLIDADA[Buff Act],MATCH("AGROINSUMOSLAFINCA"&amp;Tabla_Buffers_Agroinsumos[[#This Row],[CODIGO ]],TABLACONSOLIDADA[Bodega]&amp;TABLACONSOLIDADA[Codigo],0)),"")</f>
        <v/>
      </c>
      <c r="EL92" s="111" t="str">
        <f t="array" ref="EL92">IFERROR(INDEX(TABLACONSOLIDADA[Inv Fís Act],MATCH("AGROINSUMOSLAFINCA"&amp;Tabla_Buffers_Agroinsumos[[#This Row],[CODIGO ]],TABLACONSOLIDADA[Bodega]&amp;TABLACONSOLIDADA[Codigo],0)),"")</f>
        <v/>
      </c>
      <c r="EM92" s="165" t="str">
        <f t="array" ref="EM9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92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92" s="135">
        <f>IFERROR(SUM(Tabla_Buffers_Agroinsumos[[#This Row],[LF-MP]:[LF-VL]]),"")</f>
        <v>0</v>
      </c>
      <c r="EP92" s="154" t="str">
        <f>IFERROR(Tabla_Buffers_Agroinsumos[[#This Row],[INV FIS LF]]-Tabla_Buffers_Agroinsumos[[#This Row],[BUFFER LF]],"")</f>
        <v/>
      </c>
      <c r="EQ92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92" s="135"/>
      <c r="ES92" s="135"/>
      <c r="ET92" s="135"/>
      <c r="EU92" s="135"/>
      <c r="EV92" s="135"/>
      <c r="EW92" s="135"/>
      <c r="EX92" s="135"/>
      <c r="EY92" s="135"/>
      <c r="EZ92" s="135"/>
      <c r="FA92" s="135" t="str">
        <f t="array" ref="FA92">IFERROR(INDEX(TABLACONSOLIDADA[Buff Act],MATCH("AGROINSUMOSVERONICALEDESMA"&amp;Tabla_Buffers_Agroinsumos[[#This Row],[CODIGO ]],TABLACONSOLIDADA[Bodega]&amp;TABLACONSOLIDADA[Codigo],0)),"")</f>
        <v/>
      </c>
      <c r="FB92" s="111" t="str">
        <f t="array" ref="FB92">IFERROR(INDEX(TABLACONSOLIDADA[Inv Fís Act],MATCH("AGROINSUMOSVERONICALEDESMA"&amp;Tabla_Buffers_Agroinsumos[[#This Row],[CODIGO ]],TABLACONSOLIDADA[Bodega]&amp;TABLACONSOLIDADA[Codigo],0)),"")</f>
        <v/>
      </c>
      <c r="FC92" s="165" t="str">
        <f t="array" ref="FC9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92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92" s="135">
        <f>IFERROR(SUM(Tabla_Buffers_Agroinsumos[[#This Row],[VL-MP]:[VL-LF]]),"")</f>
        <v>0</v>
      </c>
      <c r="FF92" s="154" t="str">
        <f>IFERROR(Tabla_Buffers_Agroinsumos[[#This Row],[INV FIS VL]]-Tabla_Buffers_Agroinsumos[[#This Row],[BUFFER VL]],"")</f>
        <v/>
      </c>
      <c r="FG92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92" s="135"/>
      <c r="FI92" s="135"/>
      <c r="FJ92" s="135"/>
      <c r="FK92" s="135"/>
      <c r="FL92" s="135"/>
      <c r="FM92" s="135"/>
      <c r="FN92" s="135"/>
      <c r="FO92" s="135"/>
      <c r="FP92" s="135"/>
    </row>
    <row r="93" spans="1:172">
      <c r="A93" s="7" t="s">
        <v>829</v>
      </c>
      <c r="B93" s="7" t="s">
        <v>888</v>
      </c>
      <c r="C93" s="7" t="s">
        <v>787</v>
      </c>
      <c r="D93" s="7" t="s">
        <v>718</v>
      </c>
      <c r="E93" s="7" t="s">
        <v>863</v>
      </c>
      <c r="F93" s="19"/>
      <c r="G93" s="19" t="s">
        <v>802</v>
      </c>
      <c r="H93" s="19">
        <f>VLOOKUP(Tabla_Buffers_Agroinsumos[[#This Row],[CODIGO ]],TABLACONSOLIDADA[[Codigo]:[PV]],6,0)</f>
        <v>0</v>
      </c>
      <c r="I93" s="19">
        <f>VLOOKUP(Tabla_Buffers_Agroinsumos[[#This Row],[CODIGO ]],TABLACONSOLIDADA[[Codigo]:[PV]],5,0)</f>
        <v>0.88</v>
      </c>
      <c r="J93" s="19">
        <v>4</v>
      </c>
      <c r="K93" s="19">
        <v>4</v>
      </c>
      <c r="L93" s="19">
        <f>IFERROR(Tabla_Buffers_Agroinsumos[[#This Row],[BUFFER CENTRAL]]/((Tabla_Buffers_Agroinsumos[[#This Row],[TIEMPO REPOSICION ]]/Tabla_Buffers_Agroinsumos[[#This Row],[FRECUENCIA]])+1),0)</f>
        <v>75</v>
      </c>
      <c r="M93" s="19">
        <f t="array" ref="M93">IFERROR(INDEX(TABLACONSOLIDADA[Buff Act],MATCH("AGROINSUMOSMATERIAPRIMA"&amp;Tabla_Buffers_Agroinsumos[[#This Row],[CODIGO ]],TABLACONSOLIDADA[Bodega]&amp;TABLACONSOLIDADA[Codigo],0)),"")</f>
        <v>500</v>
      </c>
      <c r="N93" s="157">
        <f t="array" ref="N93">IFERROR(INDEX(TABLACONSOLIDADA[Inv Fís Act],MATCH("AGROINSUMOSMATERIAPRIMA"&amp;Tabla_Buffers_Agroinsumos[[#This Row],[CODIGO ]],TABLACONSOLIDADA[Bodega]&amp;TABLACONSOLIDADA[Codigo],0)),"")</f>
        <v>1218</v>
      </c>
      <c r="O93" s="157">
        <f t="array" ref="O9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1218</v>
      </c>
      <c r="P9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93" s="19">
        <f>IFERROR(SUM(Tabla_Buffers_Agroinsumos[[#This Row],[MP-C]:[MP-VL]]),"")</f>
        <v>0</v>
      </c>
      <c r="R93" s="92">
        <f>IFERROR(Tabla_Buffers_Agroinsumos[[#This Row],[INV FIS MATERIA PRIMA]]-Tabla_Buffers_Agroinsumos[[#This Row],[BUFFER MATERIA PRIMA]],"")</f>
        <v>718</v>
      </c>
      <c r="S9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718</v>
      </c>
      <c r="T93" s="19"/>
      <c r="U93" s="19"/>
      <c r="V93" s="19"/>
      <c r="W93" s="19"/>
      <c r="X93" s="19"/>
      <c r="Y93" s="19"/>
      <c r="Z93" s="19"/>
      <c r="AA93" s="19"/>
      <c r="AB93" s="19"/>
      <c r="AC93" s="152">
        <f t="array" ref="AC93">IFERROR(INDEX(TABLACONSOLIDADA[Buff Act],MATCH("AGROINSUMOSCENTRAL"&amp;Tabla_Buffers_Agroinsumos[[#This Row],[CODIGO ]],TABLACONSOLIDADA[Bodega]&amp;TABLACONSOLIDADA[Codigo],0)),"")</f>
        <v>150</v>
      </c>
      <c r="AD93" s="157">
        <f t="array" ref="AD93">IFERROR(INDEX(TABLACONSOLIDADA[Inv Fís Act],MATCH("AGROINSUMOSCENTRAL"&amp;Tabla_Buffers_Agroinsumos[[#This Row],[CODIGO ]],TABLACONSOLIDADA[Bodega]&amp;TABLACONSOLIDADA[Codigo],0)),"")</f>
        <v>527</v>
      </c>
      <c r="AE93" s="157">
        <f t="array" ref="AE9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527</v>
      </c>
      <c r="AF9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93" s="91">
        <f>IFERROR(SUM(Tabla_Buffers_Agroinsumos[[#This Row],[C-MP]:[C-VL]]),"")</f>
        <v>0</v>
      </c>
      <c r="AH93" s="92">
        <f>IFERROR(Tabla_Buffers_Agroinsumos[[#This Row],[INV FIS CENTRAL]]-Tabla_Buffers_Agroinsumos[[#This Row],[BUFFER CENTRAL]],"")</f>
        <v>377</v>
      </c>
      <c r="AI9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377</v>
      </c>
      <c r="AJ93" s="134"/>
      <c r="AK93" s="134"/>
      <c r="AL93" s="134"/>
      <c r="AM93" s="134"/>
      <c r="AN93" s="134"/>
      <c r="AO93" s="134"/>
      <c r="AP93" s="134"/>
      <c r="AQ93" s="134"/>
      <c r="AR93" s="134"/>
      <c r="AS93" s="134">
        <f t="array" ref="AS93">IFERROR(INDEX(TABLACONSOLIDADA[Buff Act],MATCH("AGROINSUMOScentralPROPIA"&amp;Tabla_Buffers_Agroinsumos[[#This Row],[CODIGO ]],TABLACONSOLIDADA[Bodega]&amp;TABLACONSOLIDADA[Codigo],0)),"")</f>
        <v>120</v>
      </c>
      <c r="AT93" s="157">
        <f t="array" ref="AT93">IFERROR(INDEX(TABLACONSOLIDADA[Inv Fís Act],MATCH("AGROINSUMOScentralPROPIA"&amp;Tabla_Buffers_Agroinsumos[[#This Row],[CODIGO ]],TABLACONSOLIDADA[Bodega]&amp;TABLACONSOLIDADA[Codigo],0)),"")</f>
        <v>0</v>
      </c>
      <c r="AU93" s="157">
        <f t="array" ref="AU9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9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93" s="134">
        <f>IFERROR(SUM(Tabla_Buffers_Agroinsumos[[#This Row],[P-MP]:[P-VL]]),"")</f>
        <v>0</v>
      </c>
      <c r="AX93" s="92">
        <f>IFERROR(Tabla_Buffers_Agroinsumos[[#This Row],[INV FIS PROPIA]]-Tabla_Buffers_Agroinsumos[[#This Row],[BUFFER PROPIA]],"")</f>
        <v>-120</v>
      </c>
      <c r="AY9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-120</v>
      </c>
      <c r="AZ93" s="134"/>
      <c r="BA93" s="134"/>
      <c r="BB93" s="134"/>
      <c r="BC93" s="134"/>
      <c r="BD93" s="134"/>
      <c r="BE93" s="134"/>
      <c r="BF93" s="134"/>
      <c r="BG93" s="134"/>
      <c r="BH93" s="134"/>
      <c r="BI93" s="91">
        <f t="array" ref="BI93">IFERROR(INDEX(TABLACONSOLIDADA[Buff Act],MATCH("AGROINSUMOSSTODOMINGO"&amp;Tabla_Buffers_Agroinsumos[[#This Row],[CODIGO ]],TABLACONSOLIDADA[Bodega]&amp;TABLACONSOLIDADA[Codigo],0)),"")</f>
        <v>200</v>
      </c>
      <c r="BJ93" s="157">
        <f t="array" ref="BJ93">IFERROR(INDEX(TABLACONSOLIDADA[Inv Fís Act],MATCH("AGROINSUMOSSTODOMINGO"&amp;Tabla_Buffers_Agroinsumos[[#This Row],[CODIGO ]],TABLACONSOLIDADA[Bodega]&amp;TABLACONSOLIDADA[Codigo],0)),"")</f>
        <v>200</v>
      </c>
      <c r="BK93" s="157">
        <f t="array" ref="BK9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200</v>
      </c>
      <c r="BL9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93" s="91">
        <f>IFERROR(SUM(Tabla_Buffers_Agroinsumos[[#This Row],[SD-MP]:[SD-VL]]),"")</f>
        <v>0</v>
      </c>
      <c r="BN93" s="92"/>
      <c r="BO93" s="92"/>
      <c r="BP93" s="134"/>
      <c r="BQ93" s="134"/>
      <c r="BR93" s="134"/>
      <c r="BS93" s="134"/>
      <c r="BT93" s="134"/>
      <c r="BU93" s="134"/>
      <c r="BV93" s="134"/>
      <c r="BW93" s="134"/>
      <c r="BX93" s="134"/>
      <c r="BY93" s="134" t="str">
        <f t="array" ref="BY93">IFERROR(INDEX(TABLACONSOLIDADA[Buff Act],MATCH("AGROINSUMOSMONCAYOLOPEZ"&amp;Tabla_Buffers_Agroinsumos[[#This Row],[CODIGO ]],TABLACONSOLIDADA[Bodega]&amp;TABLACONSOLIDADA[Codigo],0)),"")</f>
        <v/>
      </c>
      <c r="BZ93" s="157" t="str">
        <f t="array" ref="BZ93">IFERROR(INDEX(TABLACONSOLIDADA[Inv Fís Act],MATCH("AGROINSUMOSMONCAYOLOPEZ"&amp;Tabla_Buffers_Agroinsumos[[#This Row],[CODIGO ]],TABLACONSOLIDADA[Bodega]&amp;TABLACONSOLIDADA[Codigo],0)),"")</f>
        <v/>
      </c>
      <c r="CA93" s="157" t="str">
        <f t="array" ref="CA9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9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93" s="134">
        <f>IFERROR(SUM(Tabla_Buffers_Agroinsumos[[#This Row],[ML-MP]:[ML-VL]]),"")</f>
        <v>0</v>
      </c>
      <c r="CD93" s="92" t="str">
        <f>IFERROR(Tabla_Buffers_Agroinsumos[[#This Row],[INV FIS ML]]-Tabla_Buffers_Agroinsumos[[#This Row],[BUFFER ML]],"")</f>
        <v/>
      </c>
      <c r="CE9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93" s="134"/>
      <c r="CG93" s="134"/>
      <c r="CH93" s="134"/>
      <c r="CI93" s="134"/>
      <c r="CJ93" s="134"/>
      <c r="CK93" s="134"/>
      <c r="CL93" s="134"/>
      <c r="CM93" s="134"/>
      <c r="CN93" s="134"/>
      <c r="CO93" s="134" t="str">
        <f t="array" ref="CO93">IFERROR(INDEX(TABLACONSOLIDADA[Buff Act],MATCH("AGROINSUMOSAGROHERMANOSLEON"&amp;Tabla_Buffers_Agroinsumos[[#This Row],[CODIGO ]],TABLACONSOLIDADA[Bodega]&amp;TABLACONSOLIDADA[Codigo],0)),"")</f>
        <v/>
      </c>
      <c r="CP93" s="157" t="str">
        <f t="array" ref="CP93">IFERROR(INDEX(TABLACONSOLIDADA[Inv Fís Act],MATCH("AGROINSUMOSAGROHERMANOSLEON"&amp;Tabla_Buffers_Agroinsumos[[#This Row],[CODIGO ]],TABLACONSOLIDADA[Bodega]&amp;TABLACONSOLIDADA[Codigo],0)),"")</f>
        <v/>
      </c>
      <c r="CQ93" s="157" t="str">
        <f t="array" ref="CQ9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9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93" s="134">
        <f>IFERROR(SUM(Tabla_Buffers_Agroinsumos[[#This Row],[AL-MP]:[AL-VL]]),"")</f>
        <v>0</v>
      </c>
      <c r="CT93" s="92" t="str">
        <f>IFERROR(Tabla_Buffers_Agroinsumos[[#This Row],[INV FIS AL]]-Tabla_Buffers_Agroinsumos[[#This Row],[BUFFER AL]],"")</f>
        <v/>
      </c>
      <c r="CU9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93" s="134"/>
      <c r="CW93" s="134"/>
      <c r="CX93" s="134"/>
      <c r="CY93" s="134"/>
      <c r="CZ93" s="134"/>
      <c r="DA93" s="134"/>
      <c r="DB93" s="134"/>
      <c r="DC93" s="134"/>
      <c r="DD93" s="134"/>
      <c r="DE93" s="134" t="str">
        <f t="array" ref="DE93">IFERROR(INDEX(TABLACONSOLIDADA[Buff Act],MATCH("AGROINSUMOSAGRONUEVO"&amp;Tabla_Buffers_Agroinsumos[[#This Row],[CODIGO ]],TABLACONSOLIDADA[Bodega]&amp;TABLACONSOLIDADA[Codigo],0)),"")</f>
        <v/>
      </c>
      <c r="DF93" s="157" t="str">
        <f t="array" ref="DF93">IFERROR(INDEX(TABLACONSOLIDADA[Inv Fís Act],MATCH("AGROINSUMOSAGRONUEVO"&amp;Tabla_Buffers_Agroinsumos[[#This Row],[CODIGO ]],TABLACONSOLIDADA[Bodega]&amp;TABLACONSOLIDADA[Codigo],0)),"")</f>
        <v/>
      </c>
      <c r="DG93" s="157" t="str">
        <f t="array" ref="DG9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9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93" s="134">
        <f>IFERROR(SUM(Tabla_Buffers_Agroinsumos[[#This Row],[AN-MP]:[AN-VL]]),"")</f>
        <v>0</v>
      </c>
      <c r="DJ93" s="92" t="str">
        <f>IFERROR(Tabla_Buffers_Agroinsumos[[#This Row],[INV FIS AN]]-Tabla_Buffers_Agroinsumos[[#This Row],[BUFFER AN]],"")</f>
        <v/>
      </c>
      <c r="DK9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93" s="134"/>
      <c r="DM93" s="134"/>
      <c r="DN93" s="134"/>
      <c r="DO93" s="134"/>
      <c r="DP93" s="134"/>
      <c r="DQ93" s="134"/>
      <c r="DR93" s="134"/>
      <c r="DS93" s="134"/>
      <c r="DT93" s="134"/>
      <c r="DU93" s="134" t="str">
        <f t="array" ref="DU93">IFERROR(INDEX(TABLACONSOLIDADA[Buff Act],MATCH("AGROINSUMOSAGROQUIMICOSSUR"&amp;Tabla_Buffers_Agroinsumos[[#This Row],[CODIGO ]],TABLACONSOLIDADA[Bodega]&amp;TABLACONSOLIDADA[Codigo],0)),"")</f>
        <v/>
      </c>
      <c r="DV93" s="157" t="str">
        <f t="array" ref="DV93">IFERROR(INDEX(TABLACONSOLIDADA[Inv Fís Act],MATCH("AGROINSUMOSAGROQUIMICOSSUR"&amp;Tabla_Buffers_Agroinsumos[[#This Row],[CODIGO ]],TABLACONSOLIDADA[Bodega]&amp;TABLACONSOLIDADA[Codigo],0)),"")</f>
        <v/>
      </c>
      <c r="DW93" s="157" t="str">
        <f t="array" ref="DW9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9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93" s="134">
        <f>IFERROR(SUM(Tabla_Buffers_Agroinsumos[[#This Row],[AS-MP]:[AS-VL]]),"")</f>
        <v>0</v>
      </c>
      <c r="DZ93" s="92" t="str">
        <f>IFERROR(Tabla_Buffers_Agroinsumos[[#This Row],[INV FIS AS]]-Tabla_Buffers_Agroinsumos[[#This Row],[BUFFER AS]],"")</f>
        <v/>
      </c>
      <c r="EA9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93" s="134"/>
      <c r="EC93" s="134"/>
      <c r="ED93" s="134"/>
      <c r="EE93" s="134"/>
      <c r="EF93" s="134"/>
      <c r="EG93" s="134"/>
      <c r="EH93" s="134"/>
      <c r="EI93" s="134"/>
      <c r="EJ93" s="134"/>
      <c r="EK93" s="134">
        <f t="array" ref="EK93">IFERROR(INDEX(TABLACONSOLIDADA[Buff Act],MATCH("AGROINSUMOSLAFINCA"&amp;Tabla_Buffers_Agroinsumos[[#This Row],[CODIGO ]],TABLACONSOLIDADA[Bodega]&amp;TABLACONSOLIDADA[Codigo],0)),"")</f>
        <v>0</v>
      </c>
      <c r="EL93" s="157">
        <f t="array" ref="EL93">IFERROR(INDEX(TABLACONSOLIDADA[Inv Fís Act],MATCH("AGROINSUMOSLAFINCA"&amp;Tabla_Buffers_Agroinsumos[[#This Row],[CODIGO ]],TABLACONSOLIDADA[Bodega]&amp;TABLACONSOLIDADA[Codigo],0)),"")</f>
        <v>0</v>
      </c>
      <c r="EM93" s="157">
        <f t="array" ref="EM9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9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93" s="134">
        <f>IFERROR(SUM(Tabla_Buffers_Agroinsumos[[#This Row],[LF-MP]:[LF-VL]]),"")</f>
        <v>0</v>
      </c>
      <c r="EP93" s="92">
        <f>IFERROR(Tabla_Buffers_Agroinsumos[[#This Row],[INV FIS LF]]-Tabla_Buffers_Agroinsumos[[#This Row],[BUFFER LF]],"")</f>
        <v>0</v>
      </c>
      <c r="EQ9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93" s="134"/>
      <c r="ES93" s="134"/>
      <c r="ET93" s="134"/>
      <c r="EU93" s="134"/>
      <c r="EV93" s="134"/>
      <c r="EW93" s="134"/>
      <c r="EX93" s="134"/>
      <c r="EY93" s="134"/>
      <c r="EZ93" s="134"/>
      <c r="FA93" s="134" t="str">
        <f t="array" ref="FA93">IFERROR(INDEX(TABLACONSOLIDADA[Buff Act],MATCH("AGROINSUMOSVERONICALEDESMA"&amp;Tabla_Buffers_Agroinsumos[[#This Row],[CODIGO ]],TABLACONSOLIDADA[Bodega]&amp;TABLACONSOLIDADA[Codigo],0)),"")</f>
        <v/>
      </c>
      <c r="FB93" s="157" t="str">
        <f t="array" ref="FB93">IFERROR(INDEX(TABLACONSOLIDADA[Inv Fís Act],MATCH("AGROINSUMOSVERONICALEDESMA"&amp;Tabla_Buffers_Agroinsumos[[#This Row],[CODIGO ]],TABLACONSOLIDADA[Bodega]&amp;TABLACONSOLIDADA[Codigo],0)),"")</f>
        <v/>
      </c>
      <c r="FC93" s="157" t="str">
        <f t="array" ref="FC9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9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93" s="134">
        <f>IFERROR(SUM(Tabla_Buffers_Agroinsumos[[#This Row],[VL-MP]:[VL-LF]]),"")</f>
        <v>0</v>
      </c>
      <c r="FF93" s="92" t="str">
        <f>IFERROR(Tabla_Buffers_Agroinsumos[[#This Row],[INV FIS VL]]-Tabla_Buffers_Agroinsumos[[#This Row],[BUFFER VL]],"")</f>
        <v/>
      </c>
      <c r="FG9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93" s="134"/>
      <c r="FI93" s="134"/>
      <c r="FJ93" s="134"/>
      <c r="FK93" s="134"/>
      <c r="FL93" s="134"/>
      <c r="FM93" s="134"/>
      <c r="FN93" s="134"/>
      <c r="FO93" s="134"/>
      <c r="FP93" s="134"/>
    </row>
    <row r="94" spans="1:172">
      <c r="A94" s="7" t="s">
        <v>185</v>
      </c>
      <c r="B94" s="7" t="s">
        <v>186</v>
      </c>
      <c r="C94" s="7" t="s">
        <v>787</v>
      </c>
      <c r="D94" s="7" t="s">
        <v>718</v>
      </c>
      <c r="E94" s="7" t="s">
        <v>863</v>
      </c>
      <c r="F94" s="19" t="s">
        <v>808</v>
      </c>
      <c r="G94" s="19" t="s">
        <v>802</v>
      </c>
      <c r="H94" s="19">
        <f>VLOOKUP(Tabla_Buffers_Agroinsumos[[#This Row],[CODIGO ]],TABLACONSOLIDADA[[Codigo]:[PV]],6,0)</f>
        <v>0</v>
      </c>
      <c r="I94" s="19">
        <f>VLOOKUP(Tabla_Buffers_Agroinsumos[[#This Row],[CODIGO ]],TABLACONSOLIDADA[[Codigo]:[PV]],5,0)</f>
        <v>1.1499999999999999</v>
      </c>
      <c r="J94" s="19">
        <v>12</v>
      </c>
      <c r="K94" s="19">
        <v>4</v>
      </c>
      <c r="L94" s="19">
        <f>IFERROR(Tabla_Buffers_Agroinsumos[[#This Row],[BUFFER CENTRAL]]/((Tabla_Buffers_Agroinsumos[[#This Row],[TIEMPO REPOSICION ]]/Tabla_Buffers_Agroinsumos[[#This Row],[FRECUENCIA]])+1),0)</f>
        <v>0</v>
      </c>
      <c r="M94" s="19">
        <f t="array" ref="M94">IFERROR(INDEX(TABLACONSOLIDADA[Buff Act],MATCH("AGROINSUMOSMATERIAPRIMA"&amp;Tabla_Buffers_Agroinsumos[[#This Row],[CODIGO ]],TABLACONSOLIDADA[Bodega]&amp;TABLACONSOLIDADA[Codigo],0)),"")</f>
        <v>250</v>
      </c>
      <c r="N94" s="157">
        <f t="array" ref="N94">IFERROR(INDEX(TABLACONSOLIDADA[Inv Fís Act],MATCH("AGROINSUMOSMATERIAPRIMA"&amp;Tabla_Buffers_Agroinsumos[[#This Row],[CODIGO ]],TABLACONSOLIDADA[Bodega]&amp;TABLACONSOLIDADA[Codigo],0)),"")</f>
        <v>811</v>
      </c>
      <c r="O94" s="157">
        <f t="array" ref="O9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811</v>
      </c>
      <c r="P9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94" s="19">
        <f>IFERROR(SUM(Tabla_Buffers_Agroinsumos[[#This Row],[MP-C]:[MP-VL]]),"")</f>
        <v>0</v>
      </c>
      <c r="R94" s="92">
        <f>IFERROR(Tabla_Buffers_Agroinsumos[[#This Row],[INV FIS MATERIA PRIMA]]-Tabla_Buffers_Agroinsumos[[#This Row],[BUFFER MATERIA PRIMA]],"")</f>
        <v>561</v>
      </c>
      <c r="S9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561</v>
      </c>
      <c r="T94" s="19"/>
      <c r="U94" s="19"/>
      <c r="V94" s="19"/>
      <c r="W94" s="19"/>
      <c r="X94" s="19"/>
      <c r="Y94" s="19"/>
      <c r="Z94" s="19"/>
      <c r="AA94" s="19"/>
      <c r="AB94" s="19"/>
      <c r="AC94" s="152" t="str">
        <f t="array" ref="AC94">IFERROR(INDEX(TABLACONSOLIDADA[Buff Act],MATCH("AGROINSUMOSCENTRAL"&amp;Tabla_Buffers_Agroinsumos[[#This Row],[CODIGO ]],TABLACONSOLIDADA[Bodega]&amp;TABLACONSOLIDADA[Codigo],0)),"")</f>
        <v/>
      </c>
      <c r="AD94" s="157" t="str">
        <f t="array" ref="AD94">IFERROR(INDEX(TABLACONSOLIDADA[Inv Fís Act],MATCH("AGROINSUMOSCENTRAL"&amp;Tabla_Buffers_Agroinsumos[[#This Row],[CODIGO ]],TABLACONSOLIDADA[Bodega]&amp;TABLACONSOLIDADA[Codigo],0)),"")</f>
        <v/>
      </c>
      <c r="AE94" s="157" t="str">
        <f t="array" ref="AE9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9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94" s="91">
        <f>IFERROR(SUM(Tabla_Buffers_Agroinsumos[[#This Row],[C-MP]:[C-VL]]),"")</f>
        <v>0</v>
      </c>
      <c r="AH94" s="92" t="str">
        <f>IFERROR(Tabla_Buffers_Agroinsumos[[#This Row],[INV FIS CENTRAL]]-Tabla_Buffers_Agroinsumos[[#This Row],[BUFFER CENTRAL]],"")</f>
        <v/>
      </c>
      <c r="AI9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94" s="134"/>
      <c r="AK94" s="134"/>
      <c r="AL94" s="134"/>
      <c r="AM94" s="134"/>
      <c r="AN94" s="134"/>
      <c r="AO94" s="134"/>
      <c r="AP94" s="134"/>
      <c r="AQ94" s="134"/>
      <c r="AR94" s="134"/>
      <c r="AS94" s="134" t="str">
        <f t="array" ref="AS94">IFERROR(INDEX(TABLACONSOLIDADA[Buff Act],MATCH("AGROINSUMOScentralPROPIA"&amp;Tabla_Buffers_Agroinsumos[[#This Row],[CODIGO ]],TABLACONSOLIDADA[Bodega]&amp;TABLACONSOLIDADA[Codigo],0)),"")</f>
        <v/>
      </c>
      <c r="AT94" s="157" t="str">
        <f t="array" ref="AT94">IFERROR(INDEX(TABLACONSOLIDADA[Inv Fís Act],MATCH("AGROINSUMOScentralPROPIA"&amp;Tabla_Buffers_Agroinsumos[[#This Row],[CODIGO ]],TABLACONSOLIDADA[Bodega]&amp;TABLACONSOLIDADA[Codigo],0)),"")</f>
        <v/>
      </c>
      <c r="AU94" s="157" t="str">
        <f t="array" ref="AU9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9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94" s="134">
        <f>IFERROR(SUM(Tabla_Buffers_Agroinsumos[[#This Row],[P-MP]:[P-VL]]),"")</f>
        <v>0</v>
      </c>
      <c r="AX94" s="92" t="str">
        <f>IFERROR(Tabla_Buffers_Agroinsumos[[#This Row],[INV FIS PROPIA]]-Tabla_Buffers_Agroinsumos[[#This Row],[BUFFER PROPIA]],"")</f>
        <v/>
      </c>
      <c r="AY9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94" s="134"/>
      <c r="BA94" s="134"/>
      <c r="BB94" s="134"/>
      <c r="BC94" s="134"/>
      <c r="BD94" s="134"/>
      <c r="BE94" s="134"/>
      <c r="BF94" s="134"/>
      <c r="BG94" s="134"/>
      <c r="BH94" s="134"/>
      <c r="BI94" s="91" t="str">
        <f t="array" ref="BI94">IFERROR(INDEX(TABLACONSOLIDADA[Buff Act],MATCH("AGROINSUMOSSTODOMINGO"&amp;Tabla_Buffers_Agroinsumos[[#This Row],[CODIGO ]],TABLACONSOLIDADA[Bodega]&amp;TABLACONSOLIDADA[Codigo],0)),"")</f>
        <v/>
      </c>
      <c r="BJ94" s="157" t="str">
        <f t="array" ref="BJ94">IFERROR(INDEX(TABLACONSOLIDADA[Inv Fís Act],MATCH("AGROINSUMOSSTODOMINGO"&amp;Tabla_Buffers_Agroinsumos[[#This Row],[CODIGO ]],TABLACONSOLIDADA[Bodega]&amp;TABLACONSOLIDADA[Codigo],0)),"")</f>
        <v/>
      </c>
      <c r="BK94" s="157" t="str">
        <f t="array" ref="BK9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9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94" s="91">
        <f>IFERROR(SUM(Tabla_Buffers_Agroinsumos[[#This Row],[SD-MP]:[SD-VL]]),"")</f>
        <v>0</v>
      </c>
      <c r="BN94" s="92"/>
      <c r="BO94" s="92"/>
      <c r="BP94" s="134"/>
      <c r="BQ94" s="134"/>
      <c r="BR94" s="134"/>
      <c r="BS94" s="134"/>
      <c r="BT94" s="134"/>
      <c r="BU94" s="134"/>
      <c r="BV94" s="134"/>
      <c r="BW94" s="134"/>
      <c r="BX94" s="134"/>
      <c r="BY94" s="134" t="str">
        <f t="array" ref="BY94">IFERROR(INDEX(TABLACONSOLIDADA[Buff Act],MATCH("AGROINSUMOSMONCAYOLOPEZ"&amp;Tabla_Buffers_Agroinsumos[[#This Row],[CODIGO ]],TABLACONSOLIDADA[Bodega]&amp;TABLACONSOLIDADA[Codigo],0)),"")</f>
        <v/>
      </c>
      <c r="BZ94" s="157" t="str">
        <f t="array" ref="BZ94">IFERROR(INDEX(TABLACONSOLIDADA[Inv Fís Act],MATCH("AGROINSUMOSMONCAYOLOPEZ"&amp;Tabla_Buffers_Agroinsumos[[#This Row],[CODIGO ]],TABLACONSOLIDADA[Bodega]&amp;TABLACONSOLIDADA[Codigo],0)),"")</f>
        <v/>
      </c>
      <c r="CA94" s="157" t="str">
        <f t="array" ref="CA9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9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94" s="134">
        <f>IFERROR(SUM(Tabla_Buffers_Agroinsumos[[#This Row],[ML-MP]:[ML-VL]]),"")</f>
        <v>0</v>
      </c>
      <c r="CD94" s="92" t="str">
        <f>IFERROR(Tabla_Buffers_Agroinsumos[[#This Row],[INV FIS ML]]-Tabla_Buffers_Agroinsumos[[#This Row],[BUFFER ML]],"")</f>
        <v/>
      </c>
      <c r="CE9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94" s="134"/>
      <c r="CG94" s="134"/>
      <c r="CH94" s="134"/>
      <c r="CI94" s="134"/>
      <c r="CJ94" s="134"/>
      <c r="CK94" s="134"/>
      <c r="CL94" s="134"/>
      <c r="CM94" s="134"/>
      <c r="CN94" s="134"/>
      <c r="CO94" s="134" t="str">
        <f t="array" ref="CO94">IFERROR(INDEX(TABLACONSOLIDADA[Buff Act],MATCH("AGROINSUMOSAGROHERMANOSLEON"&amp;Tabla_Buffers_Agroinsumos[[#This Row],[CODIGO ]],TABLACONSOLIDADA[Bodega]&amp;TABLACONSOLIDADA[Codigo],0)),"")</f>
        <v/>
      </c>
      <c r="CP94" s="157" t="str">
        <f t="array" ref="CP94">IFERROR(INDEX(TABLACONSOLIDADA[Inv Fís Act],MATCH("AGROINSUMOSAGROHERMANOSLEON"&amp;Tabla_Buffers_Agroinsumos[[#This Row],[CODIGO ]],TABLACONSOLIDADA[Bodega]&amp;TABLACONSOLIDADA[Codigo],0)),"")</f>
        <v/>
      </c>
      <c r="CQ94" s="157" t="str">
        <f t="array" ref="CQ9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9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94" s="134">
        <f>IFERROR(SUM(Tabla_Buffers_Agroinsumos[[#This Row],[AL-MP]:[AL-VL]]),"")</f>
        <v>0</v>
      </c>
      <c r="CT94" s="92" t="str">
        <f>IFERROR(Tabla_Buffers_Agroinsumos[[#This Row],[INV FIS AL]]-Tabla_Buffers_Agroinsumos[[#This Row],[BUFFER AL]],"")</f>
        <v/>
      </c>
      <c r="CU9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94" s="134"/>
      <c r="CW94" s="134"/>
      <c r="CX94" s="134"/>
      <c r="CY94" s="134"/>
      <c r="CZ94" s="134"/>
      <c r="DA94" s="134"/>
      <c r="DB94" s="134"/>
      <c r="DC94" s="134"/>
      <c r="DD94" s="134"/>
      <c r="DE94" s="134" t="str">
        <f t="array" ref="DE94">IFERROR(INDEX(TABLACONSOLIDADA[Buff Act],MATCH("AGROINSUMOSAGRONUEVO"&amp;Tabla_Buffers_Agroinsumos[[#This Row],[CODIGO ]],TABLACONSOLIDADA[Bodega]&amp;TABLACONSOLIDADA[Codigo],0)),"")</f>
        <v/>
      </c>
      <c r="DF94" s="157" t="str">
        <f t="array" ref="DF94">IFERROR(INDEX(TABLACONSOLIDADA[Inv Fís Act],MATCH("AGROINSUMOSAGRONUEVO"&amp;Tabla_Buffers_Agroinsumos[[#This Row],[CODIGO ]],TABLACONSOLIDADA[Bodega]&amp;TABLACONSOLIDADA[Codigo],0)),"")</f>
        <v/>
      </c>
      <c r="DG94" s="157" t="str">
        <f t="array" ref="DG9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9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94" s="134">
        <f>IFERROR(SUM(Tabla_Buffers_Agroinsumos[[#This Row],[AN-MP]:[AN-VL]]),"")</f>
        <v>0</v>
      </c>
      <c r="DJ94" s="92" t="str">
        <f>IFERROR(Tabla_Buffers_Agroinsumos[[#This Row],[INV FIS AN]]-Tabla_Buffers_Agroinsumos[[#This Row],[BUFFER AN]],"")</f>
        <v/>
      </c>
      <c r="DK9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94" s="134"/>
      <c r="DM94" s="134"/>
      <c r="DN94" s="134"/>
      <c r="DO94" s="134"/>
      <c r="DP94" s="134"/>
      <c r="DQ94" s="134"/>
      <c r="DR94" s="134"/>
      <c r="DS94" s="134"/>
      <c r="DT94" s="134"/>
      <c r="DU94" s="134" t="str">
        <f t="array" ref="DU94">IFERROR(INDEX(TABLACONSOLIDADA[Buff Act],MATCH("AGROINSUMOSAGROQUIMICOSSUR"&amp;Tabla_Buffers_Agroinsumos[[#This Row],[CODIGO ]],TABLACONSOLIDADA[Bodega]&amp;TABLACONSOLIDADA[Codigo],0)),"")</f>
        <v/>
      </c>
      <c r="DV94" s="157" t="str">
        <f t="array" ref="DV94">IFERROR(INDEX(TABLACONSOLIDADA[Inv Fís Act],MATCH("AGROINSUMOSAGROQUIMICOSSUR"&amp;Tabla_Buffers_Agroinsumos[[#This Row],[CODIGO ]],TABLACONSOLIDADA[Bodega]&amp;TABLACONSOLIDADA[Codigo],0)),"")</f>
        <v/>
      </c>
      <c r="DW94" s="157" t="str">
        <f t="array" ref="DW9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9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94" s="134">
        <f>IFERROR(SUM(Tabla_Buffers_Agroinsumos[[#This Row],[AS-MP]:[AS-VL]]),"")</f>
        <v>0</v>
      </c>
      <c r="DZ94" s="92" t="str">
        <f>IFERROR(Tabla_Buffers_Agroinsumos[[#This Row],[INV FIS AS]]-Tabla_Buffers_Agroinsumos[[#This Row],[BUFFER AS]],"")</f>
        <v/>
      </c>
      <c r="EA9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94" s="134"/>
      <c r="EC94" s="134"/>
      <c r="ED94" s="134"/>
      <c r="EE94" s="134"/>
      <c r="EF94" s="134"/>
      <c r="EG94" s="134"/>
      <c r="EH94" s="134"/>
      <c r="EI94" s="134"/>
      <c r="EJ94" s="134"/>
      <c r="EK94" s="134" t="str">
        <f t="array" ref="EK94">IFERROR(INDEX(TABLACONSOLIDADA[Buff Act],MATCH("AGROINSUMOSLAFINCA"&amp;Tabla_Buffers_Agroinsumos[[#This Row],[CODIGO ]],TABLACONSOLIDADA[Bodega]&amp;TABLACONSOLIDADA[Codigo],0)),"")</f>
        <v/>
      </c>
      <c r="EL94" s="157" t="str">
        <f t="array" ref="EL94">IFERROR(INDEX(TABLACONSOLIDADA[Inv Fís Act],MATCH("AGROINSUMOSLAFINCA"&amp;Tabla_Buffers_Agroinsumos[[#This Row],[CODIGO ]],TABLACONSOLIDADA[Bodega]&amp;TABLACONSOLIDADA[Codigo],0)),"")</f>
        <v/>
      </c>
      <c r="EM94" s="157" t="str">
        <f t="array" ref="EM9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9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94" s="134">
        <f>IFERROR(SUM(Tabla_Buffers_Agroinsumos[[#This Row],[LF-MP]:[LF-VL]]),"")</f>
        <v>0</v>
      </c>
      <c r="EP94" s="92" t="str">
        <f>IFERROR(Tabla_Buffers_Agroinsumos[[#This Row],[INV FIS LF]]-Tabla_Buffers_Agroinsumos[[#This Row],[BUFFER LF]],"")</f>
        <v/>
      </c>
      <c r="EQ9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94" s="134"/>
      <c r="ES94" s="134"/>
      <c r="ET94" s="134"/>
      <c r="EU94" s="134"/>
      <c r="EV94" s="134"/>
      <c r="EW94" s="134"/>
      <c r="EX94" s="134"/>
      <c r="EY94" s="134"/>
      <c r="EZ94" s="134"/>
      <c r="FA94" s="134" t="str">
        <f t="array" ref="FA94">IFERROR(INDEX(TABLACONSOLIDADA[Buff Act],MATCH("AGROINSUMOSVERONICALEDESMA"&amp;Tabla_Buffers_Agroinsumos[[#This Row],[CODIGO ]],TABLACONSOLIDADA[Bodega]&amp;TABLACONSOLIDADA[Codigo],0)),"")</f>
        <v/>
      </c>
      <c r="FB94" s="157" t="str">
        <f t="array" ref="FB94">IFERROR(INDEX(TABLACONSOLIDADA[Inv Fís Act],MATCH("AGROINSUMOSVERONICALEDESMA"&amp;Tabla_Buffers_Agroinsumos[[#This Row],[CODIGO ]],TABLACONSOLIDADA[Bodega]&amp;TABLACONSOLIDADA[Codigo],0)),"")</f>
        <v/>
      </c>
      <c r="FC94" s="157" t="str">
        <f t="array" ref="FC9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9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94" s="134">
        <f>IFERROR(SUM(Tabla_Buffers_Agroinsumos[[#This Row],[VL-MP]:[VL-LF]]),"")</f>
        <v>0</v>
      </c>
      <c r="FF94" s="92" t="str">
        <f>IFERROR(Tabla_Buffers_Agroinsumos[[#This Row],[INV FIS VL]]-Tabla_Buffers_Agroinsumos[[#This Row],[BUFFER VL]],"")</f>
        <v/>
      </c>
      <c r="FG9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94" s="134"/>
      <c r="FI94" s="134"/>
      <c r="FJ94" s="134"/>
      <c r="FK94" s="134"/>
      <c r="FL94" s="134"/>
      <c r="FM94" s="134"/>
      <c r="FN94" s="134"/>
      <c r="FO94" s="134"/>
      <c r="FP94" s="134"/>
    </row>
    <row r="95" spans="1:172">
      <c r="A95" s="7" t="s">
        <v>187</v>
      </c>
      <c r="B95" s="7" t="s">
        <v>188</v>
      </c>
      <c r="C95" s="7" t="s">
        <v>174</v>
      </c>
      <c r="D95" s="7" t="s">
        <v>718</v>
      </c>
      <c r="E95" s="7" t="s">
        <v>863</v>
      </c>
      <c r="F95" s="19" t="s">
        <v>807</v>
      </c>
      <c r="G95" s="19" t="s">
        <v>802</v>
      </c>
      <c r="H95" s="19">
        <f>VLOOKUP(Tabla_Buffers_Agroinsumos[[#This Row],[CODIGO ]],TABLACONSOLIDADA[[Codigo]:[PV]],6,0)</f>
        <v>0</v>
      </c>
      <c r="I95" s="19">
        <f>VLOOKUP(Tabla_Buffers_Agroinsumos[[#This Row],[CODIGO ]],TABLACONSOLIDADA[[Codigo]:[PV]],5,0)</f>
        <v>0.83</v>
      </c>
      <c r="J95" s="19">
        <v>24</v>
      </c>
      <c r="K95" s="19">
        <v>6</v>
      </c>
      <c r="L95" s="19">
        <f>IFERROR(Tabla_Buffers_Agroinsumos[[#This Row],[BUFFER CENTRAL]]/((Tabla_Buffers_Agroinsumos[[#This Row],[TIEMPO REPOSICION ]]/Tabla_Buffers_Agroinsumos[[#This Row],[FRECUENCIA]])+1),0)</f>
        <v>0</v>
      </c>
      <c r="M95" s="19">
        <f t="array" ref="M95">IFERROR(INDEX(TABLACONSOLIDADA[Buff Act],MATCH("AGROINSUMOSMATERIAPRIMA"&amp;Tabla_Buffers_Agroinsumos[[#This Row],[CODIGO ]],TABLACONSOLIDADA[Bodega]&amp;TABLACONSOLIDADA[Codigo],0)),"")</f>
        <v>1000</v>
      </c>
      <c r="N95" s="157">
        <f t="array" ref="N95">IFERROR(INDEX(TABLACONSOLIDADA[Inv Fís Act],MATCH("AGROINSUMOSMATERIAPRIMA"&amp;Tabla_Buffers_Agroinsumos[[#This Row],[CODIGO ]],TABLACONSOLIDADA[Bodega]&amp;TABLACONSOLIDADA[Codigo],0)),"")</f>
        <v>1662</v>
      </c>
      <c r="O95" s="157">
        <f t="array" ref="O9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1662</v>
      </c>
      <c r="P9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95" s="19">
        <f>IFERROR(SUM(Tabla_Buffers_Agroinsumos[[#This Row],[MP-C]:[MP-VL]]),"")</f>
        <v>0</v>
      </c>
      <c r="R95" s="92">
        <f>IFERROR(Tabla_Buffers_Agroinsumos[[#This Row],[INV FIS MATERIA PRIMA]]-Tabla_Buffers_Agroinsumos[[#This Row],[BUFFER MATERIA PRIMA]],"")</f>
        <v>662</v>
      </c>
      <c r="S9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662</v>
      </c>
      <c r="T95" s="19"/>
      <c r="U95" s="19"/>
      <c r="V95" s="19"/>
      <c r="W95" s="19"/>
      <c r="X95" s="19"/>
      <c r="Y95" s="19"/>
      <c r="Z95" s="19"/>
      <c r="AA95" s="19"/>
      <c r="AB95" s="19"/>
      <c r="AC95" s="152" t="str">
        <f t="array" ref="AC95">IFERROR(INDEX(TABLACONSOLIDADA[Buff Act],MATCH("AGROINSUMOSCENTRAL"&amp;Tabla_Buffers_Agroinsumos[[#This Row],[CODIGO ]],TABLACONSOLIDADA[Bodega]&amp;TABLACONSOLIDADA[Codigo],0)),"")</f>
        <v/>
      </c>
      <c r="AD95" s="157" t="str">
        <f t="array" ref="AD95">IFERROR(INDEX(TABLACONSOLIDADA[Inv Fís Act],MATCH("AGROINSUMOSCENTRAL"&amp;Tabla_Buffers_Agroinsumos[[#This Row],[CODIGO ]],TABLACONSOLIDADA[Bodega]&amp;TABLACONSOLIDADA[Codigo],0)),"")</f>
        <v/>
      </c>
      <c r="AE95" s="157" t="str">
        <f t="array" ref="AE9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9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95" s="91">
        <f>IFERROR(SUM(Tabla_Buffers_Agroinsumos[[#This Row],[C-MP]:[C-VL]]),"")</f>
        <v>0</v>
      </c>
      <c r="AH95" s="92" t="str">
        <f>IFERROR(Tabla_Buffers_Agroinsumos[[#This Row],[INV FIS CENTRAL]]-Tabla_Buffers_Agroinsumos[[#This Row],[BUFFER CENTRAL]],"")</f>
        <v/>
      </c>
      <c r="AI9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95" s="134"/>
      <c r="AK95" s="134"/>
      <c r="AL95" s="134"/>
      <c r="AM95" s="134"/>
      <c r="AN95" s="134"/>
      <c r="AO95" s="134"/>
      <c r="AP95" s="134"/>
      <c r="AQ95" s="134"/>
      <c r="AR95" s="134"/>
      <c r="AS95" s="134" t="str">
        <f t="array" ref="AS95">IFERROR(INDEX(TABLACONSOLIDADA[Buff Act],MATCH("AGROINSUMOScentralPROPIA"&amp;Tabla_Buffers_Agroinsumos[[#This Row],[CODIGO ]],TABLACONSOLIDADA[Bodega]&amp;TABLACONSOLIDADA[Codigo],0)),"")</f>
        <v/>
      </c>
      <c r="AT95" s="157" t="str">
        <f t="array" ref="AT95">IFERROR(INDEX(TABLACONSOLIDADA[Inv Fís Act],MATCH("AGROINSUMOScentralPROPIA"&amp;Tabla_Buffers_Agroinsumos[[#This Row],[CODIGO ]],TABLACONSOLIDADA[Bodega]&amp;TABLACONSOLIDADA[Codigo],0)),"")</f>
        <v/>
      </c>
      <c r="AU95" s="157" t="str">
        <f t="array" ref="AU9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9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95" s="134">
        <f>IFERROR(SUM(Tabla_Buffers_Agroinsumos[[#This Row],[P-MP]:[P-VL]]),"")</f>
        <v>0</v>
      </c>
      <c r="AX95" s="92" t="str">
        <f>IFERROR(Tabla_Buffers_Agroinsumos[[#This Row],[INV FIS PROPIA]]-Tabla_Buffers_Agroinsumos[[#This Row],[BUFFER PROPIA]],"")</f>
        <v/>
      </c>
      <c r="AY9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95" s="134"/>
      <c r="BA95" s="134"/>
      <c r="BB95" s="134"/>
      <c r="BC95" s="134"/>
      <c r="BD95" s="134"/>
      <c r="BE95" s="134"/>
      <c r="BF95" s="134"/>
      <c r="BG95" s="134"/>
      <c r="BH95" s="134"/>
      <c r="BI95" s="91" t="str">
        <f t="array" ref="BI95">IFERROR(INDEX(TABLACONSOLIDADA[Buff Act],MATCH("AGROINSUMOSSTODOMINGO"&amp;Tabla_Buffers_Agroinsumos[[#This Row],[CODIGO ]],TABLACONSOLIDADA[Bodega]&amp;TABLACONSOLIDADA[Codigo],0)),"")</f>
        <v/>
      </c>
      <c r="BJ95" s="157" t="str">
        <f t="array" ref="BJ95">IFERROR(INDEX(TABLACONSOLIDADA[Inv Fís Act],MATCH("AGROINSUMOSSTODOMINGO"&amp;Tabla_Buffers_Agroinsumos[[#This Row],[CODIGO ]],TABLACONSOLIDADA[Bodega]&amp;TABLACONSOLIDADA[Codigo],0)),"")</f>
        <v/>
      </c>
      <c r="BK95" s="157" t="str">
        <f t="array" ref="BK9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9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95" s="91">
        <f>IFERROR(SUM(Tabla_Buffers_Agroinsumos[[#This Row],[SD-MP]:[SD-VL]]),"")</f>
        <v>0</v>
      </c>
      <c r="BN95" s="92"/>
      <c r="BO95" s="92"/>
      <c r="BP95" s="134"/>
      <c r="BQ95" s="134"/>
      <c r="BR95" s="134"/>
      <c r="BS95" s="134"/>
      <c r="BT95" s="134"/>
      <c r="BU95" s="134"/>
      <c r="BV95" s="134"/>
      <c r="BW95" s="134"/>
      <c r="BX95" s="134"/>
      <c r="BY95" s="134" t="str">
        <f t="array" ref="BY95">IFERROR(INDEX(TABLACONSOLIDADA[Buff Act],MATCH("AGROINSUMOSMONCAYOLOPEZ"&amp;Tabla_Buffers_Agroinsumos[[#This Row],[CODIGO ]],TABLACONSOLIDADA[Bodega]&amp;TABLACONSOLIDADA[Codigo],0)),"")</f>
        <v/>
      </c>
      <c r="BZ95" s="157" t="str">
        <f t="array" ref="BZ95">IFERROR(INDEX(TABLACONSOLIDADA[Inv Fís Act],MATCH("AGROINSUMOSMONCAYOLOPEZ"&amp;Tabla_Buffers_Agroinsumos[[#This Row],[CODIGO ]],TABLACONSOLIDADA[Bodega]&amp;TABLACONSOLIDADA[Codigo],0)),"")</f>
        <v/>
      </c>
      <c r="CA95" s="157" t="str">
        <f t="array" ref="CA9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9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95" s="134">
        <f>IFERROR(SUM(Tabla_Buffers_Agroinsumos[[#This Row],[ML-MP]:[ML-VL]]),"")</f>
        <v>0</v>
      </c>
      <c r="CD95" s="92" t="str">
        <f>IFERROR(Tabla_Buffers_Agroinsumos[[#This Row],[INV FIS ML]]-Tabla_Buffers_Agroinsumos[[#This Row],[BUFFER ML]],"")</f>
        <v/>
      </c>
      <c r="CE9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95" s="134"/>
      <c r="CG95" s="134"/>
      <c r="CH95" s="134"/>
      <c r="CI95" s="134"/>
      <c r="CJ95" s="134"/>
      <c r="CK95" s="134"/>
      <c r="CL95" s="134"/>
      <c r="CM95" s="134"/>
      <c r="CN95" s="134"/>
      <c r="CO95" s="134" t="str">
        <f t="array" ref="CO95">IFERROR(INDEX(TABLACONSOLIDADA[Buff Act],MATCH("AGROINSUMOSAGROHERMANOSLEON"&amp;Tabla_Buffers_Agroinsumos[[#This Row],[CODIGO ]],TABLACONSOLIDADA[Bodega]&amp;TABLACONSOLIDADA[Codigo],0)),"")</f>
        <v/>
      </c>
      <c r="CP95" s="157" t="str">
        <f t="array" ref="CP95">IFERROR(INDEX(TABLACONSOLIDADA[Inv Fís Act],MATCH("AGROINSUMOSAGROHERMANOSLEON"&amp;Tabla_Buffers_Agroinsumos[[#This Row],[CODIGO ]],TABLACONSOLIDADA[Bodega]&amp;TABLACONSOLIDADA[Codigo],0)),"")</f>
        <v/>
      </c>
      <c r="CQ95" s="157" t="str">
        <f t="array" ref="CQ9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9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95" s="134">
        <f>IFERROR(SUM(Tabla_Buffers_Agroinsumos[[#This Row],[AL-MP]:[AL-VL]]),"")</f>
        <v>0</v>
      </c>
      <c r="CT95" s="92" t="str">
        <f>IFERROR(Tabla_Buffers_Agroinsumos[[#This Row],[INV FIS AL]]-Tabla_Buffers_Agroinsumos[[#This Row],[BUFFER AL]],"")</f>
        <v/>
      </c>
      <c r="CU9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95" s="134"/>
      <c r="CW95" s="134"/>
      <c r="CX95" s="134"/>
      <c r="CY95" s="134"/>
      <c r="CZ95" s="134"/>
      <c r="DA95" s="134"/>
      <c r="DB95" s="134"/>
      <c r="DC95" s="134"/>
      <c r="DD95" s="134"/>
      <c r="DE95" s="134" t="str">
        <f t="array" ref="DE95">IFERROR(INDEX(TABLACONSOLIDADA[Buff Act],MATCH("AGROINSUMOSAGRONUEVO"&amp;Tabla_Buffers_Agroinsumos[[#This Row],[CODIGO ]],TABLACONSOLIDADA[Bodega]&amp;TABLACONSOLIDADA[Codigo],0)),"")</f>
        <v/>
      </c>
      <c r="DF95" s="157" t="str">
        <f t="array" ref="DF95">IFERROR(INDEX(TABLACONSOLIDADA[Inv Fís Act],MATCH("AGROINSUMOSAGRONUEVO"&amp;Tabla_Buffers_Agroinsumos[[#This Row],[CODIGO ]],TABLACONSOLIDADA[Bodega]&amp;TABLACONSOLIDADA[Codigo],0)),"")</f>
        <v/>
      </c>
      <c r="DG95" s="157" t="str">
        <f t="array" ref="DG9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9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95" s="134">
        <f>IFERROR(SUM(Tabla_Buffers_Agroinsumos[[#This Row],[AN-MP]:[AN-VL]]),"")</f>
        <v>0</v>
      </c>
      <c r="DJ95" s="92" t="str">
        <f>IFERROR(Tabla_Buffers_Agroinsumos[[#This Row],[INV FIS AN]]-Tabla_Buffers_Agroinsumos[[#This Row],[BUFFER AN]],"")</f>
        <v/>
      </c>
      <c r="DK9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95" s="134"/>
      <c r="DM95" s="134"/>
      <c r="DN95" s="134"/>
      <c r="DO95" s="134"/>
      <c r="DP95" s="134"/>
      <c r="DQ95" s="134"/>
      <c r="DR95" s="134"/>
      <c r="DS95" s="134"/>
      <c r="DT95" s="134"/>
      <c r="DU95" s="134" t="str">
        <f t="array" ref="DU95">IFERROR(INDEX(TABLACONSOLIDADA[Buff Act],MATCH("AGROINSUMOSAGROQUIMICOSSUR"&amp;Tabla_Buffers_Agroinsumos[[#This Row],[CODIGO ]],TABLACONSOLIDADA[Bodega]&amp;TABLACONSOLIDADA[Codigo],0)),"")</f>
        <v/>
      </c>
      <c r="DV95" s="157" t="str">
        <f t="array" ref="DV95">IFERROR(INDEX(TABLACONSOLIDADA[Inv Fís Act],MATCH("AGROINSUMOSAGROQUIMICOSSUR"&amp;Tabla_Buffers_Agroinsumos[[#This Row],[CODIGO ]],TABLACONSOLIDADA[Bodega]&amp;TABLACONSOLIDADA[Codigo],0)),"")</f>
        <v/>
      </c>
      <c r="DW95" s="157" t="str">
        <f t="array" ref="DW9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9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95" s="134">
        <f>IFERROR(SUM(Tabla_Buffers_Agroinsumos[[#This Row],[AS-MP]:[AS-VL]]),"")</f>
        <v>0</v>
      </c>
      <c r="DZ95" s="92" t="str">
        <f>IFERROR(Tabla_Buffers_Agroinsumos[[#This Row],[INV FIS AS]]-Tabla_Buffers_Agroinsumos[[#This Row],[BUFFER AS]],"")</f>
        <v/>
      </c>
      <c r="EA9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95" s="134"/>
      <c r="EC95" s="134"/>
      <c r="ED95" s="134"/>
      <c r="EE95" s="134"/>
      <c r="EF95" s="134"/>
      <c r="EG95" s="134"/>
      <c r="EH95" s="134"/>
      <c r="EI95" s="134"/>
      <c r="EJ95" s="134"/>
      <c r="EK95" s="134" t="str">
        <f t="array" ref="EK95">IFERROR(INDEX(TABLACONSOLIDADA[Buff Act],MATCH("AGROINSUMOSLAFINCA"&amp;Tabla_Buffers_Agroinsumos[[#This Row],[CODIGO ]],TABLACONSOLIDADA[Bodega]&amp;TABLACONSOLIDADA[Codigo],0)),"")</f>
        <v/>
      </c>
      <c r="EL95" s="157" t="str">
        <f t="array" ref="EL95">IFERROR(INDEX(TABLACONSOLIDADA[Inv Fís Act],MATCH("AGROINSUMOSLAFINCA"&amp;Tabla_Buffers_Agroinsumos[[#This Row],[CODIGO ]],TABLACONSOLIDADA[Bodega]&amp;TABLACONSOLIDADA[Codigo],0)),"")</f>
        <v/>
      </c>
      <c r="EM95" s="157" t="str">
        <f t="array" ref="EM9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9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95" s="134">
        <f>IFERROR(SUM(Tabla_Buffers_Agroinsumos[[#This Row],[LF-MP]:[LF-VL]]),"")</f>
        <v>0</v>
      </c>
      <c r="EP95" s="92" t="str">
        <f>IFERROR(Tabla_Buffers_Agroinsumos[[#This Row],[INV FIS LF]]-Tabla_Buffers_Agroinsumos[[#This Row],[BUFFER LF]],"")</f>
        <v/>
      </c>
      <c r="EQ9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95" s="134"/>
      <c r="ES95" s="134"/>
      <c r="ET95" s="134"/>
      <c r="EU95" s="134"/>
      <c r="EV95" s="134"/>
      <c r="EW95" s="134"/>
      <c r="EX95" s="134"/>
      <c r="EY95" s="134"/>
      <c r="EZ95" s="134"/>
      <c r="FA95" s="134" t="str">
        <f t="array" ref="FA95">IFERROR(INDEX(TABLACONSOLIDADA[Buff Act],MATCH("AGROINSUMOSVERONICALEDESMA"&amp;Tabla_Buffers_Agroinsumos[[#This Row],[CODIGO ]],TABLACONSOLIDADA[Bodega]&amp;TABLACONSOLIDADA[Codigo],0)),"")</f>
        <v/>
      </c>
      <c r="FB95" s="157" t="str">
        <f t="array" ref="FB95">IFERROR(INDEX(TABLACONSOLIDADA[Inv Fís Act],MATCH("AGROINSUMOSVERONICALEDESMA"&amp;Tabla_Buffers_Agroinsumos[[#This Row],[CODIGO ]],TABLACONSOLIDADA[Bodega]&amp;TABLACONSOLIDADA[Codigo],0)),"")</f>
        <v/>
      </c>
      <c r="FC95" s="157" t="str">
        <f t="array" ref="FC9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9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95" s="134">
        <f>IFERROR(SUM(Tabla_Buffers_Agroinsumos[[#This Row],[VL-MP]:[VL-LF]]),"")</f>
        <v>0</v>
      </c>
      <c r="FF95" s="92" t="str">
        <f>IFERROR(Tabla_Buffers_Agroinsumos[[#This Row],[INV FIS VL]]-Tabla_Buffers_Agroinsumos[[#This Row],[BUFFER VL]],"")</f>
        <v/>
      </c>
      <c r="FG9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95" s="134"/>
      <c r="FI95" s="134"/>
      <c r="FJ95" s="134"/>
      <c r="FK95" s="134"/>
      <c r="FL95" s="134"/>
      <c r="FM95" s="134"/>
      <c r="FN95" s="134"/>
      <c r="FO95" s="134"/>
      <c r="FP95" s="134"/>
    </row>
    <row r="96" spans="1:172">
      <c r="A96" s="7" t="s">
        <v>189</v>
      </c>
      <c r="B96" s="7" t="s">
        <v>190</v>
      </c>
      <c r="C96" s="7" t="s">
        <v>707</v>
      </c>
      <c r="D96" s="7" t="s">
        <v>717</v>
      </c>
      <c r="E96" s="7" t="s">
        <v>863</v>
      </c>
      <c r="F96" s="19" t="s">
        <v>804</v>
      </c>
      <c r="G96" s="19" t="s">
        <v>802</v>
      </c>
      <c r="H96" s="19">
        <f>VLOOKUP(Tabla_Buffers_Agroinsumos[[#This Row],[CODIGO ]],TABLACONSOLIDADA[[Codigo]:[PV]],6,0)</f>
        <v>0</v>
      </c>
      <c r="I96" s="19">
        <f>VLOOKUP(Tabla_Buffers_Agroinsumos[[#This Row],[CODIGO ]],TABLACONSOLIDADA[[Codigo]:[PV]],5,0)</f>
        <v>400</v>
      </c>
      <c r="J96" s="19">
        <v>4</v>
      </c>
      <c r="K96" s="19">
        <v>4</v>
      </c>
      <c r="L96" s="19">
        <f>IFERROR(Tabla_Buffers_Agroinsumos[[#This Row],[BUFFER CENTRAL]]/((Tabla_Buffers_Agroinsumos[[#This Row],[TIEMPO REPOSICION ]]/Tabla_Buffers_Agroinsumos[[#This Row],[FRECUENCIA]])+1),0)</f>
        <v>0</v>
      </c>
      <c r="M96" s="19">
        <f t="array" ref="M96">IFERROR(INDEX(TABLACONSOLIDADA[Buff Act],MATCH("AGROINSUMOSMATERIAPRIMA"&amp;Tabla_Buffers_Agroinsumos[[#This Row],[CODIGO ]],TABLACONSOLIDADA[Bodega]&amp;TABLACONSOLIDADA[Codigo],0)),"")</f>
        <v>3</v>
      </c>
      <c r="N96" s="157">
        <f t="array" ref="N96">IFERROR(INDEX(TABLACONSOLIDADA[Inv Fís Act],MATCH("AGROINSUMOSMATERIAPRIMA"&amp;Tabla_Buffers_Agroinsumos[[#This Row],[CODIGO ]],TABLACONSOLIDADA[Bodega]&amp;TABLACONSOLIDADA[Codigo],0)),"")</f>
        <v>2.41954</v>
      </c>
      <c r="O96" s="157">
        <f t="array" ref="O9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2.41954</v>
      </c>
      <c r="P9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96" s="19">
        <f>IFERROR(SUM(Tabla_Buffers_Agroinsumos[[#This Row],[MP-C]:[MP-VL]]),"")</f>
        <v>0</v>
      </c>
      <c r="R96" s="92">
        <f>IFERROR(Tabla_Buffers_Agroinsumos[[#This Row],[INV FIS MATERIA PRIMA]]-Tabla_Buffers_Agroinsumos[[#This Row],[BUFFER MATERIA PRIMA]],"")</f>
        <v>-0.58045999999999998</v>
      </c>
      <c r="S9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-0.58045999999999998</v>
      </c>
      <c r="T96" s="19"/>
      <c r="U96" s="19"/>
      <c r="V96" s="19"/>
      <c r="W96" s="19"/>
      <c r="X96" s="19"/>
      <c r="Y96" s="19"/>
      <c r="Z96" s="19"/>
      <c r="AA96" s="19"/>
      <c r="AB96" s="19"/>
      <c r="AC96" s="152" t="str">
        <f t="array" ref="AC96">IFERROR(INDEX(TABLACONSOLIDADA[Buff Act],MATCH("AGROINSUMOSCENTRAL"&amp;Tabla_Buffers_Agroinsumos[[#This Row],[CODIGO ]],TABLACONSOLIDADA[Bodega]&amp;TABLACONSOLIDADA[Codigo],0)),"")</f>
        <v/>
      </c>
      <c r="AD96" s="157" t="str">
        <f t="array" ref="AD96">IFERROR(INDEX(TABLACONSOLIDADA[Inv Fís Act],MATCH("AGROINSUMOSCENTRAL"&amp;Tabla_Buffers_Agroinsumos[[#This Row],[CODIGO ]],TABLACONSOLIDADA[Bodega]&amp;TABLACONSOLIDADA[Codigo],0)),"")</f>
        <v/>
      </c>
      <c r="AE96" s="157" t="str">
        <f t="array" ref="AE9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9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96" s="91">
        <f>IFERROR(SUM(Tabla_Buffers_Agroinsumos[[#This Row],[C-MP]:[C-VL]]),"")</f>
        <v>0</v>
      </c>
      <c r="AH96" s="92" t="str">
        <f>IFERROR(Tabla_Buffers_Agroinsumos[[#This Row],[INV FIS CENTRAL]]-Tabla_Buffers_Agroinsumos[[#This Row],[BUFFER CENTRAL]],"")</f>
        <v/>
      </c>
      <c r="AI9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96" s="134"/>
      <c r="AK96" s="134"/>
      <c r="AL96" s="134"/>
      <c r="AM96" s="134"/>
      <c r="AN96" s="134"/>
      <c r="AO96" s="134"/>
      <c r="AP96" s="134"/>
      <c r="AQ96" s="134"/>
      <c r="AR96" s="134"/>
      <c r="AS96" s="134" t="str">
        <f t="array" ref="AS96">IFERROR(INDEX(TABLACONSOLIDADA[Buff Act],MATCH("AGROINSUMOScentralPROPIA"&amp;Tabla_Buffers_Agroinsumos[[#This Row],[CODIGO ]],TABLACONSOLIDADA[Bodega]&amp;TABLACONSOLIDADA[Codigo],0)),"")</f>
        <v/>
      </c>
      <c r="AT96" s="157" t="str">
        <f t="array" ref="AT96">IFERROR(INDEX(TABLACONSOLIDADA[Inv Fís Act],MATCH("AGROINSUMOScentralPROPIA"&amp;Tabla_Buffers_Agroinsumos[[#This Row],[CODIGO ]],TABLACONSOLIDADA[Bodega]&amp;TABLACONSOLIDADA[Codigo],0)),"")</f>
        <v/>
      </c>
      <c r="AU96" s="157" t="str">
        <f t="array" ref="AU9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9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96" s="134">
        <f>IFERROR(SUM(Tabla_Buffers_Agroinsumos[[#This Row],[P-MP]:[P-VL]]),"")</f>
        <v>0</v>
      </c>
      <c r="AX96" s="92" t="str">
        <f>IFERROR(Tabla_Buffers_Agroinsumos[[#This Row],[INV FIS PROPIA]]-Tabla_Buffers_Agroinsumos[[#This Row],[BUFFER PROPIA]],"")</f>
        <v/>
      </c>
      <c r="AY9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96" s="134"/>
      <c r="BA96" s="134"/>
      <c r="BB96" s="134"/>
      <c r="BC96" s="134"/>
      <c r="BD96" s="134"/>
      <c r="BE96" s="134"/>
      <c r="BF96" s="134"/>
      <c r="BG96" s="134"/>
      <c r="BH96" s="134"/>
      <c r="BI96" s="91" t="str">
        <f t="array" ref="BI96">IFERROR(INDEX(TABLACONSOLIDADA[Buff Act],MATCH("AGROINSUMOSSTODOMINGO"&amp;Tabla_Buffers_Agroinsumos[[#This Row],[CODIGO ]],TABLACONSOLIDADA[Bodega]&amp;TABLACONSOLIDADA[Codigo],0)),"")</f>
        <v/>
      </c>
      <c r="BJ96" s="157" t="str">
        <f t="array" ref="BJ96">IFERROR(INDEX(TABLACONSOLIDADA[Inv Fís Act],MATCH("AGROINSUMOSSTODOMINGO"&amp;Tabla_Buffers_Agroinsumos[[#This Row],[CODIGO ]],TABLACONSOLIDADA[Bodega]&amp;TABLACONSOLIDADA[Codigo],0)),"")</f>
        <v/>
      </c>
      <c r="BK96" s="157" t="str">
        <f t="array" ref="BK9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9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96" s="91">
        <f>IFERROR(SUM(Tabla_Buffers_Agroinsumos[[#This Row],[SD-MP]:[SD-VL]]),"")</f>
        <v>0</v>
      </c>
      <c r="BN96" s="92"/>
      <c r="BO96" s="92"/>
      <c r="BP96" s="134"/>
      <c r="BQ96" s="134"/>
      <c r="BR96" s="134"/>
      <c r="BS96" s="134"/>
      <c r="BT96" s="134"/>
      <c r="BU96" s="134"/>
      <c r="BV96" s="134"/>
      <c r="BW96" s="134"/>
      <c r="BX96" s="134"/>
      <c r="BY96" s="134" t="str">
        <f t="array" ref="BY96">IFERROR(INDEX(TABLACONSOLIDADA[Buff Act],MATCH("AGROINSUMOSMONCAYOLOPEZ"&amp;Tabla_Buffers_Agroinsumos[[#This Row],[CODIGO ]],TABLACONSOLIDADA[Bodega]&amp;TABLACONSOLIDADA[Codigo],0)),"")</f>
        <v/>
      </c>
      <c r="BZ96" s="157" t="str">
        <f t="array" ref="BZ96">IFERROR(INDEX(TABLACONSOLIDADA[Inv Fís Act],MATCH("AGROINSUMOSMONCAYOLOPEZ"&amp;Tabla_Buffers_Agroinsumos[[#This Row],[CODIGO ]],TABLACONSOLIDADA[Bodega]&amp;TABLACONSOLIDADA[Codigo],0)),"")</f>
        <v/>
      </c>
      <c r="CA96" s="157" t="str">
        <f t="array" ref="CA9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9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96" s="134">
        <f>IFERROR(SUM(Tabla_Buffers_Agroinsumos[[#This Row],[ML-MP]:[ML-VL]]),"")</f>
        <v>0</v>
      </c>
      <c r="CD96" s="92" t="str">
        <f>IFERROR(Tabla_Buffers_Agroinsumos[[#This Row],[INV FIS ML]]-Tabla_Buffers_Agroinsumos[[#This Row],[BUFFER ML]],"")</f>
        <v/>
      </c>
      <c r="CE9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96" s="134"/>
      <c r="CG96" s="134"/>
      <c r="CH96" s="134"/>
      <c r="CI96" s="134"/>
      <c r="CJ96" s="134"/>
      <c r="CK96" s="134"/>
      <c r="CL96" s="134"/>
      <c r="CM96" s="134"/>
      <c r="CN96" s="134"/>
      <c r="CO96" s="134" t="str">
        <f t="array" ref="CO96">IFERROR(INDEX(TABLACONSOLIDADA[Buff Act],MATCH("AGROINSUMOSAGROHERMANOSLEON"&amp;Tabla_Buffers_Agroinsumos[[#This Row],[CODIGO ]],TABLACONSOLIDADA[Bodega]&amp;TABLACONSOLIDADA[Codigo],0)),"")</f>
        <v/>
      </c>
      <c r="CP96" s="157" t="str">
        <f t="array" ref="CP96">IFERROR(INDEX(TABLACONSOLIDADA[Inv Fís Act],MATCH("AGROINSUMOSAGROHERMANOSLEON"&amp;Tabla_Buffers_Agroinsumos[[#This Row],[CODIGO ]],TABLACONSOLIDADA[Bodega]&amp;TABLACONSOLIDADA[Codigo],0)),"")</f>
        <v/>
      </c>
      <c r="CQ96" s="157" t="str">
        <f t="array" ref="CQ9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9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96" s="134">
        <f>IFERROR(SUM(Tabla_Buffers_Agroinsumos[[#This Row],[AL-MP]:[AL-VL]]),"")</f>
        <v>0</v>
      </c>
      <c r="CT96" s="92" t="str">
        <f>IFERROR(Tabla_Buffers_Agroinsumos[[#This Row],[INV FIS AL]]-Tabla_Buffers_Agroinsumos[[#This Row],[BUFFER AL]],"")</f>
        <v/>
      </c>
      <c r="CU9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96" s="134"/>
      <c r="CW96" s="134"/>
      <c r="CX96" s="134"/>
      <c r="CY96" s="134"/>
      <c r="CZ96" s="134"/>
      <c r="DA96" s="134"/>
      <c r="DB96" s="134"/>
      <c r="DC96" s="134"/>
      <c r="DD96" s="134"/>
      <c r="DE96" s="134" t="str">
        <f t="array" ref="DE96">IFERROR(INDEX(TABLACONSOLIDADA[Buff Act],MATCH("AGROINSUMOSAGRONUEVO"&amp;Tabla_Buffers_Agroinsumos[[#This Row],[CODIGO ]],TABLACONSOLIDADA[Bodega]&amp;TABLACONSOLIDADA[Codigo],0)),"")</f>
        <v/>
      </c>
      <c r="DF96" s="157" t="str">
        <f t="array" ref="DF96">IFERROR(INDEX(TABLACONSOLIDADA[Inv Fís Act],MATCH("AGROINSUMOSAGRONUEVO"&amp;Tabla_Buffers_Agroinsumos[[#This Row],[CODIGO ]],TABLACONSOLIDADA[Bodega]&amp;TABLACONSOLIDADA[Codigo],0)),"")</f>
        <v/>
      </c>
      <c r="DG96" s="157" t="str">
        <f t="array" ref="DG9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9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96" s="134">
        <f>IFERROR(SUM(Tabla_Buffers_Agroinsumos[[#This Row],[AN-MP]:[AN-VL]]),"")</f>
        <v>0</v>
      </c>
      <c r="DJ96" s="92" t="str">
        <f>IFERROR(Tabla_Buffers_Agroinsumos[[#This Row],[INV FIS AN]]-Tabla_Buffers_Agroinsumos[[#This Row],[BUFFER AN]],"")</f>
        <v/>
      </c>
      <c r="DK9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96" s="134"/>
      <c r="DM96" s="134"/>
      <c r="DN96" s="134"/>
      <c r="DO96" s="134"/>
      <c r="DP96" s="134"/>
      <c r="DQ96" s="134"/>
      <c r="DR96" s="134"/>
      <c r="DS96" s="134"/>
      <c r="DT96" s="134"/>
      <c r="DU96" s="134" t="str">
        <f t="array" ref="DU96">IFERROR(INDEX(TABLACONSOLIDADA[Buff Act],MATCH("AGROINSUMOSAGROQUIMICOSSUR"&amp;Tabla_Buffers_Agroinsumos[[#This Row],[CODIGO ]],TABLACONSOLIDADA[Bodega]&amp;TABLACONSOLIDADA[Codigo],0)),"")</f>
        <v/>
      </c>
      <c r="DV96" s="157" t="str">
        <f t="array" ref="DV96">IFERROR(INDEX(TABLACONSOLIDADA[Inv Fís Act],MATCH("AGROINSUMOSAGROQUIMICOSSUR"&amp;Tabla_Buffers_Agroinsumos[[#This Row],[CODIGO ]],TABLACONSOLIDADA[Bodega]&amp;TABLACONSOLIDADA[Codigo],0)),"")</f>
        <v/>
      </c>
      <c r="DW96" s="157" t="str">
        <f t="array" ref="DW9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9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96" s="134">
        <f>IFERROR(SUM(Tabla_Buffers_Agroinsumos[[#This Row],[AS-MP]:[AS-VL]]),"")</f>
        <v>0</v>
      </c>
      <c r="DZ96" s="92" t="str">
        <f>IFERROR(Tabla_Buffers_Agroinsumos[[#This Row],[INV FIS AS]]-Tabla_Buffers_Agroinsumos[[#This Row],[BUFFER AS]],"")</f>
        <v/>
      </c>
      <c r="EA9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96" s="134"/>
      <c r="EC96" s="134"/>
      <c r="ED96" s="134"/>
      <c r="EE96" s="134"/>
      <c r="EF96" s="134"/>
      <c r="EG96" s="134"/>
      <c r="EH96" s="134"/>
      <c r="EI96" s="134"/>
      <c r="EJ96" s="134"/>
      <c r="EK96" s="134" t="str">
        <f t="array" ref="EK96">IFERROR(INDEX(TABLACONSOLIDADA[Buff Act],MATCH("AGROINSUMOSLAFINCA"&amp;Tabla_Buffers_Agroinsumos[[#This Row],[CODIGO ]],TABLACONSOLIDADA[Bodega]&amp;TABLACONSOLIDADA[Codigo],0)),"")</f>
        <v/>
      </c>
      <c r="EL96" s="157" t="str">
        <f t="array" ref="EL96">IFERROR(INDEX(TABLACONSOLIDADA[Inv Fís Act],MATCH("AGROINSUMOSLAFINCA"&amp;Tabla_Buffers_Agroinsumos[[#This Row],[CODIGO ]],TABLACONSOLIDADA[Bodega]&amp;TABLACONSOLIDADA[Codigo],0)),"")</f>
        <v/>
      </c>
      <c r="EM96" s="157" t="str">
        <f t="array" ref="EM9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9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96" s="134">
        <f>IFERROR(SUM(Tabla_Buffers_Agroinsumos[[#This Row],[LF-MP]:[LF-VL]]),"")</f>
        <v>0</v>
      </c>
      <c r="EP96" s="92" t="str">
        <f>IFERROR(Tabla_Buffers_Agroinsumos[[#This Row],[INV FIS LF]]-Tabla_Buffers_Agroinsumos[[#This Row],[BUFFER LF]],"")</f>
        <v/>
      </c>
      <c r="EQ9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96" s="134"/>
      <c r="ES96" s="134"/>
      <c r="ET96" s="134"/>
      <c r="EU96" s="134"/>
      <c r="EV96" s="134"/>
      <c r="EW96" s="134"/>
      <c r="EX96" s="134"/>
      <c r="EY96" s="134"/>
      <c r="EZ96" s="134"/>
      <c r="FA96" s="134" t="str">
        <f t="array" ref="FA96">IFERROR(INDEX(TABLACONSOLIDADA[Buff Act],MATCH("AGROINSUMOSVERONICALEDESMA"&amp;Tabla_Buffers_Agroinsumos[[#This Row],[CODIGO ]],TABLACONSOLIDADA[Bodega]&amp;TABLACONSOLIDADA[Codigo],0)),"")</f>
        <v/>
      </c>
      <c r="FB96" s="157" t="str">
        <f t="array" ref="FB96">IFERROR(INDEX(TABLACONSOLIDADA[Inv Fís Act],MATCH("AGROINSUMOSVERONICALEDESMA"&amp;Tabla_Buffers_Agroinsumos[[#This Row],[CODIGO ]],TABLACONSOLIDADA[Bodega]&amp;TABLACONSOLIDADA[Codigo],0)),"")</f>
        <v/>
      </c>
      <c r="FC96" s="157" t="str">
        <f t="array" ref="FC9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9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96" s="134">
        <f>IFERROR(SUM(Tabla_Buffers_Agroinsumos[[#This Row],[VL-MP]:[VL-LF]]),"")</f>
        <v>0</v>
      </c>
      <c r="FF96" s="92" t="str">
        <f>IFERROR(Tabla_Buffers_Agroinsumos[[#This Row],[INV FIS VL]]-Tabla_Buffers_Agroinsumos[[#This Row],[BUFFER VL]],"")</f>
        <v/>
      </c>
      <c r="FG9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96" s="134"/>
      <c r="FI96" s="134"/>
      <c r="FJ96" s="134"/>
      <c r="FK96" s="134"/>
      <c r="FL96" s="134"/>
      <c r="FM96" s="134"/>
      <c r="FN96" s="134"/>
      <c r="FO96" s="134"/>
      <c r="FP96" s="134"/>
    </row>
    <row r="97" spans="1:172">
      <c r="A97" s="7" t="s">
        <v>191</v>
      </c>
      <c r="B97" s="7" t="s">
        <v>192</v>
      </c>
      <c r="C97" s="7" t="s">
        <v>712</v>
      </c>
      <c r="D97" s="7" t="s">
        <v>717</v>
      </c>
      <c r="E97" s="7" t="s">
        <v>863</v>
      </c>
      <c r="F97" s="19" t="s">
        <v>831</v>
      </c>
      <c r="G97" s="19" t="s">
        <v>873</v>
      </c>
      <c r="H97" s="19">
        <f>VLOOKUP(Tabla_Buffers_Agroinsumos[[#This Row],[CODIGO ]],TABLACONSOLIDADA[[Codigo]:[PV]],6,0)</f>
        <v>0</v>
      </c>
      <c r="I97" s="19">
        <f>VLOOKUP(Tabla_Buffers_Agroinsumos[[#This Row],[CODIGO ]],TABLACONSOLIDADA[[Codigo]:[PV]],5,0)</f>
        <v>1578.41</v>
      </c>
      <c r="J97" s="19">
        <v>24</v>
      </c>
      <c r="K97" s="19">
        <v>14</v>
      </c>
      <c r="L97" s="19">
        <f>IFERROR(Tabla_Buffers_Agroinsumos[[#This Row],[BUFFER CENTRAL]]/((Tabla_Buffers_Agroinsumos[[#This Row],[TIEMPO REPOSICION ]]/Tabla_Buffers_Agroinsumos[[#This Row],[FRECUENCIA]])+1),0)</f>
        <v>0</v>
      </c>
      <c r="M97" s="19">
        <f t="array" ref="M97">IFERROR(INDEX(TABLACONSOLIDADA[Buff Act],MATCH("AGROINSUMOSMATERIAPRIMA"&amp;Tabla_Buffers_Agroinsumos[[#This Row],[CODIGO ]],TABLACONSOLIDADA[Bodega]&amp;TABLACONSOLIDADA[Codigo],0)),"")</f>
        <v>20</v>
      </c>
      <c r="N97" s="157">
        <f t="array" ref="N97">IFERROR(INDEX(TABLACONSOLIDADA[Inv Fís Act],MATCH("AGROINSUMOSMATERIAPRIMA"&amp;Tabla_Buffers_Agroinsumos[[#This Row],[CODIGO ]],TABLACONSOLIDADA[Bodega]&amp;TABLACONSOLIDADA[Codigo],0)),"")</f>
        <v>10.345800000000001</v>
      </c>
      <c r="O97" s="157">
        <f t="array" ref="O9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10.345800000000001</v>
      </c>
      <c r="P9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97" s="19">
        <f>IFERROR(SUM(Tabla_Buffers_Agroinsumos[[#This Row],[MP-C]:[MP-VL]]),"")</f>
        <v>0</v>
      </c>
      <c r="R97" s="92">
        <f>IFERROR(Tabla_Buffers_Agroinsumos[[#This Row],[INV FIS MATERIA PRIMA]]-Tabla_Buffers_Agroinsumos[[#This Row],[BUFFER MATERIA PRIMA]],"")</f>
        <v>-9.6541999999999994</v>
      </c>
      <c r="S9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-9.6541999999999994</v>
      </c>
      <c r="T97" s="19"/>
      <c r="U97" s="19"/>
      <c r="V97" s="19"/>
      <c r="W97" s="19"/>
      <c r="X97" s="19"/>
      <c r="Y97" s="19"/>
      <c r="Z97" s="19"/>
      <c r="AA97" s="19"/>
      <c r="AB97" s="19"/>
      <c r="AC97" s="152" t="str">
        <f t="array" ref="AC97">IFERROR(INDEX(TABLACONSOLIDADA[Buff Act],MATCH("AGROINSUMOSCENTRAL"&amp;Tabla_Buffers_Agroinsumos[[#This Row],[CODIGO ]],TABLACONSOLIDADA[Bodega]&amp;TABLACONSOLIDADA[Codigo],0)),"")</f>
        <v/>
      </c>
      <c r="AD97" s="157" t="str">
        <f t="array" ref="AD97">IFERROR(INDEX(TABLACONSOLIDADA[Inv Fís Act],MATCH("AGROINSUMOSCENTRAL"&amp;Tabla_Buffers_Agroinsumos[[#This Row],[CODIGO ]],TABLACONSOLIDADA[Bodega]&amp;TABLACONSOLIDADA[Codigo],0)),"")</f>
        <v/>
      </c>
      <c r="AE97" s="157" t="str">
        <f t="array" ref="AE9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9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97" s="91">
        <f>IFERROR(SUM(Tabla_Buffers_Agroinsumos[[#This Row],[C-MP]:[C-VL]]),"")</f>
        <v>0</v>
      </c>
      <c r="AH97" s="92" t="str">
        <f>IFERROR(Tabla_Buffers_Agroinsumos[[#This Row],[INV FIS CENTRAL]]-Tabla_Buffers_Agroinsumos[[#This Row],[BUFFER CENTRAL]],"")</f>
        <v/>
      </c>
      <c r="AI9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97" s="134"/>
      <c r="AK97" s="134"/>
      <c r="AL97" s="134"/>
      <c r="AM97" s="134"/>
      <c r="AN97" s="134"/>
      <c r="AO97" s="134"/>
      <c r="AP97" s="134"/>
      <c r="AQ97" s="134"/>
      <c r="AR97" s="134"/>
      <c r="AS97" s="134" t="str">
        <f t="array" ref="AS97">IFERROR(INDEX(TABLACONSOLIDADA[Buff Act],MATCH("AGROINSUMOScentralPROPIA"&amp;Tabla_Buffers_Agroinsumos[[#This Row],[CODIGO ]],TABLACONSOLIDADA[Bodega]&amp;TABLACONSOLIDADA[Codigo],0)),"")</f>
        <v/>
      </c>
      <c r="AT97" s="157" t="str">
        <f t="array" ref="AT97">IFERROR(INDEX(TABLACONSOLIDADA[Inv Fís Act],MATCH("AGROINSUMOScentralPROPIA"&amp;Tabla_Buffers_Agroinsumos[[#This Row],[CODIGO ]],TABLACONSOLIDADA[Bodega]&amp;TABLACONSOLIDADA[Codigo],0)),"")</f>
        <v/>
      </c>
      <c r="AU97" s="157" t="str">
        <f t="array" ref="AU9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9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97" s="134">
        <f>IFERROR(SUM(Tabla_Buffers_Agroinsumos[[#This Row],[P-MP]:[P-VL]]),"")</f>
        <v>0</v>
      </c>
      <c r="AX97" s="92" t="str">
        <f>IFERROR(Tabla_Buffers_Agroinsumos[[#This Row],[INV FIS PROPIA]]-Tabla_Buffers_Agroinsumos[[#This Row],[BUFFER PROPIA]],"")</f>
        <v/>
      </c>
      <c r="AY9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97" s="134"/>
      <c r="BA97" s="134"/>
      <c r="BB97" s="134"/>
      <c r="BC97" s="134"/>
      <c r="BD97" s="134"/>
      <c r="BE97" s="134"/>
      <c r="BF97" s="134"/>
      <c r="BG97" s="134"/>
      <c r="BH97" s="134"/>
      <c r="BI97" s="91" t="str">
        <f t="array" ref="BI97">IFERROR(INDEX(TABLACONSOLIDADA[Buff Act],MATCH("AGROINSUMOSSTODOMINGO"&amp;Tabla_Buffers_Agroinsumos[[#This Row],[CODIGO ]],TABLACONSOLIDADA[Bodega]&amp;TABLACONSOLIDADA[Codigo],0)),"")</f>
        <v/>
      </c>
      <c r="BJ97" s="157" t="str">
        <f t="array" ref="BJ97">IFERROR(INDEX(TABLACONSOLIDADA[Inv Fís Act],MATCH("AGROINSUMOSSTODOMINGO"&amp;Tabla_Buffers_Agroinsumos[[#This Row],[CODIGO ]],TABLACONSOLIDADA[Bodega]&amp;TABLACONSOLIDADA[Codigo],0)),"")</f>
        <v/>
      </c>
      <c r="BK97" s="157" t="str">
        <f t="array" ref="BK9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9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97" s="91">
        <f>IFERROR(SUM(Tabla_Buffers_Agroinsumos[[#This Row],[SD-MP]:[SD-VL]]),"")</f>
        <v>0</v>
      </c>
      <c r="BN97" s="92"/>
      <c r="BO97" s="92"/>
      <c r="BP97" s="134"/>
      <c r="BQ97" s="134"/>
      <c r="BR97" s="134"/>
      <c r="BS97" s="134"/>
      <c r="BT97" s="134"/>
      <c r="BU97" s="134"/>
      <c r="BV97" s="134"/>
      <c r="BW97" s="134"/>
      <c r="BX97" s="134"/>
      <c r="BY97" s="134" t="str">
        <f t="array" ref="BY97">IFERROR(INDEX(TABLACONSOLIDADA[Buff Act],MATCH("AGROINSUMOSMONCAYOLOPEZ"&amp;Tabla_Buffers_Agroinsumos[[#This Row],[CODIGO ]],TABLACONSOLIDADA[Bodega]&amp;TABLACONSOLIDADA[Codigo],0)),"")</f>
        <v/>
      </c>
      <c r="BZ97" s="157" t="str">
        <f t="array" ref="BZ97">IFERROR(INDEX(TABLACONSOLIDADA[Inv Fís Act],MATCH("AGROINSUMOSMONCAYOLOPEZ"&amp;Tabla_Buffers_Agroinsumos[[#This Row],[CODIGO ]],TABLACONSOLIDADA[Bodega]&amp;TABLACONSOLIDADA[Codigo],0)),"")</f>
        <v/>
      </c>
      <c r="CA97" s="157" t="str">
        <f t="array" ref="CA9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9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97" s="134">
        <f>IFERROR(SUM(Tabla_Buffers_Agroinsumos[[#This Row],[ML-MP]:[ML-VL]]),"")</f>
        <v>0</v>
      </c>
      <c r="CD97" s="92" t="str">
        <f>IFERROR(Tabla_Buffers_Agroinsumos[[#This Row],[INV FIS ML]]-Tabla_Buffers_Agroinsumos[[#This Row],[BUFFER ML]],"")</f>
        <v/>
      </c>
      <c r="CE9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97" s="134"/>
      <c r="CG97" s="134"/>
      <c r="CH97" s="134"/>
      <c r="CI97" s="134"/>
      <c r="CJ97" s="134"/>
      <c r="CK97" s="134"/>
      <c r="CL97" s="134"/>
      <c r="CM97" s="134"/>
      <c r="CN97" s="134"/>
      <c r="CO97" s="134" t="str">
        <f t="array" ref="CO97">IFERROR(INDEX(TABLACONSOLIDADA[Buff Act],MATCH("AGROINSUMOSAGROHERMANOSLEON"&amp;Tabla_Buffers_Agroinsumos[[#This Row],[CODIGO ]],TABLACONSOLIDADA[Bodega]&amp;TABLACONSOLIDADA[Codigo],0)),"")</f>
        <v/>
      </c>
      <c r="CP97" s="157" t="str">
        <f t="array" ref="CP97">IFERROR(INDEX(TABLACONSOLIDADA[Inv Fís Act],MATCH("AGROINSUMOSAGROHERMANOSLEON"&amp;Tabla_Buffers_Agroinsumos[[#This Row],[CODIGO ]],TABLACONSOLIDADA[Bodega]&amp;TABLACONSOLIDADA[Codigo],0)),"")</f>
        <v/>
      </c>
      <c r="CQ97" s="157" t="str">
        <f t="array" ref="CQ9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9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97" s="134">
        <f>IFERROR(SUM(Tabla_Buffers_Agroinsumos[[#This Row],[AL-MP]:[AL-VL]]),"")</f>
        <v>0</v>
      </c>
      <c r="CT97" s="92" t="str">
        <f>IFERROR(Tabla_Buffers_Agroinsumos[[#This Row],[INV FIS AL]]-Tabla_Buffers_Agroinsumos[[#This Row],[BUFFER AL]],"")</f>
        <v/>
      </c>
      <c r="CU9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97" s="134"/>
      <c r="CW97" s="134"/>
      <c r="CX97" s="134"/>
      <c r="CY97" s="134"/>
      <c r="CZ97" s="134"/>
      <c r="DA97" s="134"/>
      <c r="DB97" s="134"/>
      <c r="DC97" s="134"/>
      <c r="DD97" s="134"/>
      <c r="DE97" s="134" t="str">
        <f t="array" ref="DE97">IFERROR(INDEX(TABLACONSOLIDADA[Buff Act],MATCH("AGROINSUMOSAGRONUEVO"&amp;Tabla_Buffers_Agroinsumos[[#This Row],[CODIGO ]],TABLACONSOLIDADA[Bodega]&amp;TABLACONSOLIDADA[Codigo],0)),"")</f>
        <v/>
      </c>
      <c r="DF97" s="157" t="str">
        <f t="array" ref="DF97">IFERROR(INDEX(TABLACONSOLIDADA[Inv Fís Act],MATCH("AGROINSUMOSAGRONUEVO"&amp;Tabla_Buffers_Agroinsumos[[#This Row],[CODIGO ]],TABLACONSOLIDADA[Bodega]&amp;TABLACONSOLIDADA[Codigo],0)),"")</f>
        <v/>
      </c>
      <c r="DG97" s="157" t="str">
        <f t="array" ref="DG9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9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97" s="134">
        <f>IFERROR(SUM(Tabla_Buffers_Agroinsumos[[#This Row],[AN-MP]:[AN-VL]]),"")</f>
        <v>0</v>
      </c>
      <c r="DJ97" s="92" t="str">
        <f>IFERROR(Tabla_Buffers_Agroinsumos[[#This Row],[INV FIS AN]]-Tabla_Buffers_Agroinsumos[[#This Row],[BUFFER AN]],"")</f>
        <v/>
      </c>
      <c r="DK9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97" s="134"/>
      <c r="DM97" s="134"/>
      <c r="DN97" s="134"/>
      <c r="DO97" s="134"/>
      <c r="DP97" s="134"/>
      <c r="DQ97" s="134"/>
      <c r="DR97" s="134"/>
      <c r="DS97" s="134"/>
      <c r="DT97" s="134"/>
      <c r="DU97" s="134" t="str">
        <f t="array" ref="DU97">IFERROR(INDEX(TABLACONSOLIDADA[Buff Act],MATCH("AGROINSUMOSAGROQUIMICOSSUR"&amp;Tabla_Buffers_Agroinsumos[[#This Row],[CODIGO ]],TABLACONSOLIDADA[Bodega]&amp;TABLACONSOLIDADA[Codigo],0)),"")</f>
        <v/>
      </c>
      <c r="DV97" s="157" t="str">
        <f t="array" ref="DV97">IFERROR(INDEX(TABLACONSOLIDADA[Inv Fís Act],MATCH("AGROINSUMOSAGROQUIMICOSSUR"&amp;Tabla_Buffers_Agroinsumos[[#This Row],[CODIGO ]],TABLACONSOLIDADA[Bodega]&amp;TABLACONSOLIDADA[Codigo],0)),"")</f>
        <v/>
      </c>
      <c r="DW97" s="157" t="str">
        <f t="array" ref="DW9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9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97" s="134">
        <f>IFERROR(SUM(Tabla_Buffers_Agroinsumos[[#This Row],[AS-MP]:[AS-VL]]),"")</f>
        <v>0</v>
      </c>
      <c r="DZ97" s="92" t="str">
        <f>IFERROR(Tabla_Buffers_Agroinsumos[[#This Row],[INV FIS AS]]-Tabla_Buffers_Agroinsumos[[#This Row],[BUFFER AS]],"")</f>
        <v/>
      </c>
      <c r="EA9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97" s="134"/>
      <c r="EC97" s="134"/>
      <c r="ED97" s="134"/>
      <c r="EE97" s="134"/>
      <c r="EF97" s="134"/>
      <c r="EG97" s="134"/>
      <c r="EH97" s="134"/>
      <c r="EI97" s="134"/>
      <c r="EJ97" s="134"/>
      <c r="EK97" s="134" t="str">
        <f t="array" ref="EK97">IFERROR(INDEX(TABLACONSOLIDADA[Buff Act],MATCH("AGROINSUMOSLAFINCA"&amp;Tabla_Buffers_Agroinsumos[[#This Row],[CODIGO ]],TABLACONSOLIDADA[Bodega]&amp;TABLACONSOLIDADA[Codigo],0)),"")</f>
        <v/>
      </c>
      <c r="EL97" s="157" t="str">
        <f t="array" ref="EL97">IFERROR(INDEX(TABLACONSOLIDADA[Inv Fís Act],MATCH("AGROINSUMOSLAFINCA"&amp;Tabla_Buffers_Agroinsumos[[#This Row],[CODIGO ]],TABLACONSOLIDADA[Bodega]&amp;TABLACONSOLIDADA[Codigo],0)),"")</f>
        <v/>
      </c>
      <c r="EM97" s="157" t="str">
        <f t="array" ref="EM9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9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97" s="134">
        <f>IFERROR(SUM(Tabla_Buffers_Agroinsumos[[#This Row],[LF-MP]:[LF-VL]]),"")</f>
        <v>0</v>
      </c>
      <c r="EP97" s="92" t="str">
        <f>IFERROR(Tabla_Buffers_Agroinsumos[[#This Row],[INV FIS LF]]-Tabla_Buffers_Agroinsumos[[#This Row],[BUFFER LF]],"")</f>
        <v/>
      </c>
      <c r="EQ9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97" s="134"/>
      <c r="ES97" s="134"/>
      <c r="ET97" s="134"/>
      <c r="EU97" s="134"/>
      <c r="EV97" s="134"/>
      <c r="EW97" s="134"/>
      <c r="EX97" s="134"/>
      <c r="EY97" s="134"/>
      <c r="EZ97" s="134"/>
      <c r="FA97" s="134" t="str">
        <f t="array" ref="FA97">IFERROR(INDEX(TABLACONSOLIDADA[Buff Act],MATCH("AGROINSUMOSVERONICALEDESMA"&amp;Tabla_Buffers_Agroinsumos[[#This Row],[CODIGO ]],TABLACONSOLIDADA[Bodega]&amp;TABLACONSOLIDADA[Codigo],0)),"")</f>
        <v/>
      </c>
      <c r="FB97" s="157" t="str">
        <f t="array" ref="FB97">IFERROR(INDEX(TABLACONSOLIDADA[Inv Fís Act],MATCH("AGROINSUMOSVERONICALEDESMA"&amp;Tabla_Buffers_Agroinsumos[[#This Row],[CODIGO ]],TABLACONSOLIDADA[Bodega]&amp;TABLACONSOLIDADA[Codigo],0)),"")</f>
        <v/>
      </c>
      <c r="FC97" s="157" t="str">
        <f t="array" ref="FC9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9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97" s="134">
        <f>IFERROR(SUM(Tabla_Buffers_Agroinsumos[[#This Row],[VL-MP]:[VL-LF]]),"")</f>
        <v>0</v>
      </c>
      <c r="FF97" s="92" t="str">
        <f>IFERROR(Tabla_Buffers_Agroinsumos[[#This Row],[INV FIS VL]]-Tabla_Buffers_Agroinsumos[[#This Row],[BUFFER VL]],"")</f>
        <v/>
      </c>
      <c r="FG9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97" s="134"/>
      <c r="FI97" s="134"/>
      <c r="FJ97" s="134"/>
      <c r="FK97" s="134"/>
      <c r="FL97" s="134"/>
      <c r="FM97" s="134"/>
      <c r="FN97" s="134"/>
      <c r="FO97" s="134"/>
      <c r="FP97" s="134"/>
    </row>
    <row r="98" spans="1:172">
      <c r="A98" s="7" t="s">
        <v>193</v>
      </c>
      <c r="B98" s="7" t="s">
        <v>194</v>
      </c>
      <c r="C98" s="7" t="s">
        <v>712</v>
      </c>
      <c r="D98" s="7" t="s">
        <v>720</v>
      </c>
      <c r="E98" s="7" t="s">
        <v>863</v>
      </c>
      <c r="F98" s="19" t="s">
        <v>814</v>
      </c>
      <c r="G98" s="19" t="s">
        <v>873</v>
      </c>
      <c r="H98" s="19">
        <f>VLOOKUP(Tabla_Buffers_Agroinsumos[[#This Row],[CODIGO ]],TABLACONSOLIDADA[[Codigo]:[PV]],6,0)</f>
        <v>0</v>
      </c>
      <c r="I98" s="19">
        <f>VLOOKUP(Tabla_Buffers_Agroinsumos[[#This Row],[CODIGO ]],TABLACONSOLIDADA[[Codigo]:[PV]],5,0)</f>
        <v>0.64</v>
      </c>
      <c r="J98" s="19">
        <v>12</v>
      </c>
      <c r="K98" s="19">
        <v>14</v>
      </c>
      <c r="L98" s="19">
        <f>IFERROR(Tabla_Buffers_Agroinsumos[[#This Row],[BUFFER CENTRAL]]/((Tabla_Buffers_Agroinsumos[[#This Row],[TIEMPO REPOSICION ]]/Tabla_Buffers_Agroinsumos[[#This Row],[FRECUENCIA]])+1),0)</f>
        <v>0</v>
      </c>
      <c r="M98" s="19">
        <f t="array" ref="M98">IFERROR(INDEX(TABLACONSOLIDADA[Buff Act],MATCH("AGROINSUMOSMATERIAPRIMA"&amp;Tabla_Buffers_Agroinsumos[[#This Row],[CODIGO ]],TABLACONSOLIDADA[Bodega]&amp;TABLACONSOLIDADA[Codigo],0)),"")</f>
        <v>3000</v>
      </c>
      <c r="N98" s="157">
        <f t="array" ref="N98">IFERROR(INDEX(TABLACONSOLIDADA[Inv Fís Act],MATCH("AGROINSUMOSMATERIAPRIMA"&amp;Tabla_Buffers_Agroinsumos[[#This Row],[CODIGO ]],TABLACONSOLIDADA[Bodega]&amp;TABLACONSOLIDADA[Codigo],0)),"")</f>
        <v>0</v>
      </c>
      <c r="O98" s="157">
        <f t="array" ref="O9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9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98" s="19">
        <f>IFERROR(SUM(Tabla_Buffers_Agroinsumos[[#This Row],[MP-C]:[MP-VL]]),"")</f>
        <v>0</v>
      </c>
      <c r="R98" s="92">
        <f>IFERROR(Tabla_Buffers_Agroinsumos[[#This Row],[INV FIS MATERIA PRIMA]]-Tabla_Buffers_Agroinsumos[[#This Row],[BUFFER MATERIA PRIMA]],"")</f>
        <v>-3000</v>
      </c>
      <c r="S9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-3000</v>
      </c>
      <c r="T98" s="19"/>
      <c r="U98" s="19"/>
      <c r="V98" s="19"/>
      <c r="W98" s="19"/>
      <c r="X98" s="19"/>
      <c r="Y98" s="19"/>
      <c r="Z98" s="19"/>
      <c r="AA98" s="19"/>
      <c r="AB98" s="19"/>
      <c r="AC98" s="152" t="str">
        <f t="array" ref="AC98">IFERROR(INDEX(TABLACONSOLIDADA[Buff Act],MATCH("AGROINSUMOSCENTRAL"&amp;Tabla_Buffers_Agroinsumos[[#This Row],[CODIGO ]],TABLACONSOLIDADA[Bodega]&amp;TABLACONSOLIDADA[Codigo],0)),"")</f>
        <v/>
      </c>
      <c r="AD98" s="157" t="str">
        <f t="array" ref="AD98">IFERROR(INDEX(TABLACONSOLIDADA[Inv Fís Act],MATCH("AGROINSUMOSCENTRAL"&amp;Tabla_Buffers_Agroinsumos[[#This Row],[CODIGO ]],TABLACONSOLIDADA[Bodega]&amp;TABLACONSOLIDADA[Codigo],0)),"")</f>
        <v/>
      </c>
      <c r="AE98" s="157" t="str">
        <f t="array" ref="AE9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9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98" s="91">
        <f>IFERROR(SUM(Tabla_Buffers_Agroinsumos[[#This Row],[C-MP]:[C-VL]]),"")</f>
        <v>0</v>
      </c>
      <c r="AH98" s="92" t="str">
        <f>IFERROR(Tabla_Buffers_Agroinsumos[[#This Row],[INV FIS CENTRAL]]-Tabla_Buffers_Agroinsumos[[#This Row],[BUFFER CENTRAL]],"")</f>
        <v/>
      </c>
      <c r="AI9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98" s="134"/>
      <c r="AK98" s="134"/>
      <c r="AL98" s="134"/>
      <c r="AM98" s="134"/>
      <c r="AN98" s="134"/>
      <c r="AO98" s="134"/>
      <c r="AP98" s="134"/>
      <c r="AQ98" s="134"/>
      <c r="AR98" s="134"/>
      <c r="AS98" s="134" t="str">
        <f t="array" ref="AS98">IFERROR(INDEX(TABLACONSOLIDADA[Buff Act],MATCH("AGROINSUMOScentralPROPIA"&amp;Tabla_Buffers_Agroinsumos[[#This Row],[CODIGO ]],TABLACONSOLIDADA[Bodega]&amp;TABLACONSOLIDADA[Codigo],0)),"")</f>
        <v/>
      </c>
      <c r="AT98" s="157" t="str">
        <f t="array" ref="AT98">IFERROR(INDEX(TABLACONSOLIDADA[Inv Fís Act],MATCH("AGROINSUMOScentralPROPIA"&amp;Tabla_Buffers_Agroinsumos[[#This Row],[CODIGO ]],TABLACONSOLIDADA[Bodega]&amp;TABLACONSOLIDADA[Codigo],0)),"")</f>
        <v/>
      </c>
      <c r="AU98" s="157" t="str">
        <f t="array" ref="AU9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9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98" s="134">
        <f>IFERROR(SUM(Tabla_Buffers_Agroinsumos[[#This Row],[P-MP]:[P-VL]]),"")</f>
        <v>0</v>
      </c>
      <c r="AX98" s="92" t="str">
        <f>IFERROR(Tabla_Buffers_Agroinsumos[[#This Row],[INV FIS PROPIA]]-Tabla_Buffers_Agroinsumos[[#This Row],[BUFFER PROPIA]],"")</f>
        <v/>
      </c>
      <c r="AY9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98" s="134"/>
      <c r="BA98" s="134"/>
      <c r="BB98" s="134"/>
      <c r="BC98" s="134"/>
      <c r="BD98" s="134"/>
      <c r="BE98" s="134"/>
      <c r="BF98" s="134"/>
      <c r="BG98" s="134"/>
      <c r="BH98" s="134"/>
      <c r="BI98" s="91" t="str">
        <f t="array" ref="BI98">IFERROR(INDEX(TABLACONSOLIDADA[Buff Act],MATCH("AGROINSUMOSSTODOMINGO"&amp;Tabla_Buffers_Agroinsumos[[#This Row],[CODIGO ]],TABLACONSOLIDADA[Bodega]&amp;TABLACONSOLIDADA[Codigo],0)),"")</f>
        <v/>
      </c>
      <c r="BJ98" s="157" t="str">
        <f t="array" ref="BJ98">IFERROR(INDEX(TABLACONSOLIDADA[Inv Fís Act],MATCH("AGROINSUMOSSTODOMINGO"&amp;Tabla_Buffers_Agroinsumos[[#This Row],[CODIGO ]],TABLACONSOLIDADA[Bodega]&amp;TABLACONSOLIDADA[Codigo],0)),"")</f>
        <v/>
      </c>
      <c r="BK98" s="157" t="str">
        <f t="array" ref="BK9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9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98" s="91">
        <f>IFERROR(SUM(Tabla_Buffers_Agroinsumos[[#This Row],[SD-MP]:[SD-VL]]),"")</f>
        <v>0</v>
      </c>
      <c r="BN98" s="92"/>
      <c r="BO98" s="92"/>
      <c r="BP98" s="134"/>
      <c r="BQ98" s="134"/>
      <c r="BR98" s="134"/>
      <c r="BS98" s="134"/>
      <c r="BT98" s="134"/>
      <c r="BU98" s="134"/>
      <c r="BV98" s="134"/>
      <c r="BW98" s="134"/>
      <c r="BX98" s="134"/>
      <c r="BY98" s="134" t="str">
        <f t="array" ref="BY98">IFERROR(INDEX(TABLACONSOLIDADA[Buff Act],MATCH("AGROINSUMOSMONCAYOLOPEZ"&amp;Tabla_Buffers_Agroinsumos[[#This Row],[CODIGO ]],TABLACONSOLIDADA[Bodega]&amp;TABLACONSOLIDADA[Codigo],0)),"")</f>
        <v/>
      </c>
      <c r="BZ98" s="157" t="str">
        <f t="array" ref="BZ98">IFERROR(INDEX(TABLACONSOLIDADA[Inv Fís Act],MATCH("AGROINSUMOSMONCAYOLOPEZ"&amp;Tabla_Buffers_Agroinsumos[[#This Row],[CODIGO ]],TABLACONSOLIDADA[Bodega]&amp;TABLACONSOLIDADA[Codigo],0)),"")</f>
        <v/>
      </c>
      <c r="CA98" s="157" t="str">
        <f t="array" ref="CA9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9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98" s="134">
        <f>IFERROR(SUM(Tabla_Buffers_Agroinsumos[[#This Row],[ML-MP]:[ML-VL]]),"")</f>
        <v>0</v>
      </c>
      <c r="CD98" s="92" t="str">
        <f>IFERROR(Tabla_Buffers_Agroinsumos[[#This Row],[INV FIS ML]]-Tabla_Buffers_Agroinsumos[[#This Row],[BUFFER ML]],"")</f>
        <v/>
      </c>
      <c r="CE9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98" s="134"/>
      <c r="CG98" s="134"/>
      <c r="CH98" s="134"/>
      <c r="CI98" s="134"/>
      <c r="CJ98" s="134"/>
      <c r="CK98" s="134"/>
      <c r="CL98" s="134"/>
      <c r="CM98" s="134"/>
      <c r="CN98" s="134"/>
      <c r="CO98" s="134" t="str">
        <f t="array" ref="CO98">IFERROR(INDEX(TABLACONSOLIDADA[Buff Act],MATCH("AGROINSUMOSAGROHERMANOSLEON"&amp;Tabla_Buffers_Agroinsumos[[#This Row],[CODIGO ]],TABLACONSOLIDADA[Bodega]&amp;TABLACONSOLIDADA[Codigo],0)),"")</f>
        <v/>
      </c>
      <c r="CP98" s="157" t="str">
        <f t="array" ref="CP98">IFERROR(INDEX(TABLACONSOLIDADA[Inv Fís Act],MATCH("AGROINSUMOSAGROHERMANOSLEON"&amp;Tabla_Buffers_Agroinsumos[[#This Row],[CODIGO ]],TABLACONSOLIDADA[Bodega]&amp;TABLACONSOLIDADA[Codigo],0)),"")</f>
        <v/>
      </c>
      <c r="CQ98" s="157" t="str">
        <f t="array" ref="CQ9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9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98" s="134">
        <f>IFERROR(SUM(Tabla_Buffers_Agroinsumos[[#This Row],[AL-MP]:[AL-VL]]),"")</f>
        <v>0</v>
      </c>
      <c r="CT98" s="92" t="str">
        <f>IFERROR(Tabla_Buffers_Agroinsumos[[#This Row],[INV FIS AL]]-Tabla_Buffers_Agroinsumos[[#This Row],[BUFFER AL]],"")</f>
        <v/>
      </c>
      <c r="CU9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98" s="134"/>
      <c r="CW98" s="134"/>
      <c r="CX98" s="134"/>
      <c r="CY98" s="134"/>
      <c r="CZ98" s="134"/>
      <c r="DA98" s="134"/>
      <c r="DB98" s="134"/>
      <c r="DC98" s="134"/>
      <c r="DD98" s="134"/>
      <c r="DE98" s="134" t="str">
        <f t="array" ref="DE98">IFERROR(INDEX(TABLACONSOLIDADA[Buff Act],MATCH("AGROINSUMOSAGRONUEVO"&amp;Tabla_Buffers_Agroinsumos[[#This Row],[CODIGO ]],TABLACONSOLIDADA[Bodega]&amp;TABLACONSOLIDADA[Codigo],0)),"")</f>
        <v/>
      </c>
      <c r="DF98" s="157" t="str">
        <f t="array" ref="DF98">IFERROR(INDEX(TABLACONSOLIDADA[Inv Fís Act],MATCH("AGROINSUMOSAGRONUEVO"&amp;Tabla_Buffers_Agroinsumos[[#This Row],[CODIGO ]],TABLACONSOLIDADA[Bodega]&amp;TABLACONSOLIDADA[Codigo],0)),"")</f>
        <v/>
      </c>
      <c r="DG98" s="157" t="str">
        <f t="array" ref="DG9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9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98" s="134">
        <f>IFERROR(SUM(Tabla_Buffers_Agroinsumos[[#This Row],[AN-MP]:[AN-VL]]),"")</f>
        <v>0</v>
      </c>
      <c r="DJ98" s="92" t="str">
        <f>IFERROR(Tabla_Buffers_Agroinsumos[[#This Row],[INV FIS AN]]-Tabla_Buffers_Agroinsumos[[#This Row],[BUFFER AN]],"")</f>
        <v/>
      </c>
      <c r="DK9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98" s="134"/>
      <c r="DM98" s="134"/>
      <c r="DN98" s="134"/>
      <c r="DO98" s="134"/>
      <c r="DP98" s="134"/>
      <c r="DQ98" s="134"/>
      <c r="DR98" s="134"/>
      <c r="DS98" s="134"/>
      <c r="DT98" s="134"/>
      <c r="DU98" s="134" t="str">
        <f t="array" ref="DU98">IFERROR(INDEX(TABLACONSOLIDADA[Buff Act],MATCH("AGROINSUMOSAGROQUIMICOSSUR"&amp;Tabla_Buffers_Agroinsumos[[#This Row],[CODIGO ]],TABLACONSOLIDADA[Bodega]&amp;TABLACONSOLIDADA[Codigo],0)),"")</f>
        <v/>
      </c>
      <c r="DV98" s="157" t="str">
        <f t="array" ref="DV98">IFERROR(INDEX(TABLACONSOLIDADA[Inv Fís Act],MATCH("AGROINSUMOSAGROQUIMICOSSUR"&amp;Tabla_Buffers_Agroinsumos[[#This Row],[CODIGO ]],TABLACONSOLIDADA[Bodega]&amp;TABLACONSOLIDADA[Codigo],0)),"")</f>
        <v/>
      </c>
      <c r="DW98" s="157" t="str">
        <f t="array" ref="DW9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9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98" s="134">
        <f>IFERROR(SUM(Tabla_Buffers_Agroinsumos[[#This Row],[AS-MP]:[AS-VL]]),"")</f>
        <v>0</v>
      </c>
      <c r="DZ98" s="92" t="str">
        <f>IFERROR(Tabla_Buffers_Agroinsumos[[#This Row],[INV FIS AS]]-Tabla_Buffers_Agroinsumos[[#This Row],[BUFFER AS]],"")</f>
        <v/>
      </c>
      <c r="EA9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98" s="134"/>
      <c r="EC98" s="134"/>
      <c r="ED98" s="134"/>
      <c r="EE98" s="134"/>
      <c r="EF98" s="134"/>
      <c r="EG98" s="134"/>
      <c r="EH98" s="134"/>
      <c r="EI98" s="134"/>
      <c r="EJ98" s="134"/>
      <c r="EK98" s="134" t="str">
        <f t="array" ref="EK98">IFERROR(INDEX(TABLACONSOLIDADA[Buff Act],MATCH("AGROINSUMOSLAFINCA"&amp;Tabla_Buffers_Agroinsumos[[#This Row],[CODIGO ]],TABLACONSOLIDADA[Bodega]&amp;TABLACONSOLIDADA[Codigo],0)),"")</f>
        <v/>
      </c>
      <c r="EL98" s="157" t="str">
        <f t="array" ref="EL98">IFERROR(INDEX(TABLACONSOLIDADA[Inv Fís Act],MATCH("AGROINSUMOSLAFINCA"&amp;Tabla_Buffers_Agroinsumos[[#This Row],[CODIGO ]],TABLACONSOLIDADA[Bodega]&amp;TABLACONSOLIDADA[Codigo],0)),"")</f>
        <v/>
      </c>
      <c r="EM98" s="157" t="str">
        <f t="array" ref="EM9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9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98" s="134">
        <f>IFERROR(SUM(Tabla_Buffers_Agroinsumos[[#This Row],[LF-MP]:[LF-VL]]),"")</f>
        <v>0</v>
      </c>
      <c r="EP98" s="92" t="str">
        <f>IFERROR(Tabla_Buffers_Agroinsumos[[#This Row],[INV FIS LF]]-Tabla_Buffers_Agroinsumos[[#This Row],[BUFFER LF]],"")</f>
        <v/>
      </c>
      <c r="EQ9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98" s="134"/>
      <c r="ES98" s="134"/>
      <c r="ET98" s="134"/>
      <c r="EU98" s="134"/>
      <c r="EV98" s="134"/>
      <c r="EW98" s="134"/>
      <c r="EX98" s="134"/>
      <c r="EY98" s="134"/>
      <c r="EZ98" s="134"/>
      <c r="FA98" s="134" t="str">
        <f t="array" ref="FA98">IFERROR(INDEX(TABLACONSOLIDADA[Buff Act],MATCH("AGROINSUMOSVERONICALEDESMA"&amp;Tabla_Buffers_Agroinsumos[[#This Row],[CODIGO ]],TABLACONSOLIDADA[Bodega]&amp;TABLACONSOLIDADA[Codigo],0)),"")</f>
        <v/>
      </c>
      <c r="FB98" s="157" t="str">
        <f t="array" ref="FB98">IFERROR(INDEX(TABLACONSOLIDADA[Inv Fís Act],MATCH("AGROINSUMOSVERONICALEDESMA"&amp;Tabla_Buffers_Agroinsumos[[#This Row],[CODIGO ]],TABLACONSOLIDADA[Bodega]&amp;TABLACONSOLIDADA[Codigo],0)),"")</f>
        <v/>
      </c>
      <c r="FC98" s="157" t="str">
        <f t="array" ref="FC9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9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98" s="134">
        <f>IFERROR(SUM(Tabla_Buffers_Agroinsumos[[#This Row],[VL-MP]:[VL-LF]]),"")</f>
        <v>0</v>
      </c>
      <c r="FF98" s="92" t="str">
        <f>IFERROR(Tabla_Buffers_Agroinsumos[[#This Row],[INV FIS VL]]-Tabla_Buffers_Agroinsumos[[#This Row],[BUFFER VL]],"")</f>
        <v/>
      </c>
      <c r="FG9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98" s="134"/>
      <c r="FI98" s="134"/>
      <c r="FJ98" s="134"/>
      <c r="FK98" s="134"/>
      <c r="FL98" s="134"/>
      <c r="FM98" s="134"/>
      <c r="FN98" s="134"/>
      <c r="FO98" s="134"/>
      <c r="FP98" s="134"/>
    </row>
    <row r="99" spans="1:172">
      <c r="A99" s="7" t="s">
        <v>195</v>
      </c>
      <c r="B99" s="7" t="s">
        <v>196</v>
      </c>
      <c r="C99" s="7" t="s">
        <v>712</v>
      </c>
      <c r="D99" s="7" t="s">
        <v>720</v>
      </c>
      <c r="E99" s="7" t="s">
        <v>863</v>
      </c>
      <c r="F99" s="19" t="s">
        <v>814</v>
      </c>
      <c r="G99" s="19" t="s">
        <v>873</v>
      </c>
      <c r="H99" s="19">
        <f>VLOOKUP(Tabla_Buffers_Agroinsumos[[#This Row],[CODIGO ]],TABLACONSOLIDADA[[Codigo]:[PV]],6,0)</f>
        <v>0</v>
      </c>
      <c r="I99" s="19">
        <f>VLOOKUP(Tabla_Buffers_Agroinsumos[[#This Row],[CODIGO ]],TABLACONSOLIDADA[[Codigo]:[PV]],5,0)</f>
        <v>141.55000000000001</v>
      </c>
      <c r="J99" s="19">
        <v>12</v>
      </c>
      <c r="K99" s="19">
        <v>14</v>
      </c>
      <c r="L99" s="19">
        <f>IFERROR(Tabla_Buffers_Agroinsumos[[#This Row],[BUFFER CENTRAL]]/((Tabla_Buffers_Agroinsumos[[#This Row],[TIEMPO REPOSICION ]]/Tabla_Buffers_Agroinsumos[[#This Row],[FRECUENCIA]])+1),0)</f>
        <v>0</v>
      </c>
      <c r="M99" s="19">
        <f t="array" ref="M99">IFERROR(INDEX(TABLACONSOLIDADA[Buff Act],MATCH("AGROINSUMOSMATERIAPRIMA"&amp;Tabla_Buffers_Agroinsumos[[#This Row],[CODIGO ]],TABLACONSOLIDADA[Bodega]&amp;TABLACONSOLIDADA[Codigo],0)),"")</f>
        <v>150</v>
      </c>
      <c r="N99" s="157">
        <f t="array" ref="N99">IFERROR(INDEX(TABLACONSOLIDADA[Inv Fís Act],MATCH("AGROINSUMOSMATERIAPRIMA"&amp;Tabla_Buffers_Agroinsumos[[#This Row],[CODIGO ]],TABLACONSOLIDADA[Bodega]&amp;TABLACONSOLIDADA[Codigo],0)),"")</f>
        <v>108.0245</v>
      </c>
      <c r="O99" s="157">
        <f t="array" ref="O9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148.02449999999999</v>
      </c>
      <c r="P9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99" s="19">
        <f>IFERROR(SUM(Tabla_Buffers_Agroinsumos[[#This Row],[MP-C]:[MP-VL]]),"")</f>
        <v>0</v>
      </c>
      <c r="R99" s="92">
        <f>IFERROR(Tabla_Buffers_Agroinsumos[[#This Row],[INV FIS MATERIA PRIMA]]-Tabla_Buffers_Agroinsumos[[#This Row],[BUFFER MATERIA PRIMA]],"")</f>
        <v>-41.975499999999997</v>
      </c>
      <c r="S9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-41.975499999999997</v>
      </c>
      <c r="T99" s="19"/>
      <c r="U99" s="19"/>
      <c r="V99" s="19"/>
      <c r="W99" s="19"/>
      <c r="X99" s="19"/>
      <c r="Y99" s="19"/>
      <c r="Z99" s="19"/>
      <c r="AA99" s="19"/>
      <c r="AB99" s="19"/>
      <c r="AC99" s="152" t="str">
        <f t="array" ref="AC99">IFERROR(INDEX(TABLACONSOLIDADA[Buff Act],MATCH("AGROINSUMOSCENTRAL"&amp;Tabla_Buffers_Agroinsumos[[#This Row],[CODIGO ]],TABLACONSOLIDADA[Bodega]&amp;TABLACONSOLIDADA[Codigo],0)),"")</f>
        <v/>
      </c>
      <c r="AD99" s="157" t="str">
        <f t="array" ref="AD99">IFERROR(INDEX(TABLACONSOLIDADA[Inv Fís Act],MATCH("AGROINSUMOSCENTRAL"&amp;Tabla_Buffers_Agroinsumos[[#This Row],[CODIGO ]],TABLACONSOLIDADA[Bodega]&amp;TABLACONSOLIDADA[Codigo],0)),"")</f>
        <v/>
      </c>
      <c r="AE99" s="157" t="str">
        <f t="array" ref="AE9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9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99" s="91">
        <f>IFERROR(SUM(Tabla_Buffers_Agroinsumos[[#This Row],[C-MP]:[C-VL]]),"")</f>
        <v>0</v>
      </c>
      <c r="AH99" s="92" t="str">
        <f>IFERROR(Tabla_Buffers_Agroinsumos[[#This Row],[INV FIS CENTRAL]]-Tabla_Buffers_Agroinsumos[[#This Row],[BUFFER CENTRAL]],"")</f>
        <v/>
      </c>
      <c r="AI9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99" s="134"/>
      <c r="AK99" s="134"/>
      <c r="AL99" s="134"/>
      <c r="AM99" s="134"/>
      <c r="AN99" s="134"/>
      <c r="AO99" s="134"/>
      <c r="AP99" s="134"/>
      <c r="AQ99" s="134"/>
      <c r="AR99" s="134"/>
      <c r="AS99" s="134" t="str">
        <f t="array" ref="AS99">IFERROR(INDEX(TABLACONSOLIDADA[Buff Act],MATCH("AGROINSUMOScentralPROPIA"&amp;Tabla_Buffers_Agroinsumos[[#This Row],[CODIGO ]],TABLACONSOLIDADA[Bodega]&amp;TABLACONSOLIDADA[Codigo],0)),"")</f>
        <v/>
      </c>
      <c r="AT99" s="157" t="str">
        <f t="array" ref="AT99">IFERROR(INDEX(TABLACONSOLIDADA[Inv Fís Act],MATCH("AGROINSUMOScentralPROPIA"&amp;Tabla_Buffers_Agroinsumos[[#This Row],[CODIGO ]],TABLACONSOLIDADA[Bodega]&amp;TABLACONSOLIDADA[Codigo],0)),"")</f>
        <v/>
      </c>
      <c r="AU99" s="157" t="str">
        <f t="array" ref="AU9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9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99" s="134">
        <f>IFERROR(SUM(Tabla_Buffers_Agroinsumos[[#This Row],[P-MP]:[P-VL]]),"")</f>
        <v>0</v>
      </c>
      <c r="AX99" s="92" t="str">
        <f>IFERROR(Tabla_Buffers_Agroinsumos[[#This Row],[INV FIS PROPIA]]-Tabla_Buffers_Agroinsumos[[#This Row],[BUFFER PROPIA]],"")</f>
        <v/>
      </c>
      <c r="AY9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99" s="134"/>
      <c r="BA99" s="134"/>
      <c r="BB99" s="134"/>
      <c r="BC99" s="134"/>
      <c r="BD99" s="134"/>
      <c r="BE99" s="134"/>
      <c r="BF99" s="134"/>
      <c r="BG99" s="134"/>
      <c r="BH99" s="134"/>
      <c r="BI99" s="91" t="str">
        <f t="array" ref="BI99">IFERROR(INDEX(TABLACONSOLIDADA[Buff Act],MATCH("AGROINSUMOSSTODOMINGO"&amp;Tabla_Buffers_Agroinsumos[[#This Row],[CODIGO ]],TABLACONSOLIDADA[Bodega]&amp;TABLACONSOLIDADA[Codigo],0)),"")</f>
        <v/>
      </c>
      <c r="BJ99" s="157" t="str">
        <f t="array" ref="BJ99">IFERROR(INDEX(TABLACONSOLIDADA[Inv Fís Act],MATCH("AGROINSUMOSSTODOMINGO"&amp;Tabla_Buffers_Agroinsumos[[#This Row],[CODIGO ]],TABLACONSOLIDADA[Bodega]&amp;TABLACONSOLIDADA[Codigo],0)),"")</f>
        <v/>
      </c>
      <c r="BK99" s="157" t="str">
        <f t="array" ref="BK9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9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99" s="91">
        <f>IFERROR(SUM(Tabla_Buffers_Agroinsumos[[#This Row],[SD-MP]:[SD-VL]]),"")</f>
        <v>0</v>
      </c>
      <c r="BN99" s="92"/>
      <c r="BO99" s="92"/>
      <c r="BP99" s="134"/>
      <c r="BQ99" s="134"/>
      <c r="BR99" s="134"/>
      <c r="BS99" s="134"/>
      <c r="BT99" s="134"/>
      <c r="BU99" s="134"/>
      <c r="BV99" s="134"/>
      <c r="BW99" s="134"/>
      <c r="BX99" s="134"/>
      <c r="BY99" s="134" t="str">
        <f t="array" ref="BY99">IFERROR(INDEX(TABLACONSOLIDADA[Buff Act],MATCH("AGROINSUMOSMONCAYOLOPEZ"&amp;Tabla_Buffers_Agroinsumos[[#This Row],[CODIGO ]],TABLACONSOLIDADA[Bodega]&amp;TABLACONSOLIDADA[Codigo],0)),"")</f>
        <v/>
      </c>
      <c r="BZ99" s="157" t="str">
        <f t="array" ref="BZ99">IFERROR(INDEX(TABLACONSOLIDADA[Inv Fís Act],MATCH("AGROINSUMOSMONCAYOLOPEZ"&amp;Tabla_Buffers_Agroinsumos[[#This Row],[CODIGO ]],TABLACONSOLIDADA[Bodega]&amp;TABLACONSOLIDADA[Codigo],0)),"")</f>
        <v/>
      </c>
      <c r="CA99" s="157" t="str">
        <f t="array" ref="CA9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9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99" s="134">
        <f>IFERROR(SUM(Tabla_Buffers_Agroinsumos[[#This Row],[ML-MP]:[ML-VL]]),"")</f>
        <v>0</v>
      </c>
      <c r="CD99" s="92" t="str">
        <f>IFERROR(Tabla_Buffers_Agroinsumos[[#This Row],[INV FIS ML]]-Tabla_Buffers_Agroinsumos[[#This Row],[BUFFER ML]],"")</f>
        <v/>
      </c>
      <c r="CE9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99" s="134"/>
      <c r="CG99" s="134"/>
      <c r="CH99" s="134"/>
      <c r="CI99" s="134"/>
      <c r="CJ99" s="134"/>
      <c r="CK99" s="134"/>
      <c r="CL99" s="134"/>
      <c r="CM99" s="134"/>
      <c r="CN99" s="134"/>
      <c r="CO99" s="134" t="str">
        <f t="array" ref="CO99">IFERROR(INDEX(TABLACONSOLIDADA[Buff Act],MATCH("AGROINSUMOSAGROHERMANOSLEON"&amp;Tabla_Buffers_Agroinsumos[[#This Row],[CODIGO ]],TABLACONSOLIDADA[Bodega]&amp;TABLACONSOLIDADA[Codigo],0)),"")</f>
        <v/>
      </c>
      <c r="CP99" s="157" t="str">
        <f t="array" ref="CP99">IFERROR(INDEX(TABLACONSOLIDADA[Inv Fís Act],MATCH("AGROINSUMOSAGROHERMANOSLEON"&amp;Tabla_Buffers_Agroinsumos[[#This Row],[CODIGO ]],TABLACONSOLIDADA[Bodega]&amp;TABLACONSOLIDADA[Codigo],0)),"")</f>
        <v/>
      </c>
      <c r="CQ99" s="157" t="str">
        <f t="array" ref="CQ9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9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99" s="134">
        <f>IFERROR(SUM(Tabla_Buffers_Agroinsumos[[#This Row],[AL-MP]:[AL-VL]]),"")</f>
        <v>0</v>
      </c>
      <c r="CT99" s="92" t="str">
        <f>IFERROR(Tabla_Buffers_Agroinsumos[[#This Row],[INV FIS AL]]-Tabla_Buffers_Agroinsumos[[#This Row],[BUFFER AL]],"")</f>
        <v/>
      </c>
      <c r="CU9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99" s="134"/>
      <c r="CW99" s="134"/>
      <c r="CX99" s="134"/>
      <c r="CY99" s="134"/>
      <c r="CZ99" s="134"/>
      <c r="DA99" s="134"/>
      <c r="DB99" s="134"/>
      <c r="DC99" s="134"/>
      <c r="DD99" s="134"/>
      <c r="DE99" s="134" t="str">
        <f t="array" ref="DE99">IFERROR(INDEX(TABLACONSOLIDADA[Buff Act],MATCH("AGROINSUMOSAGRONUEVO"&amp;Tabla_Buffers_Agroinsumos[[#This Row],[CODIGO ]],TABLACONSOLIDADA[Bodega]&amp;TABLACONSOLIDADA[Codigo],0)),"")</f>
        <v/>
      </c>
      <c r="DF99" s="157" t="str">
        <f t="array" ref="DF99">IFERROR(INDEX(TABLACONSOLIDADA[Inv Fís Act],MATCH("AGROINSUMOSAGRONUEVO"&amp;Tabla_Buffers_Agroinsumos[[#This Row],[CODIGO ]],TABLACONSOLIDADA[Bodega]&amp;TABLACONSOLIDADA[Codigo],0)),"")</f>
        <v/>
      </c>
      <c r="DG99" s="157" t="str">
        <f t="array" ref="DG9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9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99" s="134">
        <f>IFERROR(SUM(Tabla_Buffers_Agroinsumos[[#This Row],[AN-MP]:[AN-VL]]),"")</f>
        <v>0</v>
      </c>
      <c r="DJ99" s="92" t="str">
        <f>IFERROR(Tabla_Buffers_Agroinsumos[[#This Row],[INV FIS AN]]-Tabla_Buffers_Agroinsumos[[#This Row],[BUFFER AN]],"")</f>
        <v/>
      </c>
      <c r="DK9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99" s="134"/>
      <c r="DM99" s="134"/>
      <c r="DN99" s="134"/>
      <c r="DO99" s="134"/>
      <c r="DP99" s="134"/>
      <c r="DQ99" s="134"/>
      <c r="DR99" s="134"/>
      <c r="DS99" s="134"/>
      <c r="DT99" s="134"/>
      <c r="DU99" s="134" t="str">
        <f t="array" ref="DU99">IFERROR(INDEX(TABLACONSOLIDADA[Buff Act],MATCH("AGROINSUMOSAGROQUIMICOSSUR"&amp;Tabla_Buffers_Agroinsumos[[#This Row],[CODIGO ]],TABLACONSOLIDADA[Bodega]&amp;TABLACONSOLIDADA[Codigo],0)),"")</f>
        <v/>
      </c>
      <c r="DV99" s="157" t="str">
        <f t="array" ref="DV99">IFERROR(INDEX(TABLACONSOLIDADA[Inv Fís Act],MATCH("AGROINSUMOSAGROQUIMICOSSUR"&amp;Tabla_Buffers_Agroinsumos[[#This Row],[CODIGO ]],TABLACONSOLIDADA[Bodega]&amp;TABLACONSOLIDADA[Codigo],0)),"")</f>
        <v/>
      </c>
      <c r="DW99" s="157" t="str">
        <f t="array" ref="DW9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9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99" s="134">
        <f>IFERROR(SUM(Tabla_Buffers_Agroinsumos[[#This Row],[AS-MP]:[AS-VL]]),"")</f>
        <v>0</v>
      </c>
      <c r="DZ99" s="92" t="str">
        <f>IFERROR(Tabla_Buffers_Agroinsumos[[#This Row],[INV FIS AS]]-Tabla_Buffers_Agroinsumos[[#This Row],[BUFFER AS]],"")</f>
        <v/>
      </c>
      <c r="EA9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99" s="134"/>
      <c r="EC99" s="134"/>
      <c r="ED99" s="134"/>
      <c r="EE99" s="134"/>
      <c r="EF99" s="134"/>
      <c r="EG99" s="134"/>
      <c r="EH99" s="134"/>
      <c r="EI99" s="134"/>
      <c r="EJ99" s="134"/>
      <c r="EK99" s="134" t="str">
        <f t="array" ref="EK99">IFERROR(INDEX(TABLACONSOLIDADA[Buff Act],MATCH("AGROINSUMOSLAFINCA"&amp;Tabla_Buffers_Agroinsumos[[#This Row],[CODIGO ]],TABLACONSOLIDADA[Bodega]&amp;TABLACONSOLIDADA[Codigo],0)),"")</f>
        <v/>
      </c>
      <c r="EL99" s="157" t="str">
        <f t="array" ref="EL99">IFERROR(INDEX(TABLACONSOLIDADA[Inv Fís Act],MATCH("AGROINSUMOSLAFINCA"&amp;Tabla_Buffers_Agroinsumos[[#This Row],[CODIGO ]],TABLACONSOLIDADA[Bodega]&amp;TABLACONSOLIDADA[Codigo],0)),"")</f>
        <v/>
      </c>
      <c r="EM99" s="157" t="str">
        <f t="array" ref="EM9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9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99" s="134">
        <f>IFERROR(SUM(Tabla_Buffers_Agroinsumos[[#This Row],[LF-MP]:[LF-VL]]),"")</f>
        <v>0</v>
      </c>
      <c r="EP99" s="92" t="str">
        <f>IFERROR(Tabla_Buffers_Agroinsumos[[#This Row],[INV FIS LF]]-Tabla_Buffers_Agroinsumos[[#This Row],[BUFFER LF]],"")</f>
        <v/>
      </c>
      <c r="EQ9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99" s="134"/>
      <c r="ES99" s="134"/>
      <c r="ET99" s="134"/>
      <c r="EU99" s="134"/>
      <c r="EV99" s="134"/>
      <c r="EW99" s="134"/>
      <c r="EX99" s="134"/>
      <c r="EY99" s="134"/>
      <c r="EZ99" s="134"/>
      <c r="FA99" s="134" t="str">
        <f t="array" ref="FA99">IFERROR(INDEX(TABLACONSOLIDADA[Buff Act],MATCH("AGROINSUMOSVERONICALEDESMA"&amp;Tabla_Buffers_Agroinsumos[[#This Row],[CODIGO ]],TABLACONSOLIDADA[Bodega]&amp;TABLACONSOLIDADA[Codigo],0)),"")</f>
        <v/>
      </c>
      <c r="FB99" s="157" t="str">
        <f t="array" ref="FB99">IFERROR(INDEX(TABLACONSOLIDADA[Inv Fís Act],MATCH("AGROINSUMOSVERONICALEDESMA"&amp;Tabla_Buffers_Agroinsumos[[#This Row],[CODIGO ]],TABLACONSOLIDADA[Bodega]&amp;TABLACONSOLIDADA[Codigo],0)),"")</f>
        <v/>
      </c>
      <c r="FC99" s="157" t="str">
        <f t="array" ref="FC9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9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99" s="134">
        <f>IFERROR(SUM(Tabla_Buffers_Agroinsumos[[#This Row],[VL-MP]:[VL-LF]]),"")</f>
        <v>0</v>
      </c>
      <c r="FF99" s="92" t="str">
        <f>IFERROR(Tabla_Buffers_Agroinsumos[[#This Row],[INV FIS VL]]-Tabla_Buffers_Agroinsumos[[#This Row],[BUFFER VL]],"")</f>
        <v/>
      </c>
      <c r="FG9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99" s="134"/>
      <c r="FI99" s="134"/>
      <c r="FJ99" s="134"/>
      <c r="FK99" s="134"/>
      <c r="FL99" s="134"/>
      <c r="FM99" s="134"/>
      <c r="FN99" s="134"/>
      <c r="FO99" s="134"/>
      <c r="FP99" s="134"/>
    </row>
    <row r="100" spans="1:172">
      <c r="A100" s="7" t="s">
        <v>197</v>
      </c>
      <c r="B100" s="7" t="s">
        <v>198</v>
      </c>
      <c r="C100" s="7" t="s">
        <v>712</v>
      </c>
      <c r="D100" s="7" t="s">
        <v>720</v>
      </c>
      <c r="E100" s="7" t="s">
        <v>863</v>
      </c>
      <c r="F100" s="19" t="s">
        <v>814</v>
      </c>
      <c r="G100" s="19" t="s">
        <v>873</v>
      </c>
      <c r="H100" s="19">
        <f>VLOOKUP(Tabla_Buffers_Agroinsumos[[#This Row],[CODIGO ]],TABLACONSOLIDADA[[Codigo]:[PV]],6,0)</f>
        <v>0</v>
      </c>
      <c r="I100" s="19">
        <f>VLOOKUP(Tabla_Buffers_Agroinsumos[[#This Row],[CODIGO ]],TABLACONSOLIDADA[[Codigo]:[PV]],5,0)</f>
        <v>141.16</v>
      </c>
      <c r="J100" s="19">
        <v>12</v>
      </c>
      <c r="K100" s="19">
        <v>14</v>
      </c>
      <c r="L100" s="19">
        <f>IFERROR(Tabla_Buffers_Agroinsumos[[#This Row],[BUFFER CENTRAL]]/((Tabla_Buffers_Agroinsumos[[#This Row],[TIEMPO REPOSICION ]]/Tabla_Buffers_Agroinsumos[[#This Row],[FRECUENCIA]])+1),0)</f>
        <v>0</v>
      </c>
      <c r="M100" s="19">
        <f t="array" ref="M100">IFERROR(INDEX(TABLACONSOLIDADA[Buff Act],MATCH("AGROINSUMOSMATERIAPRIMA"&amp;Tabla_Buffers_Agroinsumos[[#This Row],[CODIGO ]],TABLACONSOLIDADA[Bodega]&amp;TABLACONSOLIDADA[Codigo],0)),"")</f>
        <v>0</v>
      </c>
      <c r="N100" s="157">
        <f t="array" ref="N100">IFERROR(INDEX(TABLACONSOLIDADA[Inv Fís Act],MATCH("AGROINSUMOSMATERIAPRIMA"&amp;Tabla_Buffers_Agroinsumos[[#This Row],[CODIGO ]],TABLACONSOLIDADA[Bodega]&amp;TABLACONSOLIDADA[Codigo],0)),"")</f>
        <v>0</v>
      </c>
      <c r="O100" s="157">
        <f t="array" ref="O10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10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00" s="19">
        <f>IFERROR(SUM(Tabla_Buffers_Agroinsumos[[#This Row],[MP-C]:[MP-VL]]),"")</f>
        <v>0</v>
      </c>
      <c r="R100" s="92">
        <f>IFERROR(Tabla_Buffers_Agroinsumos[[#This Row],[INV FIS MATERIA PRIMA]]-Tabla_Buffers_Agroinsumos[[#This Row],[BUFFER MATERIA PRIMA]],"")</f>
        <v>0</v>
      </c>
      <c r="S10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100" s="19"/>
      <c r="U100" s="19"/>
      <c r="V100" s="19"/>
      <c r="W100" s="19"/>
      <c r="X100" s="19"/>
      <c r="Y100" s="19"/>
      <c r="Z100" s="19"/>
      <c r="AA100" s="19"/>
      <c r="AB100" s="19"/>
      <c r="AC100" s="152" t="str">
        <f t="array" ref="AC100">IFERROR(INDEX(TABLACONSOLIDADA[Buff Act],MATCH("AGROINSUMOSCENTRAL"&amp;Tabla_Buffers_Agroinsumos[[#This Row],[CODIGO ]],TABLACONSOLIDADA[Bodega]&amp;TABLACONSOLIDADA[Codigo],0)),"")</f>
        <v/>
      </c>
      <c r="AD100" s="157" t="str">
        <f t="array" ref="AD100">IFERROR(INDEX(TABLACONSOLIDADA[Inv Fís Act],MATCH("AGROINSUMOSCENTRAL"&amp;Tabla_Buffers_Agroinsumos[[#This Row],[CODIGO ]],TABLACONSOLIDADA[Bodega]&amp;TABLACONSOLIDADA[Codigo],0)),"")</f>
        <v/>
      </c>
      <c r="AE100" s="157" t="str">
        <f t="array" ref="AE10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0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00" s="91">
        <f>IFERROR(SUM(Tabla_Buffers_Agroinsumos[[#This Row],[C-MP]:[C-VL]]),"")</f>
        <v>0</v>
      </c>
      <c r="AH100" s="92" t="str">
        <f>IFERROR(Tabla_Buffers_Agroinsumos[[#This Row],[INV FIS CENTRAL]]-Tabla_Buffers_Agroinsumos[[#This Row],[BUFFER CENTRAL]],"")</f>
        <v/>
      </c>
      <c r="AI10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00" s="134"/>
      <c r="AK100" s="134"/>
      <c r="AL100" s="134"/>
      <c r="AM100" s="134"/>
      <c r="AN100" s="134"/>
      <c r="AO100" s="134"/>
      <c r="AP100" s="134"/>
      <c r="AQ100" s="134"/>
      <c r="AR100" s="134"/>
      <c r="AS100" s="134" t="str">
        <f t="array" ref="AS100">IFERROR(INDEX(TABLACONSOLIDADA[Buff Act],MATCH("AGROINSUMOScentralPROPIA"&amp;Tabla_Buffers_Agroinsumos[[#This Row],[CODIGO ]],TABLACONSOLIDADA[Bodega]&amp;TABLACONSOLIDADA[Codigo],0)),"")</f>
        <v/>
      </c>
      <c r="AT100" s="157" t="str">
        <f t="array" ref="AT100">IFERROR(INDEX(TABLACONSOLIDADA[Inv Fís Act],MATCH("AGROINSUMOScentralPROPIA"&amp;Tabla_Buffers_Agroinsumos[[#This Row],[CODIGO ]],TABLACONSOLIDADA[Bodega]&amp;TABLACONSOLIDADA[Codigo],0)),"")</f>
        <v/>
      </c>
      <c r="AU100" s="157" t="str">
        <f t="array" ref="AU10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0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00" s="134">
        <f>IFERROR(SUM(Tabla_Buffers_Agroinsumos[[#This Row],[P-MP]:[P-VL]]),"")</f>
        <v>0</v>
      </c>
      <c r="AX100" s="92" t="str">
        <f>IFERROR(Tabla_Buffers_Agroinsumos[[#This Row],[INV FIS PROPIA]]-Tabla_Buffers_Agroinsumos[[#This Row],[BUFFER PROPIA]],"")</f>
        <v/>
      </c>
      <c r="AY10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00" s="134"/>
      <c r="BA100" s="134"/>
      <c r="BB100" s="134"/>
      <c r="BC100" s="134"/>
      <c r="BD100" s="134"/>
      <c r="BE100" s="134"/>
      <c r="BF100" s="134"/>
      <c r="BG100" s="134"/>
      <c r="BH100" s="134"/>
      <c r="BI100" s="91" t="str">
        <f t="array" ref="BI100">IFERROR(INDEX(TABLACONSOLIDADA[Buff Act],MATCH("AGROINSUMOSSTODOMINGO"&amp;Tabla_Buffers_Agroinsumos[[#This Row],[CODIGO ]],TABLACONSOLIDADA[Bodega]&amp;TABLACONSOLIDADA[Codigo],0)),"")</f>
        <v/>
      </c>
      <c r="BJ100" s="157" t="str">
        <f t="array" ref="BJ100">IFERROR(INDEX(TABLACONSOLIDADA[Inv Fís Act],MATCH("AGROINSUMOSSTODOMINGO"&amp;Tabla_Buffers_Agroinsumos[[#This Row],[CODIGO ]],TABLACONSOLIDADA[Bodega]&amp;TABLACONSOLIDADA[Codigo],0)),"")</f>
        <v/>
      </c>
      <c r="BK100" s="157" t="str">
        <f t="array" ref="BK10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0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00" s="91">
        <f>IFERROR(SUM(Tabla_Buffers_Agroinsumos[[#This Row],[SD-MP]:[SD-VL]]),"")</f>
        <v>0</v>
      </c>
      <c r="BN100" s="92"/>
      <c r="BO100" s="92"/>
      <c r="BP100" s="134"/>
      <c r="BQ100" s="134"/>
      <c r="BR100" s="134"/>
      <c r="BS100" s="134"/>
      <c r="BT100" s="134"/>
      <c r="BU100" s="134"/>
      <c r="BV100" s="134"/>
      <c r="BW100" s="134"/>
      <c r="BX100" s="134"/>
      <c r="BY100" s="134" t="str">
        <f t="array" ref="BY100">IFERROR(INDEX(TABLACONSOLIDADA[Buff Act],MATCH("AGROINSUMOSMONCAYOLOPEZ"&amp;Tabla_Buffers_Agroinsumos[[#This Row],[CODIGO ]],TABLACONSOLIDADA[Bodega]&amp;TABLACONSOLIDADA[Codigo],0)),"")</f>
        <v/>
      </c>
      <c r="BZ100" s="157" t="str">
        <f t="array" ref="BZ100">IFERROR(INDEX(TABLACONSOLIDADA[Inv Fís Act],MATCH("AGROINSUMOSMONCAYOLOPEZ"&amp;Tabla_Buffers_Agroinsumos[[#This Row],[CODIGO ]],TABLACONSOLIDADA[Bodega]&amp;TABLACONSOLIDADA[Codigo],0)),"")</f>
        <v/>
      </c>
      <c r="CA100" s="157" t="str">
        <f t="array" ref="CA10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0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00" s="134">
        <f>IFERROR(SUM(Tabla_Buffers_Agroinsumos[[#This Row],[ML-MP]:[ML-VL]]),"")</f>
        <v>0</v>
      </c>
      <c r="CD100" s="92" t="str">
        <f>IFERROR(Tabla_Buffers_Agroinsumos[[#This Row],[INV FIS ML]]-Tabla_Buffers_Agroinsumos[[#This Row],[BUFFER ML]],"")</f>
        <v/>
      </c>
      <c r="CE10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00" s="134"/>
      <c r="CG100" s="134"/>
      <c r="CH100" s="134"/>
      <c r="CI100" s="134"/>
      <c r="CJ100" s="134"/>
      <c r="CK100" s="134"/>
      <c r="CL100" s="134"/>
      <c r="CM100" s="134"/>
      <c r="CN100" s="134"/>
      <c r="CO100" s="134" t="str">
        <f t="array" ref="CO100">IFERROR(INDEX(TABLACONSOLIDADA[Buff Act],MATCH("AGROINSUMOSAGROHERMANOSLEON"&amp;Tabla_Buffers_Agroinsumos[[#This Row],[CODIGO ]],TABLACONSOLIDADA[Bodega]&amp;TABLACONSOLIDADA[Codigo],0)),"")</f>
        <v/>
      </c>
      <c r="CP100" s="157" t="str">
        <f t="array" ref="CP100">IFERROR(INDEX(TABLACONSOLIDADA[Inv Fís Act],MATCH("AGROINSUMOSAGROHERMANOSLEON"&amp;Tabla_Buffers_Agroinsumos[[#This Row],[CODIGO ]],TABLACONSOLIDADA[Bodega]&amp;TABLACONSOLIDADA[Codigo],0)),"")</f>
        <v/>
      </c>
      <c r="CQ100" s="157" t="str">
        <f t="array" ref="CQ10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0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00" s="134">
        <f>IFERROR(SUM(Tabla_Buffers_Agroinsumos[[#This Row],[AL-MP]:[AL-VL]]),"")</f>
        <v>0</v>
      </c>
      <c r="CT100" s="92" t="str">
        <f>IFERROR(Tabla_Buffers_Agroinsumos[[#This Row],[INV FIS AL]]-Tabla_Buffers_Agroinsumos[[#This Row],[BUFFER AL]],"")</f>
        <v/>
      </c>
      <c r="CU10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00" s="134"/>
      <c r="CW100" s="134"/>
      <c r="CX100" s="134"/>
      <c r="CY100" s="134"/>
      <c r="CZ100" s="134"/>
      <c r="DA100" s="134"/>
      <c r="DB100" s="134"/>
      <c r="DC100" s="134"/>
      <c r="DD100" s="134"/>
      <c r="DE100" s="134" t="str">
        <f t="array" ref="DE100">IFERROR(INDEX(TABLACONSOLIDADA[Buff Act],MATCH("AGROINSUMOSAGRONUEVO"&amp;Tabla_Buffers_Agroinsumos[[#This Row],[CODIGO ]],TABLACONSOLIDADA[Bodega]&amp;TABLACONSOLIDADA[Codigo],0)),"")</f>
        <v/>
      </c>
      <c r="DF100" s="157" t="str">
        <f t="array" ref="DF100">IFERROR(INDEX(TABLACONSOLIDADA[Inv Fís Act],MATCH("AGROINSUMOSAGRONUEVO"&amp;Tabla_Buffers_Agroinsumos[[#This Row],[CODIGO ]],TABLACONSOLIDADA[Bodega]&amp;TABLACONSOLIDADA[Codigo],0)),"")</f>
        <v/>
      </c>
      <c r="DG100" s="157" t="str">
        <f t="array" ref="DG10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0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00" s="134">
        <f>IFERROR(SUM(Tabla_Buffers_Agroinsumos[[#This Row],[AN-MP]:[AN-VL]]),"")</f>
        <v>0</v>
      </c>
      <c r="DJ100" s="92" t="str">
        <f>IFERROR(Tabla_Buffers_Agroinsumos[[#This Row],[INV FIS AN]]-Tabla_Buffers_Agroinsumos[[#This Row],[BUFFER AN]],"")</f>
        <v/>
      </c>
      <c r="DK10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00" s="134"/>
      <c r="DM100" s="134"/>
      <c r="DN100" s="134"/>
      <c r="DO100" s="134"/>
      <c r="DP100" s="134"/>
      <c r="DQ100" s="134"/>
      <c r="DR100" s="134"/>
      <c r="DS100" s="134"/>
      <c r="DT100" s="134"/>
      <c r="DU100" s="134" t="str">
        <f t="array" ref="DU100">IFERROR(INDEX(TABLACONSOLIDADA[Buff Act],MATCH("AGROINSUMOSAGROQUIMICOSSUR"&amp;Tabla_Buffers_Agroinsumos[[#This Row],[CODIGO ]],TABLACONSOLIDADA[Bodega]&amp;TABLACONSOLIDADA[Codigo],0)),"")</f>
        <v/>
      </c>
      <c r="DV100" s="157" t="str">
        <f t="array" ref="DV100">IFERROR(INDEX(TABLACONSOLIDADA[Inv Fís Act],MATCH("AGROINSUMOSAGROQUIMICOSSUR"&amp;Tabla_Buffers_Agroinsumos[[#This Row],[CODIGO ]],TABLACONSOLIDADA[Bodega]&amp;TABLACONSOLIDADA[Codigo],0)),"")</f>
        <v/>
      </c>
      <c r="DW100" s="157" t="str">
        <f t="array" ref="DW10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0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00" s="134">
        <f>IFERROR(SUM(Tabla_Buffers_Agroinsumos[[#This Row],[AS-MP]:[AS-VL]]),"")</f>
        <v>0</v>
      </c>
      <c r="DZ100" s="92" t="str">
        <f>IFERROR(Tabla_Buffers_Agroinsumos[[#This Row],[INV FIS AS]]-Tabla_Buffers_Agroinsumos[[#This Row],[BUFFER AS]],"")</f>
        <v/>
      </c>
      <c r="EA10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00" s="134"/>
      <c r="EC100" s="134"/>
      <c r="ED100" s="134"/>
      <c r="EE100" s="134"/>
      <c r="EF100" s="134"/>
      <c r="EG100" s="134"/>
      <c r="EH100" s="134"/>
      <c r="EI100" s="134"/>
      <c r="EJ100" s="134"/>
      <c r="EK100" s="134" t="str">
        <f t="array" ref="EK100">IFERROR(INDEX(TABLACONSOLIDADA[Buff Act],MATCH("AGROINSUMOSLAFINCA"&amp;Tabla_Buffers_Agroinsumos[[#This Row],[CODIGO ]],TABLACONSOLIDADA[Bodega]&amp;TABLACONSOLIDADA[Codigo],0)),"")</f>
        <v/>
      </c>
      <c r="EL100" s="157" t="str">
        <f t="array" ref="EL100">IFERROR(INDEX(TABLACONSOLIDADA[Inv Fís Act],MATCH("AGROINSUMOSLAFINCA"&amp;Tabla_Buffers_Agroinsumos[[#This Row],[CODIGO ]],TABLACONSOLIDADA[Bodega]&amp;TABLACONSOLIDADA[Codigo],0)),"")</f>
        <v/>
      </c>
      <c r="EM100" s="157" t="str">
        <f t="array" ref="EM10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0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00" s="134">
        <f>IFERROR(SUM(Tabla_Buffers_Agroinsumos[[#This Row],[LF-MP]:[LF-VL]]),"")</f>
        <v>0</v>
      </c>
      <c r="EP100" s="92" t="str">
        <f>IFERROR(Tabla_Buffers_Agroinsumos[[#This Row],[INV FIS LF]]-Tabla_Buffers_Agroinsumos[[#This Row],[BUFFER LF]],"")</f>
        <v/>
      </c>
      <c r="EQ10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00" s="134"/>
      <c r="ES100" s="134"/>
      <c r="ET100" s="134"/>
      <c r="EU100" s="134"/>
      <c r="EV100" s="134"/>
      <c r="EW100" s="134"/>
      <c r="EX100" s="134"/>
      <c r="EY100" s="134"/>
      <c r="EZ100" s="134"/>
      <c r="FA100" s="134" t="str">
        <f t="array" ref="FA100">IFERROR(INDEX(TABLACONSOLIDADA[Buff Act],MATCH("AGROINSUMOSVERONICALEDESMA"&amp;Tabla_Buffers_Agroinsumos[[#This Row],[CODIGO ]],TABLACONSOLIDADA[Bodega]&amp;TABLACONSOLIDADA[Codigo],0)),"")</f>
        <v/>
      </c>
      <c r="FB100" s="157" t="str">
        <f t="array" ref="FB100">IFERROR(INDEX(TABLACONSOLIDADA[Inv Fís Act],MATCH("AGROINSUMOSVERONICALEDESMA"&amp;Tabla_Buffers_Agroinsumos[[#This Row],[CODIGO ]],TABLACONSOLIDADA[Bodega]&amp;TABLACONSOLIDADA[Codigo],0)),"")</f>
        <v/>
      </c>
      <c r="FC100" s="157" t="str">
        <f t="array" ref="FC10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0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00" s="134">
        <f>IFERROR(SUM(Tabla_Buffers_Agroinsumos[[#This Row],[VL-MP]:[VL-LF]]),"")</f>
        <v>0</v>
      </c>
      <c r="FF100" s="92" t="str">
        <f>IFERROR(Tabla_Buffers_Agroinsumos[[#This Row],[INV FIS VL]]-Tabla_Buffers_Agroinsumos[[#This Row],[BUFFER VL]],"")</f>
        <v/>
      </c>
      <c r="FG10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00" s="134"/>
      <c r="FI100" s="134"/>
      <c r="FJ100" s="134"/>
      <c r="FK100" s="134"/>
      <c r="FL100" s="134"/>
      <c r="FM100" s="134"/>
      <c r="FN100" s="134"/>
      <c r="FO100" s="134"/>
      <c r="FP100" s="134"/>
    </row>
    <row r="101" spans="1:172">
      <c r="A101" s="20" t="s">
        <v>1270</v>
      </c>
      <c r="B101" s="7" t="s">
        <v>1271</v>
      </c>
      <c r="C101" s="7" t="s">
        <v>712</v>
      </c>
      <c r="D101" s="7" t="s">
        <v>720</v>
      </c>
      <c r="E101" s="7" t="s">
        <v>863</v>
      </c>
      <c r="F101" s="19" t="s">
        <v>814</v>
      </c>
      <c r="G101" s="111" t="s">
        <v>873</v>
      </c>
      <c r="H101" s="111">
        <v>0</v>
      </c>
      <c r="I101" s="111" t="e">
        <f>VLOOKUP(Tabla_Buffers_Agroinsumos[[#This Row],[CODIGO ]],TABLACONSOLIDADA[[Codigo]:[PV]],5,0)</f>
        <v>#N/A</v>
      </c>
      <c r="J101" s="111"/>
      <c r="K101" s="111"/>
      <c r="L101" s="111">
        <f>IFERROR(Tabla_Buffers_Agroinsumos[[#This Row],[BUFFER CENTRAL]]/((Tabla_Buffers_Agroinsumos[[#This Row],[TIEMPO REPOSICION ]]/Tabla_Buffers_Agroinsumos[[#This Row],[FRECUENCIA]])+1),0)</f>
        <v>0</v>
      </c>
      <c r="M101" s="111">
        <v>1300</v>
      </c>
      <c r="N101" s="111" t="str">
        <f t="array" ref="N101">IFERROR(INDEX(TABLACONSOLIDADA[Inv Fís Act],MATCH("AGROINSUMOSMATERIAPRIMA"&amp;Tabla_Buffers_Agroinsumos[[#This Row],[CODIGO ]],TABLACONSOLIDADA[Bodega]&amp;TABLACONSOLIDADA[Codigo],0)),"")</f>
        <v/>
      </c>
      <c r="O101" s="183" t="str">
        <f t="array" ref="O10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01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01" s="111">
        <f>IFERROR(SUM(Tabla_Buffers_Agroinsumos[[#This Row],[MP-C]:[MP-VL]]),"")</f>
        <v>0</v>
      </c>
      <c r="R101" s="154" t="str">
        <f>IFERROR(Tabla_Buffers_Agroinsumos[[#This Row],[INV FIS MATERIA PRIMA]]-Tabla_Buffers_Agroinsumos[[#This Row],[BUFFER MATERIA PRIMA]],"")</f>
        <v/>
      </c>
      <c r="S101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01" s="111"/>
      <c r="U101" s="111"/>
      <c r="V101" s="111"/>
      <c r="W101" s="111"/>
      <c r="X101" s="111"/>
      <c r="Y101" s="111"/>
      <c r="Z101" s="111"/>
      <c r="AA101" s="111"/>
      <c r="AB101" s="111"/>
      <c r="AC101" s="152" t="str">
        <f t="array" ref="AC101">IFERROR(INDEX(TABLACONSOLIDADA[Buff Act],MATCH("AGROINSUMOSCENTRAL"&amp;Tabla_Buffers_Agroinsumos[[#This Row],[CODIGO ]],TABLACONSOLIDADA[Bodega]&amp;TABLACONSOLIDADA[Codigo],0)),"")</f>
        <v/>
      </c>
      <c r="AD101" s="111" t="str">
        <f t="array" ref="AD101">IFERROR(INDEX(TABLACONSOLIDADA[Inv Fís Act],MATCH("AGROINSUMOSCENTRAL"&amp;Tabla_Buffers_Agroinsumos[[#This Row],[CODIGO ]],TABLACONSOLIDADA[Bodega]&amp;TABLACONSOLIDADA[Codigo],0)),"")</f>
        <v/>
      </c>
      <c r="AE101" s="183" t="str">
        <f t="array" ref="AE10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01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01" s="153">
        <f>IFERROR(SUM(Tabla_Buffers_Agroinsumos[[#This Row],[C-MP]:[C-VL]]),"")</f>
        <v>0</v>
      </c>
      <c r="AH101" s="154" t="str">
        <f>IFERROR(Tabla_Buffers_Agroinsumos[[#This Row],[INV FIS CENTRAL]]-Tabla_Buffers_Agroinsumos[[#This Row],[BUFFER CENTRAL]],"")</f>
        <v/>
      </c>
      <c r="AI101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01" s="135"/>
      <c r="AK101" s="135"/>
      <c r="AL101" s="135"/>
      <c r="AM101" s="135"/>
      <c r="AN101" s="135"/>
      <c r="AO101" s="135"/>
      <c r="AP101" s="135"/>
      <c r="AQ101" s="135"/>
      <c r="AR101" s="135"/>
      <c r="AS101" s="135" t="str">
        <f t="array" ref="AS101">IFERROR(INDEX(TABLACONSOLIDADA[Buff Act],MATCH("AGROINSUMOScentralPROPIA"&amp;Tabla_Buffers_Agroinsumos[[#This Row],[CODIGO ]],TABLACONSOLIDADA[Bodega]&amp;TABLACONSOLIDADA[Codigo],0)),"")</f>
        <v/>
      </c>
      <c r="AT101" s="111" t="str">
        <f t="array" ref="AT101">IFERROR(INDEX(TABLACONSOLIDADA[Inv Fís Act],MATCH("AGROINSUMOScentralPROPIA"&amp;Tabla_Buffers_Agroinsumos[[#This Row],[CODIGO ]],TABLACONSOLIDADA[Bodega]&amp;TABLACONSOLIDADA[Codigo],0)),"")</f>
        <v/>
      </c>
      <c r="AU101" s="183" t="str">
        <f t="array" ref="AU10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01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01" s="135">
        <f>IFERROR(SUM(Tabla_Buffers_Agroinsumos[[#This Row],[P-MP]:[P-VL]]),"")</f>
        <v>0</v>
      </c>
      <c r="AX101" s="154" t="str">
        <f>IFERROR(Tabla_Buffers_Agroinsumos[[#This Row],[INV FIS PROPIA]]-Tabla_Buffers_Agroinsumos[[#This Row],[BUFFER PROPIA]],"")</f>
        <v/>
      </c>
      <c r="AY101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01" s="135"/>
      <c r="BA101" s="135"/>
      <c r="BB101" s="135"/>
      <c r="BC101" s="135"/>
      <c r="BD101" s="135"/>
      <c r="BE101" s="135"/>
      <c r="BF101" s="135"/>
      <c r="BG101" s="135"/>
      <c r="BH101" s="135"/>
      <c r="BI101" s="153" t="str">
        <f t="array" ref="BI101">IFERROR(INDEX(TABLACONSOLIDADA[Buff Act],MATCH("AGROINSUMOSSTODOMINGO"&amp;Tabla_Buffers_Agroinsumos[[#This Row],[CODIGO ]],TABLACONSOLIDADA[Bodega]&amp;TABLACONSOLIDADA[Codigo],0)),"")</f>
        <v/>
      </c>
      <c r="BJ101" s="111" t="str">
        <f t="array" ref="BJ101">IFERROR(INDEX(TABLACONSOLIDADA[Inv Fís Act],MATCH("AGROINSUMOSSTODOMINGO"&amp;Tabla_Buffers_Agroinsumos[[#This Row],[CODIGO ]],TABLACONSOLIDADA[Bodega]&amp;TABLACONSOLIDADA[Codigo],0)),"")</f>
        <v/>
      </c>
      <c r="BK101" s="183" t="str">
        <f t="array" ref="BK10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01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01" s="153">
        <f>IFERROR(SUM(Tabla_Buffers_Agroinsumos[[#This Row],[SD-MP]:[SD-VL]]),"")</f>
        <v>0</v>
      </c>
      <c r="BN101" s="154"/>
      <c r="BO101" s="154"/>
      <c r="BP101" s="135"/>
      <c r="BQ101" s="135"/>
      <c r="BR101" s="135"/>
      <c r="BS101" s="135"/>
      <c r="BT101" s="135"/>
      <c r="BU101" s="135"/>
      <c r="BV101" s="135"/>
      <c r="BW101" s="135"/>
      <c r="BX101" s="135"/>
      <c r="BY101" s="135" t="str">
        <f t="array" ref="BY101">IFERROR(INDEX(TABLACONSOLIDADA[Buff Act],MATCH("AGROINSUMOSMONCAYOLOPEZ"&amp;Tabla_Buffers_Agroinsumos[[#This Row],[CODIGO ]],TABLACONSOLIDADA[Bodega]&amp;TABLACONSOLIDADA[Codigo],0)),"")</f>
        <v/>
      </c>
      <c r="BZ101" s="111" t="str">
        <f t="array" ref="BZ101">IFERROR(INDEX(TABLACONSOLIDADA[Inv Fís Act],MATCH("AGROINSUMOSMONCAYOLOPEZ"&amp;Tabla_Buffers_Agroinsumos[[#This Row],[CODIGO ]],TABLACONSOLIDADA[Bodega]&amp;TABLACONSOLIDADA[Codigo],0)),"")</f>
        <v/>
      </c>
      <c r="CA101" s="183" t="str">
        <f t="array" ref="CA10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01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01" s="135">
        <f>IFERROR(SUM(Tabla_Buffers_Agroinsumos[[#This Row],[ML-MP]:[ML-VL]]),"")</f>
        <v>0</v>
      </c>
      <c r="CD101" s="154" t="str">
        <f>IFERROR(Tabla_Buffers_Agroinsumos[[#This Row],[INV FIS ML]]-Tabla_Buffers_Agroinsumos[[#This Row],[BUFFER ML]],"")</f>
        <v/>
      </c>
      <c r="CE101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01" s="135"/>
      <c r="CG101" s="135"/>
      <c r="CH101" s="135"/>
      <c r="CI101" s="135"/>
      <c r="CJ101" s="135"/>
      <c r="CK101" s="135"/>
      <c r="CL101" s="135"/>
      <c r="CM101" s="135"/>
      <c r="CN101" s="135"/>
      <c r="CO101" s="135" t="str">
        <f t="array" ref="CO101">IFERROR(INDEX(TABLACONSOLIDADA[Buff Act],MATCH("AGROINSUMOSAGROHERMANOSLEON"&amp;Tabla_Buffers_Agroinsumos[[#This Row],[CODIGO ]],TABLACONSOLIDADA[Bodega]&amp;TABLACONSOLIDADA[Codigo],0)),"")</f>
        <v/>
      </c>
      <c r="CP101" s="111" t="str">
        <f t="array" ref="CP101">IFERROR(INDEX(TABLACONSOLIDADA[Inv Fís Act],MATCH("AGROINSUMOSAGROHERMANOSLEON"&amp;Tabla_Buffers_Agroinsumos[[#This Row],[CODIGO ]],TABLACONSOLIDADA[Bodega]&amp;TABLACONSOLIDADA[Codigo],0)),"")</f>
        <v/>
      </c>
      <c r="CQ101" s="183" t="str">
        <f t="array" ref="CQ10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01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01" s="135">
        <f>IFERROR(SUM(Tabla_Buffers_Agroinsumos[[#This Row],[AL-MP]:[AL-VL]]),"")</f>
        <v>0</v>
      </c>
      <c r="CT101" s="154" t="str">
        <f>IFERROR(Tabla_Buffers_Agroinsumos[[#This Row],[INV FIS AL]]-Tabla_Buffers_Agroinsumos[[#This Row],[BUFFER AL]],"")</f>
        <v/>
      </c>
      <c r="CU101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01" s="135"/>
      <c r="CW101" s="135"/>
      <c r="CX101" s="135"/>
      <c r="CY101" s="135"/>
      <c r="CZ101" s="135"/>
      <c r="DA101" s="135"/>
      <c r="DB101" s="135"/>
      <c r="DC101" s="135"/>
      <c r="DD101" s="135"/>
      <c r="DE101" s="135" t="str">
        <f t="array" ref="DE101">IFERROR(INDEX(TABLACONSOLIDADA[Buff Act],MATCH("AGROINSUMOSAGRONUEVO"&amp;Tabla_Buffers_Agroinsumos[[#This Row],[CODIGO ]],TABLACONSOLIDADA[Bodega]&amp;TABLACONSOLIDADA[Codigo],0)),"")</f>
        <v/>
      </c>
      <c r="DF101" s="111" t="str">
        <f t="array" ref="DF101">IFERROR(INDEX(TABLACONSOLIDADA[Inv Fís Act],MATCH("AGROINSUMOSAGRONUEVO"&amp;Tabla_Buffers_Agroinsumos[[#This Row],[CODIGO ]],TABLACONSOLIDADA[Bodega]&amp;TABLACONSOLIDADA[Codigo],0)),"")</f>
        <v/>
      </c>
      <c r="DG101" s="183" t="str">
        <f t="array" ref="DG10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01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01" s="135">
        <f>IFERROR(SUM(Tabla_Buffers_Agroinsumos[[#This Row],[AN-MP]:[AN-VL]]),"")</f>
        <v>0</v>
      </c>
      <c r="DJ101" s="154" t="str">
        <f>IFERROR(Tabla_Buffers_Agroinsumos[[#This Row],[INV FIS AN]]-Tabla_Buffers_Agroinsumos[[#This Row],[BUFFER AN]],"")</f>
        <v/>
      </c>
      <c r="DK101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01" s="135"/>
      <c r="DM101" s="135"/>
      <c r="DN101" s="135"/>
      <c r="DO101" s="135"/>
      <c r="DP101" s="135"/>
      <c r="DQ101" s="135"/>
      <c r="DR101" s="135"/>
      <c r="DS101" s="135"/>
      <c r="DT101" s="135"/>
      <c r="DU101" s="135" t="str">
        <f t="array" ref="DU101">IFERROR(INDEX(TABLACONSOLIDADA[Buff Act],MATCH("AGROINSUMOSAGROQUIMICOSSUR"&amp;Tabla_Buffers_Agroinsumos[[#This Row],[CODIGO ]],TABLACONSOLIDADA[Bodega]&amp;TABLACONSOLIDADA[Codigo],0)),"")</f>
        <v/>
      </c>
      <c r="DV101" s="111" t="str">
        <f t="array" ref="DV101">IFERROR(INDEX(TABLACONSOLIDADA[Inv Fís Act],MATCH("AGROINSUMOSAGROQUIMICOSSUR"&amp;Tabla_Buffers_Agroinsumos[[#This Row],[CODIGO ]],TABLACONSOLIDADA[Bodega]&amp;TABLACONSOLIDADA[Codigo],0)),"")</f>
        <v/>
      </c>
      <c r="DW101" s="183" t="str">
        <f t="array" ref="DW10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01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01" s="135">
        <f>IFERROR(SUM(Tabla_Buffers_Agroinsumos[[#This Row],[AS-MP]:[AS-VL]]),"")</f>
        <v>0</v>
      </c>
      <c r="DZ101" s="154" t="str">
        <f>IFERROR(Tabla_Buffers_Agroinsumos[[#This Row],[INV FIS AS]]-Tabla_Buffers_Agroinsumos[[#This Row],[BUFFER AS]],"")</f>
        <v/>
      </c>
      <c r="EA101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01" s="135"/>
      <c r="EC101" s="135"/>
      <c r="ED101" s="135"/>
      <c r="EE101" s="135"/>
      <c r="EF101" s="135"/>
      <c r="EG101" s="135"/>
      <c r="EH101" s="135"/>
      <c r="EI101" s="135"/>
      <c r="EJ101" s="135"/>
      <c r="EK101" s="135" t="str">
        <f t="array" ref="EK101">IFERROR(INDEX(TABLACONSOLIDADA[Buff Act],MATCH("AGROINSUMOSLAFINCA"&amp;Tabla_Buffers_Agroinsumos[[#This Row],[CODIGO ]],TABLACONSOLIDADA[Bodega]&amp;TABLACONSOLIDADA[Codigo],0)),"")</f>
        <v/>
      </c>
      <c r="EL101" s="111" t="str">
        <f t="array" ref="EL101">IFERROR(INDEX(TABLACONSOLIDADA[Inv Fís Act],MATCH("AGROINSUMOSLAFINCA"&amp;Tabla_Buffers_Agroinsumos[[#This Row],[CODIGO ]],TABLACONSOLIDADA[Bodega]&amp;TABLACONSOLIDADA[Codigo],0)),"")</f>
        <v/>
      </c>
      <c r="EM101" s="183" t="str">
        <f t="array" ref="EM10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01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01" s="135">
        <f>IFERROR(SUM(Tabla_Buffers_Agroinsumos[[#This Row],[LF-MP]:[LF-VL]]),"")</f>
        <v>0</v>
      </c>
      <c r="EP101" s="154" t="str">
        <f>IFERROR(Tabla_Buffers_Agroinsumos[[#This Row],[INV FIS LF]]-Tabla_Buffers_Agroinsumos[[#This Row],[BUFFER LF]],"")</f>
        <v/>
      </c>
      <c r="EQ101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01" s="135"/>
      <c r="ES101" s="135"/>
      <c r="ET101" s="135"/>
      <c r="EU101" s="135"/>
      <c r="EV101" s="135"/>
      <c r="EW101" s="135"/>
      <c r="EX101" s="135"/>
      <c r="EY101" s="135"/>
      <c r="EZ101" s="135"/>
      <c r="FA101" s="135" t="str">
        <f t="array" ref="FA101">IFERROR(INDEX(TABLACONSOLIDADA[Buff Act],MATCH("AGROINSUMOSVERONICALEDESMA"&amp;Tabla_Buffers_Agroinsumos[[#This Row],[CODIGO ]],TABLACONSOLIDADA[Bodega]&amp;TABLACONSOLIDADA[Codigo],0)),"")</f>
        <v/>
      </c>
      <c r="FB101" s="111" t="str">
        <f t="array" ref="FB101">IFERROR(INDEX(TABLACONSOLIDADA[Inv Fís Act],MATCH("AGROINSUMOSVERONICALEDESMA"&amp;Tabla_Buffers_Agroinsumos[[#This Row],[CODIGO ]],TABLACONSOLIDADA[Bodega]&amp;TABLACONSOLIDADA[Codigo],0)),"")</f>
        <v/>
      </c>
      <c r="FC101" s="183" t="str">
        <f t="array" ref="FC10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01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01" s="135">
        <f>IFERROR(SUM(Tabla_Buffers_Agroinsumos[[#This Row],[VL-MP]:[VL-LF]]),"")</f>
        <v>0</v>
      </c>
      <c r="FF101" s="154" t="str">
        <f>IFERROR(Tabla_Buffers_Agroinsumos[[#This Row],[INV FIS VL]]-Tabla_Buffers_Agroinsumos[[#This Row],[BUFFER VL]],"")</f>
        <v/>
      </c>
      <c r="FG101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01" s="135"/>
      <c r="FI101" s="135"/>
      <c r="FJ101" s="135"/>
      <c r="FK101" s="135"/>
      <c r="FL101" s="135"/>
      <c r="FM101" s="135"/>
      <c r="FN101" s="135"/>
      <c r="FO101" s="135"/>
      <c r="FP101" s="135"/>
    </row>
    <row r="102" spans="1:172">
      <c r="A102" s="7" t="s">
        <v>199</v>
      </c>
      <c r="B102" s="7" t="s">
        <v>200</v>
      </c>
      <c r="C102" s="7" t="s">
        <v>712</v>
      </c>
      <c r="D102" s="7" t="s">
        <v>720</v>
      </c>
      <c r="E102" s="7" t="s">
        <v>863</v>
      </c>
      <c r="F102" s="19" t="s">
        <v>814</v>
      </c>
      <c r="G102" s="19" t="s">
        <v>873</v>
      </c>
      <c r="H102" s="19">
        <f>VLOOKUP(Tabla_Buffers_Agroinsumos[[#This Row],[CODIGO ]],TABLACONSOLIDADA[[Codigo]:[PV]],6,0)</f>
        <v>0</v>
      </c>
      <c r="I102" s="19">
        <f>VLOOKUP(Tabla_Buffers_Agroinsumos[[#This Row],[CODIGO ]],TABLACONSOLIDADA[[Codigo]:[PV]],5,0)</f>
        <v>6.23</v>
      </c>
      <c r="J102" s="19">
        <v>12</v>
      </c>
      <c r="K102" s="19">
        <v>14</v>
      </c>
      <c r="L102" s="19">
        <f>IFERROR(Tabla_Buffers_Agroinsumos[[#This Row],[BUFFER CENTRAL]]/((Tabla_Buffers_Agroinsumos[[#This Row],[TIEMPO REPOSICION ]]/Tabla_Buffers_Agroinsumos[[#This Row],[FRECUENCIA]])+1),0)</f>
        <v>0</v>
      </c>
      <c r="M102" s="19">
        <f t="array" ref="M102">IFERROR(INDEX(TABLACONSOLIDADA[Buff Act],MATCH("AGROINSUMOSMATERIAPRIMA"&amp;Tabla_Buffers_Agroinsumos[[#This Row],[CODIGO ]],TABLACONSOLIDADA[Bodega]&amp;TABLACONSOLIDADA[Codigo],0)),"")</f>
        <v>1000</v>
      </c>
      <c r="N102" s="157">
        <f t="array" ref="N102">IFERROR(INDEX(TABLACONSOLIDADA[Inv Fís Act],MATCH("AGROINSUMOSMATERIAPRIMA"&amp;Tabla_Buffers_Agroinsumos[[#This Row],[CODIGO ]],TABLACONSOLIDADA[Bodega]&amp;TABLACONSOLIDADA[Codigo],0)),"")</f>
        <v>1767</v>
      </c>
      <c r="O102" s="157">
        <f t="array" ref="O10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1767</v>
      </c>
      <c r="P10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02" s="19">
        <f>IFERROR(SUM(Tabla_Buffers_Agroinsumos[[#This Row],[MP-C]:[MP-VL]]),"")</f>
        <v>0</v>
      </c>
      <c r="R102" s="92">
        <f>IFERROR(Tabla_Buffers_Agroinsumos[[#This Row],[INV FIS MATERIA PRIMA]]-Tabla_Buffers_Agroinsumos[[#This Row],[BUFFER MATERIA PRIMA]],"")</f>
        <v>767</v>
      </c>
      <c r="S10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767</v>
      </c>
      <c r="T102" s="19"/>
      <c r="U102" s="19"/>
      <c r="V102" s="19"/>
      <c r="W102" s="19"/>
      <c r="X102" s="19"/>
      <c r="Y102" s="19"/>
      <c r="Z102" s="19"/>
      <c r="AA102" s="19"/>
      <c r="AB102" s="19"/>
      <c r="AC102" s="152" t="str">
        <f t="array" ref="AC102">IFERROR(INDEX(TABLACONSOLIDADA[Buff Act],MATCH("AGROINSUMOSCENTRAL"&amp;Tabla_Buffers_Agroinsumos[[#This Row],[CODIGO ]],TABLACONSOLIDADA[Bodega]&amp;TABLACONSOLIDADA[Codigo],0)),"")</f>
        <v/>
      </c>
      <c r="AD102" s="157" t="str">
        <f t="array" ref="AD102">IFERROR(INDEX(TABLACONSOLIDADA[Inv Fís Act],MATCH("AGROINSUMOSCENTRAL"&amp;Tabla_Buffers_Agroinsumos[[#This Row],[CODIGO ]],TABLACONSOLIDADA[Bodega]&amp;TABLACONSOLIDADA[Codigo],0)),"")</f>
        <v/>
      </c>
      <c r="AE102" s="157" t="str">
        <f t="array" ref="AE10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0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02" s="91">
        <f>IFERROR(SUM(Tabla_Buffers_Agroinsumos[[#This Row],[C-MP]:[C-VL]]),"")</f>
        <v>0</v>
      </c>
      <c r="AH102" s="92" t="str">
        <f>IFERROR(Tabla_Buffers_Agroinsumos[[#This Row],[INV FIS CENTRAL]]-Tabla_Buffers_Agroinsumos[[#This Row],[BUFFER CENTRAL]],"")</f>
        <v/>
      </c>
      <c r="AI10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02" s="134"/>
      <c r="AK102" s="134"/>
      <c r="AL102" s="134"/>
      <c r="AM102" s="134"/>
      <c r="AN102" s="134"/>
      <c r="AO102" s="134"/>
      <c r="AP102" s="134"/>
      <c r="AQ102" s="134"/>
      <c r="AR102" s="134"/>
      <c r="AS102" s="134" t="str">
        <f t="array" ref="AS102">IFERROR(INDEX(TABLACONSOLIDADA[Buff Act],MATCH("AGROINSUMOScentralPROPIA"&amp;Tabla_Buffers_Agroinsumos[[#This Row],[CODIGO ]],TABLACONSOLIDADA[Bodega]&amp;TABLACONSOLIDADA[Codigo],0)),"")</f>
        <v/>
      </c>
      <c r="AT102" s="157" t="str">
        <f t="array" ref="AT102">IFERROR(INDEX(TABLACONSOLIDADA[Inv Fís Act],MATCH("AGROINSUMOScentralPROPIA"&amp;Tabla_Buffers_Agroinsumos[[#This Row],[CODIGO ]],TABLACONSOLIDADA[Bodega]&amp;TABLACONSOLIDADA[Codigo],0)),"")</f>
        <v/>
      </c>
      <c r="AU102" s="157" t="str">
        <f t="array" ref="AU10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0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02" s="134">
        <f>IFERROR(SUM(Tabla_Buffers_Agroinsumos[[#This Row],[P-MP]:[P-VL]]),"")</f>
        <v>0</v>
      </c>
      <c r="AX102" s="92" t="str">
        <f>IFERROR(Tabla_Buffers_Agroinsumos[[#This Row],[INV FIS PROPIA]]-Tabla_Buffers_Agroinsumos[[#This Row],[BUFFER PROPIA]],"")</f>
        <v/>
      </c>
      <c r="AY10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02" s="134"/>
      <c r="BA102" s="134"/>
      <c r="BB102" s="134"/>
      <c r="BC102" s="134"/>
      <c r="BD102" s="134"/>
      <c r="BE102" s="134"/>
      <c r="BF102" s="134"/>
      <c r="BG102" s="134"/>
      <c r="BH102" s="134"/>
      <c r="BI102" s="91" t="str">
        <f t="array" ref="BI102">IFERROR(INDEX(TABLACONSOLIDADA[Buff Act],MATCH("AGROINSUMOSSTODOMINGO"&amp;Tabla_Buffers_Agroinsumos[[#This Row],[CODIGO ]],TABLACONSOLIDADA[Bodega]&amp;TABLACONSOLIDADA[Codigo],0)),"")</f>
        <v/>
      </c>
      <c r="BJ102" s="157" t="str">
        <f t="array" ref="BJ102">IFERROR(INDEX(TABLACONSOLIDADA[Inv Fís Act],MATCH("AGROINSUMOSSTODOMINGO"&amp;Tabla_Buffers_Agroinsumos[[#This Row],[CODIGO ]],TABLACONSOLIDADA[Bodega]&amp;TABLACONSOLIDADA[Codigo],0)),"")</f>
        <v/>
      </c>
      <c r="BK102" s="157" t="str">
        <f t="array" ref="BK10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0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02" s="91">
        <f>IFERROR(SUM(Tabla_Buffers_Agroinsumos[[#This Row],[SD-MP]:[SD-VL]]),"")</f>
        <v>0</v>
      </c>
      <c r="BN102" s="92"/>
      <c r="BO102" s="92"/>
      <c r="BP102" s="134"/>
      <c r="BQ102" s="134"/>
      <c r="BR102" s="134"/>
      <c r="BS102" s="134"/>
      <c r="BT102" s="134"/>
      <c r="BU102" s="134"/>
      <c r="BV102" s="134"/>
      <c r="BW102" s="134"/>
      <c r="BX102" s="134"/>
      <c r="BY102" s="134" t="str">
        <f t="array" ref="BY102">IFERROR(INDEX(TABLACONSOLIDADA[Buff Act],MATCH("AGROINSUMOSMONCAYOLOPEZ"&amp;Tabla_Buffers_Agroinsumos[[#This Row],[CODIGO ]],TABLACONSOLIDADA[Bodega]&amp;TABLACONSOLIDADA[Codigo],0)),"")</f>
        <v/>
      </c>
      <c r="BZ102" s="157" t="str">
        <f t="array" ref="BZ102">IFERROR(INDEX(TABLACONSOLIDADA[Inv Fís Act],MATCH("AGROINSUMOSMONCAYOLOPEZ"&amp;Tabla_Buffers_Agroinsumos[[#This Row],[CODIGO ]],TABLACONSOLIDADA[Bodega]&amp;TABLACONSOLIDADA[Codigo],0)),"")</f>
        <v/>
      </c>
      <c r="CA102" s="157" t="str">
        <f t="array" ref="CA10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0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02" s="134">
        <f>IFERROR(SUM(Tabla_Buffers_Agroinsumos[[#This Row],[ML-MP]:[ML-VL]]),"")</f>
        <v>0</v>
      </c>
      <c r="CD102" s="92" t="str">
        <f>IFERROR(Tabla_Buffers_Agroinsumos[[#This Row],[INV FIS ML]]-Tabla_Buffers_Agroinsumos[[#This Row],[BUFFER ML]],"")</f>
        <v/>
      </c>
      <c r="CE10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02" s="134"/>
      <c r="CG102" s="134"/>
      <c r="CH102" s="134"/>
      <c r="CI102" s="134"/>
      <c r="CJ102" s="134"/>
      <c r="CK102" s="134"/>
      <c r="CL102" s="134"/>
      <c r="CM102" s="134"/>
      <c r="CN102" s="134"/>
      <c r="CO102" s="134" t="str">
        <f t="array" ref="CO102">IFERROR(INDEX(TABLACONSOLIDADA[Buff Act],MATCH("AGROINSUMOSAGROHERMANOSLEON"&amp;Tabla_Buffers_Agroinsumos[[#This Row],[CODIGO ]],TABLACONSOLIDADA[Bodega]&amp;TABLACONSOLIDADA[Codigo],0)),"")</f>
        <v/>
      </c>
      <c r="CP102" s="157" t="str">
        <f t="array" ref="CP102">IFERROR(INDEX(TABLACONSOLIDADA[Inv Fís Act],MATCH("AGROINSUMOSAGROHERMANOSLEON"&amp;Tabla_Buffers_Agroinsumos[[#This Row],[CODIGO ]],TABLACONSOLIDADA[Bodega]&amp;TABLACONSOLIDADA[Codigo],0)),"")</f>
        <v/>
      </c>
      <c r="CQ102" s="157" t="str">
        <f t="array" ref="CQ10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0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02" s="134">
        <f>IFERROR(SUM(Tabla_Buffers_Agroinsumos[[#This Row],[AL-MP]:[AL-VL]]),"")</f>
        <v>0</v>
      </c>
      <c r="CT102" s="92" t="str">
        <f>IFERROR(Tabla_Buffers_Agroinsumos[[#This Row],[INV FIS AL]]-Tabla_Buffers_Agroinsumos[[#This Row],[BUFFER AL]],"")</f>
        <v/>
      </c>
      <c r="CU10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02" s="134"/>
      <c r="CW102" s="134"/>
      <c r="CX102" s="134"/>
      <c r="CY102" s="134"/>
      <c r="CZ102" s="134"/>
      <c r="DA102" s="134"/>
      <c r="DB102" s="134"/>
      <c r="DC102" s="134"/>
      <c r="DD102" s="134"/>
      <c r="DE102" s="134" t="str">
        <f t="array" ref="DE102">IFERROR(INDEX(TABLACONSOLIDADA[Buff Act],MATCH("AGROINSUMOSAGRONUEVO"&amp;Tabla_Buffers_Agroinsumos[[#This Row],[CODIGO ]],TABLACONSOLIDADA[Bodega]&amp;TABLACONSOLIDADA[Codigo],0)),"")</f>
        <v/>
      </c>
      <c r="DF102" s="157" t="str">
        <f t="array" ref="DF102">IFERROR(INDEX(TABLACONSOLIDADA[Inv Fís Act],MATCH("AGROINSUMOSAGRONUEVO"&amp;Tabla_Buffers_Agroinsumos[[#This Row],[CODIGO ]],TABLACONSOLIDADA[Bodega]&amp;TABLACONSOLIDADA[Codigo],0)),"")</f>
        <v/>
      </c>
      <c r="DG102" s="157" t="str">
        <f t="array" ref="DG10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0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02" s="134">
        <f>IFERROR(SUM(Tabla_Buffers_Agroinsumos[[#This Row],[AN-MP]:[AN-VL]]),"")</f>
        <v>0</v>
      </c>
      <c r="DJ102" s="92" t="str">
        <f>IFERROR(Tabla_Buffers_Agroinsumos[[#This Row],[INV FIS AN]]-Tabla_Buffers_Agroinsumos[[#This Row],[BUFFER AN]],"")</f>
        <v/>
      </c>
      <c r="DK10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02" s="134"/>
      <c r="DM102" s="134"/>
      <c r="DN102" s="134"/>
      <c r="DO102" s="134"/>
      <c r="DP102" s="134"/>
      <c r="DQ102" s="134"/>
      <c r="DR102" s="134"/>
      <c r="DS102" s="134"/>
      <c r="DT102" s="134"/>
      <c r="DU102" s="134" t="str">
        <f t="array" ref="DU102">IFERROR(INDEX(TABLACONSOLIDADA[Buff Act],MATCH("AGROINSUMOSAGROQUIMICOSSUR"&amp;Tabla_Buffers_Agroinsumos[[#This Row],[CODIGO ]],TABLACONSOLIDADA[Bodega]&amp;TABLACONSOLIDADA[Codigo],0)),"")</f>
        <v/>
      </c>
      <c r="DV102" s="157" t="str">
        <f t="array" ref="DV102">IFERROR(INDEX(TABLACONSOLIDADA[Inv Fís Act],MATCH("AGROINSUMOSAGROQUIMICOSSUR"&amp;Tabla_Buffers_Agroinsumos[[#This Row],[CODIGO ]],TABLACONSOLIDADA[Bodega]&amp;TABLACONSOLIDADA[Codigo],0)),"")</f>
        <v/>
      </c>
      <c r="DW102" s="157" t="str">
        <f t="array" ref="DW10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0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02" s="134">
        <f>IFERROR(SUM(Tabla_Buffers_Agroinsumos[[#This Row],[AS-MP]:[AS-VL]]),"")</f>
        <v>0</v>
      </c>
      <c r="DZ102" s="92" t="str">
        <f>IFERROR(Tabla_Buffers_Agroinsumos[[#This Row],[INV FIS AS]]-Tabla_Buffers_Agroinsumos[[#This Row],[BUFFER AS]],"")</f>
        <v/>
      </c>
      <c r="EA10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02" s="134"/>
      <c r="EC102" s="134"/>
      <c r="ED102" s="134"/>
      <c r="EE102" s="134"/>
      <c r="EF102" s="134"/>
      <c r="EG102" s="134"/>
      <c r="EH102" s="134"/>
      <c r="EI102" s="134"/>
      <c r="EJ102" s="134"/>
      <c r="EK102" s="134" t="str">
        <f t="array" ref="EK102">IFERROR(INDEX(TABLACONSOLIDADA[Buff Act],MATCH("AGROINSUMOSLAFINCA"&amp;Tabla_Buffers_Agroinsumos[[#This Row],[CODIGO ]],TABLACONSOLIDADA[Bodega]&amp;TABLACONSOLIDADA[Codigo],0)),"")</f>
        <v/>
      </c>
      <c r="EL102" s="157" t="str">
        <f t="array" ref="EL102">IFERROR(INDEX(TABLACONSOLIDADA[Inv Fís Act],MATCH("AGROINSUMOSLAFINCA"&amp;Tabla_Buffers_Agroinsumos[[#This Row],[CODIGO ]],TABLACONSOLIDADA[Bodega]&amp;TABLACONSOLIDADA[Codigo],0)),"")</f>
        <v/>
      </c>
      <c r="EM102" s="157" t="str">
        <f t="array" ref="EM10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0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02" s="134">
        <f>IFERROR(SUM(Tabla_Buffers_Agroinsumos[[#This Row],[LF-MP]:[LF-VL]]),"")</f>
        <v>0</v>
      </c>
      <c r="EP102" s="92" t="str">
        <f>IFERROR(Tabla_Buffers_Agroinsumos[[#This Row],[INV FIS LF]]-Tabla_Buffers_Agroinsumos[[#This Row],[BUFFER LF]],"")</f>
        <v/>
      </c>
      <c r="EQ10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02" s="134"/>
      <c r="ES102" s="134"/>
      <c r="ET102" s="134"/>
      <c r="EU102" s="134"/>
      <c r="EV102" s="134"/>
      <c r="EW102" s="134"/>
      <c r="EX102" s="134"/>
      <c r="EY102" s="134"/>
      <c r="EZ102" s="134"/>
      <c r="FA102" s="134" t="str">
        <f t="array" ref="FA102">IFERROR(INDEX(TABLACONSOLIDADA[Buff Act],MATCH("AGROINSUMOSVERONICALEDESMA"&amp;Tabla_Buffers_Agroinsumos[[#This Row],[CODIGO ]],TABLACONSOLIDADA[Bodega]&amp;TABLACONSOLIDADA[Codigo],0)),"")</f>
        <v/>
      </c>
      <c r="FB102" s="157" t="str">
        <f t="array" ref="FB102">IFERROR(INDEX(TABLACONSOLIDADA[Inv Fís Act],MATCH("AGROINSUMOSVERONICALEDESMA"&amp;Tabla_Buffers_Agroinsumos[[#This Row],[CODIGO ]],TABLACONSOLIDADA[Bodega]&amp;TABLACONSOLIDADA[Codigo],0)),"")</f>
        <v/>
      </c>
      <c r="FC102" s="157" t="str">
        <f t="array" ref="FC10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0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02" s="134">
        <f>IFERROR(SUM(Tabla_Buffers_Agroinsumos[[#This Row],[VL-MP]:[VL-LF]]),"")</f>
        <v>0</v>
      </c>
      <c r="FF102" s="92" t="str">
        <f>IFERROR(Tabla_Buffers_Agroinsumos[[#This Row],[INV FIS VL]]-Tabla_Buffers_Agroinsumos[[#This Row],[BUFFER VL]],"")</f>
        <v/>
      </c>
      <c r="FG10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02" s="134"/>
      <c r="FI102" s="134"/>
      <c r="FJ102" s="134"/>
      <c r="FK102" s="134"/>
      <c r="FL102" s="134"/>
      <c r="FM102" s="134"/>
      <c r="FN102" s="134"/>
      <c r="FO102" s="134"/>
      <c r="FP102" s="134"/>
    </row>
    <row r="103" spans="1:172">
      <c r="A103" s="7" t="s">
        <v>201</v>
      </c>
      <c r="B103" s="7" t="s">
        <v>202</v>
      </c>
      <c r="C103" s="7" t="s">
        <v>712</v>
      </c>
      <c r="D103" s="7" t="s">
        <v>720</v>
      </c>
      <c r="E103" s="7" t="s">
        <v>863</v>
      </c>
      <c r="F103" s="19" t="s">
        <v>814</v>
      </c>
      <c r="G103" s="19" t="s">
        <v>873</v>
      </c>
      <c r="H103" s="19">
        <f>VLOOKUP(Tabla_Buffers_Agroinsumos[[#This Row],[CODIGO ]],TABLACONSOLIDADA[[Codigo]:[PV]],6,0)</f>
        <v>0</v>
      </c>
      <c r="I103" s="19">
        <f>VLOOKUP(Tabla_Buffers_Agroinsumos[[#This Row],[CODIGO ]],TABLACONSOLIDADA[[Codigo]:[PV]],5,0)</f>
        <v>1.27</v>
      </c>
      <c r="J103" s="19">
        <v>12</v>
      </c>
      <c r="K103" s="19">
        <v>14</v>
      </c>
      <c r="L103" s="19">
        <f>IFERROR(Tabla_Buffers_Agroinsumos[[#This Row],[BUFFER CENTRAL]]/((Tabla_Buffers_Agroinsumos[[#This Row],[TIEMPO REPOSICION ]]/Tabla_Buffers_Agroinsumos[[#This Row],[FRECUENCIA]])+1),0)</f>
        <v>0</v>
      </c>
      <c r="M103" s="19">
        <f t="array" ref="M103">IFERROR(INDEX(TABLACONSOLIDADA[Buff Act],MATCH("AGROINSUMOSMATERIAPRIMA"&amp;Tabla_Buffers_Agroinsumos[[#This Row],[CODIGO ]],TABLACONSOLIDADA[Bodega]&amp;TABLACONSOLIDADA[Codigo],0)),"")</f>
        <v>7000</v>
      </c>
      <c r="N103" s="157">
        <f t="array" ref="N103">IFERROR(INDEX(TABLACONSOLIDADA[Inv Fís Act],MATCH("AGROINSUMOSMATERIAPRIMA"&amp;Tabla_Buffers_Agroinsumos[[#This Row],[CODIGO ]],TABLACONSOLIDADA[Bodega]&amp;TABLACONSOLIDADA[Codigo],0)),"")</f>
        <v>197</v>
      </c>
      <c r="O103" s="157">
        <f t="array" ref="O10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2197</v>
      </c>
      <c r="P10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03" s="19">
        <f>IFERROR(SUM(Tabla_Buffers_Agroinsumos[[#This Row],[MP-C]:[MP-VL]]),"")</f>
        <v>0</v>
      </c>
      <c r="R103" s="92">
        <f>IFERROR(Tabla_Buffers_Agroinsumos[[#This Row],[INV FIS MATERIA PRIMA]]-Tabla_Buffers_Agroinsumos[[#This Row],[BUFFER MATERIA PRIMA]],"")</f>
        <v>-6803</v>
      </c>
      <c r="S10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-6803</v>
      </c>
      <c r="T103" s="19"/>
      <c r="U103" s="19"/>
      <c r="V103" s="19"/>
      <c r="W103" s="19"/>
      <c r="X103" s="19"/>
      <c r="Y103" s="19"/>
      <c r="Z103" s="19"/>
      <c r="AA103" s="19"/>
      <c r="AB103" s="19"/>
      <c r="AC103" s="152" t="str">
        <f t="array" ref="AC103">IFERROR(INDEX(TABLACONSOLIDADA[Buff Act],MATCH("AGROINSUMOSCENTRAL"&amp;Tabla_Buffers_Agroinsumos[[#This Row],[CODIGO ]],TABLACONSOLIDADA[Bodega]&amp;TABLACONSOLIDADA[Codigo],0)),"")</f>
        <v/>
      </c>
      <c r="AD103" s="157" t="str">
        <f t="array" ref="AD103">IFERROR(INDEX(TABLACONSOLIDADA[Inv Fís Act],MATCH("AGROINSUMOSCENTRAL"&amp;Tabla_Buffers_Agroinsumos[[#This Row],[CODIGO ]],TABLACONSOLIDADA[Bodega]&amp;TABLACONSOLIDADA[Codigo],0)),"")</f>
        <v/>
      </c>
      <c r="AE103" s="157" t="str">
        <f t="array" ref="AE10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0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03" s="91">
        <f>IFERROR(SUM(Tabla_Buffers_Agroinsumos[[#This Row],[C-MP]:[C-VL]]),"")</f>
        <v>0</v>
      </c>
      <c r="AH103" s="92" t="str">
        <f>IFERROR(Tabla_Buffers_Agroinsumos[[#This Row],[INV FIS CENTRAL]]-Tabla_Buffers_Agroinsumos[[#This Row],[BUFFER CENTRAL]],"")</f>
        <v/>
      </c>
      <c r="AI10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03" s="134"/>
      <c r="AK103" s="134"/>
      <c r="AL103" s="134"/>
      <c r="AM103" s="134"/>
      <c r="AN103" s="134"/>
      <c r="AO103" s="134"/>
      <c r="AP103" s="134"/>
      <c r="AQ103" s="134"/>
      <c r="AR103" s="134"/>
      <c r="AS103" s="134" t="str">
        <f t="array" ref="AS103">IFERROR(INDEX(TABLACONSOLIDADA[Buff Act],MATCH("AGROINSUMOScentralPROPIA"&amp;Tabla_Buffers_Agroinsumos[[#This Row],[CODIGO ]],TABLACONSOLIDADA[Bodega]&amp;TABLACONSOLIDADA[Codigo],0)),"")</f>
        <v/>
      </c>
      <c r="AT103" s="157" t="str">
        <f t="array" ref="AT103">IFERROR(INDEX(TABLACONSOLIDADA[Inv Fís Act],MATCH("AGROINSUMOScentralPROPIA"&amp;Tabla_Buffers_Agroinsumos[[#This Row],[CODIGO ]],TABLACONSOLIDADA[Bodega]&amp;TABLACONSOLIDADA[Codigo],0)),"")</f>
        <v/>
      </c>
      <c r="AU103" s="157" t="str">
        <f t="array" ref="AU10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0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03" s="134">
        <f>IFERROR(SUM(Tabla_Buffers_Agroinsumos[[#This Row],[P-MP]:[P-VL]]),"")</f>
        <v>0</v>
      </c>
      <c r="AX103" s="92" t="str">
        <f>IFERROR(Tabla_Buffers_Agroinsumos[[#This Row],[INV FIS PROPIA]]-Tabla_Buffers_Agroinsumos[[#This Row],[BUFFER PROPIA]],"")</f>
        <v/>
      </c>
      <c r="AY10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03" s="134"/>
      <c r="BA103" s="134"/>
      <c r="BB103" s="134"/>
      <c r="BC103" s="134"/>
      <c r="BD103" s="134"/>
      <c r="BE103" s="134"/>
      <c r="BF103" s="134"/>
      <c r="BG103" s="134"/>
      <c r="BH103" s="134"/>
      <c r="BI103" s="91" t="str">
        <f t="array" ref="BI103">IFERROR(INDEX(TABLACONSOLIDADA[Buff Act],MATCH("AGROINSUMOSSTODOMINGO"&amp;Tabla_Buffers_Agroinsumos[[#This Row],[CODIGO ]],TABLACONSOLIDADA[Bodega]&amp;TABLACONSOLIDADA[Codigo],0)),"")</f>
        <v/>
      </c>
      <c r="BJ103" s="157" t="str">
        <f t="array" ref="BJ103">IFERROR(INDEX(TABLACONSOLIDADA[Inv Fís Act],MATCH("AGROINSUMOSSTODOMINGO"&amp;Tabla_Buffers_Agroinsumos[[#This Row],[CODIGO ]],TABLACONSOLIDADA[Bodega]&amp;TABLACONSOLIDADA[Codigo],0)),"")</f>
        <v/>
      </c>
      <c r="BK103" s="157" t="str">
        <f t="array" ref="BK10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0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03" s="91">
        <f>IFERROR(SUM(Tabla_Buffers_Agroinsumos[[#This Row],[SD-MP]:[SD-VL]]),"")</f>
        <v>0</v>
      </c>
      <c r="BN103" s="92"/>
      <c r="BO103" s="92"/>
      <c r="BP103" s="134"/>
      <c r="BQ103" s="134"/>
      <c r="BR103" s="134"/>
      <c r="BS103" s="134"/>
      <c r="BT103" s="134"/>
      <c r="BU103" s="134"/>
      <c r="BV103" s="134"/>
      <c r="BW103" s="134"/>
      <c r="BX103" s="134"/>
      <c r="BY103" s="134" t="str">
        <f t="array" ref="BY103">IFERROR(INDEX(TABLACONSOLIDADA[Buff Act],MATCH("AGROINSUMOSMONCAYOLOPEZ"&amp;Tabla_Buffers_Agroinsumos[[#This Row],[CODIGO ]],TABLACONSOLIDADA[Bodega]&amp;TABLACONSOLIDADA[Codigo],0)),"")</f>
        <v/>
      </c>
      <c r="BZ103" s="157" t="str">
        <f t="array" ref="BZ103">IFERROR(INDEX(TABLACONSOLIDADA[Inv Fís Act],MATCH("AGROINSUMOSMONCAYOLOPEZ"&amp;Tabla_Buffers_Agroinsumos[[#This Row],[CODIGO ]],TABLACONSOLIDADA[Bodega]&amp;TABLACONSOLIDADA[Codigo],0)),"")</f>
        <v/>
      </c>
      <c r="CA103" s="157" t="str">
        <f t="array" ref="CA10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0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03" s="134">
        <f>IFERROR(SUM(Tabla_Buffers_Agroinsumos[[#This Row],[ML-MP]:[ML-VL]]),"")</f>
        <v>0</v>
      </c>
      <c r="CD103" s="92" t="str">
        <f>IFERROR(Tabla_Buffers_Agroinsumos[[#This Row],[INV FIS ML]]-Tabla_Buffers_Agroinsumos[[#This Row],[BUFFER ML]],"")</f>
        <v/>
      </c>
      <c r="CE10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03" s="134"/>
      <c r="CG103" s="134"/>
      <c r="CH103" s="134"/>
      <c r="CI103" s="134"/>
      <c r="CJ103" s="134"/>
      <c r="CK103" s="134"/>
      <c r="CL103" s="134"/>
      <c r="CM103" s="134"/>
      <c r="CN103" s="134"/>
      <c r="CO103" s="134" t="str">
        <f t="array" ref="CO103">IFERROR(INDEX(TABLACONSOLIDADA[Buff Act],MATCH("AGROINSUMOSAGROHERMANOSLEON"&amp;Tabla_Buffers_Agroinsumos[[#This Row],[CODIGO ]],TABLACONSOLIDADA[Bodega]&amp;TABLACONSOLIDADA[Codigo],0)),"")</f>
        <v/>
      </c>
      <c r="CP103" s="157" t="str">
        <f t="array" ref="CP103">IFERROR(INDEX(TABLACONSOLIDADA[Inv Fís Act],MATCH("AGROINSUMOSAGROHERMANOSLEON"&amp;Tabla_Buffers_Agroinsumos[[#This Row],[CODIGO ]],TABLACONSOLIDADA[Bodega]&amp;TABLACONSOLIDADA[Codigo],0)),"")</f>
        <v/>
      </c>
      <c r="CQ103" s="157" t="str">
        <f t="array" ref="CQ10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0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03" s="134">
        <f>IFERROR(SUM(Tabla_Buffers_Agroinsumos[[#This Row],[AL-MP]:[AL-VL]]),"")</f>
        <v>0</v>
      </c>
      <c r="CT103" s="92" t="str">
        <f>IFERROR(Tabla_Buffers_Agroinsumos[[#This Row],[INV FIS AL]]-Tabla_Buffers_Agroinsumos[[#This Row],[BUFFER AL]],"")</f>
        <v/>
      </c>
      <c r="CU10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03" s="134"/>
      <c r="CW103" s="134"/>
      <c r="CX103" s="134"/>
      <c r="CY103" s="134"/>
      <c r="CZ103" s="134"/>
      <c r="DA103" s="134"/>
      <c r="DB103" s="134"/>
      <c r="DC103" s="134"/>
      <c r="DD103" s="134"/>
      <c r="DE103" s="134" t="str">
        <f t="array" ref="DE103">IFERROR(INDEX(TABLACONSOLIDADA[Buff Act],MATCH("AGROINSUMOSAGRONUEVO"&amp;Tabla_Buffers_Agroinsumos[[#This Row],[CODIGO ]],TABLACONSOLIDADA[Bodega]&amp;TABLACONSOLIDADA[Codigo],0)),"")</f>
        <v/>
      </c>
      <c r="DF103" s="157" t="str">
        <f t="array" ref="DF103">IFERROR(INDEX(TABLACONSOLIDADA[Inv Fís Act],MATCH("AGROINSUMOSAGRONUEVO"&amp;Tabla_Buffers_Agroinsumos[[#This Row],[CODIGO ]],TABLACONSOLIDADA[Bodega]&amp;TABLACONSOLIDADA[Codigo],0)),"")</f>
        <v/>
      </c>
      <c r="DG103" s="157" t="str">
        <f t="array" ref="DG10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0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03" s="134">
        <f>IFERROR(SUM(Tabla_Buffers_Agroinsumos[[#This Row],[AN-MP]:[AN-VL]]),"")</f>
        <v>0</v>
      </c>
      <c r="DJ103" s="92" t="str">
        <f>IFERROR(Tabla_Buffers_Agroinsumos[[#This Row],[INV FIS AN]]-Tabla_Buffers_Agroinsumos[[#This Row],[BUFFER AN]],"")</f>
        <v/>
      </c>
      <c r="DK10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03" s="134"/>
      <c r="DM103" s="134"/>
      <c r="DN103" s="134"/>
      <c r="DO103" s="134"/>
      <c r="DP103" s="134"/>
      <c r="DQ103" s="134"/>
      <c r="DR103" s="134"/>
      <c r="DS103" s="134"/>
      <c r="DT103" s="134"/>
      <c r="DU103" s="134" t="str">
        <f t="array" ref="DU103">IFERROR(INDEX(TABLACONSOLIDADA[Buff Act],MATCH("AGROINSUMOSAGROQUIMICOSSUR"&amp;Tabla_Buffers_Agroinsumos[[#This Row],[CODIGO ]],TABLACONSOLIDADA[Bodega]&amp;TABLACONSOLIDADA[Codigo],0)),"")</f>
        <v/>
      </c>
      <c r="DV103" s="157" t="str">
        <f t="array" ref="DV103">IFERROR(INDEX(TABLACONSOLIDADA[Inv Fís Act],MATCH("AGROINSUMOSAGROQUIMICOSSUR"&amp;Tabla_Buffers_Agroinsumos[[#This Row],[CODIGO ]],TABLACONSOLIDADA[Bodega]&amp;TABLACONSOLIDADA[Codigo],0)),"")</f>
        <v/>
      </c>
      <c r="DW103" s="157" t="str">
        <f t="array" ref="DW10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0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03" s="134">
        <f>IFERROR(SUM(Tabla_Buffers_Agroinsumos[[#This Row],[AS-MP]:[AS-VL]]),"")</f>
        <v>0</v>
      </c>
      <c r="DZ103" s="92" t="str">
        <f>IFERROR(Tabla_Buffers_Agroinsumos[[#This Row],[INV FIS AS]]-Tabla_Buffers_Agroinsumos[[#This Row],[BUFFER AS]],"")</f>
        <v/>
      </c>
      <c r="EA10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03" s="134"/>
      <c r="EC103" s="134"/>
      <c r="ED103" s="134"/>
      <c r="EE103" s="134"/>
      <c r="EF103" s="134"/>
      <c r="EG103" s="134"/>
      <c r="EH103" s="134"/>
      <c r="EI103" s="134"/>
      <c r="EJ103" s="134"/>
      <c r="EK103" s="134" t="str">
        <f t="array" ref="EK103">IFERROR(INDEX(TABLACONSOLIDADA[Buff Act],MATCH("AGROINSUMOSLAFINCA"&amp;Tabla_Buffers_Agroinsumos[[#This Row],[CODIGO ]],TABLACONSOLIDADA[Bodega]&amp;TABLACONSOLIDADA[Codigo],0)),"")</f>
        <v/>
      </c>
      <c r="EL103" s="157" t="str">
        <f t="array" ref="EL103">IFERROR(INDEX(TABLACONSOLIDADA[Inv Fís Act],MATCH("AGROINSUMOSLAFINCA"&amp;Tabla_Buffers_Agroinsumos[[#This Row],[CODIGO ]],TABLACONSOLIDADA[Bodega]&amp;TABLACONSOLIDADA[Codigo],0)),"")</f>
        <v/>
      </c>
      <c r="EM103" s="157" t="str">
        <f t="array" ref="EM10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0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03" s="134">
        <f>IFERROR(SUM(Tabla_Buffers_Agroinsumos[[#This Row],[LF-MP]:[LF-VL]]),"")</f>
        <v>0</v>
      </c>
      <c r="EP103" s="92" t="str">
        <f>IFERROR(Tabla_Buffers_Agroinsumos[[#This Row],[INV FIS LF]]-Tabla_Buffers_Agroinsumos[[#This Row],[BUFFER LF]],"")</f>
        <v/>
      </c>
      <c r="EQ10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03" s="134"/>
      <c r="ES103" s="134"/>
      <c r="ET103" s="134"/>
      <c r="EU103" s="134"/>
      <c r="EV103" s="134"/>
      <c r="EW103" s="134"/>
      <c r="EX103" s="134"/>
      <c r="EY103" s="134"/>
      <c r="EZ103" s="134"/>
      <c r="FA103" s="134" t="str">
        <f t="array" ref="FA103">IFERROR(INDEX(TABLACONSOLIDADA[Buff Act],MATCH("AGROINSUMOSVERONICALEDESMA"&amp;Tabla_Buffers_Agroinsumos[[#This Row],[CODIGO ]],TABLACONSOLIDADA[Bodega]&amp;TABLACONSOLIDADA[Codigo],0)),"")</f>
        <v/>
      </c>
      <c r="FB103" s="157" t="str">
        <f t="array" ref="FB103">IFERROR(INDEX(TABLACONSOLIDADA[Inv Fís Act],MATCH("AGROINSUMOSVERONICALEDESMA"&amp;Tabla_Buffers_Agroinsumos[[#This Row],[CODIGO ]],TABLACONSOLIDADA[Bodega]&amp;TABLACONSOLIDADA[Codigo],0)),"")</f>
        <v/>
      </c>
      <c r="FC103" s="157" t="str">
        <f t="array" ref="FC10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0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03" s="134">
        <f>IFERROR(SUM(Tabla_Buffers_Agroinsumos[[#This Row],[VL-MP]:[VL-LF]]),"")</f>
        <v>0</v>
      </c>
      <c r="FF103" s="92" t="str">
        <f>IFERROR(Tabla_Buffers_Agroinsumos[[#This Row],[INV FIS VL]]-Tabla_Buffers_Agroinsumos[[#This Row],[BUFFER VL]],"")</f>
        <v/>
      </c>
      <c r="FG10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03" s="134"/>
      <c r="FI103" s="134"/>
      <c r="FJ103" s="134"/>
      <c r="FK103" s="134"/>
      <c r="FL103" s="134"/>
      <c r="FM103" s="134"/>
      <c r="FN103" s="134"/>
      <c r="FO103" s="134"/>
      <c r="FP103" s="134"/>
    </row>
    <row r="104" spans="1:172">
      <c r="A104" s="7" t="s">
        <v>892</v>
      </c>
      <c r="B104" s="7" t="s">
        <v>949</v>
      </c>
      <c r="C104" s="7" t="s">
        <v>946</v>
      </c>
      <c r="D104" s="7" t="s">
        <v>719</v>
      </c>
      <c r="E104" s="7" t="s">
        <v>975</v>
      </c>
      <c r="F104" s="19" t="s">
        <v>698</v>
      </c>
      <c r="G104" s="19" t="s">
        <v>698</v>
      </c>
      <c r="H104" s="19">
        <f>VLOOKUP(Tabla_Buffers_Agroinsumos[[#This Row],[CODIGO ]],TABLACONSOLIDADA[[Codigo]:[PV]],6,0)</f>
        <v>0</v>
      </c>
      <c r="I104" s="19">
        <f>VLOOKUP(Tabla_Buffers_Agroinsumos[[#This Row],[CODIGO ]],TABLACONSOLIDADA[[Codigo]:[PV]],5,0)</f>
        <v>0.56000000000000005</v>
      </c>
      <c r="J104" s="19" t="s">
        <v>698</v>
      </c>
      <c r="K104" s="19" t="s">
        <v>698</v>
      </c>
      <c r="L104" s="19">
        <f>IFERROR(Tabla_Buffers_Agroinsumos[[#This Row],[BUFFER CENTRAL]]/((Tabla_Buffers_Agroinsumos[[#This Row],[TIEMPO REPOSICION ]]/Tabla_Buffers_Agroinsumos[[#This Row],[FRECUENCIA]])+1),0)</f>
        <v>0</v>
      </c>
      <c r="M104" s="19" t="str">
        <f t="array" ref="M104">IFERROR(INDEX(TABLACONSOLIDADA[Buff Act],MATCH("AGROINSUMOSMATERIAPRIMA"&amp;Tabla_Buffers_Agroinsumos[[#This Row],[CODIGO ]],TABLACONSOLIDADA[Bodega]&amp;TABLACONSOLIDADA[Codigo],0)),"")</f>
        <v/>
      </c>
      <c r="N104" s="157" t="str">
        <f t="array" ref="N104">IFERROR(INDEX(TABLACONSOLIDADA[Inv Fís Act],MATCH("AGROINSUMOSMATERIAPRIMA"&amp;Tabla_Buffers_Agroinsumos[[#This Row],[CODIGO ]],TABLACONSOLIDADA[Bodega]&amp;TABLACONSOLIDADA[Codigo],0)),"")</f>
        <v/>
      </c>
      <c r="O104" s="157" t="str">
        <f t="array" ref="O10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0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04" s="19">
        <f>IFERROR(SUM(Tabla_Buffers_Agroinsumos[[#This Row],[MP-C]:[MP-VL]]),"")</f>
        <v>0</v>
      </c>
      <c r="R104" s="92" t="str">
        <f>IFERROR(Tabla_Buffers_Agroinsumos[[#This Row],[INV FIS MATERIA PRIMA]]-Tabla_Buffers_Agroinsumos[[#This Row],[BUFFER MATERIA PRIMA]],"")</f>
        <v/>
      </c>
      <c r="S10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04" s="19"/>
      <c r="U104" s="19"/>
      <c r="V104" s="19"/>
      <c r="W104" s="19"/>
      <c r="X104" s="19"/>
      <c r="Y104" s="19"/>
      <c r="Z104" s="19"/>
      <c r="AA104" s="19"/>
      <c r="AB104" s="19"/>
      <c r="AC104" s="152">
        <f t="array" ref="AC104">IFERROR(INDEX(TABLACONSOLIDADA[Buff Act],MATCH("AGROINSUMOSCENTRAL"&amp;Tabla_Buffers_Agroinsumos[[#This Row],[CODIGO ]],TABLACONSOLIDADA[Bodega]&amp;TABLACONSOLIDADA[Codigo],0)),"")</f>
        <v>0</v>
      </c>
      <c r="AD104" s="157">
        <f t="array" ref="AD104">IFERROR(INDEX(TABLACONSOLIDADA[Inv Fís Act],MATCH("AGROINSUMOSCENTRAL"&amp;Tabla_Buffers_Agroinsumos[[#This Row],[CODIGO ]],TABLACONSOLIDADA[Bodega]&amp;TABLACONSOLIDADA[Codigo],0)),"")</f>
        <v>0</v>
      </c>
      <c r="AE104" s="157">
        <f t="array" ref="AE10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10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04" s="91">
        <f>IFERROR(SUM(Tabla_Buffers_Agroinsumos[[#This Row],[C-MP]:[C-VL]]),"")</f>
        <v>0</v>
      </c>
      <c r="AH104" s="92">
        <f>IFERROR(Tabla_Buffers_Agroinsumos[[#This Row],[INV FIS CENTRAL]]-Tabla_Buffers_Agroinsumos[[#This Row],[BUFFER CENTRAL]],"")</f>
        <v>0</v>
      </c>
      <c r="AI10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104" s="134"/>
      <c r="AK104" s="134"/>
      <c r="AL104" s="134"/>
      <c r="AM104" s="134"/>
      <c r="AN104" s="134"/>
      <c r="AO104" s="134"/>
      <c r="AP104" s="134"/>
      <c r="AQ104" s="134"/>
      <c r="AR104" s="134"/>
      <c r="AS104" s="134">
        <f t="array" ref="AS104">IFERROR(INDEX(TABLACONSOLIDADA[Buff Act],MATCH("AGROINSUMOScentralPROPIA"&amp;Tabla_Buffers_Agroinsumos[[#This Row],[CODIGO ]],TABLACONSOLIDADA[Bodega]&amp;TABLACONSOLIDADA[Codigo],0)),"")</f>
        <v>30</v>
      </c>
      <c r="AT104" s="157">
        <f t="array" ref="AT104">IFERROR(INDEX(TABLACONSOLIDADA[Inv Fís Act],MATCH("AGROINSUMOScentralPROPIA"&amp;Tabla_Buffers_Agroinsumos[[#This Row],[CODIGO ]],TABLACONSOLIDADA[Bodega]&amp;TABLACONSOLIDADA[Codigo],0)),"")</f>
        <v>0</v>
      </c>
      <c r="AU104" s="157">
        <f t="array" ref="AU10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0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04" s="134">
        <f>IFERROR(SUM(Tabla_Buffers_Agroinsumos[[#This Row],[P-MP]:[P-VL]]),"")</f>
        <v>0</v>
      </c>
      <c r="AX104" s="92">
        <f>IFERROR(Tabla_Buffers_Agroinsumos[[#This Row],[INV FIS PROPIA]]-Tabla_Buffers_Agroinsumos[[#This Row],[BUFFER PROPIA]],"")</f>
        <v>-30</v>
      </c>
      <c r="AY10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</v>
      </c>
      <c r="AZ104" s="134"/>
      <c r="BA104" s="134"/>
      <c r="BB104" s="134"/>
      <c r="BC104" s="134"/>
      <c r="BD104" s="134"/>
      <c r="BE104" s="134"/>
      <c r="BF104" s="134"/>
      <c r="BG104" s="134"/>
      <c r="BH104" s="134"/>
      <c r="BI104" s="91" t="str">
        <f t="array" ref="BI104">IFERROR(INDEX(TABLACONSOLIDADA[Buff Act],MATCH("AGROINSUMOSSTODOMINGO"&amp;Tabla_Buffers_Agroinsumos[[#This Row],[CODIGO ]],TABLACONSOLIDADA[Bodega]&amp;TABLACONSOLIDADA[Codigo],0)),"")</f>
        <v/>
      </c>
      <c r="BJ104" s="157" t="str">
        <f t="array" ref="BJ104">IFERROR(INDEX(TABLACONSOLIDADA[Inv Fís Act],MATCH("AGROINSUMOSSTODOMINGO"&amp;Tabla_Buffers_Agroinsumos[[#This Row],[CODIGO ]],TABLACONSOLIDADA[Bodega]&amp;TABLACONSOLIDADA[Codigo],0)),"")</f>
        <v/>
      </c>
      <c r="BK104" s="157" t="str">
        <f t="array" ref="BK10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0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04" s="91">
        <f>IFERROR(SUM(Tabla_Buffers_Agroinsumos[[#This Row],[SD-MP]:[SD-VL]]),"")</f>
        <v>0</v>
      </c>
      <c r="BN104" s="92"/>
      <c r="BO104" s="92"/>
      <c r="BP104" s="134"/>
      <c r="BQ104" s="134"/>
      <c r="BR104" s="134"/>
      <c r="BS104" s="134"/>
      <c r="BT104" s="134"/>
      <c r="BU104" s="134"/>
      <c r="BV104" s="134"/>
      <c r="BW104" s="134"/>
      <c r="BX104" s="134"/>
      <c r="BY104" s="134">
        <f t="array" ref="BY104">IFERROR(INDEX(TABLACONSOLIDADA[Buff Act],MATCH("AGROINSUMOSMONCAYOLOPEZ"&amp;Tabla_Buffers_Agroinsumos[[#This Row],[CODIGO ]],TABLACONSOLIDADA[Bodega]&amp;TABLACONSOLIDADA[Codigo],0)),"")</f>
        <v>0</v>
      </c>
      <c r="BZ104" s="157">
        <f t="array" ref="BZ104">IFERROR(INDEX(TABLACONSOLIDADA[Inv Fís Act],MATCH("AGROINSUMOSMONCAYOLOPEZ"&amp;Tabla_Buffers_Agroinsumos[[#This Row],[CODIGO ]],TABLACONSOLIDADA[Bodega]&amp;TABLACONSOLIDADA[Codigo],0)),"")</f>
        <v>0</v>
      </c>
      <c r="CA104" s="157">
        <f t="array" ref="CA10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0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04" s="134">
        <f>IFERROR(SUM(Tabla_Buffers_Agroinsumos[[#This Row],[ML-MP]:[ML-VL]]),"")</f>
        <v>0</v>
      </c>
      <c r="CD104" s="92">
        <f>IFERROR(Tabla_Buffers_Agroinsumos[[#This Row],[INV FIS ML]]-Tabla_Buffers_Agroinsumos[[#This Row],[BUFFER ML]],"")</f>
        <v>0</v>
      </c>
      <c r="CE104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04" s="134"/>
      <c r="CG104" s="134"/>
      <c r="CH104" s="134"/>
      <c r="CI104" s="134"/>
      <c r="CJ104" s="134"/>
      <c r="CK104" s="134"/>
      <c r="CL104" s="134"/>
      <c r="CM104" s="134"/>
      <c r="CN104" s="134"/>
      <c r="CO104" s="134">
        <f t="array" ref="CO104">IFERROR(INDEX(TABLACONSOLIDADA[Buff Act],MATCH("AGROINSUMOSAGROHERMANOSLEON"&amp;Tabla_Buffers_Agroinsumos[[#This Row],[CODIGO ]],TABLACONSOLIDADA[Bodega]&amp;TABLACONSOLIDADA[Codigo],0)),"")</f>
        <v>0</v>
      </c>
      <c r="CP104" s="157">
        <f t="array" ref="CP104">IFERROR(INDEX(TABLACONSOLIDADA[Inv Fís Act],MATCH("AGROINSUMOSAGROHERMANOSLEON"&amp;Tabla_Buffers_Agroinsumos[[#This Row],[CODIGO ]],TABLACONSOLIDADA[Bodega]&amp;TABLACONSOLIDADA[Codigo],0)),"")</f>
        <v>0</v>
      </c>
      <c r="CQ104" s="157">
        <f t="array" ref="CQ10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0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04" s="134">
        <f>IFERROR(SUM(Tabla_Buffers_Agroinsumos[[#This Row],[AL-MP]:[AL-VL]]),"")</f>
        <v>0</v>
      </c>
      <c r="CT104" s="92">
        <f>IFERROR(Tabla_Buffers_Agroinsumos[[#This Row],[INV FIS AL]]-Tabla_Buffers_Agroinsumos[[#This Row],[BUFFER AL]],"")</f>
        <v>0</v>
      </c>
      <c r="CU104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04" s="134"/>
      <c r="CW104" s="134"/>
      <c r="CX104" s="134"/>
      <c r="CY104" s="134"/>
      <c r="CZ104" s="134"/>
      <c r="DA104" s="134"/>
      <c r="DB104" s="134"/>
      <c r="DC104" s="134"/>
      <c r="DD104" s="134"/>
      <c r="DE104" s="134">
        <f t="array" ref="DE104">IFERROR(INDEX(TABLACONSOLIDADA[Buff Act],MATCH("AGROINSUMOSAGRONUEVO"&amp;Tabla_Buffers_Agroinsumos[[#This Row],[CODIGO ]],TABLACONSOLIDADA[Bodega]&amp;TABLACONSOLIDADA[Codigo],0)),"")</f>
        <v>0</v>
      </c>
      <c r="DF104" s="157">
        <f t="array" ref="DF104">IFERROR(INDEX(TABLACONSOLIDADA[Inv Fís Act],MATCH("AGROINSUMOSAGRONUEVO"&amp;Tabla_Buffers_Agroinsumos[[#This Row],[CODIGO ]],TABLACONSOLIDADA[Bodega]&amp;TABLACONSOLIDADA[Codigo],0)),"")</f>
        <v>0</v>
      </c>
      <c r="DG104" s="157">
        <f t="array" ref="DG10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0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04" s="134">
        <f>IFERROR(SUM(Tabla_Buffers_Agroinsumos[[#This Row],[AN-MP]:[AN-VL]]),"")</f>
        <v>0</v>
      </c>
      <c r="DJ104" s="92">
        <f>IFERROR(Tabla_Buffers_Agroinsumos[[#This Row],[INV FIS AN]]-Tabla_Buffers_Agroinsumos[[#This Row],[BUFFER AN]],"")</f>
        <v>0</v>
      </c>
      <c r="DK104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04" s="134"/>
      <c r="DM104" s="134"/>
      <c r="DN104" s="134"/>
      <c r="DO104" s="134"/>
      <c r="DP104" s="134"/>
      <c r="DQ104" s="134"/>
      <c r="DR104" s="134"/>
      <c r="DS104" s="134"/>
      <c r="DT104" s="134"/>
      <c r="DU104" s="134">
        <f t="array" ref="DU104">IFERROR(INDEX(TABLACONSOLIDADA[Buff Act],MATCH("AGROINSUMOSAGROQUIMICOSSUR"&amp;Tabla_Buffers_Agroinsumos[[#This Row],[CODIGO ]],TABLACONSOLIDADA[Bodega]&amp;TABLACONSOLIDADA[Codigo],0)),"")</f>
        <v>0</v>
      </c>
      <c r="DV104" s="157">
        <f t="array" ref="DV104">IFERROR(INDEX(TABLACONSOLIDADA[Inv Fís Act],MATCH("AGROINSUMOSAGROQUIMICOSSUR"&amp;Tabla_Buffers_Agroinsumos[[#This Row],[CODIGO ]],TABLACONSOLIDADA[Bodega]&amp;TABLACONSOLIDADA[Codigo],0)),"")</f>
        <v>0</v>
      </c>
      <c r="DW104" s="157">
        <f t="array" ref="DW10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0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04" s="134">
        <f>IFERROR(SUM(Tabla_Buffers_Agroinsumos[[#This Row],[AS-MP]:[AS-VL]]),"")</f>
        <v>0</v>
      </c>
      <c r="DZ104" s="92">
        <f>IFERROR(Tabla_Buffers_Agroinsumos[[#This Row],[INV FIS AS]]-Tabla_Buffers_Agroinsumos[[#This Row],[BUFFER AS]],"")</f>
        <v>0</v>
      </c>
      <c r="EA104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04" s="134"/>
      <c r="EC104" s="134"/>
      <c r="ED104" s="134"/>
      <c r="EE104" s="134"/>
      <c r="EF104" s="134"/>
      <c r="EG104" s="134"/>
      <c r="EH104" s="134"/>
      <c r="EI104" s="134"/>
      <c r="EJ104" s="134"/>
      <c r="EK104" s="134">
        <f t="array" ref="EK104">IFERROR(INDEX(TABLACONSOLIDADA[Buff Act],MATCH("AGROINSUMOSLAFINCA"&amp;Tabla_Buffers_Agroinsumos[[#This Row],[CODIGO ]],TABLACONSOLIDADA[Bodega]&amp;TABLACONSOLIDADA[Codigo],0)),"")</f>
        <v>0</v>
      </c>
      <c r="EL104" s="157">
        <f t="array" ref="EL104">IFERROR(INDEX(TABLACONSOLIDADA[Inv Fís Act],MATCH("AGROINSUMOSLAFINCA"&amp;Tabla_Buffers_Agroinsumos[[#This Row],[CODIGO ]],TABLACONSOLIDADA[Bodega]&amp;TABLACONSOLIDADA[Codigo],0)),"")</f>
        <v>0</v>
      </c>
      <c r="EM104" s="157">
        <f t="array" ref="EM10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0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04" s="134">
        <f>IFERROR(SUM(Tabla_Buffers_Agroinsumos[[#This Row],[LF-MP]:[LF-VL]]),"")</f>
        <v>0</v>
      </c>
      <c r="EP104" s="92">
        <f>IFERROR(Tabla_Buffers_Agroinsumos[[#This Row],[INV FIS LF]]-Tabla_Buffers_Agroinsumos[[#This Row],[BUFFER LF]],"")</f>
        <v>0</v>
      </c>
      <c r="EQ104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04" s="134"/>
      <c r="ES104" s="134"/>
      <c r="ET104" s="134"/>
      <c r="EU104" s="134"/>
      <c r="EV104" s="134"/>
      <c r="EW104" s="134"/>
      <c r="EX104" s="134"/>
      <c r="EY104" s="134"/>
      <c r="EZ104" s="134"/>
      <c r="FA104" s="134">
        <f t="array" ref="FA104">IFERROR(INDEX(TABLACONSOLIDADA[Buff Act],MATCH("AGROINSUMOSVERONICALEDESMA"&amp;Tabla_Buffers_Agroinsumos[[#This Row],[CODIGO ]],TABLACONSOLIDADA[Bodega]&amp;TABLACONSOLIDADA[Codigo],0)),"")</f>
        <v>0</v>
      </c>
      <c r="FB104" s="157">
        <f t="array" ref="FB104">IFERROR(INDEX(TABLACONSOLIDADA[Inv Fís Act],MATCH("AGROINSUMOSVERONICALEDESMA"&amp;Tabla_Buffers_Agroinsumos[[#This Row],[CODIGO ]],TABLACONSOLIDADA[Bodega]&amp;TABLACONSOLIDADA[Codigo],0)),"")</f>
        <v>0</v>
      </c>
      <c r="FC104" s="157">
        <f t="array" ref="FC10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10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04" s="134">
        <f>IFERROR(SUM(Tabla_Buffers_Agroinsumos[[#This Row],[VL-MP]:[VL-LF]]),"")</f>
        <v>0</v>
      </c>
      <c r="FF104" s="92">
        <f>IFERROR(Tabla_Buffers_Agroinsumos[[#This Row],[INV FIS VL]]-Tabla_Buffers_Agroinsumos[[#This Row],[BUFFER VL]],"")</f>
        <v>0</v>
      </c>
      <c r="FG104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104" s="134"/>
      <c r="FI104" s="134"/>
      <c r="FJ104" s="134"/>
      <c r="FK104" s="134"/>
      <c r="FL104" s="134"/>
      <c r="FM104" s="134"/>
      <c r="FN104" s="134"/>
      <c r="FO104" s="134"/>
      <c r="FP104" s="134"/>
    </row>
    <row r="105" spans="1:172">
      <c r="A105" s="7" t="s">
        <v>893</v>
      </c>
      <c r="B105" s="7" t="s">
        <v>950</v>
      </c>
      <c r="C105" s="7" t="s">
        <v>946</v>
      </c>
      <c r="D105" s="7" t="s">
        <v>719</v>
      </c>
      <c r="E105" s="7" t="s">
        <v>975</v>
      </c>
      <c r="F105" s="19" t="s">
        <v>698</v>
      </c>
      <c r="G105" s="19" t="s">
        <v>698</v>
      </c>
      <c r="H105" s="19">
        <f>VLOOKUP(Tabla_Buffers_Agroinsumos[[#This Row],[CODIGO ]],TABLACONSOLIDADA[[Codigo]:[PV]],6,0)</f>
        <v>0</v>
      </c>
      <c r="I105" s="19">
        <f>VLOOKUP(Tabla_Buffers_Agroinsumos[[#This Row],[CODIGO ]],TABLACONSOLIDADA[[Codigo]:[PV]],5,0)</f>
        <v>1.1299999999999999</v>
      </c>
      <c r="J105" s="19" t="s">
        <v>698</v>
      </c>
      <c r="K105" s="19" t="s">
        <v>698</v>
      </c>
      <c r="L105" s="19">
        <f>IFERROR(Tabla_Buffers_Agroinsumos[[#This Row],[BUFFER CENTRAL]]/((Tabla_Buffers_Agroinsumos[[#This Row],[TIEMPO REPOSICION ]]/Tabla_Buffers_Agroinsumos[[#This Row],[FRECUENCIA]])+1),0)</f>
        <v>0</v>
      </c>
      <c r="M105" s="19" t="str">
        <f t="array" ref="M105">IFERROR(INDEX(TABLACONSOLIDADA[Buff Act],MATCH("AGROINSUMOSMATERIAPRIMA"&amp;Tabla_Buffers_Agroinsumos[[#This Row],[CODIGO ]],TABLACONSOLIDADA[Bodega]&amp;TABLACONSOLIDADA[Codigo],0)),"")</f>
        <v/>
      </c>
      <c r="N105" s="157" t="str">
        <f t="array" ref="N105">IFERROR(INDEX(TABLACONSOLIDADA[Inv Fís Act],MATCH("AGROINSUMOSMATERIAPRIMA"&amp;Tabla_Buffers_Agroinsumos[[#This Row],[CODIGO ]],TABLACONSOLIDADA[Bodega]&amp;TABLACONSOLIDADA[Codigo],0)),"")</f>
        <v/>
      </c>
      <c r="O105" s="157" t="str">
        <f t="array" ref="O10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0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05" s="19">
        <f>IFERROR(SUM(Tabla_Buffers_Agroinsumos[[#This Row],[MP-C]:[MP-VL]]),"")</f>
        <v>0</v>
      </c>
      <c r="R105" s="92" t="str">
        <f>IFERROR(Tabla_Buffers_Agroinsumos[[#This Row],[INV FIS MATERIA PRIMA]]-Tabla_Buffers_Agroinsumos[[#This Row],[BUFFER MATERIA PRIMA]],"")</f>
        <v/>
      </c>
      <c r="S10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05" s="19"/>
      <c r="U105" s="19"/>
      <c r="V105" s="19"/>
      <c r="W105" s="19"/>
      <c r="X105" s="19"/>
      <c r="Y105" s="19"/>
      <c r="Z105" s="19"/>
      <c r="AA105" s="19"/>
      <c r="AB105" s="19"/>
      <c r="AC105" s="152">
        <f t="array" ref="AC105">IFERROR(INDEX(TABLACONSOLIDADA[Buff Act],MATCH("AGROINSUMOSCENTRAL"&amp;Tabla_Buffers_Agroinsumos[[#This Row],[CODIGO ]],TABLACONSOLIDADA[Bodega]&amp;TABLACONSOLIDADA[Codigo],0)),"")</f>
        <v>0</v>
      </c>
      <c r="AD105" s="157">
        <f t="array" ref="AD105">IFERROR(INDEX(TABLACONSOLIDADA[Inv Fís Act],MATCH("AGROINSUMOSCENTRAL"&amp;Tabla_Buffers_Agroinsumos[[#This Row],[CODIGO ]],TABLACONSOLIDADA[Bodega]&amp;TABLACONSOLIDADA[Codigo],0)),"")</f>
        <v>0</v>
      </c>
      <c r="AE105" s="157">
        <f t="array" ref="AE10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10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05" s="91">
        <f>IFERROR(SUM(Tabla_Buffers_Agroinsumos[[#This Row],[C-MP]:[C-VL]]),"")</f>
        <v>0</v>
      </c>
      <c r="AH105" s="92">
        <f>IFERROR(Tabla_Buffers_Agroinsumos[[#This Row],[INV FIS CENTRAL]]-Tabla_Buffers_Agroinsumos[[#This Row],[BUFFER CENTRAL]],"")</f>
        <v>0</v>
      </c>
      <c r="AI10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105" s="134"/>
      <c r="AK105" s="134"/>
      <c r="AL105" s="134"/>
      <c r="AM105" s="134"/>
      <c r="AN105" s="134"/>
      <c r="AO105" s="134"/>
      <c r="AP105" s="134"/>
      <c r="AQ105" s="134"/>
      <c r="AR105" s="134"/>
      <c r="AS105" s="134">
        <f t="array" ref="AS105">IFERROR(INDEX(TABLACONSOLIDADA[Buff Act],MATCH("AGROINSUMOScentralPROPIA"&amp;Tabla_Buffers_Agroinsumos[[#This Row],[CODIGO ]],TABLACONSOLIDADA[Bodega]&amp;TABLACONSOLIDADA[Codigo],0)),"")</f>
        <v>30</v>
      </c>
      <c r="AT105" s="157">
        <f t="array" ref="AT105">IFERROR(INDEX(TABLACONSOLIDADA[Inv Fís Act],MATCH("AGROINSUMOScentralPROPIA"&amp;Tabla_Buffers_Agroinsumos[[#This Row],[CODIGO ]],TABLACONSOLIDADA[Bodega]&amp;TABLACONSOLIDADA[Codigo],0)),"")</f>
        <v>0</v>
      </c>
      <c r="AU105" s="157">
        <f t="array" ref="AU10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0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05" s="134">
        <f>IFERROR(SUM(Tabla_Buffers_Agroinsumos[[#This Row],[P-MP]:[P-VL]]),"")</f>
        <v>0</v>
      </c>
      <c r="AX105" s="92">
        <f>IFERROR(Tabla_Buffers_Agroinsumos[[#This Row],[INV FIS PROPIA]]-Tabla_Buffers_Agroinsumos[[#This Row],[BUFFER PROPIA]],"")</f>
        <v>-30</v>
      </c>
      <c r="AY10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</v>
      </c>
      <c r="AZ105" s="134"/>
      <c r="BA105" s="134"/>
      <c r="BB105" s="134"/>
      <c r="BC105" s="134"/>
      <c r="BD105" s="134"/>
      <c r="BE105" s="134"/>
      <c r="BF105" s="134"/>
      <c r="BG105" s="134"/>
      <c r="BH105" s="134"/>
      <c r="BI105" s="91" t="str">
        <f t="array" ref="BI105">IFERROR(INDEX(TABLACONSOLIDADA[Buff Act],MATCH("AGROINSUMOSSTODOMINGO"&amp;Tabla_Buffers_Agroinsumos[[#This Row],[CODIGO ]],TABLACONSOLIDADA[Bodega]&amp;TABLACONSOLIDADA[Codigo],0)),"")</f>
        <v/>
      </c>
      <c r="BJ105" s="157" t="str">
        <f t="array" ref="BJ105">IFERROR(INDEX(TABLACONSOLIDADA[Inv Fís Act],MATCH("AGROINSUMOSSTODOMINGO"&amp;Tabla_Buffers_Agroinsumos[[#This Row],[CODIGO ]],TABLACONSOLIDADA[Bodega]&amp;TABLACONSOLIDADA[Codigo],0)),"")</f>
        <v/>
      </c>
      <c r="BK105" s="157" t="str">
        <f t="array" ref="BK10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0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05" s="91">
        <f>IFERROR(SUM(Tabla_Buffers_Agroinsumos[[#This Row],[SD-MP]:[SD-VL]]),"")</f>
        <v>0</v>
      </c>
      <c r="BN105" s="92"/>
      <c r="BO105" s="92"/>
      <c r="BP105" s="134"/>
      <c r="BQ105" s="134"/>
      <c r="BR105" s="134"/>
      <c r="BS105" s="134"/>
      <c r="BT105" s="134"/>
      <c r="BU105" s="134"/>
      <c r="BV105" s="134"/>
      <c r="BW105" s="134"/>
      <c r="BX105" s="134"/>
      <c r="BY105" s="134">
        <f t="array" ref="BY105">IFERROR(INDEX(TABLACONSOLIDADA[Buff Act],MATCH("AGROINSUMOSMONCAYOLOPEZ"&amp;Tabla_Buffers_Agroinsumos[[#This Row],[CODIGO ]],TABLACONSOLIDADA[Bodega]&amp;TABLACONSOLIDADA[Codigo],0)),"")</f>
        <v>0</v>
      </c>
      <c r="BZ105" s="157">
        <f t="array" ref="BZ105">IFERROR(INDEX(TABLACONSOLIDADA[Inv Fís Act],MATCH("AGROINSUMOSMONCAYOLOPEZ"&amp;Tabla_Buffers_Agroinsumos[[#This Row],[CODIGO ]],TABLACONSOLIDADA[Bodega]&amp;TABLACONSOLIDADA[Codigo],0)),"")</f>
        <v>0</v>
      </c>
      <c r="CA105" s="157">
        <f t="array" ref="CA10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0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05" s="134">
        <f>IFERROR(SUM(Tabla_Buffers_Agroinsumos[[#This Row],[ML-MP]:[ML-VL]]),"")</f>
        <v>0</v>
      </c>
      <c r="CD105" s="92">
        <f>IFERROR(Tabla_Buffers_Agroinsumos[[#This Row],[INV FIS ML]]-Tabla_Buffers_Agroinsumos[[#This Row],[BUFFER ML]],"")</f>
        <v>0</v>
      </c>
      <c r="CE10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05" s="134"/>
      <c r="CG105" s="134"/>
      <c r="CH105" s="134"/>
      <c r="CI105" s="134"/>
      <c r="CJ105" s="134"/>
      <c r="CK105" s="134"/>
      <c r="CL105" s="134"/>
      <c r="CM105" s="134"/>
      <c r="CN105" s="134"/>
      <c r="CO105" s="134">
        <f t="array" ref="CO105">IFERROR(INDEX(TABLACONSOLIDADA[Buff Act],MATCH("AGROINSUMOSAGROHERMANOSLEON"&amp;Tabla_Buffers_Agroinsumos[[#This Row],[CODIGO ]],TABLACONSOLIDADA[Bodega]&amp;TABLACONSOLIDADA[Codigo],0)),"")</f>
        <v>0</v>
      </c>
      <c r="CP105" s="157">
        <f t="array" ref="CP105">IFERROR(INDEX(TABLACONSOLIDADA[Inv Fís Act],MATCH("AGROINSUMOSAGROHERMANOSLEON"&amp;Tabla_Buffers_Agroinsumos[[#This Row],[CODIGO ]],TABLACONSOLIDADA[Bodega]&amp;TABLACONSOLIDADA[Codigo],0)),"")</f>
        <v>0</v>
      </c>
      <c r="CQ105" s="157">
        <f t="array" ref="CQ10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0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05" s="134">
        <f>IFERROR(SUM(Tabla_Buffers_Agroinsumos[[#This Row],[AL-MP]:[AL-VL]]),"")</f>
        <v>0</v>
      </c>
      <c r="CT105" s="92">
        <f>IFERROR(Tabla_Buffers_Agroinsumos[[#This Row],[INV FIS AL]]-Tabla_Buffers_Agroinsumos[[#This Row],[BUFFER AL]],"")</f>
        <v>0</v>
      </c>
      <c r="CU10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05" s="134"/>
      <c r="CW105" s="134"/>
      <c r="CX105" s="134"/>
      <c r="CY105" s="134"/>
      <c r="CZ105" s="134"/>
      <c r="DA105" s="134"/>
      <c r="DB105" s="134"/>
      <c r="DC105" s="134"/>
      <c r="DD105" s="134"/>
      <c r="DE105" s="134">
        <f t="array" ref="DE105">IFERROR(INDEX(TABLACONSOLIDADA[Buff Act],MATCH("AGROINSUMOSAGRONUEVO"&amp;Tabla_Buffers_Agroinsumos[[#This Row],[CODIGO ]],TABLACONSOLIDADA[Bodega]&amp;TABLACONSOLIDADA[Codigo],0)),"")</f>
        <v>0</v>
      </c>
      <c r="DF105" s="157">
        <f t="array" ref="DF105">IFERROR(INDEX(TABLACONSOLIDADA[Inv Fís Act],MATCH("AGROINSUMOSAGRONUEVO"&amp;Tabla_Buffers_Agroinsumos[[#This Row],[CODIGO ]],TABLACONSOLIDADA[Bodega]&amp;TABLACONSOLIDADA[Codigo],0)),"")</f>
        <v>0</v>
      </c>
      <c r="DG105" s="157">
        <f t="array" ref="DG10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0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05" s="134">
        <f>IFERROR(SUM(Tabla_Buffers_Agroinsumos[[#This Row],[AN-MP]:[AN-VL]]),"")</f>
        <v>0</v>
      </c>
      <c r="DJ105" s="92">
        <f>IFERROR(Tabla_Buffers_Agroinsumos[[#This Row],[INV FIS AN]]-Tabla_Buffers_Agroinsumos[[#This Row],[BUFFER AN]],"")</f>
        <v>0</v>
      </c>
      <c r="DK10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05" s="134"/>
      <c r="DM105" s="134"/>
      <c r="DN105" s="134"/>
      <c r="DO105" s="134"/>
      <c r="DP105" s="134"/>
      <c r="DQ105" s="134"/>
      <c r="DR105" s="134"/>
      <c r="DS105" s="134"/>
      <c r="DT105" s="134"/>
      <c r="DU105" s="134">
        <f t="array" ref="DU105">IFERROR(INDEX(TABLACONSOLIDADA[Buff Act],MATCH("AGROINSUMOSAGROQUIMICOSSUR"&amp;Tabla_Buffers_Agroinsumos[[#This Row],[CODIGO ]],TABLACONSOLIDADA[Bodega]&amp;TABLACONSOLIDADA[Codigo],0)),"")</f>
        <v>0</v>
      </c>
      <c r="DV105" s="157">
        <f t="array" ref="DV105">IFERROR(INDEX(TABLACONSOLIDADA[Inv Fís Act],MATCH("AGROINSUMOSAGROQUIMICOSSUR"&amp;Tabla_Buffers_Agroinsumos[[#This Row],[CODIGO ]],TABLACONSOLIDADA[Bodega]&amp;TABLACONSOLIDADA[Codigo],0)),"")</f>
        <v>0</v>
      </c>
      <c r="DW105" s="157">
        <f t="array" ref="DW10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0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05" s="134">
        <f>IFERROR(SUM(Tabla_Buffers_Agroinsumos[[#This Row],[AS-MP]:[AS-VL]]),"")</f>
        <v>0</v>
      </c>
      <c r="DZ105" s="92">
        <f>IFERROR(Tabla_Buffers_Agroinsumos[[#This Row],[INV FIS AS]]-Tabla_Buffers_Agroinsumos[[#This Row],[BUFFER AS]],"")</f>
        <v>0</v>
      </c>
      <c r="EA10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05" s="134"/>
      <c r="EC105" s="134"/>
      <c r="ED105" s="134"/>
      <c r="EE105" s="134"/>
      <c r="EF105" s="134"/>
      <c r="EG105" s="134"/>
      <c r="EH105" s="134"/>
      <c r="EI105" s="134"/>
      <c r="EJ105" s="134"/>
      <c r="EK105" s="134">
        <f t="array" ref="EK105">IFERROR(INDEX(TABLACONSOLIDADA[Buff Act],MATCH("AGROINSUMOSLAFINCA"&amp;Tabla_Buffers_Agroinsumos[[#This Row],[CODIGO ]],TABLACONSOLIDADA[Bodega]&amp;TABLACONSOLIDADA[Codigo],0)),"")</f>
        <v>0</v>
      </c>
      <c r="EL105" s="157">
        <f t="array" ref="EL105">IFERROR(INDEX(TABLACONSOLIDADA[Inv Fís Act],MATCH("AGROINSUMOSLAFINCA"&amp;Tabla_Buffers_Agroinsumos[[#This Row],[CODIGO ]],TABLACONSOLIDADA[Bodega]&amp;TABLACONSOLIDADA[Codigo],0)),"")</f>
        <v>0</v>
      </c>
      <c r="EM105" s="157">
        <f t="array" ref="EM10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0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05" s="134">
        <f>IFERROR(SUM(Tabla_Buffers_Agroinsumos[[#This Row],[LF-MP]:[LF-VL]]),"")</f>
        <v>0</v>
      </c>
      <c r="EP105" s="92">
        <f>IFERROR(Tabla_Buffers_Agroinsumos[[#This Row],[INV FIS LF]]-Tabla_Buffers_Agroinsumos[[#This Row],[BUFFER LF]],"")</f>
        <v>0</v>
      </c>
      <c r="EQ10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05" s="134"/>
      <c r="ES105" s="134"/>
      <c r="ET105" s="134"/>
      <c r="EU105" s="134"/>
      <c r="EV105" s="134"/>
      <c r="EW105" s="134"/>
      <c r="EX105" s="134"/>
      <c r="EY105" s="134"/>
      <c r="EZ105" s="134"/>
      <c r="FA105" s="134">
        <f t="array" ref="FA105">IFERROR(INDEX(TABLACONSOLIDADA[Buff Act],MATCH("AGROINSUMOSVERONICALEDESMA"&amp;Tabla_Buffers_Agroinsumos[[#This Row],[CODIGO ]],TABLACONSOLIDADA[Bodega]&amp;TABLACONSOLIDADA[Codigo],0)),"")</f>
        <v>0</v>
      </c>
      <c r="FB105" s="157">
        <f t="array" ref="FB105">IFERROR(INDEX(TABLACONSOLIDADA[Inv Fís Act],MATCH("AGROINSUMOSVERONICALEDESMA"&amp;Tabla_Buffers_Agroinsumos[[#This Row],[CODIGO ]],TABLACONSOLIDADA[Bodega]&amp;TABLACONSOLIDADA[Codigo],0)),"")</f>
        <v>0</v>
      </c>
      <c r="FC105" s="157">
        <f t="array" ref="FC10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10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05" s="134">
        <f>IFERROR(SUM(Tabla_Buffers_Agroinsumos[[#This Row],[VL-MP]:[VL-LF]]),"")</f>
        <v>0</v>
      </c>
      <c r="FF105" s="92">
        <f>IFERROR(Tabla_Buffers_Agroinsumos[[#This Row],[INV FIS VL]]-Tabla_Buffers_Agroinsumos[[#This Row],[BUFFER VL]],"")</f>
        <v>0</v>
      </c>
      <c r="FG105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105" s="134"/>
      <c r="FI105" s="134"/>
      <c r="FJ105" s="134"/>
      <c r="FK105" s="134"/>
      <c r="FL105" s="134"/>
      <c r="FM105" s="134"/>
      <c r="FN105" s="134"/>
      <c r="FO105" s="134"/>
      <c r="FP105" s="134"/>
    </row>
    <row r="106" spans="1:172">
      <c r="A106" s="7" t="s">
        <v>203</v>
      </c>
      <c r="B106" s="7" t="s">
        <v>204</v>
      </c>
      <c r="C106" s="7" t="s">
        <v>709</v>
      </c>
      <c r="D106" s="7" t="s">
        <v>720</v>
      </c>
      <c r="E106" s="7" t="s">
        <v>863</v>
      </c>
      <c r="F106" s="19" t="s">
        <v>814</v>
      </c>
      <c r="G106" s="19" t="s">
        <v>873</v>
      </c>
      <c r="H106" s="19">
        <f>VLOOKUP(Tabla_Buffers_Agroinsumos[[#This Row],[CODIGO ]],TABLACONSOLIDADA[[Codigo]:[PV]],6,0)</f>
        <v>0</v>
      </c>
      <c r="I106" s="19">
        <f>VLOOKUP(Tabla_Buffers_Agroinsumos[[#This Row],[CODIGO ]],TABLACONSOLIDADA[[Codigo]:[PV]],5,0)</f>
        <v>1.32</v>
      </c>
      <c r="J106" s="19">
        <v>12</v>
      </c>
      <c r="K106" s="19">
        <v>14</v>
      </c>
      <c r="L106" s="19">
        <f>IFERROR(Tabla_Buffers_Agroinsumos[[#This Row],[BUFFER CENTRAL]]/((Tabla_Buffers_Agroinsumos[[#This Row],[TIEMPO REPOSICION ]]/Tabla_Buffers_Agroinsumos[[#This Row],[FRECUENCIA]])+1),0)</f>
        <v>0</v>
      </c>
      <c r="M106" s="19">
        <f t="array" ref="M106">IFERROR(INDEX(TABLACONSOLIDADA[Buff Act],MATCH("AGROINSUMOSMATERIAPRIMA"&amp;Tabla_Buffers_Agroinsumos[[#This Row],[CODIGO ]],TABLACONSOLIDADA[Bodega]&amp;TABLACONSOLIDADA[Codigo],0)),"")</f>
        <v>3000</v>
      </c>
      <c r="N106" s="157">
        <f t="array" ref="N106">IFERROR(INDEX(TABLACONSOLIDADA[Inv Fís Act],MATCH("AGROINSUMOSMATERIAPRIMA"&amp;Tabla_Buffers_Agroinsumos[[#This Row],[CODIGO ]],TABLACONSOLIDADA[Bodega]&amp;TABLACONSOLIDADA[Codigo],0)),"")</f>
        <v>66</v>
      </c>
      <c r="O106" s="157">
        <f t="array" ref="O10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4066</v>
      </c>
      <c r="P10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06" s="19">
        <f>IFERROR(SUM(Tabla_Buffers_Agroinsumos[[#This Row],[MP-C]:[MP-VL]]),"")</f>
        <v>0</v>
      </c>
      <c r="R106" s="92">
        <f>IFERROR(Tabla_Buffers_Agroinsumos[[#This Row],[INV FIS MATERIA PRIMA]]-Tabla_Buffers_Agroinsumos[[#This Row],[BUFFER MATERIA PRIMA]],"")</f>
        <v>-2934</v>
      </c>
      <c r="S10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-2934</v>
      </c>
      <c r="T106" s="19"/>
      <c r="U106" s="19"/>
      <c r="V106" s="19"/>
      <c r="W106" s="19"/>
      <c r="X106" s="19"/>
      <c r="Y106" s="19"/>
      <c r="Z106" s="19"/>
      <c r="AA106" s="19"/>
      <c r="AB106" s="19"/>
      <c r="AC106" s="152" t="str">
        <f t="array" ref="AC106">IFERROR(INDEX(TABLACONSOLIDADA[Buff Act],MATCH("AGROINSUMOSCENTRAL"&amp;Tabla_Buffers_Agroinsumos[[#This Row],[CODIGO ]],TABLACONSOLIDADA[Bodega]&amp;TABLACONSOLIDADA[Codigo],0)),"")</f>
        <v/>
      </c>
      <c r="AD106" s="157" t="str">
        <f t="array" ref="AD106">IFERROR(INDEX(TABLACONSOLIDADA[Inv Fís Act],MATCH("AGROINSUMOSCENTRAL"&amp;Tabla_Buffers_Agroinsumos[[#This Row],[CODIGO ]],TABLACONSOLIDADA[Bodega]&amp;TABLACONSOLIDADA[Codigo],0)),"")</f>
        <v/>
      </c>
      <c r="AE106" s="157" t="str">
        <f t="array" ref="AE10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0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06" s="91">
        <f>IFERROR(SUM(Tabla_Buffers_Agroinsumos[[#This Row],[C-MP]:[C-VL]]),"")</f>
        <v>0</v>
      </c>
      <c r="AH106" s="92" t="str">
        <f>IFERROR(Tabla_Buffers_Agroinsumos[[#This Row],[INV FIS CENTRAL]]-Tabla_Buffers_Agroinsumos[[#This Row],[BUFFER CENTRAL]],"")</f>
        <v/>
      </c>
      <c r="AI10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06" s="134"/>
      <c r="AK106" s="134"/>
      <c r="AL106" s="134"/>
      <c r="AM106" s="134"/>
      <c r="AN106" s="134"/>
      <c r="AO106" s="134"/>
      <c r="AP106" s="134"/>
      <c r="AQ106" s="134"/>
      <c r="AR106" s="134"/>
      <c r="AS106" s="134" t="str">
        <f t="array" ref="AS106">IFERROR(INDEX(TABLACONSOLIDADA[Buff Act],MATCH("AGROINSUMOScentralPROPIA"&amp;Tabla_Buffers_Agroinsumos[[#This Row],[CODIGO ]],TABLACONSOLIDADA[Bodega]&amp;TABLACONSOLIDADA[Codigo],0)),"")</f>
        <v/>
      </c>
      <c r="AT106" s="157" t="str">
        <f t="array" ref="AT106">IFERROR(INDEX(TABLACONSOLIDADA[Inv Fís Act],MATCH("AGROINSUMOScentralPROPIA"&amp;Tabla_Buffers_Agroinsumos[[#This Row],[CODIGO ]],TABLACONSOLIDADA[Bodega]&amp;TABLACONSOLIDADA[Codigo],0)),"")</f>
        <v/>
      </c>
      <c r="AU106" s="157" t="str">
        <f t="array" ref="AU10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0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06" s="134">
        <f>IFERROR(SUM(Tabla_Buffers_Agroinsumos[[#This Row],[P-MP]:[P-VL]]),"")</f>
        <v>0</v>
      </c>
      <c r="AX106" s="92" t="str">
        <f>IFERROR(Tabla_Buffers_Agroinsumos[[#This Row],[INV FIS PROPIA]]-Tabla_Buffers_Agroinsumos[[#This Row],[BUFFER PROPIA]],"")</f>
        <v/>
      </c>
      <c r="AY10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06" s="134"/>
      <c r="BA106" s="134"/>
      <c r="BB106" s="134"/>
      <c r="BC106" s="134"/>
      <c r="BD106" s="134"/>
      <c r="BE106" s="134"/>
      <c r="BF106" s="134"/>
      <c r="BG106" s="134"/>
      <c r="BH106" s="134"/>
      <c r="BI106" s="91" t="str">
        <f t="array" ref="BI106">IFERROR(INDEX(TABLACONSOLIDADA[Buff Act],MATCH("AGROINSUMOSSTODOMINGO"&amp;Tabla_Buffers_Agroinsumos[[#This Row],[CODIGO ]],TABLACONSOLIDADA[Bodega]&amp;TABLACONSOLIDADA[Codigo],0)),"")</f>
        <v/>
      </c>
      <c r="BJ106" s="157" t="str">
        <f t="array" ref="BJ106">IFERROR(INDEX(TABLACONSOLIDADA[Inv Fís Act],MATCH("AGROINSUMOSSTODOMINGO"&amp;Tabla_Buffers_Agroinsumos[[#This Row],[CODIGO ]],TABLACONSOLIDADA[Bodega]&amp;TABLACONSOLIDADA[Codigo],0)),"")</f>
        <v/>
      </c>
      <c r="BK106" s="157" t="str">
        <f t="array" ref="BK10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0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06" s="91">
        <f>IFERROR(SUM(Tabla_Buffers_Agroinsumos[[#This Row],[SD-MP]:[SD-VL]]),"")</f>
        <v>0</v>
      </c>
      <c r="BN106" s="92"/>
      <c r="BO106" s="92"/>
      <c r="BP106" s="134"/>
      <c r="BQ106" s="134"/>
      <c r="BR106" s="134"/>
      <c r="BS106" s="134"/>
      <c r="BT106" s="134"/>
      <c r="BU106" s="134"/>
      <c r="BV106" s="134"/>
      <c r="BW106" s="134"/>
      <c r="BX106" s="134"/>
      <c r="BY106" s="134" t="str">
        <f t="array" ref="BY106">IFERROR(INDEX(TABLACONSOLIDADA[Buff Act],MATCH("AGROINSUMOSMONCAYOLOPEZ"&amp;Tabla_Buffers_Agroinsumos[[#This Row],[CODIGO ]],TABLACONSOLIDADA[Bodega]&amp;TABLACONSOLIDADA[Codigo],0)),"")</f>
        <v/>
      </c>
      <c r="BZ106" s="157" t="str">
        <f t="array" ref="BZ106">IFERROR(INDEX(TABLACONSOLIDADA[Inv Fís Act],MATCH("AGROINSUMOSMONCAYOLOPEZ"&amp;Tabla_Buffers_Agroinsumos[[#This Row],[CODIGO ]],TABLACONSOLIDADA[Bodega]&amp;TABLACONSOLIDADA[Codigo],0)),"")</f>
        <v/>
      </c>
      <c r="CA106" s="157" t="str">
        <f t="array" ref="CA10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0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06" s="134">
        <f>IFERROR(SUM(Tabla_Buffers_Agroinsumos[[#This Row],[ML-MP]:[ML-VL]]),"")</f>
        <v>0</v>
      </c>
      <c r="CD106" s="92" t="str">
        <f>IFERROR(Tabla_Buffers_Agroinsumos[[#This Row],[INV FIS ML]]-Tabla_Buffers_Agroinsumos[[#This Row],[BUFFER ML]],"")</f>
        <v/>
      </c>
      <c r="CE10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06" s="134"/>
      <c r="CG106" s="134"/>
      <c r="CH106" s="134"/>
      <c r="CI106" s="134"/>
      <c r="CJ106" s="134"/>
      <c r="CK106" s="134"/>
      <c r="CL106" s="134"/>
      <c r="CM106" s="134"/>
      <c r="CN106" s="134"/>
      <c r="CO106" s="134" t="str">
        <f t="array" ref="CO106">IFERROR(INDEX(TABLACONSOLIDADA[Buff Act],MATCH("AGROINSUMOSAGROHERMANOSLEON"&amp;Tabla_Buffers_Agroinsumos[[#This Row],[CODIGO ]],TABLACONSOLIDADA[Bodega]&amp;TABLACONSOLIDADA[Codigo],0)),"")</f>
        <v/>
      </c>
      <c r="CP106" s="157" t="str">
        <f t="array" ref="CP106">IFERROR(INDEX(TABLACONSOLIDADA[Inv Fís Act],MATCH("AGROINSUMOSAGROHERMANOSLEON"&amp;Tabla_Buffers_Agroinsumos[[#This Row],[CODIGO ]],TABLACONSOLIDADA[Bodega]&amp;TABLACONSOLIDADA[Codigo],0)),"")</f>
        <v/>
      </c>
      <c r="CQ106" s="157" t="str">
        <f t="array" ref="CQ10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0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06" s="134">
        <f>IFERROR(SUM(Tabla_Buffers_Agroinsumos[[#This Row],[AL-MP]:[AL-VL]]),"")</f>
        <v>0</v>
      </c>
      <c r="CT106" s="92" t="str">
        <f>IFERROR(Tabla_Buffers_Agroinsumos[[#This Row],[INV FIS AL]]-Tabla_Buffers_Agroinsumos[[#This Row],[BUFFER AL]],"")</f>
        <v/>
      </c>
      <c r="CU10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06" s="134"/>
      <c r="CW106" s="134"/>
      <c r="CX106" s="134"/>
      <c r="CY106" s="134"/>
      <c r="CZ106" s="134"/>
      <c r="DA106" s="134"/>
      <c r="DB106" s="134"/>
      <c r="DC106" s="134"/>
      <c r="DD106" s="134"/>
      <c r="DE106" s="134" t="str">
        <f t="array" ref="DE106">IFERROR(INDEX(TABLACONSOLIDADA[Buff Act],MATCH("AGROINSUMOSAGRONUEVO"&amp;Tabla_Buffers_Agroinsumos[[#This Row],[CODIGO ]],TABLACONSOLIDADA[Bodega]&amp;TABLACONSOLIDADA[Codigo],0)),"")</f>
        <v/>
      </c>
      <c r="DF106" s="157" t="str">
        <f t="array" ref="DF106">IFERROR(INDEX(TABLACONSOLIDADA[Inv Fís Act],MATCH("AGROINSUMOSAGRONUEVO"&amp;Tabla_Buffers_Agroinsumos[[#This Row],[CODIGO ]],TABLACONSOLIDADA[Bodega]&amp;TABLACONSOLIDADA[Codigo],0)),"")</f>
        <v/>
      </c>
      <c r="DG106" s="157" t="str">
        <f t="array" ref="DG10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0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06" s="134">
        <f>IFERROR(SUM(Tabla_Buffers_Agroinsumos[[#This Row],[AN-MP]:[AN-VL]]),"")</f>
        <v>0</v>
      </c>
      <c r="DJ106" s="92" t="str">
        <f>IFERROR(Tabla_Buffers_Agroinsumos[[#This Row],[INV FIS AN]]-Tabla_Buffers_Agroinsumos[[#This Row],[BUFFER AN]],"")</f>
        <v/>
      </c>
      <c r="DK10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06" s="134"/>
      <c r="DM106" s="134"/>
      <c r="DN106" s="134"/>
      <c r="DO106" s="134"/>
      <c r="DP106" s="134"/>
      <c r="DQ106" s="134"/>
      <c r="DR106" s="134"/>
      <c r="DS106" s="134"/>
      <c r="DT106" s="134"/>
      <c r="DU106" s="134" t="str">
        <f t="array" ref="DU106">IFERROR(INDEX(TABLACONSOLIDADA[Buff Act],MATCH("AGROINSUMOSAGROQUIMICOSSUR"&amp;Tabla_Buffers_Agroinsumos[[#This Row],[CODIGO ]],TABLACONSOLIDADA[Bodega]&amp;TABLACONSOLIDADA[Codigo],0)),"")</f>
        <v/>
      </c>
      <c r="DV106" s="157" t="str">
        <f t="array" ref="DV106">IFERROR(INDEX(TABLACONSOLIDADA[Inv Fís Act],MATCH("AGROINSUMOSAGROQUIMICOSSUR"&amp;Tabla_Buffers_Agroinsumos[[#This Row],[CODIGO ]],TABLACONSOLIDADA[Bodega]&amp;TABLACONSOLIDADA[Codigo],0)),"")</f>
        <v/>
      </c>
      <c r="DW106" s="157" t="str">
        <f t="array" ref="DW10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0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06" s="134">
        <f>IFERROR(SUM(Tabla_Buffers_Agroinsumos[[#This Row],[AS-MP]:[AS-VL]]),"")</f>
        <v>0</v>
      </c>
      <c r="DZ106" s="92" t="str">
        <f>IFERROR(Tabla_Buffers_Agroinsumos[[#This Row],[INV FIS AS]]-Tabla_Buffers_Agroinsumos[[#This Row],[BUFFER AS]],"")</f>
        <v/>
      </c>
      <c r="EA10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06" s="134"/>
      <c r="EC106" s="134"/>
      <c r="ED106" s="134"/>
      <c r="EE106" s="134"/>
      <c r="EF106" s="134"/>
      <c r="EG106" s="134"/>
      <c r="EH106" s="134"/>
      <c r="EI106" s="134"/>
      <c r="EJ106" s="134"/>
      <c r="EK106" s="134" t="str">
        <f t="array" ref="EK106">IFERROR(INDEX(TABLACONSOLIDADA[Buff Act],MATCH("AGROINSUMOSLAFINCA"&amp;Tabla_Buffers_Agroinsumos[[#This Row],[CODIGO ]],TABLACONSOLIDADA[Bodega]&amp;TABLACONSOLIDADA[Codigo],0)),"")</f>
        <v/>
      </c>
      <c r="EL106" s="157" t="str">
        <f t="array" ref="EL106">IFERROR(INDEX(TABLACONSOLIDADA[Inv Fís Act],MATCH("AGROINSUMOSLAFINCA"&amp;Tabla_Buffers_Agroinsumos[[#This Row],[CODIGO ]],TABLACONSOLIDADA[Bodega]&amp;TABLACONSOLIDADA[Codigo],0)),"")</f>
        <v/>
      </c>
      <c r="EM106" s="157" t="str">
        <f t="array" ref="EM10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0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06" s="134">
        <f>IFERROR(SUM(Tabla_Buffers_Agroinsumos[[#This Row],[LF-MP]:[LF-VL]]),"")</f>
        <v>0</v>
      </c>
      <c r="EP106" s="92" t="str">
        <f>IFERROR(Tabla_Buffers_Agroinsumos[[#This Row],[INV FIS LF]]-Tabla_Buffers_Agroinsumos[[#This Row],[BUFFER LF]],"")</f>
        <v/>
      </c>
      <c r="EQ10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06" s="134"/>
      <c r="ES106" s="134"/>
      <c r="ET106" s="134"/>
      <c r="EU106" s="134"/>
      <c r="EV106" s="134"/>
      <c r="EW106" s="134"/>
      <c r="EX106" s="134"/>
      <c r="EY106" s="134"/>
      <c r="EZ106" s="134"/>
      <c r="FA106" s="134" t="str">
        <f t="array" ref="FA106">IFERROR(INDEX(TABLACONSOLIDADA[Buff Act],MATCH("AGROINSUMOSVERONICALEDESMA"&amp;Tabla_Buffers_Agroinsumos[[#This Row],[CODIGO ]],TABLACONSOLIDADA[Bodega]&amp;TABLACONSOLIDADA[Codigo],0)),"")</f>
        <v/>
      </c>
      <c r="FB106" s="157" t="str">
        <f t="array" ref="FB106">IFERROR(INDEX(TABLACONSOLIDADA[Inv Fís Act],MATCH("AGROINSUMOSVERONICALEDESMA"&amp;Tabla_Buffers_Agroinsumos[[#This Row],[CODIGO ]],TABLACONSOLIDADA[Bodega]&amp;TABLACONSOLIDADA[Codigo],0)),"")</f>
        <v/>
      </c>
      <c r="FC106" s="157" t="str">
        <f t="array" ref="FC10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0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06" s="134">
        <f>IFERROR(SUM(Tabla_Buffers_Agroinsumos[[#This Row],[VL-MP]:[VL-LF]]),"")</f>
        <v>0</v>
      </c>
      <c r="FF106" s="92" t="str">
        <f>IFERROR(Tabla_Buffers_Agroinsumos[[#This Row],[INV FIS VL]]-Tabla_Buffers_Agroinsumos[[#This Row],[BUFFER VL]],"")</f>
        <v/>
      </c>
      <c r="FG10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06" s="134"/>
      <c r="FI106" s="134"/>
      <c r="FJ106" s="134"/>
      <c r="FK106" s="134"/>
      <c r="FL106" s="134"/>
      <c r="FM106" s="134"/>
      <c r="FN106" s="134"/>
      <c r="FO106" s="134"/>
      <c r="FP106" s="134"/>
    </row>
    <row r="107" spans="1:172">
      <c r="A107" s="7" t="s">
        <v>837</v>
      </c>
      <c r="B107" s="7" t="s">
        <v>843</v>
      </c>
      <c r="C107" s="7" t="s">
        <v>709</v>
      </c>
      <c r="D107" s="7" t="s">
        <v>720</v>
      </c>
      <c r="E107" s="7" t="s">
        <v>863</v>
      </c>
      <c r="F107" s="19" t="s">
        <v>814</v>
      </c>
      <c r="G107" s="19" t="s">
        <v>873</v>
      </c>
      <c r="H107" s="19">
        <f>VLOOKUP(Tabla_Buffers_Agroinsumos[[#This Row],[CODIGO ]],TABLACONSOLIDADA[[Codigo]:[PV]],6,0)</f>
        <v>0</v>
      </c>
      <c r="I107" s="19">
        <f>VLOOKUP(Tabla_Buffers_Agroinsumos[[#This Row],[CODIGO ]],TABLACONSOLIDADA[[Codigo]:[PV]],5,0)</f>
        <v>214.66</v>
      </c>
      <c r="J107" s="19">
        <v>12</v>
      </c>
      <c r="K107" s="19">
        <v>14</v>
      </c>
      <c r="L107" s="19">
        <f>IFERROR(Tabla_Buffers_Agroinsumos[[#This Row],[BUFFER CENTRAL]]/((Tabla_Buffers_Agroinsumos[[#This Row],[TIEMPO REPOSICION ]]/Tabla_Buffers_Agroinsumos[[#This Row],[FRECUENCIA]])+1),0)</f>
        <v>0</v>
      </c>
      <c r="M107" s="19">
        <f t="array" ref="M107">IFERROR(INDEX(TABLACONSOLIDADA[Buff Act],MATCH("AGROINSUMOSMATERIAPRIMA"&amp;Tabla_Buffers_Agroinsumos[[#This Row],[CODIGO ]],TABLACONSOLIDADA[Bodega]&amp;TABLACONSOLIDADA[Codigo],0)),"")</f>
        <v>50</v>
      </c>
      <c r="N107" s="157">
        <f t="array" ref="N107">IFERROR(INDEX(TABLACONSOLIDADA[Inv Fís Act],MATCH("AGROINSUMOSMATERIAPRIMA"&amp;Tabla_Buffers_Agroinsumos[[#This Row],[CODIGO ]],TABLACONSOLIDADA[Bodega]&amp;TABLACONSOLIDADA[Codigo],0)),"")</f>
        <v>50.837440000000001</v>
      </c>
      <c r="O107" s="157">
        <f t="array" ref="O10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50.837440000000001</v>
      </c>
      <c r="P10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07" s="19">
        <f>IFERROR(SUM(Tabla_Buffers_Agroinsumos[[#This Row],[MP-C]:[MP-VL]]),"")</f>
        <v>0</v>
      </c>
      <c r="R107" s="92">
        <f>IFERROR(Tabla_Buffers_Agroinsumos[[#This Row],[INV FIS MATERIA PRIMA]]-Tabla_Buffers_Agroinsumos[[#This Row],[BUFFER MATERIA PRIMA]],"")</f>
        <v>0.83744000000000085</v>
      </c>
      <c r="S10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0.83744000000000085</v>
      </c>
      <c r="T107" s="19"/>
      <c r="U107" s="19"/>
      <c r="V107" s="19"/>
      <c r="W107" s="19"/>
      <c r="X107" s="19"/>
      <c r="Y107" s="19"/>
      <c r="Z107" s="19"/>
      <c r="AA107" s="19"/>
      <c r="AB107" s="19"/>
      <c r="AC107" s="152" t="str">
        <f t="array" ref="AC107">IFERROR(INDEX(TABLACONSOLIDADA[Buff Act],MATCH("AGROINSUMOSCENTRAL"&amp;Tabla_Buffers_Agroinsumos[[#This Row],[CODIGO ]],TABLACONSOLIDADA[Bodega]&amp;TABLACONSOLIDADA[Codigo],0)),"")</f>
        <v/>
      </c>
      <c r="AD107" s="157" t="str">
        <f t="array" ref="AD107">IFERROR(INDEX(TABLACONSOLIDADA[Inv Fís Act],MATCH("AGROINSUMOSCENTRAL"&amp;Tabla_Buffers_Agroinsumos[[#This Row],[CODIGO ]],TABLACONSOLIDADA[Bodega]&amp;TABLACONSOLIDADA[Codigo],0)),"")</f>
        <v/>
      </c>
      <c r="AE107" s="157" t="str">
        <f t="array" ref="AE10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0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07" s="91">
        <f>IFERROR(SUM(Tabla_Buffers_Agroinsumos[[#This Row],[C-MP]:[C-VL]]),"")</f>
        <v>0</v>
      </c>
      <c r="AH107" s="92" t="str">
        <f>IFERROR(Tabla_Buffers_Agroinsumos[[#This Row],[INV FIS CENTRAL]]-Tabla_Buffers_Agroinsumos[[#This Row],[BUFFER CENTRAL]],"")</f>
        <v/>
      </c>
      <c r="AI10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07" s="134"/>
      <c r="AK107" s="134"/>
      <c r="AL107" s="134"/>
      <c r="AM107" s="134"/>
      <c r="AN107" s="134"/>
      <c r="AO107" s="134"/>
      <c r="AP107" s="134"/>
      <c r="AQ107" s="134"/>
      <c r="AR107" s="134"/>
      <c r="AS107" s="134" t="str">
        <f t="array" ref="AS107">IFERROR(INDEX(TABLACONSOLIDADA[Buff Act],MATCH("AGROINSUMOScentralPROPIA"&amp;Tabla_Buffers_Agroinsumos[[#This Row],[CODIGO ]],TABLACONSOLIDADA[Bodega]&amp;TABLACONSOLIDADA[Codigo],0)),"")</f>
        <v/>
      </c>
      <c r="AT107" s="157" t="str">
        <f t="array" ref="AT107">IFERROR(INDEX(TABLACONSOLIDADA[Inv Fís Act],MATCH("AGROINSUMOScentralPROPIA"&amp;Tabla_Buffers_Agroinsumos[[#This Row],[CODIGO ]],TABLACONSOLIDADA[Bodega]&amp;TABLACONSOLIDADA[Codigo],0)),"")</f>
        <v/>
      </c>
      <c r="AU107" s="157" t="str">
        <f t="array" ref="AU10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0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07" s="134">
        <f>IFERROR(SUM(Tabla_Buffers_Agroinsumos[[#This Row],[P-MP]:[P-VL]]),"")</f>
        <v>0</v>
      </c>
      <c r="AX107" s="92" t="str">
        <f>IFERROR(Tabla_Buffers_Agroinsumos[[#This Row],[INV FIS PROPIA]]-Tabla_Buffers_Agroinsumos[[#This Row],[BUFFER PROPIA]],"")</f>
        <v/>
      </c>
      <c r="AY10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07" s="134"/>
      <c r="BA107" s="134"/>
      <c r="BB107" s="134"/>
      <c r="BC107" s="134"/>
      <c r="BD107" s="134"/>
      <c r="BE107" s="134"/>
      <c r="BF107" s="134"/>
      <c r="BG107" s="134"/>
      <c r="BH107" s="134"/>
      <c r="BI107" s="91" t="str">
        <f t="array" ref="BI107">IFERROR(INDEX(TABLACONSOLIDADA[Buff Act],MATCH("AGROINSUMOSSTODOMINGO"&amp;Tabla_Buffers_Agroinsumos[[#This Row],[CODIGO ]],TABLACONSOLIDADA[Bodega]&amp;TABLACONSOLIDADA[Codigo],0)),"")</f>
        <v/>
      </c>
      <c r="BJ107" s="157" t="str">
        <f t="array" ref="BJ107">IFERROR(INDEX(TABLACONSOLIDADA[Inv Fís Act],MATCH("AGROINSUMOSSTODOMINGO"&amp;Tabla_Buffers_Agroinsumos[[#This Row],[CODIGO ]],TABLACONSOLIDADA[Bodega]&amp;TABLACONSOLIDADA[Codigo],0)),"")</f>
        <v/>
      </c>
      <c r="BK107" s="157" t="str">
        <f t="array" ref="BK10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0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07" s="91">
        <f>IFERROR(SUM(Tabla_Buffers_Agroinsumos[[#This Row],[SD-MP]:[SD-VL]]),"")</f>
        <v>0</v>
      </c>
      <c r="BN107" s="92"/>
      <c r="BO107" s="92"/>
      <c r="BP107" s="134"/>
      <c r="BQ107" s="134"/>
      <c r="BR107" s="134"/>
      <c r="BS107" s="134"/>
      <c r="BT107" s="134"/>
      <c r="BU107" s="134"/>
      <c r="BV107" s="134"/>
      <c r="BW107" s="134"/>
      <c r="BX107" s="134"/>
      <c r="BY107" s="134" t="str">
        <f t="array" ref="BY107">IFERROR(INDEX(TABLACONSOLIDADA[Buff Act],MATCH("AGROINSUMOSMONCAYOLOPEZ"&amp;Tabla_Buffers_Agroinsumos[[#This Row],[CODIGO ]],TABLACONSOLIDADA[Bodega]&amp;TABLACONSOLIDADA[Codigo],0)),"")</f>
        <v/>
      </c>
      <c r="BZ107" s="157" t="str">
        <f t="array" ref="BZ107">IFERROR(INDEX(TABLACONSOLIDADA[Inv Fís Act],MATCH("AGROINSUMOSMONCAYOLOPEZ"&amp;Tabla_Buffers_Agroinsumos[[#This Row],[CODIGO ]],TABLACONSOLIDADA[Bodega]&amp;TABLACONSOLIDADA[Codigo],0)),"")</f>
        <v/>
      </c>
      <c r="CA107" s="157" t="str">
        <f t="array" ref="CA10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0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07" s="134">
        <f>IFERROR(SUM(Tabla_Buffers_Agroinsumos[[#This Row],[ML-MP]:[ML-VL]]),"")</f>
        <v>0</v>
      </c>
      <c r="CD107" s="92" t="str">
        <f>IFERROR(Tabla_Buffers_Agroinsumos[[#This Row],[INV FIS ML]]-Tabla_Buffers_Agroinsumos[[#This Row],[BUFFER ML]],"")</f>
        <v/>
      </c>
      <c r="CE10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07" s="134"/>
      <c r="CG107" s="134"/>
      <c r="CH107" s="134"/>
      <c r="CI107" s="134"/>
      <c r="CJ107" s="134"/>
      <c r="CK107" s="134"/>
      <c r="CL107" s="134"/>
      <c r="CM107" s="134"/>
      <c r="CN107" s="134"/>
      <c r="CO107" s="134" t="str">
        <f t="array" ref="CO107">IFERROR(INDEX(TABLACONSOLIDADA[Buff Act],MATCH("AGROINSUMOSAGROHERMANOSLEON"&amp;Tabla_Buffers_Agroinsumos[[#This Row],[CODIGO ]],TABLACONSOLIDADA[Bodega]&amp;TABLACONSOLIDADA[Codigo],0)),"")</f>
        <v/>
      </c>
      <c r="CP107" s="157" t="str">
        <f t="array" ref="CP107">IFERROR(INDEX(TABLACONSOLIDADA[Inv Fís Act],MATCH("AGROINSUMOSAGROHERMANOSLEON"&amp;Tabla_Buffers_Agroinsumos[[#This Row],[CODIGO ]],TABLACONSOLIDADA[Bodega]&amp;TABLACONSOLIDADA[Codigo],0)),"")</f>
        <v/>
      </c>
      <c r="CQ107" s="157" t="str">
        <f t="array" ref="CQ10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0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07" s="134">
        <f>IFERROR(SUM(Tabla_Buffers_Agroinsumos[[#This Row],[AL-MP]:[AL-VL]]),"")</f>
        <v>0</v>
      </c>
      <c r="CT107" s="92" t="str">
        <f>IFERROR(Tabla_Buffers_Agroinsumos[[#This Row],[INV FIS AL]]-Tabla_Buffers_Agroinsumos[[#This Row],[BUFFER AL]],"")</f>
        <v/>
      </c>
      <c r="CU10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07" s="134"/>
      <c r="CW107" s="134"/>
      <c r="CX107" s="134"/>
      <c r="CY107" s="134"/>
      <c r="CZ107" s="134"/>
      <c r="DA107" s="134"/>
      <c r="DB107" s="134"/>
      <c r="DC107" s="134"/>
      <c r="DD107" s="134"/>
      <c r="DE107" s="134" t="str">
        <f t="array" ref="DE107">IFERROR(INDEX(TABLACONSOLIDADA[Buff Act],MATCH("AGROINSUMOSAGRONUEVO"&amp;Tabla_Buffers_Agroinsumos[[#This Row],[CODIGO ]],TABLACONSOLIDADA[Bodega]&amp;TABLACONSOLIDADA[Codigo],0)),"")</f>
        <v/>
      </c>
      <c r="DF107" s="157" t="str">
        <f t="array" ref="DF107">IFERROR(INDEX(TABLACONSOLIDADA[Inv Fís Act],MATCH("AGROINSUMOSAGRONUEVO"&amp;Tabla_Buffers_Agroinsumos[[#This Row],[CODIGO ]],TABLACONSOLIDADA[Bodega]&amp;TABLACONSOLIDADA[Codigo],0)),"")</f>
        <v/>
      </c>
      <c r="DG107" s="157" t="str">
        <f t="array" ref="DG10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0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07" s="134">
        <f>IFERROR(SUM(Tabla_Buffers_Agroinsumos[[#This Row],[AN-MP]:[AN-VL]]),"")</f>
        <v>0</v>
      </c>
      <c r="DJ107" s="92" t="str">
        <f>IFERROR(Tabla_Buffers_Agroinsumos[[#This Row],[INV FIS AN]]-Tabla_Buffers_Agroinsumos[[#This Row],[BUFFER AN]],"")</f>
        <v/>
      </c>
      <c r="DK10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07" s="134"/>
      <c r="DM107" s="134"/>
      <c r="DN107" s="134"/>
      <c r="DO107" s="134"/>
      <c r="DP107" s="134"/>
      <c r="DQ107" s="134"/>
      <c r="DR107" s="134"/>
      <c r="DS107" s="134"/>
      <c r="DT107" s="134"/>
      <c r="DU107" s="134" t="str">
        <f t="array" ref="DU107">IFERROR(INDEX(TABLACONSOLIDADA[Buff Act],MATCH("AGROINSUMOSAGROQUIMICOSSUR"&amp;Tabla_Buffers_Agroinsumos[[#This Row],[CODIGO ]],TABLACONSOLIDADA[Bodega]&amp;TABLACONSOLIDADA[Codigo],0)),"")</f>
        <v/>
      </c>
      <c r="DV107" s="157" t="str">
        <f t="array" ref="DV107">IFERROR(INDEX(TABLACONSOLIDADA[Inv Fís Act],MATCH("AGROINSUMOSAGROQUIMICOSSUR"&amp;Tabla_Buffers_Agroinsumos[[#This Row],[CODIGO ]],TABLACONSOLIDADA[Bodega]&amp;TABLACONSOLIDADA[Codigo],0)),"")</f>
        <v/>
      </c>
      <c r="DW107" s="157" t="str">
        <f t="array" ref="DW10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0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07" s="134">
        <f>IFERROR(SUM(Tabla_Buffers_Agroinsumos[[#This Row],[AS-MP]:[AS-VL]]),"")</f>
        <v>0</v>
      </c>
      <c r="DZ107" s="92" t="str">
        <f>IFERROR(Tabla_Buffers_Agroinsumos[[#This Row],[INV FIS AS]]-Tabla_Buffers_Agroinsumos[[#This Row],[BUFFER AS]],"")</f>
        <v/>
      </c>
      <c r="EA10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07" s="134"/>
      <c r="EC107" s="134"/>
      <c r="ED107" s="134"/>
      <c r="EE107" s="134"/>
      <c r="EF107" s="134"/>
      <c r="EG107" s="134"/>
      <c r="EH107" s="134"/>
      <c r="EI107" s="134"/>
      <c r="EJ107" s="134"/>
      <c r="EK107" s="134" t="str">
        <f t="array" ref="EK107">IFERROR(INDEX(TABLACONSOLIDADA[Buff Act],MATCH("AGROINSUMOSLAFINCA"&amp;Tabla_Buffers_Agroinsumos[[#This Row],[CODIGO ]],TABLACONSOLIDADA[Bodega]&amp;TABLACONSOLIDADA[Codigo],0)),"")</f>
        <v/>
      </c>
      <c r="EL107" s="157" t="str">
        <f t="array" ref="EL107">IFERROR(INDEX(TABLACONSOLIDADA[Inv Fís Act],MATCH("AGROINSUMOSLAFINCA"&amp;Tabla_Buffers_Agroinsumos[[#This Row],[CODIGO ]],TABLACONSOLIDADA[Bodega]&amp;TABLACONSOLIDADA[Codigo],0)),"")</f>
        <v/>
      </c>
      <c r="EM107" s="157" t="str">
        <f t="array" ref="EM10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0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07" s="134">
        <f>IFERROR(SUM(Tabla_Buffers_Agroinsumos[[#This Row],[LF-MP]:[LF-VL]]),"")</f>
        <v>0</v>
      </c>
      <c r="EP107" s="92" t="str">
        <f>IFERROR(Tabla_Buffers_Agroinsumos[[#This Row],[INV FIS LF]]-Tabla_Buffers_Agroinsumos[[#This Row],[BUFFER LF]],"")</f>
        <v/>
      </c>
      <c r="EQ10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07" s="134"/>
      <c r="ES107" s="134"/>
      <c r="ET107" s="134"/>
      <c r="EU107" s="134"/>
      <c r="EV107" s="134"/>
      <c r="EW107" s="134"/>
      <c r="EX107" s="134"/>
      <c r="EY107" s="134"/>
      <c r="EZ107" s="134"/>
      <c r="FA107" s="134" t="str">
        <f t="array" ref="FA107">IFERROR(INDEX(TABLACONSOLIDADA[Buff Act],MATCH("AGROINSUMOSVERONICALEDESMA"&amp;Tabla_Buffers_Agroinsumos[[#This Row],[CODIGO ]],TABLACONSOLIDADA[Bodega]&amp;TABLACONSOLIDADA[Codigo],0)),"")</f>
        <v/>
      </c>
      <c r="FB107" s="157" t="str">
        <f t="array" ref="FB107">IFERROR(INDEX(TABLACONSOLIDADA[Inv Fís Act],MATCH("AGROINSUMOSVERONICALEDESMA"&amp;Tabla_Buffers_Agroinsumos[[#This Row],[CODIGO ]],TABLACONSOLIDADA[Bodega]&amp;TABLACONSOLIDADA[Codigo],0)),"")</f>
        <v/>
      </c>
      <c r="FC107" s="157" t="str">
        <f t="array" ref="FC10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0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07" s="134">
        <f>IFERROR(SUM(Tabla_Buffers_Agroinsumos[[#This Row],[VL-MP]:[VL-LF]]),"")</f>
        <v>0</v>
      </c>
      <c r="FF107" s="92" t="str">
        <f>IFERROR(Tabla_Buffers_Agroinsumos[[#This Row],[INV FIS VL]]-Tabla_Buffers_Agroinsumos[[#This Row],[BUFFER VL]],"")</f>
        <v/>
      </c>
      <c r="FG10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07" s="134"/>
      <c r="FI107" s="134"/>
      <c r="FJ107" s="134"/>
      <c r="FK107" s="134"/>
      <c r="FL107" s="134"/>
      <c r="FM107" s="134"/>
      <c r="FN107" s="134"/>
      <c r="FO107" s="134"/>
      <c r="FP107" s="134"/>
    </row>
    <row r="108" spans="1:172">
      <c r="A108" s="7" t="s">
        <v>205</v>
      </c>
      <c r="B108" s="7" t="s">
        <v>206</v>
      </c>
      <c r="C108" s="7" t="s">
        <v>709</v>
      </c>
      <c r="D108" s="7" t="s">
        <v>720</v>
      </c>
      <c r="E108" s="7" t="s">
        <v>863</v>
      </c>
      <c r="F108" s="19" t="s">
        <v>814</v>
      </c>
      <c r="G108" s="19" t="s">
        <v>873</v>
      </c>
      <c r="H108" s="19">
        <f>VLOOKUP(Tabla_Buffers_Agroinsumos[[#This Row],[CODIGO ]],TABLACONSOLIDADA[[Codigo]:[PV]],6,0)</f>
        <v>0</v>
      </c>
      <c r="I108" s="19">
        <f>VLOOKUP(Tabla_Buffers_Agroinsumos[[#This Row],[CODIGO ]],TABLACONSOLIDADA[[Codigo]:[PV]],5,0)</f>
        <v>3.47</v>
      </c>
      <c r="J108" s="19">
        <v>12</v>
      </c>
      <c r="K108" s="19">
        <v>14</v>
      </c>
      <c r="L108" s="19">
        <f>IFERROR(Tabla_Buffers_Agroinsumos[[#This Row],[BUFFER CENTRAL]]/((Tabla_Buffers_Agroinsumos[[#This Row],[TIEMPO REPOSICION ]]/Tabla_Buffers_Agroinsumos[[#This Row],[FRECUENCIA]])+1),0)</f>
        <v>0</v>
      </c>
      <c r="M108" s="19">
        <f t="array" ref="M108">IFERROR(INDEX(TABLACONSOLIDADA[Buff Act],MATCH("AGROINSUMOSMATERIAPRIMA"&amp;Tabla_Buffers_Agroinsumos[[#This Row],[CODIGO ]],TABLACONSOLIDADA[Bodega]&amp;TABLACONSOLIDADA[Codigo],0)),"")</f>
        <v>0</v>
      </c>
      <c r="N108" s="157">
        <f t="array" ref="N108">IFERROR(INDEX(TABLACONSOLIDADA[Inv Fís Act],MATCH("AGROINSUMOSMATERIAPRIMA"&amp;Tabla_Buffers_Agroinsumos[[#This Row],[CODIGO ]],TABLACONSOLIDADA[Bodega]&amp;TABLACONSOLIDADA[Codigo],0)),"")</f>
        <v>0</v>
      </c>
      <c r="O108" s="157">
        <f t="array" ref="O10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10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08" s="19">
        <f>IFERROR(SUM(Tabla_Buffers_Agroinsumos[[#This Row],[MP-C]:[MP-VL]]),"")</f>
        <v>0</v>
      </c>
      <c r="R108" s="92">
        <f>IFERROR(Tabla_Buffers_Agroinsumos[[#This Row],[INV FIS MATERIA PRIMA]]-Tabla_Buffers_Agroinsumos[[#This Row],[BUFFER MATERIA PRIMA]],"")</f>
        <v>0</v>
      </c>
      <c r="S10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108" s="19"/>
      <c r="U108" s="19"/>
      <c r="V108" s="19"/>
      <c r="W108" s="19"/>
      <c r="X108" s="19"/>
      <c r="Y108" s="19"/>
      <c r="Z108" s="19"/>
      <c r="AA108" s="19"/>
      <c r="AB108" s="19"/>
      <c r="AC108" s="152" t="str">
        <f t="array" ref="AC108">IFERROR(INDEX(TABLACONSOLIDADA[Buff Act],MATCH("AGROINSUMOSCENTRAL"&amp;Tabla_Buffers_Agroinsumos[[#This Row],[CODIGO ]],TABLACONSOLIDADA[Bodega]&amp;TABLACONSOLIDADA[Codigo],0)),"")</f>
        <v/>
      </c>
      <c r="AD108" s="157" t="str">
        <f t="array" ref="AD108">IFERROR(INDEX(TABLACONSOLIDADA[Inv Fís Act],MATCH("AGROINSUMOSCENTRAL"&amp;Tabla_Buffers_Agroinsumos[[#This Row],[CODIGO ]],TABLACONSOLIDADA[Bodega]&amp;TABLACONSOLIDADA[Codigo],0)),"")</f>
        <v/>
      </c>
      <c r="AE108" s="157" t="str">
        <f t="array" ref="AE10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0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08" s="91">
        <f>IFERROR(SUM(Tabla_Buffers_Agroinsumos[[#This Row],[C-MP]:[C-VL]]),"")</f>
        <v>0</v>
      </c>
      <c r="AH108" s="92" t="str">
        <f>IFERROR(Tabla_Buffers_Agroinsumos[[#This Row],[INV FIS CENTRAL]]-Tabla_Buffers_Agroinsumos[[#This Row],[BUFFER CENTRAL]],"")</f>
        <v/>
      </c>
      <c r="AI10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08" s="134"/>
      <c r="AK108" s="134"/>
      <c r="AL108" s="134"/>
      <c r="AM108" s="134"/>
      <c r="AN108" s="134"/>
      <c r="AO108" s="134"/>
      <c r="AP108" s="134"/>
      <c r="AQ108" s="134"/>
      <c r="AR108" s="134"/>
      <c r="AS108" s="134" t="str">
        <f t="array" ref="AS108">IFERROR(INDEX(TABLACONSOLIDADA[Buff Act],MATCH("AGROINSUMOScentralPROPIA"&amp;Tabla_Buffers_Agroinsumos[[#This Row],[CODIGO ]],TABLACONSOLIDADA[Bodega]&amp;TABLACONSOLIDADA[Codigo],0)),"")</f>
        <v/>
      </c>
      <c r="AT108" s="157" t="str">
        <f t="array" ref="AT108">IFERROR(INDEX(TABLACONSOLIDADA[Inv Fís Act],MATCH("AGROINSUMOScentralPROPIA"&amp;Tabla_Buffers_Agroinsumos[[#This Row],[CODIGO ]],TABLACONSOLIDADA[Bodega]&amp;TABLACONSOLIDADA[Codigo],0)),"")</f>
        <v/>
      </c>
      <c r="AU108" s="157" t="str">
        <f t="array" ref="AU10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0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08" s="134">
        <f>IFERROR(SUM(Tabla_Buffers_Agroinsumos[[#This Row],[P-MP]:[P-VL]]),"")</f>
        <v>0</v>
      </c>
      <c r="AX108" s="92" t="str">
        <f>IFERROR(Tabla_Buffers_Agroinsumos[[#This Row],[INV FIS PROPIA]]-Tabla_Buffers_Agroinsumos[[#This Row],[BUFFER PROPIA]],"")</f>
        <v/>
      </c>
      <c r="AY10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08" s="134"/>
      <c r="BA108" s="134"/>
      <c r="BB108" s="134"/>
      <c r="BC108" s="134"/>
      <c r="BD108" s="134"/>
      <c r="BE108" s="134"/>
      <c r="BF108" s="134"/>
      <c r="BG108" s="134"/>
      <c r="BH108" s="134"/>
      <c r="BI108" s="91" t="str">
        <f t="array" ref="BI108">IFERROR(INDEX(TABLACONSOLIDADA[Buff Act],MATCH("AGROINSUMOSSTODOMINGO"&amp;Tabla_Buffers_Agroinsumos[[#This Row],[CODIGO ]],TABLACONSOLIDADA[Bodega]&amp;TABLACONSOLIDADA[Codigo],0)),"")</f>
        <v/>
      </c>
      <c r="BJ108" s="157" t="str">
        <f t="array" ref="BJ108">IFERROR(INDEX(TABLACONSOLIDADA[Inv Fís Act],MATCH("AGROINSUMOSSTODOMINGO"&amp;Tabla_Buffers_Agroinsumos[[#This Row],[CODIGO ]],TABLACONSOLIDADA[Bodega]&amp;TABLACONSOLIDADA[Codigo],0)),"")</f>
        <v/>
      </c>
      <c r="BK108" s="157" t="str">
        <f t="array" ref="BK10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0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08" s="91">
        <f>IFERROR(SUM(Tabla_Buffers_Agroinsumos[[#This Row],[SD-MP]:[SD-VL]]),"")</f>
        <v>0</v>
      </c>
      <c r="BN108" s="92"/>
      <c r="BO108" s="92"/>
      <c r="BP108" s="134"/>
      <c r="BQ108" s="134"/>
      <c r="BR108" s="134"/>
      <c r="BS108" s="134"/>
      <c r="BT108" s="134"/>
      <c r="BU108" s="134"/>
      <c r="BV108" s="134"/>
      <c r="BW108" s="134"/>
      <c r="BX108" s="134"/>
      <c r="BY108" s="134" t="str">
        <f t="array" ref="BY108">IFERROR(INDEX(TABLACONSOLIDADA[Buff Act],MATCH("AGROINSUMOSMONCAYOLOPEZ"&amp;Tabla_Buffers_Agroinsumos[[#This Row],[CODIGO ]],TABLACONSOLIDADA[Bodega]&amp;TABLACONSOLIDADA[Codigo],0)),"")</f>
        <v/>
      </c>
      <c r="BZ108" s="157" t="str">
        <f t="array" ref="BZ108">IFERROR(INDEX(TABLACONSOLIDADA[Inv Fís Act],MATCH("AGROINSUMOSMONCAYOLOPEZ"&amp;Tabla_Buffers_Agroinsumos[[#This Row],[CODIGO ]],TABLACONSOLIDADA[Bodega]&amp;TABLACONSOLIDADA[Codigo],0)),"")</f>
        <v/>
      </c>
      <c r="CA108" s="157" t="str">
        <f t="array" ref="CA10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0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08" s="134">
        <f>IFERROR(SUM(Tabla_Buffers_Agroinsumos[[#This Row],[ML-MP]:[ML-VL]]),"")</f>
        <v>0</v>
      </c>
      <c r="CD108" s="92" t="str">
        <f>IFERROR(Tabla_Buffers_Agroinsumos[[#This Row],[INV FIS ML]]-Tabla_Buffers_Agroinsumos[[#This Row],[BUFFER ML]],"")</f>
        <v/>
      </c>
      <c r="CE10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08" s="134"/>
      <c r="CG108" s="134"/>
      <c r="CH108" s="134"/>
      <c r="CI108" s="134"/>
      <c r="CJ108" s="134"/>
      <c r="CK108" s="134"/>
      <c r="CL108" s="134"/>
      <c r="CM108" s="134"/>
      <c r="CN108" s="134"/>
      <c r="CO108" s="134" t="str">
        <f t="array" ref="CO108">IFERROR(INDEX(TABLACONSOLIDADA[Buff Act],MATCH("AGROINSUMOSAGROHERMANOSLEON"&amp;Tabla_Buffers_Agroinsumos[[#This Row],[CODIGO ]],TABLACONSOLIDADA[Bodega]&amp;TABLACONSOLIDADA[Codigo],0)),"")</f>
        <v/>
      </c>
      <c r="CP108" s="157" t="str">
        <f t="array" ref="CP108">IFERROR(INDEX(TABLACONSOLIDADA[Inv Fís Act],MATCH("AGROINSUMOSAGROHERMANOSLEON"&amp;Tabla_Buffers_Agroinsumos[[#This Row],[CODIGO ]],TABLACONSOLIDADA[Bodega]&amp;TABLACONSOLIDADA[Codigo],0)),"")</f>
        <v/>
      </c>
      <c r="CQ108" s="157" t="str">
        <f t="array" ref="CQ10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0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08" s="134">
        <f>IFERROR(SUM(Tabla_Buffers_Agroinsumos[[#This Row],[AL-MP]:[AL-VL]]),"")</f>
        <v>0</v>
      </c>
      <c r="CT108" s="92" t="str">
        <f>IFERROR(Tabla_Buffers_Agroinsumos[[#This Row],[INV FIS AL]]-Tabla_Buffers_Agroinsumos[[#This Row],[BUFFER AL]],"")</f>
        <v/>
      </c>
      <c r="CU10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08" s="134"/>
      <c r="CW108" s="134"/>
      <c r="CX108" s="134"/>
      <c r="CY108" s="134"/>
      <c r="CZ108" s="134"/>
      <c r="DA108" s="134"/>
      <c r="DB108" s="134"/>
      <c r="DC108" s="134"/>
      <c r="DD108" s="134"/>
      <c r="DE108" s="134" t="str">
        <f t="array" ref="DE108">IFERROR(INDEX(TABLACONSOLIDADA[Buff Act],MATCH("AGROINSUMOSAGRONUEVO"&amp;Tabla_Buffers_Agroinsumos[[#This Row],[CODIGO ]],TABLACONSOLIDADA[Bodega]&amp;TABLACONSOLIDADA[Codigo],0)),"")</f>
        <v/>
      </c>
      <c r="DF108" s="157" t="str">
        <f t="array" ref="DF108">IFERROR(INDEX(TABLACONSOLIDADA[Inv Fís Act],MATCH("AGROINSUMOSAGRONUEVO"&amp;Tabla_Buffers_Agroinsumos[[#This Row],[CODIGO ]],TABLACONSOLIDADA[Bodega]&amp;TABLACONSOLIDADA[Codigo],0)),"")</f>
        <v/>
      </c>
      <c r="DG108" s="157" t="str">
        <f t="array" ref="DG10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0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08" s="134">
        <f>IFERROR(SUM(Tabla_Buffers_Agroinsumos[[#This Row],[AN-MP]:[AN-VL]]),"")</f>
        <v>0</v>
      </c>
      <c r="DJ108" s="92" t="str">
        <f>IFERROR(Tabla_Buffers_Agroinsumos[[#This Row],[INV FIS AN]]-Tabla_Buffers_Agroinsumos[[#This Row],[BUFFER AN]],"")</f>
        <v/>
      </c>
      <c r="DK10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08" s="134"/>
      <c r="DM108" s="134"/>
      <c r="DN108" s="134"/>
      <c r="DO108" s="134"/>
      <c r="DP108" s="134"/>
      <c r="DQ108" s="134"/>
      <c r="DR108" s="134"/>
      <c r="DS108" s="134"/>
      <c r="DT108" s="134"/>
      <c r="DU108" s="134" t="str">
        <f t="array" ref="DU108">IFERROR(INDEX(TABLACONSOLIDADA[Buff Act],MATCH("AGROINSUMOSAGROQUIMICOSSUR"&amp;Tabla_Buffers_Agroinsumos[[#This Row],[CODIGO ]],TABLACONSOLIDADA[Bodega]&amp;TABLACONSOLIDADA[Codigo],0)),"")</f>
        <v/>
      </c>
      <c r="DV108" s="157" t="str">
        <f t="array" ref="DV108">IFERROR(INDEX(TABLACONSOLIDADA[Inv Fís Act],MATCH("AGROINSUMOSAGROQUIMICOSSUR"&amp;Tabla_Buffers_Agroinsumos[[#This Row],[CODIGO ]],TABLACONSOLIDADA[Bodega]&amp;TABLACONSOLIDADA[Codigo],0)),"")</f>
        <v/>
      </c>
      <c r="DW108" s="157" t="str">
        <f t="array" ref="DW10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0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08" s="134">
        <f>IFERROR(SUM(Tabla_Buffers_Agroinsumos[[#This Row],[AS-MP]:[AS-VL]]),"")</f>
        <v>0</v>
      </c>
      <c r="DZ108" s="92" t="str">
        <f>IFERROR(Tabla_Buffers_Agroinsumos[[#This Row],[INV FIS AS]]-Tabla_Buffers_Agroinsumos[[#This Row],[BUFFER AS]],"")</f>
        <v/>
      </c>
      <c r="EA10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08" s="134"/>
      <c r="EC108" s="134"/>
      <c r="ED108" s="134"/>
      <c r="EE108" s="134"/>
      <c r="EF108" s="134"/>
      <c r="EG108" s="134"/>
      <c r="EH108" s="134"/>
      <c r="EI108" s="134"/>
      <c r="EJ108" s="134"/>
      <c r="EK108" s="134" t="str">
        <f t="array" ref="EK108">IFERROR(INDEX(TABLACONSOLIDADA[Buff Act],MATCH("AGROINSUMOSLAFINCA"&amp;Tabla_Buffers_Agroinsumos[[#This Row],[CODIGO ]],TABLACONSOLIDADA[Bodega]&amp;TABLACONSOLIDADA[Codigo],0)),"")</f>
        <v/>
      </c>
      <c r="EL108" s="157" t="str">
        <f t="array" ref="EL108">IFERROR(INDEX(TABLACONSOLIDADA[Inv Fís Act],MATCH("AGROINSUMOSLAFINCA"&amp;Tabla_Buffers_Agroinsumos[[#This Row],[CODIGO ]],TABLACONSOLIDADA[Bodega]&amp;TABLACONSOLIDADA[Codigo],0)),"")</f>
        <v/>
      </c>
      <c r="EM108" s="157" t="str">
        <f t="array" ref="EM10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0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08" s="134">
        <f>IFERROR(SUM(Tabla_Buffers_Agroinsumos[[#This Row],[LF-MP]:[LF-VL]]),"")</f>
        <v>0</v>
      </c>
      <c r="EP108" s="92" t="str">
        <f>IFERROR(Tabla_Buffers_Agroinsumos[[#This Row],[INV FIS LF]]-Tabla_Buffers_Agroinsumos[[#This Row],[BUFFER LF]],"")</f>
        <v/>
      </c>
      <c r="EQ10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08" s="134"/>
      <c r="ES108" s="134"/>
      <c r="ET108" s="134"/>
      <c r="EU108" s="134"/>
      <c r="EV108" s="134"/>
      <c r="EW108" s="134"/>
      <c r="EX108" s="134"/>
      <c r="EY108" s="134"/>
      <c r="EZ108" s="134"/>
      <c r="FA108" s="134" t="str">
        <f t="array" ref="FA108">IFERROR(INDEX(TABLACONSOLIDADA[Buff Act],MATCH("AGROINSUMOSVERONICALEDESMA"&amp;Tabla_Buffers_Agroinsumos[[#This Row],[CODIGO ]],TABLACONSOLIDADA[Bodega]&amp;TABLACONSOLIDADA[Codigo],0)),"")</f>
        <v/>
      </c>
      <c r="FB108" s="157" t="str">
        <f t="array" ref="FB108">IFERROR(INDEX(TABLACONSOLIDADA[Inv Fís Act],MATCH("AGROINSUMOSVERONICALEDESMA"&amp;Tabla_Buffers_Agroinsumos[[#This Row],[CODIGO ]],TABLACONSOLIDADA[Bodega]&amp;TABLACONSOLIDADA[Codigo],0)),"")</f>
        <v/>
      </c>
      <c r="FC108" s="157" t="str">
        <f t="array" ref="FC10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0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08" s="134">
        <f>IFERROR(SUM(Tabla_Buffers_Agroinsumos[[#This Row],[VL-MP]:[VL-LF]]),"")</f>
        <v>0</v>
      </c>
      <c r="FF108" s="92" t="str">
        <f>IFERROR(Tabla_Buffers_Agroinsumos[[#This Row],[INV FIS VL]]-Tabla_Buffers_Agroinsumos[[#This Row],[BUFFER VL]],"")</f>
        <v/>
      </c>
      <c r="FG10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08" s="134"/>
      <c r="FI108" s="134"/>
      <c r="FJ108" s="134"/>
      <c r="FK108" s="134"/>
      <c r="FL108" s="134"/>
      <c r="FM108" s="134"/>
      <c r="FN108" s="134"/>
      <c r="FO108" s="134"/>
      <c r="FP108" s="134"/>
    </row>
    <row r="109" spans="1:172">
      <c r="A109" s="7" t="s">
        <v>894</v>
      </c>
      <c r="B109" s="7" t="s">
        <v>951</v>
      </c>
      <c r="C109" s="7" t="s">
        <v>946</v>
      </c>
      <c r="D109" s="7" t="s">
        <v>719</v>
      </c>
      <c r="E109" s="7" t="s">
        <v>975</v>
      </c>
      <c r="F109" s="19" t="s">
        <v>698</v>
      </c>
      <c r="G109" s="19" t="s">
        <v>698</v>
      </c>
      <c r="H109" s="19">
        <f>VLOOKUP(Tabla_Buffers_Agroinsumos[[#This Row],[CODIGO ]],TABLACONSOLIDADA[[Codigo]:[PV]],6,0)</f>
        <v>0</v>
      </c>
      <c r="I109" s="19">
        <f>VLOOKUP(Tabla_Buffers_Agroinsumos[[#This Row],[CODIGO ]],TABLACONSOLIDADA[[Codigo]:[PV]],5,0)</f>
        <v>1.32</v>
      </c>
      <c r="J109" s="19" t="s">
        <v>698</v>
      </c>
      <c r="K109" s="19" t="s">
        <v>698</v>
      </c>
      <c r="L109" s="19">
        <f>IFERROR(Tabla_Buffers_Agroinsumos[[#This Row],[BUFFER CENTRAL]]/((Tabla_Buffers_Agroinsumos[[#This Row],[TIEMPO REPOSICION ]]/Tabla_Buffers_Agroinsumos[[#This Row],[FRECUENCIA]])+1),0)</f>
        <v>0</v>
      </c>
      <c r="M109" s="19" t="str">
        <f t="array" ref="M109">IFERROR(INDEX(TABLACONSOLIDADA[Buff Act],MATCH("AGROINSUMOSMATERIAPRIMA"&amp;Tabla_Buffers_Agroinsumos[[#This Row],[CODIGO ]],TABLACONSOLIDADA[Bodega]&amp;TABLACONSOLIDADA[Codigo],0)),"")</f>
        <v/>
      </c>
      <c r="N109" s="157" t="str">
        <f t="array" ref="N109">IFERROR(INDEX(TABLACONSOLIDADA[Inv Fís Act],MATCH("AGROINSUMOSMATERIAPRIMA"&amp;Tabla_Buffers_Agroinsumos[[#This Row],[CODIGO ]],TABLACONSOLIDADA[Bodega]&amp;TABLACONSOLIDADA[Codigo],0)),"")</f>
        <v/>
      </c>
      <c r="O109" s="157" t="str">
        <f t="array" ref="O10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0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09" s="19">
        <f>IFERROR(SUM(Tabla_Buffers_Agroinsumos[[#This Row],[MP-C]:[MP-VL]]),"")</f>
        <v>0</v>
      </c>
      <c r="R109" s="92" t="str">
        <f>IFERROR(Tabla_Buffers_Agroinsumos[[#This Row],[INV FIS MATERIA PRIMA]]-Tabla_Buffers_Agroinsumos[[#This Row],[BUFFER MATERIA PRIMA]],"")</f>
        <v/>
      </c>
      <c r="S10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09" s="19"/>
      <c r="U109" s="19"/>
      <c r="V109" s="19"/>
      <c r="W109" s="19"/>
      <c r="X109" s="19"/>
      <c r="Y109" s="19"/>
      <c r="Z109" s="19"/>
      <c r="AA109" s="19"/>
      <c r="AB109" s="19"/>
      <c r="AC109" s="152">
        <f t="array" ref="AC109">IFERROR(INDEX(TABLACONSOLIDADA[Buff Act],MATCH("AGROINSUMOSCENTRAL"&amp;Tabla_Buffers_Agroinsumos[[#This Row],[CODIGO ]],TABLACONSOLIDADA[Bodega]&amp;TABLACONSOLIDADA[Codigo],0)),"")</f>
        <v>0</v>
      </c>
      <c r="AD109" s="157">
        <f t="array" ref="AD109">IFERROR(INDEX(TABLACONSOLIDADA[Inv Fís Act],MATCH("AGROINSUMOSCENTRAL"&amp;Tabla_Buffers_Agroinsumos[[#This Row],[CODIGO ]],TABLACONSOLIDADA[Bodega]&amp;TABLACONSOLIDADA[Codigo],0)),"")</f>
        <v>0</v>
      </c>
      <c r="AE109" s="157">
        <f t="array" ref="AE10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10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09" s="91">
        <f>IFERROR(SUM(Tabla_Buffers_Agroinsumos[[#This Row],[C-MP]:[C-VL]]),"")</f>
        <v>0</v>
      </c>
      <c r="AH109" s="92">
        <f>IFERROR(Tabla_Buffers_Agroinsumos[[#This Row],[INV FIS CENTRAL]]-Tabla_Buffers_Agroinsumos[[#This Row],[BUFFER CENTRAL]],"")</f>
        <v>0</v>
      </c>
      <c r="AI10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109" s="134"/>
      <c r="AK109" s="134"/>
      <c r="AL109" s="134"/>
      <c r="AM109" s="134"/>
      <c r="AN109" s="134"/>
      <c r="AO109" s="134"/>
      <c r="AP109" s="134"/>
      <c r="AQ109" s="134"/>
      <c r="AR109" s="134"/>
      <c r="AS109" s="134">
        <f t="array" ref="AS109">IFERROR(INDEX(TABLACONSOLIDADA[Buff Act],MATCH("AGROINSUMOScentralPROPIA"&amp;Tabla_Buffers_Agroinsumos[[#This Row],[CODIGO ]],TABLACONSOLIDADA[Bodega]&amp;TABLACONSOLIDADA[Codigo],0)),"")</f>
        <v>60</v>
      </c>
      <c r="AT109" s="157">
        <f t="array" ref="AT109">IFERROR(INDEX(TABLACONSOLIDADA[Inv Fís Act],MATCH("AGROINSUMOScentralPROPIA"&amp;Tabla_Buffers_Agroinsumos[[#This Row],[CODIGO ]],TABLACONSOLIDADA[Bodega]&amp;TABLACONSOLIDADA[Codigo],0)),"")</f>
        <v>0</v>
      </c>
      <c r="AU109" s="157">
        <f t="array" ref="AU10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0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09" s="134">
        <f>IFERROR(SUM(Tabla_Buffers_Agroinsumos[[#This Row],[P-MP]:[P-VL]]),"")</f>
        <v>0</v>
      </c>
      <c r="AX109" s="92">
        <f>IFERROR(Tabla_Buffers_Agroinsumos[[#This Row],[INV FIS PROPIA]]-Tabla_Buffers_Agroinsumos[[#This Row],[BUFFER PROPIA]],"")</f>
        <v>-60</v>
      </c>
      <c r="AY10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-60</v>
      </c>
      <c r="AZ109" s="134"/>
      <c r="BA109" s="134"/>
      <c r="BB109" s="134"/>
      <c r="BC109" s="134"/>
      <c r="BD109" s="134"/>
      <c r="BE109" s="134"/>
      <c r="BF109" s="134"/>
      <c r="BG109" s="134"/>
      <c r="BH109" s="134"/>
      <c r="BI109" s="91" t="str">
        <f t="array" ref="BI109">IFERROR(INDEX(TABLACONSOLIDADA[Buff Act],MATCH("AGROINSUMOSSTODOMINGO"&amp;Tabla_Buffers_Agroinsumos[[#This Row],[CODIGO ]],TABLACONSOLIDADA[Bodega]&amp;TABLACONSOLIDADA[Codigo],0)),"")</f>
        <v/>
      </c>
      <c r="BJ109" s="157" t="str">
        <f t="array" ref="BJ109">IFERROR(INDEX(TABLACONSOLIDADA[Inv Fís Act],MATCH("AGROINSUMOSSTODOMINGO"&amp;Tabla_Buffers_Agroinsumos[[#This Row],[CODIGO ]],TABLACONSOLIDADA[Bodega]&amp;TABLACONSOLIDADA[Codigo],0)),"")</f>
        <v/>
      </c>
      <c r="BK109" s="157" t="str">
        <f t="array" ref="BK10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0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09" s="91">
        <f>IFERROR(SUM(Tabla_Buffers_Agroinsumos[[#This Row],[SD-MP]:[SD-VL]]),"")</f>
        <v>0</v>
      </c>
      <c r="BN109" s="92"/>
      <c r="BO109" s="92"/>
      <c r="BP109" s="134"/>
      <c r="BQ109" s="134"/>
      <c r="BR109" s="134"/>
      <c r="BS109" s="134"/>
      <c r="BT109" s="134"/>
      <c r="BU109" s="134"/>
      <c r="BV109" s="134"/>
      <c r="BW109" s="134"/>
      <c r="BX109" s="134"/>
      <c r="BY109" s="134">
        <f t="array" ref="BY109">IFERROR(INDEX(TABLACONSOLIDADA[Buff Act],MATCH("AGROINSUMOSMONCAYOLOPEZ"&amp;Tabla_Buffers_Agroinsumos[[#This Row],[CODIGO ]],TABLACONSOLIDADA[Bodega]&amp;TABLACONSOLIDADA[Codigo],0)),"")</f>
        <v>0</v>
      </c>
      <c r="BZ109" s="157">
        <f t="array" ref="BZ109">IFERROR(INDEX(TABLACONSOLIDADA[Inv Fís Act],MATCH("AGROINSUMOSMONCAYOLOPEZ"&amp;Tabla_Buffers_Agroinsumos[[#This Row],[CODIGO ]],TABLACONSOLIDADA[Bodega]&amp;TABLACONSOLIDADA[Codigo],0)),"")</f>
        <v>0</v>
      </c>
      <c r="CA109" s="157">
        <f t="array" ref="CA10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0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09" s="134">
        <f>IFERROR(SUM(Tabla_Buffers_Agroinsumos[[#This Row],[ML-MP]:[ML-VL]]),"")</f>
        <v>0</v>
      </c>
      <c r="CD109" s="92">
        <f>IFERROR(Tabla_Buffers_Agroinsumos[[#This Row],[INV FIS ML]]-Tabla_Buffers_Agroinsumos[[#This Row],[BUFFER ML]],"")</f>
        <v>0</v>
      </c>
      <c r="CE10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09" s="134"/>
      <c r="CG109" s="134"/>
      <c r="CH109" s="134"/>
      <c r="CI109" s="134"/>
      <c r="CJ109" s="134"/>
      <c r="CK109" s="134"/>
      <c r="CL109" s="134"/>
      <c r="CM109" s="134"/>
      <c r="CN109" s="134"/>
      <c r="CO109" s="134">
        <f t="array" ref="CO109">IFERROR(INDEX(TABLACONSOLIDADA[Buff Act],MATCH("AGROINSUMOSAGROHERMANOSLEON"&amp;Tabla_Buffers_Agroinsumos[[#This Row],[CODIGO ]],TABLACONSOLIDADA[Bodega]&amp;TABLACONSOLIDADA[Codigo],0)),"")</f>
        <v>0</v>
      </c>
      <c r="CP109" s="157">
        <f t="array" ref="CP109">IFERROR(INDEX(TABLACONSOLIDADA[Inv Fís Act],MATCH("AGROINSUMOSAGROHERMANOSLEON"&amp;Tabla_Buffers_Agroinsumos[[#This Row],[CODIGO ]],TABLACONSOLIDADA[Bodega]&amp;TABLACONSOLIDADA[Codigo],0)),"")</f>
        <v>0</v>
      </c>
      <c r="CQ109" s="157">
        <f t="array" ref="CQ10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0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09" s="134">
        <f>IFERROR(SUM(Tabla_Buffers_Agroinsumos[[#This Row],[AL-MP]:[AL-VL]]),"")</f>
        <v>0</v>
      </c>
      <c r="CT109" s="92">
        <f>IFERROR(Tabla_Buffers_Agroinsumos[[#This Row],[INV FIS AL]]-Tabla_Buffers_Agroinsumos[[#This Row],[BUFFER AL]],"")</f>
        <v>0</v>
      </c>
      <c r="CU109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09" s="134"/>
      <c r="CW109" s="134"/>
      <c r="CX109" s="134"/>
      <c r="CY109" s="134"/>
      <c r="CZ109" s="134"/>
      <c r="DA109" s="134"/>
      <c r="DB109" s="134"/>
      <c r="DC109" s="134"/>
      <c r="DD109" s="134"/>
      <c r="DE109" s="134">
        <f t="array" ref="DE109">IFERROR(INDEX(TABLACONSOLIDADA[Buff Act],MATCH("AGROINSUMOSAGRONUEVO"&amp;Tabla_Buffers_Agroinsumos[[#This Row],[CODIGO ]],TABLACONSOLIDADA[Bodega]&amp;TABLACONSOLIDADA[Codigo],0)),"")</f>
        <v>0</v>
      </c>
      <c r="DF109" s="157">
        <f t="array" ref="DF109">IFERROR(INDEX(TABLACONSOLIDADA[Inv Fís Act],MATCH("AGROINSUMOSAGRONUEVO"&amp;Tabla_Buffers_Agroinsumos[[#This Row],[CODIGO ]],TABLACONSOLIDADA[Bodega]&amp;TABLACONSOLIDADA[Codigo],0)),"")</f>
        <v>0</v>
      </c>
      <c r="DG109" s="157">
        <f t="array" ref="DG10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0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09" s="134">
        <f>IFERROR(SUM(Tabla_Buffers_Agroinsumos[[#This Row],[AN-MP]:[AN-VL]]),"")</f>
        <v>0</v>
      </c>
      <c r="DJ109" s="92">
        <f>IFERROR(Tabla_Buffers_Agroinsumos[[#This Row],[INV FIS AN]]-Tabla_Buffers_Agroinsumos[[#This Row],[BUFFER AN]],"")</f>
        <v>0</v>
      </c>
      <c r="DK10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09" s="134"/>
      <c r="DM109" s="134"/>
      <c r="DN109" s="134"/>
      <c r="DO109" s="134"/>
      <c r="DP109" s="134"/>
      <c r="DQ109" s="134"/>
      <c r="DR109" s="134"/>
      <c r="DS109" s="134"/>
      <c r="DT109" s="134"/>
      <c r="DU109" s="134">
        <f t="array" ref="DU109">IFERROR(INDEX(TABLACONSOLIDADA[Buff Act],MATCH("AGROINSUMOSAGROQUIMICOSSUR"&amp;Tabla_Buffers_Agroinsumos[[#This Row],[CODIGO ]],TABLACONSOLIDADA[Bodega]&amp;TABLACONSOLIDADA[Codigo],0)),"")</f>
        <v>0</v>
      </c>
      <c r="DV109" s="157">
        <f t="array" ref="DV109">IFERROR(INDEX(TABLACONSOLIDADA[Inv Fís Act],MATCH("AGROINSUMOSAGROQUIMICOSSUR"&amp;Tabla_Buffers_Agroinsumos[[#This Row],[CODIGO ]],TABLACONSOLIDADA[Bodega]&amp;TABLACONSOLIDADA[Codigo],0)),"")</f>
        <v>0</v>
      </c>
      <c r="DW109" s="157">
        <f t="array" ref="DW10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0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09" s="134">
        <f>IFERROR(SUM(Tabla_Buffers_Agroinsumos[[#This Row],[AS-MP]:[AS-VL]]),"")</f>
        <v>0</v>
      </c>
      <c r="DZ109" s="92">
        <f>IFERROR(Tabla_Buffers_Agroinsumos[[#This Row],[INV FIS AS]]-Tabla_Buffers_Agroinsumos[[#This Row],[BUFFER AS]],"")</f>
        <v>0</v>
      </c>
      <c r="EA10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09" s="134"/>
      <c r="EC109" s="134"/>
      <c r="ED109" s="134"/>
      <c r="EE109" s="134"/>
      <c r="EF109" s="134"/>
      <c r="EG109" s="134"/>
      <c r="EH109" s="134"/>
      <c r="EI109" s="134"/>
      <c r="EJ109" s="134"/>
      <c r="EK109" s="134">
        <f t="array" ref="EK109">IFERROR(INDEX(TABLACONSOLIDADA[Buff Act],MATCH("AGROINSUMOSLAFINCA"&amp;Tabla_Buffers_Agroinsumos[[#This Row],[CODIGO ]],TABLACONSOLIDADA[Bodega]&amp;TABLACONSOLIDADA[Codigo],0)),"")</f>
        <v>0</v>
      </c>
      <c r="EL109" s="157">
        <f t="array" ref="EL109">IFERROR(INDEX(TABLACONSOLIDADA[Inv Fís Act],MATCH("AGROINSUMOSLAFINCA"&amp;Tabla_Buffers_Agroinsumos[[#This Row],[CODIGO ]],TABLACONSOLIDADA[Bodega]&amp;TABLACONSOLIDADA[Codigo],0)),"")</f>
        <v>0</v>
      </c>
      <c r="EM109" s="157">
        <f t="array" ref="EM10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0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09" s="134">
        <f>IFERROR(SUM(Tabla_Buffers_Agroinsumos[[#This Row],[LF-MP]:[LF-VL]]),"")</f>
        <v>0</v>
      </c>
      <c r="EP109" s="92">
        <f>IFERROR(Tabla_Buffers_Agroinsumos[[#This Row],[INV FIS LF]]-Tabla_Buffers_Agroinsumos[[#This Row],[BUFFER LF]],"")</f>
        <v>0</v>
      </c>
      <c r="EQ10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09" s="134"/>
      <c r="ES109" s="134"/>
      <c r="ET109" s="134"/>
      <c r="EU109" s="134"/>
      <c r="EV109" s="134"/>
      <c r="EW109" s="134"/>
      <c r="EX109" s="134"/>
      <c r="EY109" s="134"/>
      <c r="EZ109" s="134"/>
      <c r="FA109" s="134">
        <f t="array" ref="FA109">IFERROR(INDEX(TABLACONSOLIDADA[Buff Act],MATCH("AGROINSUMOSVERONICALEDESMA"&amp;Tabla_Buffers_Agroinsumos[[#This Row],[CODIGO ]],TABLACONSOLIDADA[Bodega]&amp;TABLACONSOLIDADA[Codigo],0)),"")</f>
        <v>0</v>
      </c>
      <c r="FB109" s="157">
        <f t="array" ref="FB109">IFERROR(INDEX(TABLACONSOLIDADA[Inv Fís Act],MATCH("AGROINSUMOSVERONICALEDESMA"&amp;Tabla_Buffers_Agroinsumos[[#This Row],[CODIGO ]],TABLACONSOLIDADA[Bodega]&amp;TABLACONSOLIDADA[Codigo],0)),"")</f>
        <v>0</v>
      </c>
      <c r="FC109" s="157">
        <f t="array" ref="FC10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10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09" s="134">
        <f>IFERROR(SUM(Tabla_Buffers_Agroinsumos[[#This Row],[VL-MP]:[VL-LF]]),"")</f>
        <v>0</v>
      </c>
      <c r="FF109" s="92">
        <f>IFERROR(Tabla_Buffers_Agroinsumos[[#This Row],[INV FIS VL]]-Tabla_Buffers_Agroinsumos[[#This Row],[BUFFER VL]],"")</f>
        <v>0</v>
      </c>
      <c r="FG10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109" s="134"/>
      <c r="FI109" s="134"/>
      <c r="FJ109" s="134"/>
      <c r="FK109" s="134"/>
      <c r="FL109" s="134"/>
      <c r="FM109" s="134"/>
      <c r="FN109" s="134"/>
      <c r="FO109" s="134"/>
      <c r="FP109" s="134"/>
    </row>
    <row r="110" spans="1:172">
      <c r="A110" s="7" t="s">
        <v>895</v>
      </c>
      <c r="B110" s="7" t="s">
        <v>952</v>
      </c>
      <c r="C110" s="7" t="s">
        <v>946</v>
      </c>
      <c r="D110" s="7" t="s">
        <v>719</v>
      </c>
      <c r="E110" s="7" t="s">
        <v>975</v>
      </c>
      <c r="F110" s="19" t="s">
        <v>698</v>
      </c>
      <c r="G110" s="19" t="s">
        <v>698</v>
      </c>
      <c r="H110" s="19">
        <f>VLOOKUP(Tabla_Buffers_Agroinsumos[[#This Row],[CODIGO ]],TABLACONSOLIDADA[[Codigo]:[PV]],6,0)</f>
        <v>0</v>
      </c>
      <c r="I110" s="19">
        <f>VLOOKUP(Tabla_Buffers_Agroinsumos[[#This Row],[CODIGO ]],TABLACONSOLIDADA[[Codigo]:[PV]],5,0)</f>
        <v>2.56</v>
      </c>
      <c r="J110" s="19" t="s">
        <v>698</v>
      </c>
      <c r="K110" s="19" t="s">
        <v>698</v>
      </c>
      <c r="L110" s="19">
        <f>IFERROR(Tabla_Buffers_Agroinsumos[[#This Row],[BUFFER CENTRAL]]/((Tabla_Buffers_Agroinsumos[[#This Row],[TIEMPO REPOSICION ]]/Tabla_Buffers_Agroinsumos[[#This Row],[FRECUENCIA]])+1),0)</f>
        <v>0</v>
      </c>
      <c r="M110" s="19" t="str">
        <f t="array" ref="M110">IFERROR(INDEX(TABLACONSOLIDADA[Buff Act],MATCH("AGROINSUMOSMATERIAPRIMA"&amp;Tabla_Buffers_Agroinsumos[[#This Row],[CODIGO ]],TABLACONSOLIDADA[Bodega]&amp;TABLACONSOLIDADA[Codigo],0)),"")</f>
        <v/>
      </c>
      <c r="N110" s="157" t="str">
        <f t="array" ref="N110">IFERROR(INDEX(TABLACONSOLIDADA[Inv Fís Act],MATCH("AGROINSUMOSMATERIAPRIMA"&amp;Tabla_Buffers_Agroinsumos[[#This Row],[CODIGO ]],TABLACONSOLIDADA[Bodega]&amp;TABLACONSOLIDADA[Codigo],0)),"")</f>
        <v/>
      </c>
      <c r="O110" s="157" t="str">
        <f t="array" ref="O11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1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10" s="19">
        <f>IFERROR(SUM(Tabla_Buffers_Agroinsumos[[#This Row],[MP-C]:[MP-VL]]),"")</f>
        <v>0</v>
      </c>
      <c r="R110" s="92" t="str">
        <f>IFERROR(Tabla_Buffers_Agroinsumos[[#This Row],[INV FIS MATERIA PRIMA]]-Tabla_Buffers_Agroinsumos[[#This Row],[BUFFER MATERIA PRIMA]],"")</f>
        <v/>
      </c>
      <c r="S11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10" s="19"/>
      <c r="U110" s="19"/>
      <c r="V110" s="19"/>
      <c r="W110" s="19"/>
      <c r="X110" s="19"/>
      <c r="Y110" s="19"/>
      <c r="Z110" s="19"/>
      <c r="AA110" s="19"/>
      <c r="AB110" s="19"/>
      <c r="AC110" s="152">
        <f t="array" ref="AC110">IFERROR(INDEX(TABLACONSOLIDADA[Buff Act],MATCH("AGROINSUMOSCENTRAL"&amp;Tabla_Buffers_Agroinsumos[[#This Row],[CODIGO ]],TABLACONSOLIDADA[Bodega]&amp;TABLACONSOLIDADA[Codigo],0)),"")</f>
        <v>0</v>
      </c>
      <c r="AD110" s="157">
        <f t="array" ref="AD110">IFERROR(INDEX(TABLACONSOLIDADA[Inv Fís Act],MATCH("AGROINSUMOSCENTRAL"&amp;Tabla_Buffers_Agroinsumos[[#This Row],[CODIGO ]],TABLACONSOLIDADA[Bodega]&amp;TABLACONSOLIDADA[Codigo],0)),"")</f>
        <v>0</v>
      </c>
      <c r="AE110" s="157">
        <f t="array" ref="AE11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11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10" s="91">
        <f>IFERROR(SUM(Tabla_Buffers_Agroinsumos[[#This Row],[C-MP]:[C-VL]]),"")</f>
        <v>0</v>
      </c>
      <c r="AH110" s="92">
        <f>IFERROR(Tabla_Buffers_Agroinsumos[[#This Row],[INV FIS CENTRAL]]-Tabla_Buffers_Agroinsumos[[#This Row],[BUFFER CENTRAL]],"")</f>
        <v>0</v>
      </c>
      <c r="AI11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110" s="134"/>
      <c r="AK110" s="134"/>
      <c r="AL110" s="134"/>
      <c r="AM110" s="134"/>
      <c r="AN110" s="134"/>
      <c r="AO110" s="134"/>
      <c r="AP110" s="134"/>
      <c r="AQ110" s="134"/>
      <c r="AR110" s="134"/>
      <c r="AS110" s="134">
        <f t="array" ref="AS110">IFERROR(INDEX(TABLACONSOLIDADA[Buff Act],MATCH("AGROINSUMOScentralPROPIA"&amp;Tabla_Buffers_Agroinsumos[[#This Row],[CODIGO ]],TABLACONSOLIDADA[Bodega]&amp;TABLACONSOLIDADA[Codigo],0)),"")</f>
        <v>30</v>
      </c>
      <c r="AT110" s="157">
        <f t="array" ref="AT110">IFERROR(INDEX(TABLACONSOLIDADA[Inv Fís Act],MATCH("AGROINSUMOScentralPROPIA"&amp;Tabla_Buffers_Agroinsumos[[#This Row],[CODIGO ]],TABLACONSOLIDADA[Bodega]&amp;TABLACONSOLIDADA[Codigo],0)),"")</f>
        <v>0</v>
      </c>
      <c r="AU110" s="157">
        <f t="array" ref="AU11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1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10" s="134">
        <f>IFERROR(SUM(Tabla_Buffers_Agroinsumos[[#This Row],[P-MP]:[P-VL]]),"")</f>
        <v>0</v>
      </c>
      <c r="AX110" s="92">
        <f>IFERROR(Tabla_Buffers_Agroinsumos[[#This Row],[INV FIS PROPIA]]-Tabla_Buffers_Agroinsumos[[#This Row],[BUFFER PROPIA]],"")</f>
        <v>-30</v>
      </c>
      <c r="AY11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</v>
      </c>
      <c r="AZ110" s="134"/>
      <c r="BA110" s="134"/>
      <c r="BB110" s="134"/>
      <c r="BC110" s="134"/>
      <c r="BD110" s="134"/>
      <c r="BE110" s="134"/>
      <c r="BF110" s="134"/>
      <c r="BG110" s="134"/>
      <c r="BH110" s="134"/>
      <c r="BI110" s="91" t="str">
        <f t="array" ref="BI110">IFERROR(INDEX(TABLACONSOLIDADA[Buff Act],MATCH("AGROINSUMOSSTODOMINGO"&amp;Tabla_Buffers_Agroinsumos[[#This Row],[CODIGO ]],TABLACONSOLIDADA[Bodega]&amp;TABLACONSOLIDADA[Codigo],0)),"")</f>
        <v/>
      </c>
      <c r="BJ110" s="157" t="str">
        <f t="array" ref="BJ110">IFERROR(INDEX(TABLACONSOLIDADA[Inv Fís Act],MATCH("AGROINSUMOSSTODOMINGO"&amp;Tabla_Buffers_Agroinsumos[[#This Row],[CODIGO ]],TABLACONSOLIDADA[Bodega]&amp;TABLACONSOLIDADA[Codigo],0)),"")</f>
        <v/>
      </c>
      <c r="BK110" s="157" t="str">
        <f t="array" ref="BK11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1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10" s="91">
        <f>IFERROR(SUM(Tabla_Buffers_Agroinsumos[[#This Row],[SD-MP]:[SD-VL]]),"")</f>
        <v>0</v>
      </c>
      <c r="BN110" s="92"/>
      <c r="BO110" s="92"/>
      <c r="BP110" s="134"/>
      <c r="BQ110" s="134"/>
      <c r="BR110" s="134"/>
      <c r="BS110" s="134"/>
      <c r="BT110" s="134"/>
      <c r="BU110" s="134"/>
      <c r="BV110" s="134"/>
      <c r="BW110" s="134"/>
      <c r="BX110" s="134"/>
      <c r="BY110" s="134">
        <f t="array" ref="BY110">IFERROR(INDEX(TABLACONSOLIDADA[Buff Act],MATCH("AGROINSUMOSMONCAYOLOPEZ"&amp;Tabla_Buffers_Agroinsumos[[#This Row],[CODIGO ]],TABLACONSOLIDADA[Bodega]&amp;TABLACONSOLIDADA[Codigo],0)),"")</f>
        <v>0</v>
      </c>
      <c r="BZ110" s="157">
        <f t="array" ref="BZ110">IFERROR(INDEX(TABLACONSOLIDADA[Inv Fís Act],MATCH("AGROINSUMOSMONCAYOLOPEZ"&amp;Tabla_Buffers_Agroinsumos[[#This Row],[CODIGO ]],TABLACONSOLIDADA[Bodega]&amp;TABLACONSOLIDADA[Codigo],0)),"")</f>
        <v>0</v>
      </c>
      <c r="CA110" s="157">
        <f t="array" ref="CA11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1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10" s="134">
        <f>IFERROR(SUM(Tabla_Buffers_Agroinsumos[[#This Row],[ML-MP]:[ML-VL]]),"")</f>
        <v>0</v>
      </c>
      <c r="CD110" s="92">
        <f>IFERROR(Tabla_Buffers_Agroinsumos[[#This Row],[INV FIS ML]]-Tabla_Buffers_Agroinsumos[[#This Row],[BUFFER ML]],"")</f>
        <v>0</v>
      </c>
      <c r="CE11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10" s="134"/>
      <c r="CG110" s="134"/>
      <c r="CH110" s="134"/>
      <c r="CI110" s="134"/>
      <c r="CJ110" s="134"/>
      <c r="CK110" s="134"/>
      <c r="CL110" s="134"/>
      <c r="CM110" s="134"/>
      <c r="CN110" s="134"/>
      <c r="CO110" s="134">
        <f t="array" ref="CO110">IFERROR(INDEX(TABLACONSOLIDADA[Buff Act],MATCH("AGROINSUMOSAGROHERMANOSLEON"&amp;Tabla_Buffers_Agroinsumos[[#This Row],[CODIGO ]],TABLACONSOLIDADA[Bodega]&amp;TABLACONSOLIDADA[Codigo],0)),"")</f>
        <v>0</v>
      </c>
      <c r="CP110" s="157">
        <f t="array" ref="CP110">IFERROR(INDEX(TABLACONSOLIDADA[Inv Fís Act],MATCH("AGROINSUMOSAGROHERMANOSLEON"&amp;Tabla_Buffers_Agroinsumos[[#This Row],[CODIGO ]],TABLACONSOLIDADA[Bodega]&amp;TABLACONSOLIDADA[Codigo],0)),"")</f>
        <v>0</v>
      </c>
      <c r="CQ110" s="157">
        <f t="array" ref="CQ11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1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10" s="134">
        <f>IFERROR(SUM(Tabla_Buffers_Agroinsumos[[#This Row],[AL-MP]:[AL-VL]]),"")</f>
        <v>0</v>
      </c>
      <c r="CT110" s="92">
        <f>IFERROR(Tabla_Buffers_Agroinsumos[[#This Row],[INV FIS AL]]-Tabla_Buffers_Agroinsumos[[#This Row],[BUFFER AL]],"")</f>
        <v>0</v>
      </c>
      <c r="CU110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10" s="134"/>
      <c r="CW110" s="134"/>
      <c r="CX110" s="134"/>
      <c r="CY110" s="134"/>
      <c r="CZ110" s="134"/>
      <c r="DA110" s="134"/>
      <c r="DB110" s="134"/>
      <c r="DC110" s="134"/>
      <c r="DD110" s="134"/>
      <c r="DE110" s="134">
        <f t="array" ref="DE110">IFERROR(INDEX(TABLACONSOLIDADA[Buff Act],MATCH("AGROINSUMOSAGRONUEVO"&amp;Tabla_Buffers_Agroinsumos[[#This Row],[CODIGO ]],TABLACONSOLIDADA[Bodega]&amp;TABLACONSOLIDADA[Codigo],0)),"")</f>
        <v>0</v>
      </c>
      <c r="DF110" s="157">
        <f t="array" ref="DF110">IFERROR(INDEX(TABLACONSOLIDADA[Inv Fís Act],MATCH("AGROINSUMOSAGRONUEVO"&amp;Tabla_Buffers_Agroinsumos[[#This Row],[CODIGO ]],TABLACONSOLIDADA[Bodega]&amp;TABLACONSOLIDADA[Codigo],0)),"")</f>
        <v>0</v>
      </c>
      <c r="DG110" s="157">
        <f t="array" ref="DG11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1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10" s="134">
        <f>IFERROR(SUM(Tabla_Buffers_Agroinsumos[[#This Row],[AN-MP]:[AN-VL]]),"")</f>
        <v>0</v>
      </c>
      <c r="DJ110" s="92">
        <f>IFERROR(Tabla_Buffers_Agroinsumos[[#This Row],[INV FIS AN]]-Tabla_Buffers_Agroinsumos[[#This Row],[BUFFER AN]],"")</f>
        <v>0</v>
      </c>
      <c r="DK11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10" s="134"/>
      <c r="DM110" s="134"/>
      <c r="DN110" s="134"/>
      <c r="DO110" s="134"/>
      <c r="DP110" s="134"/>
      <c r="DQ110" s="134"/>
      <c r="DR110" s="134"/>
      <c r="DS110" s="134"/>
      <c r="DT110" s="134"/>
      <c r="DU110" s="134">
        <f t="array" ref="DU110">IFERROR(INDEX(TABLACONSOLIDADA[Buff Act],MATCH("AGROINSUMOSAGROQUIMICOSSUR"&amp;Tabla_Buffers_Agroinsumos[[#This Row],[CODIGO ]],TABLACONSOLIDADA[Bodega]&amp;TABLACONSOLIDADA[Codigo],0)),"")</f>
        <v>0</v>
      </c>
      <c r="DV110" s="157">
        <f t="array" ref="DV110">IFERROR(INDEX(TABLACONSOLIDADA[Inv Fís Act],MATCH("AGROINSUMOSAGROQUIMICOSSUR"&amp;Tabla_Buffers_Agroinsumos[[#This Row],[CODIGO ]],TABLACONSOLIDADA[Bodega]&amp;TABLACONSOLIDADA[Codigo],0)),"")</f>
        <v>0</v>
      </c>
      <c r="DW110" s="157">
        <f t="array" ref="DW11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1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10" s="134">
        <f>IFERROR(SUM(Tabla_Buffers_Agroinsumos[[#This Row],[AS-MP]:[AS-VL]]),"")</f>
        <v>0</v>
      </c>
      <c r="DZ110" s="92">
        <f>IFERROR(Tabla_Buffers_Agroinsumos[[#This Row],[INV FIS AS]]-Tabla_Buffers_Agroinsumos[[#This Row],[BUFFER AS]],"")</f>
        <v>0</v>
      </c>
      <c r="EA11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10" s="134"/>
      <c r="EC110" s="134"/>
      <c r="ED110" s="134"/>
      <c r="EE110" s="134"/>
      <c r="EF110" s="134"/>
      <c r="EG110" s="134"/>
      <c r="EH110" s="134"/>
      <c r="EI110" s="134"/>
      <c r="EJ110" s="134"/>
      <c r="EK110" s="134">
        <f t="array" ref="EK110">IFERROR(INDEX(TABLACONSOLIDADA[Buff Act],MATCH("AGROINSUMOSLAFINCA"&amp;Tabla_Buffers_Agroinsumos[[#This Row],[CODIGO ]],TABLACONSOLIDADA[Bodega]&amp;TABLACONSOLIDADA[Codigo],0)),"")</f>
        <v>0</v>
      </c>
      <c r="EL110" s="157">
        <f t="array" ref="EL110">IFERROR(INDEX(TABLACONSOLIDADA[Inv Fís Act],MATCH("AGROINSUMOSLAFINCA"&amp;Tabla_Buffers_Agroinsumos[[#This Row],[CODIGO ]],TABLACONSOLIDADA[Bodega]&amp;TABLACONSOLIDADA[Codigo],0)),"")</f>
        <v>0</v>
      </c>
      <c r="EM110" s="157">
        <f t="array" ref="EM11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1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10" s="134">
        <f>IFERROR(SUM(Tabla_Buffers_Agroinsumos[[#This Row],[LF-MP]:[LF-VL]]),"")</f>
        <v>0</v>
      </c>
      <c r="EP110" s="92">
        <f>IFERROR(Tabla_Buffers_Agroinsumos[[#This Row],[INV FIS LF]]-Tabla_Buffers_Agroinsumos[[#This Row],[BUFFER LF]],"")</f>
        <v>0</v>
      </c>
      <c r="EQ110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10" s="134"/>
      <c r="ES110" s="134"/>
      <c r="ET110" s="134"/>
      <c r="EU110" s="134"/>
      <c r="EV110" s="134"/>
      <c r="EW110" s="134"/>
      <c r="EX110" s="134"/>
      <c r="EY110" s="134"/>
      <c r="EZ110" s="134"/>
      <c r="FA110" s="134">
        <f t="array" ref="FA110">IFERROR(INDEX(TABLACONSOLIDADA[Buff Act],MATCH("AGROINSUMOSVERONICALEDESMA"&amp;Tabla_Buffers_Agroinsumos[[#This Row],[CODIGO ]],TABLACONSOLIDADA[Bodega]&amp;TABLACONSOLIDADA[Codigo],0)),"")</f>
        <v>0</v>
      </c>
      <c r="FB110" s="157">
        <f t="array" ref="FB110">IFERROR(INDEX(TABLACONSOLIDADA[Inv Fís Act],MATCH("AGROINSUMOSVERONICALEDESMA"&amp;Tabla_Buffers_Agroinsumos[[#This Row],[CODIGO ]],TABLACONSOLIDADA[Bodega]&amp;TABLACONSOLIDADA[Codigo],0)),"")</f>
        <v>0</v>
      </c>
      <c r="FC110" s="157">
        <f t="array" ref="FC11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11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10" s="134">
        <f>IFERROR(SUM(Tabla_Buffers_Agroinsumos[[#This Row],[VL-MP]:[VL-LF]]),"")</f>
        <v>0</v>
      </c>
      <c r="FF110" s="92">
        <f>IFERROR(Tabla_Buffers_Agroinsumos[[#This Row],[INV FIS VL]]-Tabla_Buffers_Agroinsumos[[#This Row],[BUFFER VL]],"")</f>
        <v>0</v>
      </c>
      <c r="FG11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110" s="134"/>
      <c r="FI110" s="134"/>
      <c r="FJ110" s="134"/>
      <c r="FK110" s="134"/>
      <c r="FL110" s="134"/>
      <c r="FM110" s="134"/>
      <c r="FN110" s="134"/>
      <c r="FO110" s="134"/>
      <c r="FP110" s="134"/>
    </row>
    <row r="111" spans="1:172">
      <c r="A111" s="7" t="s">
        <v>207</v>
      </c>
      <c r="B111" s="7" t="s">
        <v>208</v>
      </c>
      <c r="C111" s="7" t="s">
        <v>174</v>
      </c>
      <c r="D111" s="7" t="s">
        <v>718</v>
      </c>
      <c r="E111" s="7" t="s">
        <v>863</v>
      </c>
      <c r="F111" s="19" t="s">
        <v>807</v>
      </c>
      <c r="G111" s="19" t="s">
        <v>802</v>
      </c>
      <c r="H111" s="19">
        <f>VLOOKUP(Tabla_Buffers_Agroinsumos[[#This Row],[CODIGO ]],TABLACONSOLIDADA[[Codigo]:[PV]],6,0)</f>
        <v>0</v>
      </c>
      <c r="I111" s="19">
        <f>VLOOKUP(Tabla_Buffers_Agroinsumos[[#This Row],[CODIGO ]],TABLACONSOLIDADA[[Codigo]:[PV]],5,0)</f>
        <v>0.85</v>
      </c>
      <c r="J111" s="19">
        <v>24</v>
      </c>
      <c r="K111" s="19">
        <v>6</v>
      </c>
      <c r="L111" s="19">
        <f>IFERROR(Tabla_Buffers_Agroinsumos[[#This Row],[BUFFER CENTRAL]]/((Tabla_Buffers_Agroinsumos[[#This Row],[TIEMPO REPOSICION ]]/Tabla_Buffers_Agroinsumos[[#This Row],[FRECUENCIA]])+1),0)</f>
        <v>0</v>
      </c>
      <c r="M111" s="19">
        <f t="array" ref="M111">IFERROR(INDEX(TABLACONSOLIDADA[Buff Act],MATCH("AGROINSUMOSMATERIAPRIMA"&amp;Tabla_Buffers_Agroinsumos[[#This Row],[CODIGO ]],TABLACONSOLIDADA[Bodega]&amp;TABLACONSOLIDADA[Codigo],0)),"")</f>
        <v>0</v>
      </c>
      <c r="N111" s="157">
        <f t="array" ref="N111">IFERROR(INDEX(TABLACONSOLIDADA[Inv Fís Act],MATCH("AGROINSUMOSMATERIAPRIMA"&amp;Tabla_Buffers_Agroinsumos[[#This Row],[CODIGO ]],TABLACONSOLIDADA[Bodega]&amp;TABLACONSOLIDADA[Codigo],0)),"")</f>
        <v>0</v>
      </c>
      <c r="O111" s="157">
        <f t="array" ref="O11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11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11" s="19">
        <f>IFERROR(SUM(Tabla_Buffers_Agroinsumos[[#This Row],[MP-C]:[MP-VL]]),"")</f>
        <v>0</v>
      </c>
      <c r="R111" s="92">
        <f>IFERROR(Tabla_Buffers_Agroinsumos[[#This Row],[INV FIS MATERIA PRIMA]]-Tabla_Buffers_Agroinsumos[[#This Row],[BUFFER MATERIA PRIMA]],"")</f>
        <v>0</v>
      </c>
      <c r="S11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111" s="19"/>
      <c r="U111" s="19"/>
      <c r="V111" s="19"/>
      <c r="W111" s="19"/>
      <c r="X111" s="19"/>
      <c r="Y111" s="19"/>
      <c r="Z111" s="19"/>
      <c r="AA111" s="19"/>
      <c r="AB111" s="19"/>
      <c r="AC111" s="152" t="str">
        <f t="array" ref="AC111">IFERROR(INDEX(TABLACONSOLIDADA[Buff Act],MATCH("AGROINSUMOSCENTRAL"&amp;Tabla_Buffers_Agroinsumos[[#This Row],[CODIGO ]],TABLACONSOLIDADA[Bodega]&amp;TABLACONSOLIDADA[Codigo],0)),"")</f>
        <v/>
      </c>
      <c r="AD111" s="157" t="str">
        <f t="array" ref="AD111">IFERROR(INDEX(TABLACONSOLIDADA[Inv Fís Act],MATCH("AGROINSUMOSCENTRAL"&amp;Tabla_Buffers_Agroinsumos[[#This Row],[CODIGO ]],TABLACONSOLIDADA[Bodega]&amp;TABLACONSOLIDADA[Codigo],0)),"")</f>
        <v/>
      </c>
      <c r="AE111" s="157" t="str">
        <f t="array" ref="AE11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1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11" s="91">
        <f>IFERROR(SUM(Tabla_Buffers_Agroinsumos[[#This Row],[C-MP]:[C-VL]]),"")</f>
        <v>0</v>
      </c>
      <c r="AH111" s="92" t="str">
        <f>IFERROR(Tabla_Buffers_Agroinsumos[[#This Row],[INV FIS CENTRAL]]-Tabla_Buffers_Agroinsumos[[#This Row],[BUFFER CENTRAL]],"")</f>
        <v/>
      </c>
      <c r="AI11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11" s="134"/>
      <c r="AK111" s="134"/>
      <c r="AL111" s="134"/>
      <c r="AM111" s="134"/>
      <c r="AN111" s="134"/>
      <c r="AO111" s="134"/>
      <c r="AP111" s="134"/>
      <c r="AQ111" s="134"/>
      <c r="AR111" s="134"/>
      <c r="AS111" s="134" t="str">
        <f t="array" ref="AS111">IFERROR(INDEX(TABLACONSOLIDADA[Buff Act],MATCH("AGROINSUMOScentralPROPIA"&amp;Tabla_Buffers_Agroinsumos[[#This Row],[CODIGO ]],TABLACONSOLIDADA[Bodega]&amp;TABLACONSOLIDADA[Codigo],0)),"")</f>
        <v/>
      </c>
      <c r="AT111" s="157" t="str">
        <f t="array" ref="AT111">IFERROR(INDEX(TABLACONSOLIDADA[Inv Fís Act],MATCH("AGROINSUMOScentralPROPIA"&amp;Tabla_Buffers_Agroinsumos[[#This Row],[CODIGO ]],TABLACONSOLIDADA[Bodega]&amp;TABLACONSOLIDADA[Codigo],0)),"")</f>
        <v/>
      </c>
      <c r="AU111" s="157" t="str">
        <f t="array" ref="AU11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1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11" s="134">
        <f>IFERROR(SUM(Tabla_Buffers_Agroinsumos[[#This Row],[P-MP]:[P-VL]]),"")</f>
        <v>0</v>
      </c>
      <c r="AX111" s="92" t="str">
        <f>IFERROR(Tabla_Buffers_Agroinsumos[[#This Row],[INV FIS PROPIA]]-Tabla_Buffers_Agroinsumos[[#This Row],[BUFFER PROPIA]],"")</f>
        <v/>
      </c>
      <c r="AY11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11" s="134"/>
      <c r="BA111" s="134"/>
      <c r="BB111" s="134"/>
      <c r="BC111" s="134"/>
      <c r="BD111" s="134"/>
      <c r="BE111" s="134"/>
      <c r="BF111" s="134"/>
      <c r="BG111" s="134"/>
      <c r="BH111" s="134"/>
      <c r="BI111" s="91" t="str">
        <f t="array" ref="BI111">IFERROR(INDEX(TABLACONSOLIDADA[Buff Act],MATCH("AGROINSUMOSSTODOMINGO"&amp;Tabla_Buffers_Agroinsumos[[#This Row],[CODIGO ]],TABLACONSOLIDADA[Bodega]&amp;TABLACONSOLIDADA[Codigo],0)),"")</f>
        <v/>
      </c>
      <c r="BJ111" s="157" t="str">
        <f t="array" ref="BJ111">IFERROR(INDEX(TABLACONSOLIDADA[Inv Fís Act],MATCH("AGROINSUMOSSTODOMINGO"&amp;Tabla_Buffers_Agroinsumos[[#This Row],[CODIGO ]],TABLACONSOLIDADA[Bodega]&amp;TABLACONSOLIDADA[Codigo],0)),"")</f>
        <v/>
      </c>
      <c r="BK111" s="157" t="str">
        <f t="array" ref="BK11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1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11" s="91">
        <f>IFERROR(SUM(Tabla_Buffers_Agroinsumos[[#This Row],[SD-MP]:[SD-VL]]),"")</f>
        <v>0</v>
      </c>
      <c r="BN111" s="92"/>
      <c r="BO111" s="92"/>
      <c r="BP111" s="134"/>
      <c r="BQ111" s="134"/>
      <c r="BR111" s="134"/>
      <c r="BS111" s="134"/>
      <c r="BT111" s="134"/>
      <c r="BU111" s="134"/>
      <c r="BV111" s="134"/>
      <c r="BW111" s="134"/>
      <c r="BX111" s="134"/>
      <c r="BY111" s="134" t="str">
        <f t="array" ref="BY111">IFERROR(INDEX(TABLACONSOLIDADA[Buff Act],MATCH("AGROINSUMOSMONCAYOLOPEZ"&amp;Tabla_Buffers_Agroinsumos[[#This Row],[CODIGO ]],TABLACONSOLIDADA[Bodega]&amp;TABLACONSOLIDADA[Codigo],0)),"")</f>
        <v/>
      </c>
      <c r="BZ111" s="157" t="str">
        <f t="array" ref="BZ111">IFERROR(INDEX(TABLACONSOLIDADA[Inv Fís Act],MATCH("AGROINSUMOSMONCAYOLOPEZ"&amp;Tabla_Buffers_Agroinsumos[[#This Row],[CODIGO ]],TABLACONSOLIDADA[Bodega]&amp;TABLACONSOLIDADA[Codigo],0)),"")</f>
        <v/>
      </c>
      <c r="CA111" s="157" t="str">
        <f t="array" ref="CA11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1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11" s="134">
        <f>IFERROR(SUM(Tabla_Buffers_Agroinsumos[[#This Row],[ML-MP]:[ML-VL]]),"")</f>
        <v>0</v>
      </c>
      <c r="CD111" s="92" t="str">
        <f>IFERROR(Tabla_Buffers_Agroinsumos[[#This Row],[INV FIS ML]]-Tabla_Buffers_Agroinsumos[[#This Row],[BUFFER ML]],"")</f>
        <v/>
      </c>
      <c r="CE11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11" s="134"/>
      <c r="CG111" s="134"/>
      <c r="CH111" s="134"/>
      <c r="CI111" s="134"/>
      <c r="CJ111" s="134"/>
      <c r="CK111" s="134"/>
      <c r="CL111" s="134"/>
      <c r="CM111" s="134"/>
      <c r="CN111" s="134"/>
      <c r="CO111" s="134" t="str">
        <f t="array" ref="CO111">IFERROR(INDEX(TABLACONSOLIDADA[Buff Act],MATCH("AGROINSUMOSAGROHERMANOSLEON"&amp;Tabla_Buffers_Agroinsumos[[#This Row],[CODIGO ]],TABLACONSOLIDADA[Bodega]&amp;TABLACONSOLIDADA[Codigo],0)),"")</f>
        <v/>
      </c>
      <c r="CP111" s="157" t="str">
        <f t="array" ref="CP111">IFERROR(INDEX(TABLACONSOLIDADA[Inv Fís Act],MATCH("AGROINSUMOSAGROHERMANOSLEON"&amp;Tabla_Buffers_Agroinsumos[[#This Row],[CODIGO ]],TABLACONSOLIDADA[Bodega]&amp;TABLACONSOLIDADA[Codigo],0)),"")</f>
        <v/>
      </c>
      <c r="CQ111" s="157" t="str">
        <f t="array" ref="CQ11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1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11" s="134">
        <f>IFERROR(SUM(Tabla_Buffers_Agroinsumos[[#This Row],[AL-MP]:[AL-VL]]),"")</f>
        <v>0</v>
      </c>
      <c r="CT111" s="92" t="str">
        <f>IFERROR(Tabla_Buffers_Agroinsumos[[#This Row],[INV FIS AL]]-Tabla_Buffers_Agroinsumos[[#This Row],[BUFFER AL]],"")</f>
        <v/>
      </c>
      <c r="CU11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11" s="134"/>
      <c r="CW111" s="134"/>
      <c r="CX111" s="134"/>
      <c r="CY111" s="134"/>
      <c r="CZ111" s="134"/>
      <c r="DA111" s="134"/>
      <c r="DB111" s="134"/>
      <c r="DC111" s="134"/>
      <c r="DD111" s="134"/>
      <c r="DE111" s="134" t="str">
        <f t="array" ref="DE111">IFERROR(INDEX(TABLACONSOLIDADA[Buff Act],MATCH("AGROINSUMOSAGRONUEVO"&amp;Tabla_Buffers_Agroinsumos[[#This Row],[CODIGO ]],TABLACONSOLIDADA[Bodega]&amp;TABLACONSOLIDADA[Codigo],0)),"")</f>
        <v/>
      </c>
      <c r="DF111" s="157" t="str">
        <f t="array" ref="DF111">IFERROR(INDEX(TABLACONSOLIDADA[Inv Fís Act],MATCH("AGROINSUMOSAGRONUEVO"&amp;Tabla_Buffers_Agroinsumos[[#This Row],[CODIGO ]],TABLACONSOLIDADA[Bodega]&amp;TABLACONSOLIDADA[Codigo],0)),"")</f>
        <v/>
      </c>
      <c r="DG111" s="157" t="str">
        <f t="array" ref="DG11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1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11" s="134">
        <f>IFERROR(SUM(Tabla_Buffers_Agroinsumos[[#This Row],[AN-MP]:[AN-VL]]),"")</f>
        <v>0</v>
      </c>
      <c r="DJ111" s="92" t="str">
        <f>IFERROR(Tabla_Buffers_Agroinsumos[[#This Row],[INV FIS AN]]-Tabla_Buffers_Agroinsumos[[#This Row],[BUFFER AN]],"")</f>
        <v/>
      </c>
      <c r="DK11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11" s="134"/>
      <c r="DM111" s="134"/>
      <c r="DN111" s="134"/>
      <c r="DO111" s="134"/>
      <c r="DP111" s="134"/>
      <c r="DQ111" s="134"/>
      <c r="DR111" s="134"/>
      <c r="DS111" s="134"/>
      <c r="DT111" s="134"/>
      <c r="DU111" s="134" t="str">
        <f t="array" ref="DU111">IFERROR(INDEX(TABLACONSOLIDADA[Buff Act],MATCH("AGROINSUMOSAGROQUIMICOSSUR"&amp;Tabla_Buffers_Agroinsumos[[#This Row],[CODIGO ]],TABLACONSOLIDADA[Bodega]&amp;TABLACONSOLIDADA[Codigo],0)),"")</f>
        <v/>
      </c>
      <c r="DV111" s="157" t="str">
        <f t="array" ref="DV111">IFERROR(INDEX(TABLACONSOLIDADA[Inv Fís Act],MATCH("AGROINSUMOSAGROQUIMICOSSUR"&amp;Tabla_Buffers_Agroinsumos[[#This Row],[CODIGO ]],TABLACONSOLIDADA[Bodega]&amp;TABLACONSOLIDADA[Codigo],0)),"")</f>
        <v/>
      </c>
      <c r="DW111" s="157" t="str">
        <f t="array" ref="DW11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1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11" s="134">
        <f>IFERROR(SUM(Tabla_Buffers_Agroinsumos[[#This Row],[AS-MP]:[AS-VL]]),"")</f>
        <v>0</v>
      </c>
      <c r="DZ111" s="92" t="str">
        <f>IFERROR(Tabla_Buffers_Agroinsumos[[#This Row],[INV FIS AS]]-Tabla_Buffers_Agroinsumos[[#This Row],[BUFFER AS]],"")</f>
        <v/>
      </c>
      <c r="EA11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11" s="134"/>
      <c r="EC111" s="134"/>
      <c r="ED111" s="134"/>
      <c r="EE111" s="134"/>
      <c r="EF111" s="134"/>
      <c r="EG111" s="134"/>
      <c r="EH111" s="134"/>
      <c r="EI111" s="134"/>
      <c r="EJ111" s="134"/>
      <c r="EK111" s="134" t="str">
        <f t="array" ref="EK111">IFERROR(INDEX(TABLACONSOLIDADA[Buff Act],MATCH("AGROINSUMOSLAFINCA"&amp;Tabla_Buffers_Agroinsumos[[#This Row],[CODIGO ]],TABLACONSOLIDADA[Bodega]&amp;TABLACONSOLIDADA[Codigo],0)),"")</f>
        <v/>
      </c>
      <c r="EL111" s="157" t="str">
        <f t="array" ref="EL111">IFERROR(INDEX(TABLACONSOLIDADA[Inv Fís Act],MATCH("AGROINSUMOSLAFINCA"&amp;Tabla_Buffers_Agroinsumos[[#This Row],[CODIGO ]],TABLACONSOLIDADA[Bodega]&amp;TABLACONSOLIDADA[Codigo],0)),"")</f>
        <v/>
      </c>
      <c r="EM111" s="157" t="str">
        <f t="array" ref="EM11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1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11" s="134">
        <f>IFERROR(SUM(Tabla_Buffers_Agroinsumos[[#This Row],[LF-MP]:[LF-VL]]),"")</f>
        <v>0</v>
      </c>
      <c r="EP111" s="92" t="str">
        <f>IFERROR(Tabla_Buffers_Agroinsumos[[#This Row],[INV FIS LF]]-Tabla_Buffers_Agroinsumos[[#This Row],[BUFFER LF]],"")</f>
        <v/>
      </c>
      <c r="EQ11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11" s="134"/>
      <c r="ES111" s="134"/>
      <c r="ET111" s="134"/>
      <c r="EU111" s="134"/>
      <c r="EV111" s="134"/>
      <c r="EW111" s="134"/>
      <c r="EX111" s="134"/>
      <c r="EY111" s="134"/>
      <c r="EZ111" s="134"/>
      <c r="FA111" s="134" t="str">
        <f t="array" ref="FA111">IFERROR(INDEX(TABLACONSOLIDADA[Buff Act],MATCH("AGROINSUMOSVERONICALEDESMA"&amp;Tabla_Buffers_Agroinsumos[[#This Row],[CODIGO ]],TABLACONSOLIDADA[Bodega]&amp;TABLACONSOLIDADA[Codigo],0)),"")</f>
        <v/>
      </c>
      <c r="FB111" s="157" t="str">
        <f t="array" ref="FB111">IFERROR(INDEX(TABLACONSOLIDADA[Inv Fís Act],MATCH("AGROINSUMOSVERONICALEDESMA"&amp;Tabla_Buffers_Agroinsumos[[#This Row],[CODIGO ]],TABLACONSOLIDADA[Bodega]&amp;TABLACONSOLIDADA[Codigo],0)),"")</f>
        <v/>
      </c>
      <c r="FC111" s="157" t="str">
        <f t="array" ref="FC11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1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11" s="134">
        <f>IFERROR(SUM(Tabla_Buffers_Agroinsumos[[#This Row],[VL-MP]:[VL-LF]]),"")</f>
        <v>0</v>
      </c>
      <c r="FF111" s="92" t="str">
        <f>IFERROR(Tabla_Buffers_Agroinsumos[[#This Row],[INV FIS VL]]-Tabla_Buffers_Agroinsumos[[#This Row],[BUFFER VL]],"")</f>
        <v/>
      </c>
      <c r="FG11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11" s="134"/>
      <c r="FI111" s="134"/>
      <c r="FJ111" s="134"/>
      <c r="FK111" s="134"/>
      <c r="FL111" s="134"/>
      <c r="FM111" s="134"/>
      <c r="FN111" s="134"/>
      <c r="FO111" s="134"/>
      <c r="FP111" s="134"/>
    </row>
    <row r="112" spans="1:172">
      <c r="A112" s="7" t="s">
        <v>209</v>
      </c>
      <c r="B112" s="7" t="s">
        <v>210</v>
      </c>
      <c r="C112" s="7" t="s">
        <v>709</v>
      </c>
      <c r="D112" s="7" t="s">
        <v>719</v>
      </c>
      <c r="E112" s="7" t="s">
        <v>975</v>
      </c>
      <c r="F112" s="19" t="s">
        <v>698</v>
      </c>
      <c r="G112" s="19" t="s">
        <v>698</v>
      </c>
      <c r="H112" s="19">
        <f>VLOOKUP(Tabla_Buffers_Agroinsumos[[#This Row],[CODIGO ]],TABLACONSOLIDADA[[Codigo]:[PV]],6,0)</f>
        <v>8.9</v>
      </c>
      <c r="I112" s="19">
        <f>VLOOKUP(Tabla_Buffers_Agroinsumos[[#This Row],[CODIGO ]],TABLACONSOLIDADA[[Codigo]:[PV]],5,0)</f>
        <v>2.92</v>
      </c>
      <c r="J112" s="19" t="s">
        <v>698</v>
      </c>
      <c r="K112" s="19" t="s">
        <v>698</v>
      </c>
      <c r="L112" s="19">
        <f>IFERROR(Tabla_Buffers_Agroinsumos[[#This Row],[BUFFER CENTRAL]]/((Tabla_Buffers_Agroinsumos[[#This Row],[TIEMPO REPOSICION ]]/Tabla_Buffers_Agroinsumos[[#This Row],[FRECUENCIA]])+1),0)</f>
        <v>0</v>
      </c>
      <c r="M112" s="19" t="str">
        <f t="array" ref="M112">IFERROR(INDEX(TABLACONSOLIDADA[Buff Act],MATCH("AGROINSUMOSMATERIAPRIMA"&amp;Tabla_Buffers_Agroinsumos[[#This Row],[CODIGO ]],TABLACONSOLIDADA[Bodega]&amp;TABLACONSOLIDADA[Codigo],0)),"")</f>
        <v/>
      </c>
      <c r="N112" s="157" t="str">
        <f t="array" ref="N112">IFERROR(INDEX(TABLACONSOLIDADA[Inv Fís Act],MATCH("AGROINSUMOSMATERIAPRIMA"&amp;Tabla_Buffers_Agroinsumos[[#This Row],[CODIGO ]],TABLACONSOLIDADA[Bodega]&amp;TABLACONSOLIDADA[Codigo],0)),"")</f>
        <v/>
      </c>
      <c r="O112" s="157" t="str">
        <f t="array" ref="O11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1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12" s="19">
        <f>IFERROR(SUM(Tabla_Buffers_Agroinsumos[[#This Row],[MP-C]:[MP-VL]]),"")</f>
        <v>0</v>
      </c>
      <c r="R112" s="92" t="str">
        <f>IFERROR(Tabla_Buffers_Agroinsumos[[#This Row],[INV FIS MATERIA PRIMA]]-Tabla_Buffers_Agroinsumos[[#This Row],[BUFFER MATERIA PRIMA]],"")</f>
        <v/>
      </c>
      <c r="S112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12" s="19"/>
      <c r="U112" s="19"/>
      <c r="V112" s="19"/>
      <c r="W112" s="19"/>
      <c r="X112" s="19"/>
      <c r="Y112" s="19"/>
      <c r="Z112" s="19"/>
      <c r="AA112" s="19"/>
      <c r="AB112" s="19"/>
      <c r="AC112" s="152">
        <f t="array" ref="AC112">IFERROR(INDEX(TABLACONSOLIDADA[Buff Act],MATCH("AGROINSUMOSCENTRAL"&amp;Tabla_Buffers_Agroinsumos[[#This Row],[CODIGO ]],TABLACONSOLIDADA[Bodega]&amp;TABLACONSOLIDADA[Codigo],0)),"")</f>
        <v>0</v>
      </c>
      <c r="AD112" s="157">
        <f t="array" ref="AD112">IFERROR(INDEX(TABLACONSOLIDADA[Inv Fís Act],MATCH("AGROINSUMOSCENTRAL"&amp;Tabla_Buffers_Agroinsumos[[#This Row],[CODIGO ]],TABLACONSOLIDADA[Bodega]&amp;TABLACONSOLIDADA[Codigo],0)),"")</f>
        <v>0</v>
      </c>
      <c r="AE112" s="157">
        <f t="array" ref="AE11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11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12" s="91">
        <f>IFERROR(SUM(Tabla_Buffers_Agroinsumos[[#This Row],[C-MP]:[C-VL]]),"")</f>
        <v>0</v>
      </c>
      <c r="AH112" s="92">
        <f>IFERROR(Tabla_Buffers_Agroinsumos[[#This Row],[INV FIS CENTRAL]]-Tabla_Buffers_Agroinsumos[[#This Row],[BUFFER CENTRAL]],"")</f>
        <v>0</v>
      </c>
      <c r="AI112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112" s="134"/>
      <c r="AK112" s="134"/>
      <c r="AL112" s="134"/>
      <c r="AM112" s="134"/>
      <c r="AN112" s="134"/>
      <c r="AO112" s="134"/>
      <c r="AP112" s="134"/>
      <c r="AQ112" s="134"/>
      <c r="AR112" s="134"/>
      <c r="AS112" s="134">
        <f t="array" ref="AS112">IFERROR(INDEX(TABLACONSOLIDADA[Buff Act],MATCH("AGROINSUMOScentralPROPIA"&amp;Tabla_Buffers_Agroinsumos[[#This Row],[CODIGO ]],TABLACONSOLIDADA[Bodega]&amp;TABLACONSOLIDADA[Codigo],0)),"")</f>
        <v>0</v>
      </c>
      <c r="AT112" s="157">
        <f t="array" ref="AT112">IFERROR(INDEX(TABLACONSOLIDADA[Inv Fís Act],MATCH("AGROINSUMOScentralPROPIA"&amp;Tabla_Buffers_Agroinsumos[[#This Row],[CODIGO ]],TABLACONSOLIDADA[Bodega]&amp;TABLACONSOLIDADA[Codigo],0)),"")</f>
        <v>0</v>
      </c>
      <c r="AU112" s="157">
        <f t="array" ref="AU11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1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12" s="134">
        <f>IFERROR(SUM(Tabla_Buffers_Agroinsumos[[#This Row],[P-MP]:[P-VL]]),"")</f>
        <v>0</v>
      </c>
      <c r="AX112" s="92">
        <f>IFERROR(Tabla_Buffers_Agroinsumos[[#This Row],[INV FIS PROPIA]]-Tabla_Buffers_Agroinsumos[[#This Row],[BUFFER PROPIA]],"")</f>
        <v>0</v>
      </c>
      <c r="AY112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112" s="134"/>
      <c r="BA112" s="134"/>
      <c r="BB112" s="134"/>
      <c r="BC112" s="134"/>
      <c r="BD112" s="134"/>
      <c r="BE112" s="134"/>
      <c r="BF112" s="134"/>
      <c r="BG112" s="134"/>
      <c r="BH112" s="134"/>
      <c r="BI112" s="91">
        <f t="array" ref="BI112">IFERROR(INDEX(TABLACONSOLIDADA[Buff Act],MATCH("AGROINSUMOSSTODOMINGO"&amp;Tabla_Buffers_Agroinsumos[[#This Row],[CODIGO ]],TABLACONSOLIDADA[Bodega]&amp;TABLACONSOLIDADA[Codigo],0)),"")</f>
        <v>0</v>
      </c>
      <c r="BJ112" s="157">
        <f t="array" ref="BJ112">IFERROR(INDEX(TABLACONSOLIDADA[Inv Fís Act],MATCH("AGROINSUMOSSTODOMINGO"&amp;Tabla_Buffers_Agroinsumos[[#This Row],[CODIGO ]],TABLACONSOLIDADA[Bodega]&amp;TABLACONSOLIDADA[Codigo],0)),"")</f>
        <v>0</v>
      </c>
      <c r="BK112" s="157">
        <f t="array" ref="BK11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11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12" s="91">
        <f>IFERROR(SUM(Tabla_Buffers_Agroinsumos[[#This Row],[SD-MP]:[SD-VL]]),"")</f>
        <v>0</v>
      </c>
      <c r="BN112" s="92"/>
      <c r="BO112" s="92"/>
      <c r="BP112" s="134"/>
      <c r="BQ112" s="134"/>
      <c r="BR112" s="134"/>
      <c r="BS112" s="134"/>
      <c r="BT112" s="134"/>
      <c r="BU112" s="134"/>
      <c r="BV112" s="134"/>
      <c r="BW112" s="134"/>
      <c r="BX112" s="134"/>
      <c r="BY112" s="134">
        <f t="array" ref="BY112">IFERROR(INDEX(TABLACONSOLIDADA[Buff Act],MATCH("AGROINSUMOSMONCAYOLOPEZ"&amp;Tabla_Buffers_Agroinsumos[[#This Row],[CODIGO ]],TABLACONSOLIDADA[Bodega]&amp;TABLACONSOLIDADA[Codigo],0)),"")</f>
        <v>0</v>
      </c>
      <c r="BZ112" s="157">
        <f t="array" ref="BZ112">IFERROR(INDEX(TABLACONSOLIDADA[Inv Fís Act],MATCH("AGROINSUMOSMONCAYOLOPEZ"&amp;Tabla_Buffers_Agroinsumos[[#This Row],[CODIGO ]],TABLACONSOLIDADA[Bodega]&amp;TABLACONSOLIDADA[Codigo],0)),"")</f>
        <v>0</v>
      </c>
      <c r="CA112" s="157">
        <f t="array" ref="CA11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1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12" s="134">
        <f>IFERROR(SUM(Tabla_Buffers_Agroinsumos[[#This Row],[ML-MP]:[ML-VL]]),"")</f>
        <v>0</v>
      </c>
      <c r="CD112" s="92">
        <f>IFERROR(Tabla_Buffers_Agroinsumos[[#This Row],[INV FIS ML]]-Tabla_Buffers_Agroinsumos[[#This Row],[BUFFER ML]],"")</f>
        <v>0</v>
      </c>
      <c r="CE112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12" s="134"/>
      <c r="CG112" s="134"/>
      <c r="CH112" s="134"/>
      <c r="CI112" s="134"/>
      <c r="CJ112" s="134"/>
      <c r="CK112" s="134"/>
      <c r="CL112" s="134"/>
      <c r="CM112" s="134"/>
      <c r="CN112" s="134"/>
      <c r="CO112" s="134">
        <f t="array" ref="CO112">IFERROR(INDEX(TABLACONSOLIDADA[Buff Act],MATCH("AGROINSUMOSAGROHERMANOSLEON"&amp;Tabla_Buffers_Agroinsumos[[#This Row],[CODIGO ]],TABLACONSOLIDADA[Bodega]&amp;TABLACONSOLIDADA[Codigo],0)),"")</f>
        <v>0</v>
      </c>
      <c r="CP112" s="157">
        <f t="array" ref="CP112">IFERROR(INDEX(TABLACONSOLIDADA[Inv Fís Act],MATCH("AGROINSUMOSAGROHERMANOSLEON"&amp;Tabla_Buffers_Agroinsumos[[#This Row],[CODIGO ]],TABLACONSOLIDADA[Bodega]&amp;TABLACONSOLIDADA[Codigo],0)),"")</f>
        <v>0</v>
      </c>
      <c r="CQ112" s="157">
        <f t="array" ref="CQ11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1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12" s="134">
        <f>IFERROR(SUM(Tabla_Buffers_Agroinsumos[[#This Row],[AL-MP]:[AL-VL]]),"")</f>
        <v>0</v>
      </c>
      <c r="CT112" s="92">
        <f>IFERROR(Tabla_Buffers_Agroinsumos[[#This Row],[INV FIS AL]]-Tabla_Buffers_Agroinsumos[[#This Row],[BUFFER AL]],"")</f>
        <v>0</v>
      </c>
      <c r="CU112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12" s="134"/>
      <c r="CW112" s="134"/>
      <c r="CX112" s="134"/>
      <c r="CY112" s="134"/>
      <c r="CZ112" s="134"/>
      <c r="DA112" s="134"/>
      <c r="DB112" s="134"/>
      <c r="DC112" s="134"/>
      <c r="DD112" s="134"/>
      <c r="DE112" s="134">
        <f t="array" ref="DE112">IFERROR(INDEX(TABLACONSOLIDADA[Buff Act],MATCH("AGROINSUMOSAGRONUEVO"&amp;Tabla_Buffers_Agroinsumos[[#This Row],[CODIGO ]],TABLACONSOLIDADA[Bodega]&amp;TABLACONSOLIDADA[Codigo],0)),"")</f>
        <v>0</v>
      </c>
      <c r="DF112" s="157">
        <f t="array" ref="DF112">IFERROR(INDEX(TABLACONSOLIDADA[Inv Fís Act],MATCH("AGROINSUMOSAGRONUEVO"&amp;Tabla_Buffers_Agroinsumos[[#This Row],[CODIGO ]],TABLACONSOLIDADA[Bodega]&amp;TABLACONSOLIDADA[Codigo],0)),"")</f>
        <v>0</v>
      </c>
      <c r="DG112" s="157">
        <f t="array" ref="DG11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1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12" s="134">
        <f>IFERROR(SUM(Tabla_Buffers_Agroinsumos[[#This Row],[AN-MP]:[AN-VL]]),"")</f>
        <v>0</v>
      </c>
      <c r="DJ112" s="92">
        <f>IFERROR(Tabla_Buffers_Agroinsumos[[#This Row],[INV FIS AN]]-Tabla_Buffers_Agroinsumos[[#This Row],[BUFFER AN]],"")</f>
        <v>0</v>
      </c>
      <c r="DK112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12" s="134"/>
      <c r="DM112" s="134"/>
      <c r="DN112" s="134"/>
      <c r="DO112" s="134"/>
      <c r="DP112" s="134"/>
      <c r="DQ112" s="134"/>
      <c r="DR112" s="134"/>
      <c r="DS112" s="134"/>
      <c r="DT112" s="134"/>
      <c r="DU112" s="134">
        <f t="array" ref="DU112">IFERROR(INDEX(TABLACONSOLIDADA[Buff Act],MATCH("AGROINSUMOSAGROQUIMICOSSUR"&amp;Tabla_Buffers_Agroinsumos[[#This Row],[CODIGO ]],TABLACONSOLIDADA[Bodega]&amp;TABLACONSOLIDADA[Codigo],0)),"")</f>
        <v>0</v>
      </c>
      <c r="DV112" s="157">
        <f t="array" ref="DV112">IFERROR(INDEX(TABLACONSOLIDADA[Inv Fís Act],MATCH("AGROINSUMOSAGROQUIMICOSSUR"&amp;Tabla_Buffers_Agroinsumos[[#This Row],[CODIGO ]],TABLACONSOLIDADA[Bodega]&amp;TABLACONSOLIDADA[Codigo],0)),"")</f>
        <v>0</v>
      </c>
      <c r="DW112" s="157">
        <f t="array" ref="DW11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1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12" s="134">
        <f>IFERROR(SUM(Tabla_Buffers_Agroinsumos[[#This Row],[AS-MP]:[AS-VL]]),"")</f>
        <v>0</v>
      </c>
      <c r="DZ112" s="92">
        <f>IFERROR(Tabla_Buffers_Agroinsumos[[#This Row],[INV FIS AS]]-Tabla_Buffers_Agroinsumos[[#This Row],[BUFFER AS]],"")</f>
        <v>0</v>
      </c>
      <c r="EA112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12" s="134"/>
      <c r="EC112" s="134"/>
      <c r="ED112" s="134"/>
      <c r="EE112" s="134"/>
      <c r="EF112" s="134"/>
      <c r="EG112" s="134"/>
      <c r="EH112" s="134"/>
      <c r="EI112" s="134"/>
      <c r="EJ112" s="134"/>
      <c r="EK112" s="134">
        <f t="array" ref="EK112">IFERROR(INDEX(TABLACONSOLIDADA[Buff Act],MATCH("AGROINSUMOSLAFINCA"&amp;Tabla_Buffers_Agroinsumos[[#This Row],[CODIGO ]],TABLACONSOLIDADA[Bodega]&amp;TABLACONSOLIDADA[Codigo],0)),"")</f>
        <v>0</v>
      </c>
      <c r="EL112" s="157">
        <f t="array" ref="EL112">IFERROR(INDEX(TABLACONSOLIDADA[Inv Fís Act],MATCH("AGROINSUMOSLAFINCA"&amp;Tabla_Buffers_Agroinsumos[[#This Row],[CODIGO ]],TABLACONSOLIDADA[Bodega]&amp;TABLACONSOLIDADA[Codigo],0)),"")</f>
        <v>0</v>
      </c>
      <c r="EM112" s="157">
        <f t="array" ref="EM11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1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12" s="134">
        <f>IFERROR(SUM(Tabla_Buffers_Agroinsumos[[#This Row],[LF-MP]:[LF-VL]]),"")</f>
        <v>0</v>
      </c>
      <c r="EP112" s="92">
        <f>IFERROR(Tabla_Buffers_Agroinsumos[[#This Row],[INV FIS LF]]-Tabla_Buffers_Agroinsumos[[#This Row],[BUFFER LF]],"")</f>
        <v>0</v>
      </c>
      <c r="EQ112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12" s="134"/>
      <c r="ES112" s="134"/>
      <c r="ET112" s="134"/>
      <c r="EU112" s="134"/>
      <c r="EV112" s="134"/>
      <c r="EW112" s="134"/>
      <c r="EX112" s="134"/>
      <c r="EY112" s="134"/>
      <c r="EZ112" s="134"/>
      <c r="FA112" s="134">
        <f t="array" ref="FA112">IFERROR(INDEX(TABLACONSOLIDADA[Buff Act],MATCH("AGROINSUMOSVERONICALEDESMA"&amp;Tabla_Buffers_Agroinsumos[[#This Row],[CODIGO ]],TABLACONSOLIDADA[Bodega]&amp;TABLACONSOLIDADA[Codigo],0)),"")</f>
        <v>0</v>
      </c>
      <c r="FB112" s="157">
        <f t="array" ref="FB112">IFERROR(INDEX(TABLACONSOLIDADA[Inv Fís Act],MATCH("AGROINSUMOSVERONICALEDESMA"&amp;Tabla_Buffers_Agroinsumos[[#This Row],[CODIGO ]],TABLACONSOLIDADA[Bodega]&amp;TABLACONSOLIDADA[Codigo],0)),"")</f>
        <v>0</v>
      </c>
      <c r="FC112" s="157">
        <f t="array" ref="FC11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11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12" s="134">
        <f>IFERROR(SUM(Tabla_Buffers_Agroinsumos[[#This Row],[VL-MP]:[VL-LF]]),"")</f>
        <v>0</v>
      </c>
      <c r="FF112" s="92">
        <f>IFERROR(Tabla_Buffers_Agroinsumos[[#This Row],[INV FIS VL]]-Tabla_Buffers_Agroinsumos[[#This Row],[BUFFER VL]],"")</f>
        <v>0</v>
      </c>
      <c r="FG112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112" s="134"/>
      <c r="FI112" s="134"/>
      <c r="FJ112" s="134"/>
      <c r="FK112" s="134"/>
      <c r="FL112" s="134"/>
      <c r="FM112" s="134"/>
      <c r="FN112" s="134"/>
      <c r="FO112" s="134"/>
      <c r="FP112" s="134"/>
    </row>
    <row r="113" spans="1:172">
      <c r="A113" s="7" t="s">
        <v>211</v>
      </c>
      <c r="B113" s="7" t="s">
        <v>212</v>
      </c>
      <c r="C113" s="7" t="s">
        <v>709</v>
      </c>
      <c r="D113" s="7" t="s">
        <v>719</v>
      </c>
      <c r="E113" s="7" t="s">
        <v>975</v>
      </c>
      <c r="F113" s="19" t="s">
        <v>698</v>
      </c>
      <c r="G113" s="19" t="s">
        <v>698</v>
      </c>
      <c r="H113" s="19">
        <f>VLOOKUP(Tabla_Buffers_Agroinsumos[[#This Row],[CODIGO ]],TABLACONSOLIDADA[[Codigo]:[PV]],6,0)</f>
        <v>8.9</v>
      </c>
      <c r="I113" s="19">
        <f>VLOOKUP(Tabla_Buffers_Agroinsumos[[#This Row],[CODIGO ]],TABLACONSOLIDADA[[Codigo]:[PV]],5,0)</f>
        <v>2.79</v>
      </c>
      <c r="J113" s="19" t="s">
        <v>698</v>
      </c>
      <c r="K113" s="19" t="s">
        <v>698</v>
      </c>
      <c r="L113" s="19">
        <f>IFERROR(Tabla_Buffers_Agroinsumos[[#This Row],[BUFFER CENTRAL]]/((Tabla_Buffers_Agroinsumos[[#This Row],[TIEMPO REPOSICION ]]/Tabla_Buffers_Agroinsumos[[#This Row],[FRECUENCIA]])+1),0)</f>
        <v>0</v>
      </c>
      <c r="M113" s="19" t="str">
        <f t="array" ref="M113">IFERROR(INDEX(TABLACONSOLIDADA[Buff Act],MATCH("AGROINSUMOSMATERIAPRIMA"&amp;Tabla_Buffers_Agroinsumos[[#This Row],[CODIGO ]],TABLACONSOLIDADA[Bodega]&amp;TABLACONSOLIDADA[Codigo],0)),"")</f>
        <v/>
      </c>
      <c r="N113" s="157" t="str">
        <f t="array" ref="N113">IFERROR(INDEX(TABLACONSOLIDADA[Inv Fís Act],MATCH("AGROINSUMOSMATERIAPRIMA"&amp;Tabla_Buffers_Agroinsumos[[#This Row],[CODIGO ]],TABLACONSOLIDADA[Bodega]&amp;TABLACONSOLIDADA[Codigo],0)),"")</f>
        <v/>
      </c>
      <c r="O113" s="157" t="str">
        <f t="array" ref="O11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1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13" s="19">
        <f>IFERROR(SUM(Tabla_Buffers_Agroinsumos[[#This Row],[MP-C]:[MP-VL]]),"")</f>
        <v>0</v>
      </c>
      <c r="R113" s="92" t="str">
        <f>IFERROR(Tabla_Buffers_Agroinsumos[[#This Row],[INV FIS MATERIA PRIMA]]-Tabla_Buffers_Agroinsumos[[#This Row],[BUFFER MATERIA PRIMA]],"")</f>
        <v/>
      </c>
      <c r="S11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13" s="19"/>
      <c r="U113" s="19"/>
      <c r="V113" s="19"/>
      <c r="W113" s="19"/>
      <c r="X113" s="19"/>
      <c r="Y113" s="19"/>
      <c r="Z113" s="19"/>
      <c r="AA113" s="19"/>
      <c r="AB113" s="19"/>
      <c r="AC113" s="152">
        <f t="array" ref="AC113">IFERROR(INDEX(TABLACONSOLIDADA[Buff Act],MATCH("AGROINSUMOSCENTRAL"&amp;Tabla_Buffers_Agroinsumos[[#This Row],[CODIGO ]],TABLACONSOLIDADA[Bodega]&amp;TABLACONSOLIDADA[Codigo],0)),"")</f>
        <v>1000</v>
      </c>
      <c r="AD113" s="157">
        <f t="array" ref="AD113">IFERROR(INDEX(TABLACONSOLIDADA[Inv Fís Act],MATCH("AGROINSUMOSCENTRAL"&amp;Tabla_Buffers_Agroinsumos[[#This Row],[CODIGO ]],TABLACONSOLIDADA[Bodega]&amp;TABLACONSOLIDADA[Codigo],0)),"")</f>
        <v>1122</v>
      </c>
      <c r="AE113" s="157">
        <f t="array" ref="AE11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1122</v>
      </c>
      <c r="AF11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13" s="91">
        <f>IFERROR(SUM(Tabla_Buffers_Agroinsumos[[#This Row],[C-MP]:[C-VL]]),"")</f>
        <v>0</v>
      </c>
      <c r="AH113" s="92">
        <f>IFERROR(Tabla_Buffers_Agroinsumos[[#This Row],[INV FIS CENTRAL]]-Tabla_Buffers_Agroinsumos[[#This Row],[BUFFER CENTRAL]],"")</f>
        <v>122</v>
      </c>
      <c r="AI11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122</v>
      </c>
      <c r="AJ113" s="134"/>
      <c r="AK113" s="134"/>
      <c r="AL113" s="134"/>
      <c r="AM113" s="134"/>
      <c r="AN113" s="134"/>
      <c r="AO113" s="134"/>
      <c r="AP113" s="134"/>
      <c r="AQ113" s="134"/>
      <c r="AR113" s="134"/>
      <c r="AS113" s="134">
        <f t="array" ref="AS113">IFERROR(INDEX(TABLACONSOLIDADA[Buff Act],MATCH("AGROINSUMOScentralPROPIA"&amp;Tabla_Buffers_Agroinsumos[[#This Row],[CODIGO ]],TABLACONSOLIDADA[Bodega]&amp;TABLACONSOLIDADA[Codigo],0)),"")</f>
        <v>450</v>
      </c>
      <c r="AT113" s="157">
        <f t="array" ref="AT113">IFERROR(INDEX(TABLACONSOLIDADA[Inv Fís Act],MATCH("AGROINSUMOScentralPROPIA"&amp;Tabla_Buffers_Agroinsumos[[#This Row],[CODIGO ]],TABLACONSOLIDADA[Bodega]&amp;TABLACONSOLIDADA[Codigo],0)),"")</f>
        <v>0</v>
      </c>
      <c r="AU113" s="157">
        <f t="array" ref="AU11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1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13" s="134">
        <f>IFERROR(SUM(Tabla_Buffers_Agroinsumos[[#This Row],[P-MP]:[P-VL]]),"")</f>
        <v>0</v>
      </c>
      <c r="AX113" s="92">
        <f>IFERROR(Tabla_Buffers_Agroinsumos[[#This Row],[INV FIS PROPIA]]-Tabla_Buffers_Agroinsumos[[#This Row],[BUFFER PROPIA]],"")</f>
        <v>-450</v>
      </c>
      <c r="AY11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-450</v>
      </c>
      <c r="AZ113" s="134"/>
      <c r="BA113" s="134"/>
      <c r="BB113" s="134"/>
      <c r="BC113" s="134"/>
      <c r="BD113" s="134"/>
      <c r="BE113" s="134"/>
      <c r="BF113" s="134"/>
      <c r="BG113" s="134"/>
      <c r="BH113" s="134"/>
      <c r="BI113" s="91">
        <f t="array" ref="BI113">IFERROR(INDEX(TABLACONSOLIDADA[Buff Act],MATCH("AGROINSUMOSSTODOMINGO"&amp;Tabla_Buffers_Agroinsumos[[#This Row],[CODIGO ]],TABLACONSOLIDADA[Bodega]&amp;TABLACONSOLIDADA[Codigo],0)),"")</f>
        <v>0</v>
      </c>
      <c r="BJ113" s="157">
        <f t="array" ref="BJ113">IFERROR(INDEX(TABLACONSOLIDADA[Inv Fís Act],MATCH("AGROINSUMOSSTODOMINGO"&amp;Tabla_Buffers_Agroinsumos[[#This Row],[CODIGO ]],TABLACONSOLIDADA[Bodega]&amp;TABLACONSOLIDADA[Codigo],0)),"")</f>
        <v>0</v>
      </c>
      <c r="BK113" s="157">
        <f t="array" ref="BK11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11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13" s="91">
        <f>IFERROR(SUM(Tabla_Buffers_Agroinsumos[[#This Row],[SD-MP]:[SD-VL]]),"")</f>
        <v>0</v>
      </c>
      <c r="BN113" s="92"/>
      <c r="BO113" s="92"/>
      <c r="BP113" s="134"/>
      <c r="BQ113" s="134"/>
      <c r="BR113" s="134"/>
      <c r="BS113" s="134"/>
      <c r="BT113" s="134"/>
      <c r="BU113" s="134"/>
      <c r="BV113" s="134"/>
      <c r="BW113" s="134"/>
      <c r="BX113" s="134"/>
      <c r="BY113" s="134">
        <f t="array" ref="BY113">IFERROR(INDEX(TABLACONSOLIDADA[Buff Act],MATCH("AGROINSUMOSMONCAYOLOPEZ"&amp;Tabla_Buffers_Agroinsumos[[#This Row],[CODIGO ]],TABLACONSOLIDADA[Bodega]&amp;TABLACONSOLIDADA[Codigo],0)),"")</f>
        <v>0</v>
      </c>
      <c r="BZ113" s="157">
        <f t="array" ref="BZ113">IFERROR(INDEX(TABLACONSOLIDADA[Inv Fís Act],MATCH("AGROINSUMOSMONCAYOLOPEZ"&amp;Tabla_Buffers_Agroinsumos[[#This Row],[CODIGO ]],TABLACONSOLIDADA[Bodega]&amp;TABLACONSOLIDADA[Codigo],0)),"")</f>
        <v>0</v>
      </c>
      <c r="CA113" s="157">
        <f t="array" ref="CA11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1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13" s="134">
        <f>IFERROR(SUM(Tabla_Buffers_Agroinsumos[[#This Row],[ML-MP]:[ML-VL]]),"")</f>
        <v>0</v>
      </c>
      <c r="CD113" s="92">
        <f>IFERROR(Tabla_Buffers_Agroinsumos[[#This Row],[INV FIS ML]]-Tabla_Buffers_Agroinsumos[[#This Row],[BUFFER ML]],"")</f>
        <v>0</v>
      </c>
      <c r="CE113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13" s="134"/>
      <c r="CG113" s="134"/>
      <c r="CH113" s="134"/>
      <c r="CI113" s="134"/>
      <c r="CJ113" s="134"/>
      <c r="CK113" s="134"/>
      <c r="CL113" s="134"/>
      <c r="CM113" s="134"/>
      <c r="CN113" s="134"/>
      <c r="CO113" s="134">
        <f t="array" ref="CO113">IFERROR(INDEX(TABLACONSOLIDADA[Buff Act],MATCH("AGROINSUMOSAGROHERMANOSLEON"&amp;Tabla_Buffers_Agroinsumos[[#This Row],[CODIGO ]],TABLACONSOLIDADA[Bodega]&amp;TABLACONSOLIDADA[Codigo],0)),"")</f>
        <v>0</v>
      </c>
      <c r="CP113" s="157">
        <f t="array" ref="CP113">IFERROR(INDEX(TABLACONSOLIDADA[Inv Fís Act],MATCH("AGROINSUMOSAGROHERMANOSLEON"&amp;Tabla_Buffers_Agroinsumos[[#This Row],[CODIGO ]],TABLACONSOLIDADA[Bodega]&amp;TABLACONSOLIDADA[Codigo],0)),"")</f>
        <v>0</v>
      </c>
      <c r="CQ113" s="157">
        <f t="array" ref="CQ11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1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13" s="134">
        <f>IFERROR(SUM(Tabla_Buffers_Agroinsumos[[#This Row],[AL-MP]:[AL-VL]]),"")</f>
        <v>0</v>
      </c>
      <c r="CT113" s="92">
        <f>IFERROR(Tabla_Buffers_Agroinsumos[[#This Row],[INV FIS AL]]-Tabla_Buffers_Agroinsumos[[#This Row],[BUFFER AL]],"")</f>
        <v>0</v>
      </c>
      <c r="CU113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13" s="134"/>
      <c r="CW113" s="134"/>
      <c r="CX113" s="134"/>
      <c r="CY113" s="134"/>
      <c r="CZ113" s="134"/>
      <c r="DA113" s="134"/>
      <c r="DB113" s="134"/>
      <c r="DC113" s="134"/>
      <c r="DD113" s="134"/>
      <c r="DE113" s="134">
        <f t="array" ref="DE113">IFERROR(INDEX(TABLACONSOLIDADA[Buff Act],MATCH("AGROINSUMOSAGRONUEVO"&amp;Tabla_Buffers_Agroinsumos[[#This Row],[CODIGO ]],TABLACONSOLIDADA[Bodega]&amp;TABLACONSOLIDADA[Codigo],0)),"")</f>
        <v>0</v>
      </c>
      <c r="DF113" s="157">
        <f t="array" ref="DF113">IFERROR(INDEX(TABLACONSOLIDADA[Inv Fís Act],MATCH("AGROINSUMOSAGRONUEVO"&amp;Tabla_Buffers_Agroinsumos[[#This Row],[CODIGO ]],TABLACONSOLIDADA[Bodega]&amp;TABLACONSOLIDADA[Codigo],0)),"")</f>
        <v>0</v>
      </c>
      <c r="DG113" s="157">
        <f t="array" ref="DG11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1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13" s="134">
        <f>IFERROR(SUM(Tabla_Buffers_Agroinsumos[[#This Row],[AN-MP]:[AN-VL]]),"")</f>
        <v>0</v>
      </c>
      <c r="DJ113" s="92">
        <f>IFERROR(Tabla_Buffers_Agroinsumos[[#This Row],[INV FIS AN]]-Tabla_Buffers_Agroinsumos[[#This Row],[BUFFER AN]],"")</f>
        <v>0</v>
      </c>
      <c r="DK113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13" s="134"/>
      <c r="DM113" s="134"/>
      <c r="DN113" s="134"/>
      <c r="DO113" s="134"/>
      <c r="DP113" s="134"/>
      <c r="DQ113" s="134"/>
      <c r="DR113" s="134"/>
      <c r="DS113" s="134"/>
      <c r="DT113" s="134"/>
      <c r="DU113" s="134">
        <f t="array" ref="DU113">IFERROR(INDEX(TABLACONSOLIDADA[Buff Act],MATCH("AGROINSUMOSAGROQUIMICOSSUR"&amp;Tabla_Buffers_Agroinsumos[[#This Row],[CODIGO ]],TABLACONSOLIDADA[Bodega]&amp;TABLACONSOLIDADA[Codigo],0)),"")</f>
        <v>0</v>
      </c>
      <c r="DV113" s="157">
        <f t="array" ref="DV113">IFERROR(INDEX(TABLACONSOLIDADA[Inv Fís Act],MATCH("AGROINSUMOSAGROQUIMICOSSUR"&amp;Tabla_Buffers_Agroinsumos[[#This Row],[CODIGO ]],TABLACONSOLIDADA[Bodega]&amp;TABLACONSOLIDADA[Codigo],0)),"")</f>
        <v>0</v>
      </c>
      <c r="DW113" s="157">
        <f t="array" ref="DW11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1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13" s="134">
        <f>IFERROR(SUM(Tabla_Buffers_Agroinsumos[[#This Row],[AS-MP]:[AS-VL]]),"")</f>
        <v>0</v>
      </c>
      <c r="DZ113" s="92">
        <f>IFERROR(Tabla_Buffers_Agroinsumos[[#This Row],[INV FIS AS]]-Tabla_Buffers_Agroinsumos[[#This Row],[BUFFER AS]],"")</f>
        <v>0</v>
      </c>
      <c r="EA113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13" s="134"/>
      <c r="EC113" s="134"/>
      <c r="ED113" s="134"/>
      <c r="EE113" s="134"/>
      <c r="EF113" s="134"/>
      <c r="EG113" s="134"/>
      <c r="EH113" s="134"/>
      <c r="EI113" s="134"/>
      <c r="EJ113" s="134"/>
      <c r="EK113" s="134">
        <f t="array" ref="EK113">IFERROR(INDEX(TABLACONSOLIDADA[Buff Act],MATCH("AGROINSUMOSLAFINCA"&amp;Tabla_Buffers_Agroinsumos[[#This Row],[CODIGO ]],TABLACONSOLIDADA[Bodega]&amp;TABLACONSOLIDADA[Codigo],0)),"")</f>
        <v>10</v>
      </c>
      <c r="EL113" s="157">
        <f t="array" ref="EL113">IFERROR(INDEX(TABLACONSOLIDADA[Inv Fís Act],MATCH("AGROINSUMOSLAFINCA"&amp;Tabla_Buffers_Agroinsumos[[#This Row],[CODIGO ]],TABLACONSOLIDADA[Bodega]&amp;TABLACONSOLIDADA[Codigo],0)),"")</f>
        <v>0</v>
      </c>
      <c r="EM113" s="157">
        <f t="array" ref="EM11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1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13" s="134">
        <f>IFERROR(SUM(Tabla_Buffers_Agroinsumos[[#This Row],[LF-MP]:[LF-VL]]),"")</f>
        <v>0</v>
      </c>
      <c r="EP113" s="92">
        <f>IFERROR(Tabla_Buffers_Agroinsumos[[#This Row],[INV FIS LF]]-Tabla_Buffers_Agroinsumos[[#This Row],[BUFFER LF]],"")</f>
        <v>-10</v>
      </c>
      <c r="EQ113" s="92">
        <f>IFERROR(Tabla_Buffers_Agroinsumos[[#This Row],[INV FIS LF]]+Tabla_Buffers_Agroinsumos[[#This Row],[TRANSFERENCIAS A LF]]-Tabla_Buffers_Agroinsumos[[#This Row],[BUFFER LF]]-Tabla_Buffers_Agroinsumos[[#This Row],[TRANSFERENCIAS DE LF]],"")</f>
        <v>-10</v>
      </c>
      <c r="ER113" s="134"/>
      <c r="ES113" s="134"/>
      <c r="ET113" s="134"/>
      <c r="EU113" s="134"/>
      <c r="EV113" s="134"/>
      <c r="EW113" s="134"/>
      <c r="EX113" s="134"/>
      <c r="EY113" s="134"/>
      <c r="EZ113" s="134"/>
      <c r="FA113" s="134">
        <f t="array" ref="FA113">IFERROR(INDEX(TABLACONSOLIDADA[Buff Act],MATCH("AGROINSUMOSVERONICALEDESMA"&amp;Tabla_Buffers_Agroinsumos[[#This Row],[CODIGO ]],TABLACONSOLIDADA[Bodega]&amp;TABLACONSOLIDADA[Codigo],0)),"")</f>
        <v>21</v>
      </c>
      <c r="FB113" s="157">
        <f t="array" ref="FB113">IFERROR(INDEX(TABLACONSOLIDADA[Inv Fís Act],MATCH("AGROINSUMOSVERONICALEDESMA"&amp;Tabla_Buffers_Agroinsumos[[#This Row],[CODIGO ]],TABLACONSOLIDADA[Bodega]&amp;TABLACONSOLIDADA[Codigo],0)),"")</f>
        <v>14</v>
      </c>
      <c r="FC113" s="157">
        <f t="array" ref="FC11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21</v>
      </c>
      <c r="FD11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13" s="134">
        <f>IFERROR(SUM(Tabla_Buffers_Agroinsumos[[#This Row],[VL-MP]:[VL-LF]]),"")</f>
        <v>0</v>
      </c>
      <c r="FF113" s="92">
        <f>IFERROR(Tabla_Buffers_Agroinsumos[[#This Row],[INV FIS VL]]-Tabla_Buffers_Agroinsumos[[#This Row],[BUFFER VL]],"")</f>
        <v>-7</v>
      </c>
      <c r="FG113" s="92">
        <f>IFERROR(Tabla_Buffers_Agroinsumos[[#This Row],[INV FIS VL]]+Tabla_Buffers_Agroinsumos[[#This Row],[TRANSFERENCIAS A VL]]-Tabla_Buffers_Agroinsumos[[#This Row],[BUFFER VL]]-Tabla_Buffers_Agroinsumos[[#This Row],[TRANSFERENCIAS DE VL]],"")</f>
        <v>-7</v>
      </c>
      <c r="FH113" s="134"/>
      <c r="FI113" s="134"/>
      <c r="FJ113" s="134"/>
      <c r="FK113" s="134"/>
      <c r="FL113" s="134"/>
      <c r="FM113" s="134"/>
      <c r="FN113" s="134"/>
      <c r="FO113" s="134"/>
      <c r="FP113" s="134"/>
    </row>
    <row r="114" spans="1:172">
      <c r="A114" s="7" t="s">
        <v>213</v>
      </c>
      <c r="B114" s="7" t="s">
        <v>214</v>
      </c>
      <c r="C114" s="7" t="s">
        <v>709</v>
      </c>
      <c r="D114" s="7" t="s">
        <v>720</v>
      </c>
      <c r="E114" s="7" t="s">
        <v>863</v>
      </c>
      <c r="F114" s="19" t="s">
        <v>814</v>
      </c>
      <c r="G114" s="19" t="s">
        <v>873</v>
      </c>
      <c r="H114" s="19">
        <f>VLOOKUP(Tabla_Buffers_Agroinsumos[[#This Row],[CODIGO ]],TABLACONSOLIDADA[[Codigo]:[PV]],6,0)</f>
        <v>0</v>
      </c>
      <c r="I114" s="19">
        <f>VLOOKUP(Tabla_Buffers_Agroinsumos[[#This Row],[CODIGO ]],TABLACONSOLIDADA[[Codigo]:[PV]],5,0)</f>
        <v>2.4300000000000002</v>
      </c>
      <c r="J114" s="19">
        <v>12</v>
      </c>
      <c r="K114" s="19">
        <v>14</v>
      </c>
      <c r="L114" s="19">
        <f>IFERROR(Tabla_Buffers_Agroinsumos[[#This Row],[BUFFER CENTRAL]]/((Tabla_Buffers_Agroinsumos[[#This Row],[TIEMPO REPOSICION ]]/Tabla_Buffers_Agroinsumos[[#This Row],[FRECUENCIA]])+1),0)</f>
        <v>0</v>
      </c>
      <c r="M114" s="19">
        <f t="array" ref="M114">IFERROR(INDEX(TABLACONSOLIDADA[Buff Act],MATCH("AGROINSUMOSMATERIAPRIMA"&amp;Tabla_Buffers_Agroinsumos[[#This Row],[CODIGO ]],TABLACONSOLIDADA[Bodega]&amp;TABLACONSOLIDADA[Codigo],0)),"")</f>
        <v>7500</v>
      </c>
      <c r="N114" s="157">
        <f t="array" ref="N114">IFERROR(INDEX(TABLACONSOLIDADA[Inv Fís Act],MATCH("AGROINSUMOSMATERIAPRIMA"&amp;Tabla_Buffers_Agroinsumos[[#This Row],[CODIGO ]],TABLACONSOLIDADA[Bodega]&amp;TABLACONSOLIDADA[Codigo],0)),"")</f>
        <v>386</v>
      </c>
      <c r="O114" s="157">
        <f t="array" ref="O11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2386</v>
      </c>
      <c r="P11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14" s="19">
        <f>IFERROR(SUM(Tabla_Buffers_Agroinsumos[[#This Row],[MP-C]:[MP-VL]]),"")</f>
        <v>0</v>
      </c>
      <c r="R114" s="92">
        <f>IFERROR(Tabla_Buffers_Agroinsumos[[#This Row],[INV FIS MATERIA PRIMA]]-Tabla_Buffers_Agroinsumos[[#This Row],[BUFFER MATERIA PRIMA]],"")</f>
        <v>-7114</v>
      </c>
      <c r="S11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-7114</v>
      </c>
      <c r="T114" s="19"/>
      <c r="U114" s="19"/>
      <c r="V114" s="19"/>
      <c r="W114" s="19"/>
      <c r="X114" s="19"/>
      <c r="Y114" s="19"/>
      <c r="Z114" s="19"/>
      <c r="AA114" s="19"/>
      <c r="AB114" s="19"/>
      <c r="AC114" s="152" t="str">
        <f t="array" ref="AC114">IFERROR(INDEX(TABLACONSOLIDADA[Buff Act],MATCH("AGROINSUMOSCENTRAL"&amp;Tabla_Buffers_Agroinsumos[[#This Row],[CODIGO ]],TABLACONSOLIDADA[Bodega]&amp;TABLACONSOLIDADA[Codigo],0)),"")</f>
        <v/>
      </c>
      <c r="AD114" s="157" t="str">
        <f t="array" ref="AD114">IFERROR(INDEX(TABLACONSOLIDADA[Inv Fís Act],MATCH("AGROINSUMOSCENTRAL"&amp;Tabla_Buffers_Agroinsumos[[#This Row],[CODIGO ]],TABLACONSOLIDADA[Bodega]&amp;TABLACONSOLIDADA[Codigo],0)),"")</f>
        <v/>
      </c>
      <c r="AE114" s="157" t="str">
        <f t="array" ref="AE11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1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14" s="91">
        <f>IFERROR(SUM(Tabla_Buffers_Agroinsumos[[#This Row],[C-MP]:[C-VL]]),"")</f>
        <v>0</v>
      </c>
      <c r="AH114" s="92" t="str">
        <f>IFERROR(Tabla_Buffers_Agroinsumos[[#This Row],[INV FIS CENTRAL]]-Tabla_Buffers_Agroinsumos[[#This Row],[BUFFER CENTRAL]],"")</f>
        <v/>
      </c>
      <c r="AI11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14" s="134"/>
      <c r="AK114" s="134"/>
      <c r="AL114" s="134"/>
      <c r="AM114" s="134"/>
      <c r="AN114" s="134"/>
      <c r="AO114" s="134"/>
      <c r="AP114" s="134"/>
      <c r="AQ114" s="134"/>
      <c r="AR114" s="134"/>
      <c r="AS114" s="134" t="str">
        <f t="array" ref="AS114">IFERROR(INDEX(TABLACONSOLIDADA[Buff Act],MATCH("AGROINSUMOScentralPROPIA"&amp;Tabla_Buffers_Agroinsumos[[#This Row],[CODIGO ]],TABLACONSOLIDADA[Bodega]&amp;TABLACONSOLIDADA[Codigo],0)),"")</f>
        <v/>
      </c>
      <c r="AT114" s="157" t="str">
        <f t="array" ref="AT114">IFERROR(INDEX(TABLACONSOLIDADA[Inv Fís Act],MATCH("AGROINSUMOScentralPROPIA"&amp;Tabla_Buffers_Agroinsumos[[#This Row],[CODIGO ]],TABLACONSOLIDADA[Bodega]&amp;TABLACONSOLIDADA[Codigo],0)),"")</f>
        <v/>
      </c>
      <c r="AU114" s="157" t="str">
        <f t="array" ref="AU11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1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14" s="134">
        <f>IFERROR(SUM(Tabla_Buffers_Agroinsumos[[#This Row],[P-MP]:[P-VL]]),"")</f>
        <v>0</v>
      </c>
      <c r="AX114" s="92" t="str">
        <f>IFERROR(Tabla_Buffers_Agroinsumos[[#This Row],[INV FIS PROPIA]]-Tabla_Buffers_Agroinsumos[[#This Row],[BUFFER PROPIA]],"")</f>
        <v/>
      </c>
      <c r="AY11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14" s="134"/>
      <c r="BA114" s="134"/>
      <c r="BB114" s="134"/>
      <c r="BC114" s="134"/>
      <c r="BD114" s="134"/>
      <c r="BE114" s="134"/>
      <c r="BF114" s="134"/>
      <c r="BG114" s="134"/>
      <c r="BH114" s="134"/>
      <c r="BI114" s="91" t="str">
        <f t="array" ref="BI114">IFERROR(INDEX(TABLACONSOLIDADA[Buff Act],MATCH("AGROINSUMOSSTODOMINGO"&amp;Tabla_Buffers_Agroinsumos[[#This Row],[CODIGO ]],TABLACONSOLIDADA[Bodega]&amp;TABLACONSOLIDADA[Codigo],0)),"")</f>
        <v/>
      </c>
      <c r="BJ114" s="157" t="str">
        <f t="array" ref="BJ114">IFERROR(INDEX(TABLACONSOLIDADA[Inv Fís Act],MATCH("AGROINSUMOSSTODOMINGO"&amp;Tabla_Buffers_Agroinsumos[[#This Row],[CODIGO ]],TABLACONSOLIDADA[Bodega]&amp;TABLACONSOLIDADA[Codigo],0)),"")</f>
        <v/>
      </c>
      <c r="BK114" s="157" t="str">
        <f t="array" ref="BK11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1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14" s="91">
        <f>IFERROR(SUM(Tabla_Buffers_Agroinsumos[[#This Row],[SD-MP]:[SD-VL]]),"")</f>
        <v>0</v>
      </c>
      <c r="BN114" s="92"/>
      <c r="BO114" s="92"/>
      <c r="BP114" s="134"/>
      <c r="BQ114" s="134"/>
      <c r="BR114" s="134"/>
      <c r="BS114" s="134"/>
      <c r="BT114" s="134"/>
      <c r="BU114" s="134"/>
      <c r="BV114" s="134"/>
      <c r="BW114" s="134"/>
      <c r="BX114" s="134"/>
      <c r="BY114" s="134" t="str">
        <f t="array" ref="BY114">IFERROR(INDEX(TABLACONSOLIDADA[Buff Act],MATCH("AGROINSUMOSMONCAYOLOPEZ"&amp;Tabla_Buffers_Agroinsumos[[#This Row],[CODIGO ]],TABLACONSOLIDADA[Bodega]&amp;TABLACONSOLIDADA[Codigo],0)),"")</f>
        <v/>
      </c>
      <c r="BZ114" s="157" t="str">
        <f t="array" ref="BZ114">IFERROR(INDEX(TABLACONSOLIDADA[Inv Fís Act],MATCH("AGROINSUMOSMONCAYOLOPEZ"&amp;Tabla_Buffers_Agroinsumos[[#This Row],[CODIGO ]],TABLACONSOLIDADA[Bodega]&amp;TABLACONSOLIDADA[Codigo],0)),"")</f>
        <v/>
      </c>
      <c r="CA114" s="157" t="str">
        <f t="array" ref="CA11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1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14" s="134">
        <f>IFERROR(SUM(Tabla_Buffers_Agroinsumos[[#This Row],[ML-MP]:[ML-VL]]),"")</f>
        <v>0</v>
      </c>
      <c r="CD114" s="92" t="str">
        <f>IFERROR(Tabla_Buffers_Agroinsumos[[#This Row],[INV FIS ML]]-Tabla_Buffers_Agroinsumos[[#This Row],[BUFFER ML]],"")</f>
        <v/>
      </c>
      <c r="CE11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14" s="134"/>
      <c r="CG114" s="134"/>
      <c r="CH114" s="134"/>
      <c r="CI114" s="134"/>
      <c r="CJ114" s="134"/>
      <c r="CK114" s="134"/>
      <c r="CL114" s="134"/>
      <c r="CM114" s="134"/>
      <c r="CN114" s="134"/>
      <c r="CO114" s="134" t="str">
        <f t="array" ref="CO114">IFERROR(INDEX(TABLACONSOLIDADA[Buff Act],MATCH("AGROINSUMOSAGROHERMANOSLEON"&amp;Tabla_Buffers_Agroinsumos[[#This Row],[CODIGO ]],TABLACONSOLIDADA[Bodega]&amp;TABLACONSOLIDADA[Codigo],0)),"")</f>
        <v/>
      </c>
      <c r="CP114" s="157" t="str">
        <f t="array" ref="CP114">IFERROR(INDEX(TABLACONSOLIDADA[Inv Fís Act],MATCH("AGROINSUMOSAGROHERMANOSLEON"&amp;Tabla_Buffers_Agroinsumos[[#This Row],[CODIGO ]],TABLACONSOLIDADA[Bodega]&amp;TABLACONSOLIDADA[Codigo],0)),"")</f>
        <v/>
      </c>
      <c r="CQ114" s="157" t="str">
        <f t="array" ref="CQ11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1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14" s="134">
        <f>IFERROR(SUM(Tabla_Buffers_Agroinsumos[[#This Row],[AL-MP]:[AL-VL]]),"")</f>
        <v>0</v>
      </c>
      <c r="CT114" s="92" t="str">
        <f>IFERROR(Tabla_Buffers_Agroinsumos[[#This Row],[INV FIS AL]]-Tabla_Buffers_Agroinsumos[[#This Row],[BUFFER AL]],"")</f>
        <v/>
      </c>
      <c r="CU11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14" s="134"/>
      <c r="CW114" s="134"/>
      <c r="CX114" s="134"/>
      <c r="CY114" s="134"/>
      <c r="CZ114" s="134"/>
      <c r="DA114" s="134"/>
      <c r="DB114" s="134"/>
      <c r="DC114" s="134"/>
      <c r="DD114" s="134"/>
      <c r="DE114" s="134" t="str">
        <f t="array" ref="DE114">IFERROR(INDEX(TABLACONSOLIDADA[Buff Act],MATCH("AGROINSUMOSAGRONUEVO"&amp;Tabla_Buffers_Agroinsumos[[#This Row],[CODIGO ]],TABLACONSOLIDADA[Bodega]&amp;TABLACONSOLIDADA[Codigo],0)),"")</f>
        <v/>
      </c>
      <c r="DF114" s="157" t="str">
        <f t="array" ref="DF114">IFERROR(INDEX(TABLACONSOLIDADA[Inv Fís Act],MATCH("AGROINSUMOSAGRONUEVO"&amp;Tabla_Buffers_Agroinsumos[[#This Row],[CODIGO ]],TABLACONSOLIDADA[Bodega]&amp;TABLACONSOLIDADA[Codigo],0)),"")</f>
        <v/>
      </c>
      <c r="DG114" s="157" t="str">
        <f t="array" ref="DG11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1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14" s="134">
        <f>IFERROR(SUM(Tabla_Buffers_Agroinsumos[[#This Row],[AN-MP]:[AN-VL]]),"")</f>
        <v>0</v>
      </c>
      <c r="DJ114" s="92" t="str">
        <f>IFERROR(Tabla_Buffers_Agroinsumos[[#This Row],[INV FIS AN]]-Tabla_Buffers_Agroinsumos[[#This Row],[BUFFER AN]],"")</f>
        <v/>
      </c>
      <c r="DK11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14" s="134"/>
      <c r="DM114" s="134"/>
      <c r="DN114" s="134"/>
      <c r="DO114" s="134"/>
      <c r="DP114" s="134"/>
      <c r="DQ114" s="134"/>
      <c r="DR114" s="134"/>
      <c r="DS114" s="134"/>
      <c r="DT114" s="134"/>
      <c r="DU114" s="134" t="str">
        <f t="array" ref="DU114">IFERROR(INDEX(TABLACONSOLIDADA[Buff Act],MATCH("AGROINSUMOSAGROQUIMICOSSUR"&amp;Tabla_Buffers_Agroinsumos[[#This Row],[CODIGO ]],TABLACONSOLIDADA[Bodega]&amp;TABLACONSOLIDADA[Codigo],0)),"")</f>
        <v/>
      </c>
      <c r="DV114" s="157" t="str">
        <f t="array" ref="DV114">IFERROR(INDEX(TABLACONSOLIDADA[Inv Fís Act],MATCH("AGROINSUMOSAGROQUIMICOSSUR"&amp;Tabla_Buffers_Agroinsumos[[#This Row],[CODIGO ]],TABLACONSOLIDADA[Bodega]&amp;TABLACONSOLIDADA[Codigo],0)),"")</f>
        <v/>
      </c>
      <c r="DW114" s="157" t="str">
        <f t="array" ref="DW11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1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14" s="134">
        <f>IFERROR(SUM(Tabla_Buffers_Agroinsumos[[#This Row],[AS-MP]:[AS-VL]]),"")</f>
        <v>0</v>
      </c>
      <c r="DZ114" s="92" t="str">
        <f>IFERROR(Tabla_Buffers_Agroinsumos[[#This Row],[INV FIS AS]]-Tabla_Buffers_Agroinsumos[[#This Row],[BUFFER AS]],"")</f>
        <v/>
      </c>
      <c r="EA11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14" s="134"/>
      <c r="EC114" s="134"/>
      <c r="ED114" s="134"/>
      <c r="EE114" s="134"/>
      <c r="EF114" s="134"/>
      <c r="EG114" s="134"/>
      <c r="EH114" s="134"/>
      <c r="EI114" s="134"/>
      <c r="EJ114" s="134"/>
      <c r="EK114" s="134" t="str">
        <f t="array" ref="EK114">IFERROR(INDEX(TABLACONSOLIDADA[Buff Act],MATCH("AGROINSUMOSLAFINCA"&amp;Tabla_Buffers_Agroinsumos[[#This Row],[CODIGO ]],TABLACONSOLIDADA[Bodega]&amp;TABLACONSOLIDADA[Codigo],0)),"")</f>
        <v/>
      </c>
      <c r="EL114" s="157" t="str">
        <f t="array" ref="EL114">IFERROR(INDEX(TABLACONSOLIDADA[Inv Fís Act],MATCH("AGROINSUMOSLAFINCA"&amp;Tabla_Buffers_Agroinsumos[[#This Row],[CODIGO ]],TABLACONSOLIDADA[Bodega]&amp;TABLACONSOLIDADA[Codigo],0)),"")</f>
        <v/>
      </c>
      <c r="EM114" s="157" t="str">
        <f t="array" ref="EM11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1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14" s="134">
        <f>IFERROR(SUM(Tabla_Buffers_Agroinsumos[[#This Row],[LF-MP]:[LF-VL]]),"")</f>
        <v>0</v>
      </c>
      <c r="EP114" s="92" t="str">
        <f>IFERROR(Tabla_Buffers_Agroinsumos[[#This Row],[INV FIS LF]]-Tabla_Buffers_Agroinsumos[[#This Row],[BUFFER LF]],"")</f>
        <v/>
      </c>
      <c r="EQ11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14" s="134"/>
      <c r="ES114" s="134"/>
      <c r="ET114" s="134"/>
      <c r="EU114" s="134"/>
      <c r="EV114" s="134"/>
      <c r="EW114" s="134"/>
      <c r="EX114" s="134"/>
      <c r="EY114" s="134"/>
      <c r="EZ114" s="134"/>
      <c r="FA114" s="134" t="str">
        <f t="array" ref="FA114">IFERROR(INDEX(TABLACONSOLIDADA[Buff Act],MATCH("AGROINSUMOSVERONICALEDESMA"&amp;Tabla_Buffers_Agroinsumos[[#This Row],[CODIGO ]],TABLACONSOLIDADA[Bodega]&amp;TABLACONSOLIDADA[Codigo],0)),"")</f>
        <v/>
      </c>
      <c r="FB114" s="157" t="str">
        <f t="array" ref="FB114">IFERROR(INDEX(TABLACONSOLIDADA[Inv Fís Act],MATCH("AGROINSUMOSVERONICALEDESMA"&amp;Tabla_Buffers_Agroinsumos[[#This Row],[CODIGO ]],TABLACONSOLIDADA[Bodega]&amp;TABLACONSOLIDADA[Codigo],0)),"")</f>
        <v/>
      </c>
      <c r="FC114" s="157" t="str">
        <f t="array" ref="FC11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1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14" s="134">
        <f>IFERROR(SUM(Tabla_Buffers_Agroinsumos[[#This Row],[VL-MP]:[VL-LF]]),"")</f>
        <v>0</v>
      </c>
      <c r="FF114" s="92" t="str">
        <f>IFERROR(Tabla_Buffers_Agroinsumos[[#This Row],[INV FIS VL]]-Tabla_Buffers_Agroinsumos[[#This Row],[BUFFER VL]],"")</f>
        <v/>
      </c>
      <c r="FG11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14" s="134"/>
      <c r="FI114" s="134"/>
      <c r="FJ114" s="134"/>
      <c r="FK114" s="134"/>
      <c r="FL114" s="134"/>
      <c r="FM114" s="134"/>
      <c r="FN114" s="134"/>
      <c r="FO114" s="134"/>
      <c r="FP114" s="134"/>
    </row>
    <row r="115" spans="1:172">
      <c r="A115" s="7" t="s">
        <v>896</v>
      </c>
      <c r="B115" s="7" t="s">
        <v>953</v>
      </c>
      <c r="C115" s="7" t="s">
        <v>946</v>
      </c>
      <c r="D115" s="7" t="s">
        <v>719</v>
      </c>
      <c r="E115" s="7" t="s">
        <v>975</v>
      </c>
      <c r="F115" s="19" t="s">
        <v>698</v>
      </c>
      <c r="G115" s="19" t="s">
        <v>698</v>
      </c>
      <c r="H115" s="19">
        <f>VLOOKUP(Tabla_Buffers_Agroinsumos[[#This Row],[CODIGO ]],TABLACONSOLIDADA[[Codigo]:[PV]],6,0)</f>
        <v>0</v>
      </c>
      <c r="I115" s="19">
        <f>VLOOKUP(Tabla_Buffers_Agroinsumos[[#This Row],[CODIGO ]],TABLACONSOLIDADA[[Codigo]:[PV]],5,0)</f>
        <v>2.56</v>
      </c>
      <c r="J115" s="19" t="s">
        <v>698</v>
      </c>
      <c r="K115" s="19" t="s">
        <v>698</v>
      </c>
      <c r="L115" s="19">
        <f>IFERROR(Tabla_Buffers_Agroinsumos[[#This Row],[BUFFER CENTRAL]]/((Tabla_Buffers_Agroinsumos[[#This Row],[TIEMPO REPOSICION ]]/Tabla_Buffers_Agroinsumos[[#This Row],[FRECUENCIA]])+1),0)</f>
        <v>0</v>
      </c>
      <c r="M115" s="19" t="str">
        <f t="array" ref="M115">IFERROR(INDEX(TABLACONSOLIDADA[Buff Act],MATCH("AGROINSUMOSMATERIAPRIMA"&amp;Tabla_Buffers_Agroinsumos[[#This Row],[CODIGO ]],TABLACONSOLIDADA[Bodega]&amp;TABLACONSOLIDADA[Codigo],0)),"")</f>
        <v/>
      </c>
      <c r="N115" s="157" t="str">
        <f t="array" ref="N115">IFERROR(INDEX(TABLACONSOLIDADA[Inv Fís Act],MATCH("AGROINSUMOSMATERIAPRIMA"&amp;Tabla_Buffers_Agroinsumos[[#This Row],[CODIGO ]],TABLACONSOLIDADA[Bodega]&amp;TABLACONSOLIDADA[Codigo],0)),"")</f>
        <v/>
      </c>
      <c r="O115" s="157" t="str">
        <f t="array" ref="O11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1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15" s="19">
        <f>IFERROR(SUM(Tabla_Buffers_Agroinsumos[[#This Row],[MP-C]:[MP-VL]]),"")</f>
        <v>0</v>
      </c>
      <c r="R115" s="92" t="str">
        <f>IFERROR(Tabla_Buffers_Agroinsumos[[#This Row],[INV FIS MATERIA PRIMA]]-Tabla_Buffers_Agroinsumos[[#This Row],[BUFFER MATERIA PRIMA]],"")</f>
        <v/>
      </c>
      <c r="S11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15" s="19"/>
      <c r="U115" s="19"/>
      <c r="V115" s="19"/>
      <c r="W115" s="19"/>
      <c r="X115" s="19"/>
      <c r="Y115" s="19"/>
      <c r="Z115" s="19"/>
      <c r="AA115" s="19"/>
      <c r="AB115" s="19"/>
      <c r="AC115" s="152">
        <f t="array" ref="AC115">IFERROR(INDEX(TABLACONSOLIDADA[Buff Act],MATCH("AGROINSUMOSCENTRAL"&amp;Tabla_Buffers_Agroinsumos[[#This Row],[CODIGO ]],TABLACONSOLIDADA[Bodega]&amp;TABLACONSOLIDADA[Codigo],0)),"")</f>
        <v>0</v>
      </c>
      <c r="AD115" s="157">
        <f t="array" ref="AD115">IFERROR(INDEX(TABLACONSOLIDADA[Inv Fís Act],MATCH("AGROINSUMOSCENTRAL"&amp;Tabla_Buffers_Agroinsumos[[#This Row],[CODIGO ]],TABLACONSOLIDADA[Bodega]&amp;TABLACONSOLIDADA[Codigo],0)),"")</f>
        <v>0</v>
      </c>
      <c r="AE115" s="157">
        <f t="array" ref="AE11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11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15" s="91">
        <f>IFERROR(SUM(Tabla_Buffers_Agroinsumos[[#This Row],[C-MP]:[C-VL]]),"")</f>
        <v>0</v>
      </c>
      <c r="AH115" s="92">
        <f>IFERROR(Tabla_Buffers_Agroinsumos[[#This Row],[INV FIS CENTRAL]]-Tabla_Buffers_Agroinsumos[[#This Row],[BUFFER CENTRAL]],"")</f>
        <v>0</v>
      </c>
      <c r="AI11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115" s="134"/>
      <c r="AK115" s="134"/>
      <c r="AL115" s="134"/>
      <c r="AM115" s="134"/>
      <c r="AN115" s="134"/>
      <c r="AO115" s="134"/>
      <c r="AP115" s="134"/>
      <c r="AQ115" s="134"/>
      <c r="AR115" s="134"/>
      <c r="AS115" s="134">
        <f t="array" ref="AS115">IFERROR(INDEX(TABLACONSOLIDADA[Buff Act],MATCH("AGROINSUMOScentralPROPIA"&amp;Tabla_Buffers_Agroinsumos[[#This Row],[CODIGO ]],TABLACONSOLIDADA[Bodega]&amp;TABLACONSOLIDADA[Codigo],0)),"")</f>
        <v>60</v>
      </c>
      <c r="AT115" s="157">
        <f t="array" ref="AT115">IFERROR(INDEX(TABLACONSOLIDADA[Inv Fís Act],MATCH("AGROINSUMOScentralPROPIA"&amp;Tabla_Buffers_Agroinsumos[[#This Row],[CODIGO ]],TABLACONSOLIDADA[Bodega]&amp;TABLACONSOLIDADA[Codigo],0)),"")</f>
        <v>0</v>
      </c>
      <c r="AU115" s="157">
        <f t="array" ref="AU11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1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15" s="134">
        <f>IFERROR(SUM(Tabla_Buffers_Agroinsumos[[#This Row],[P-MP]:[P-VL]]),"")</f>
        <v>0</v>
      </c>
      <c r="AX115" s="92">
        <f>IFERROR(Tabla_Buffers_Agroinsumos[[#This Row],[INV FIS PROPIA]]-Tabla_Buffers_Agroinsumos[[#This Row],[BUFFER PROPIA]],"")</f>
        <v>-60</v>
      </c>
      <c r="AY11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-60</v>
      </c>
      <c r="AZ115" s="134"/>
      <c r="BA115" s="134"/>
      <c r="BB115" s="134"/>
      <c r="BC115" s="134"/>
      <c r="BD115" s="134"/>
      <c r="BE115" s="134"/>
      <c r="BF115" s="134"/>
      <c r="BG115" s="134"/>
      <c r="BH115" s="134"/>
      <c r="BI115" s="91" t="str">
        <f t="array" ref="BI115">IFERROR(INDEX(TABLACONSOLIDADA[Buff Act],MATCH("AGROINSUMOSSTODOMINGO"&amp;Tabla_Buffers_Agroinsumos[[#This Row],[CODIGO ]],TABLACONSOLIDADA[Bodega]&amp;TABLACONSOLIDADA[Codigo],0)),"")</f>
        <v/>
      </c>
      <c r="BJ115" s="157" t="str">
        <f t="array" ref="BJ115">IFERROR(INDEX(TABLACONSOLIDADA[Inv Fís Act],MATCH("AGROINSUMOSSTODOMINGO"&amp;Tabla_Buffers_Agroinsumos[[#This Row],[CODIGO ]],TABLACONSOLIDADA[Bodega]&amp;TABLACONSOLIDADA[Codigo],0)),"")</f>
        <v/>
      </c>
      <c r="BK115" s="157" t="str">
        <f t="array" ref="BK11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1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15" s="91">
        <f>IFERROR(SUM(Tabla_Buffers_Agroinsumos[[#This Row],[SD-MP]:[SD-VL]]),"")</f>
        <v>0</v>
      </c>
      <c r="BN115" s="92"/>
      <c r="BO115" s="92"/>
      <c r="BP115" s="134"/>
      <c r="BQ115" s="134"/>
      <c r="BR115" s="134"/>
      <c r="BS115" s="134"/>
      <c r="BT115" s="134"/>
      <c r="BU115" s="134"/>
      <c r="BV115" s="134"/>
      <c r="BW115" s="134"/>
      <c r="BX115" s="134"/>
      <c r="BY115" s="134">
        <f t="array" ref="BY115">IFERROR(INDEX(TABLACONSOLIDADA[Buff Act],MATCH("AGROINSUMOSMONCAYOLOPEZ"&amp;Tabla_Buffers_Agroinsumos[[#This Row],[CODIGO ]],TABLACONSOLIDADA[Bodega]&amp;TABLACONSOLIDADA[Codigo],0)),"")</f>
        <v>0</v>
      </c>
      <c r="BZ115" s="157">
        <f t="array" ref="BZ115">IFERROR(INDEX(TABLACONSOLIDADA[Inv Fís Act],MATCH("AGROINSUMOSMONCAYOLOPEZ"&amp;Tabla_Buffers_Agroinsumos[[#This Row],[CODIGO ]],TABLACONSOLIDADA[Bodega]&amp;TABLACONSOLIDADA[Codigo],0)),"")</f>
        <v>0</v>
      </c>
      <c r="CA115" s="157">
        <f t="array" ref="CA11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1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15" s="134">
        <f>IFERROR(SUM(Tabla_Buffers_Agroinsumos[[#This Row],[ML-MP]:[ML-VL]]),"")</f>
        <v>0</v>
      </c>
      <c r="CD115" s="92">
        <f>IFERROR(Tabla_Buffers_Agroinsumos[[#This Row],[INV FIS ML]]-Tabla_Buffers_Agroinsumos[[#This Row],[BUFFER ML]],"")</f>
        <v>0</v>
      </c>
      <c r="CE11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15" s="134"/>
      <c r="CG115" s="134"/>
      <c r="CH115" s="134"/>
      <c r="CI115" s="134"/>
      <c r="CJ115" s="134"/>
      <c r="CK115" s="134"/>
      <c r="CL115" s="134"/>
      <c r="CM115" s="134"/>
      <c r="CN115" s="134"/>
      <c r="CO115" s="134">
        <f t="array" ref="CO115">IFERROR(INDEX(TABLACONSOLIDADA[Buff Act],MATCH("AGROINSUMOSAGROHERMANOSLEON"&amp;Tabla_Buffers_Agroinsumos[[#This Row],[CODIGO ]],TABLACONSOLIDADA[Bodega]&amp;TABLACONSOLIDADA[Codigo],0)),"")</f>
        <v>0</v>
      </c>
      <c r="CP115" s="157">
        <f t="array" ref="CP115">IFERROR(INDEX(TABLACONSOLIDADA[Inv Fís Act],MATCH("AGROINSUMOSAGROHERMANOSLEON"&amp;Tabla_Buffers_Agroinsumos[[#This Row],[CODIGO ]],TABLACONSOLIDADA[Bodega]&amp;TABLACONSOLIDADA[Codigo],0)),"")</f>
        <v>0</v>
      </c>
      <c r="CQ115" s="157">
        <f t="array" ref="CQ11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1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15" s="134">
        <f>IFERROR(SUM(Tabla_Buffers_Agroinsumos[[#This Row],[AL-MP]:[AL-VL]]),"")</f>
        <v>0</v>
      </c>
      <c r="CT115" s="92">
        <f>IFERROR(Tabla_Buffers_Agroinsumos[[#This Row],[INV FIS AL]]-Tabla_Buffers_Agroinsumos[[#This Row],[BUFFER AL]],"")</f>
        <v>0</v>
      </c>
      <c r="CU11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15" s="134"/>
      <c r="CW115" s="134"/>
      <c r="CX115" s="134"/>
      <c r="CY115" s="134"/>
      <c r="CZ115" s="134"/>
      <c r="DA115" s="134"/>
      <c r="DB115" s="134"/>
      <c r="DC115" s="134"/>
      <c r="DD115" s="134"/>
      <c r="DE115" s="134">
        <f t="array" ref="DE115">IFERROR(INDEX(TABLACONSOLIDADA[Buff Act],MATCH("AGROINSUMOSAGRONUEVO"&amp;Tabla_Buffers_Agroinsumos[[#This Row],[CODIGO ]],TABLACONSOLIDADA[Bodega]&amp;TABLACONSOLIDADA[Codigo],0)),"")</f>
        <v>0</v>
      </c>
      <c r="DF115" s="157">
        <f t="array" ref="DF115">IFERROR(INDEX(TABLACONSOLIDADA[Inv Fís Act],MATCH("AGROINSUMOSAGRONUEVO"&amp;Tabla_Buffers_Agroinsumos[[#This Row],[CODIGO ]],TABLACONSOLIDADA[Bodega]&amp;TABLACONSOLIDADA[Codigo],0)),"")</f>
        <v>0</v>
      </c>
      <c r="DG115" s="157">
        <f t="array" ref="DG11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1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15" s="134">
        <f>IFERROR(SUM(Tabla_Buffers_Agroinsumos[[#This Row],[AN-MP]:[AN-VL]]),"")</f>
        <v>0</v>
      </c>
      <c r="DJ115" s="92">
        <f>IFERROR(Tabla_Buffers_Agroinsumos[[#This Row],[INV FIS AN]]-Tabla_Buffers_Agroinsumos[[#This Row],[BUFFER AN]],"")</f>
        <v>0</v>
      </c>
      <c r="DK11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15" s="134"/>
      <c r="DM115" s="134"/>
      <c r="DN115" s="134"/>
      <c r="DO115" s="134"/>
      <c r="DP115" s="134"/>
      <c r="DQ115" s="134"/>
      <c r="DR115" s="134"/>
      <c r="DS115" s="134"/>
      <c r="DT115" s="134"/>
      <c r="DU115" s="134">
        <f t="array" ref="DU115">IFERROR(INDEX(TABLACONSOLIDADA[Buff Act],MATCH("AGROINSUMOSAGROQUIMICOSSUR"&amp;Tabla_Buffers_Agroinsumos[[#This Row],[CODIGO ]],TABLACONSOLIDADA[Bodega]&amp;TABLACONSOLIDADA[Codigo],0)),"")</f>
        <v>0</v>
      </c>
      <c r="DV115" s="157">
        <f t="array" ref="DV115">IFERROR(INDEX(TABLACONSOLIDADA[Inv Fís Act],MATCH("AGROINSUMOSAGROQUIMICOSSUR"&amp;Tabla_Buffers_Agroinsumos[[#This Row],[CODIGO ]],TABLACONSOLIDADA[Bodega]&amp;TABLACONSOLIDADA[Codigo],0)),"")</f>
        <v>0</v>
      </c>
      <c r="DW115" s="157">
        <f t="array" ref="DW11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1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15" s="134">
        <f>IFERROR(SUM(Tabla_Buffers_Agroinsumos[[#This Row],[AS-MP]:[AS-VL]]),"")</f>
        <v>0</v>
      </c>
      <c r="DZ115" s="92">
        <f>IFERROR(Tabla_Buffers_Agroinsumos[[#This Row],[INV FIS AS]]-Tabla_Buffers_Agroinsumos[[#This Row],[BUFFER AS]],"")</f>
        <v>0</v>
      </c>
      <c r="EA11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15" s="134"/>
      <c r="EC115" s="134"/>
      <c r="ED115" s="134"/>
      <c r="EE115" s="134"/>
      <c r="EF115" s="134"/>
      <c r="EG115" s="134"/>
      <c r="EH115" s="134"/>
      <c r="EI115" s="134"/>
      <c r="EJ115" s="134"/>
      <c r="EK115" s="134">
        <f t="array" ref="EK115">IFERROR(INDEX(TABLACONSOLIDADA[Buff Act],MATCH("AGROINSUMOSLAFINCA"&amp;Tabla_Buffers_Agroinsumos[[#This Row],[CODIGO ]],TABLACONSOLIDADA[Bodega]&amp;TABLACONSOLIDADA[Codigo],0)),"")</f>
        <v>0</v>
      </c>
      <c r="EL115" s="157">
        <f t="array" ref="EL115">IFERROR(INDEX(TABLACONSOLIDADA[Inv Fís Act],MATCH("AGROINSUMOSLAFINCA"&amp;Tabla_Buffers_Agroinsumos[[#This Row],[CODIGO ]],TABLACONSOLIDADA[Bodega]&amp;TABLACONSOLIDADA[Codigo],0)),"")</f>
        <v>0</v>
      </c>
      <c r="EM115" s="157">
        <f t="array" ref="EM11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1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15" s="134">
        <f>IFERROR(SUM(Tabla_Buffers_Agroinsumos[[#This Row],[LF-MP]:[LF-VL]]),"")</f>
        <v>0</v>
      </c>
      <c r="EP115" s="92">
        <f>IFERROR(Tabla_Buffers_Agroinsumos[[#This Row],[INV FIS LF]]-Tabla_Buffers_Agroinsumos[[#This Row],[BUFFER LF]],"")</f>
        <v>0</v>
      </c>
      <c r="EQ11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15" s="134"/>
      <c r="ES115" s="134"/>
      <c r="ET115" s="134"/>
      <c r="EU115" s="134"/>
      <c r="EV115" s="134"/>
      <c r="EW115" s="134"/>
      <c r="EX115" s="134"/>
      <c r="EY115" s="134"/>
      <c r="EZ115" s="134"/>
      <c r="FA115" s="134">
        <f t="array" ref="FA115">IFERROR(INDEX(TABLACONSOLIDADA[Buff Act],MATCH("AGROINSUMOSVERONICALEDESMA"&amp;Tabla_Buffers_Agroinsumos[[#This Row],[CODIGO ]],TABLACONSOLIDADA[Bodega]&amp;TABLACONSOLIDADA[Codigo],0)),"")</f>
        <v>0</v>
      </c>
      <c r="FB115" s="157">
        <f t="array" ref="FB115">IFERROR(INDEX(TABLACONSOLIDADA[Inv Fís Act],MATCH("AGROINSUMOSVERONICALEDESMA"&amp;Tabla_Buffers_Agroinsumos[[#This Row],[CODIGO ]],TABLACONSOLIDADA[Bodega]&amp;TABLACONSOLIDADA[Codigo],0)),"")</f>
        <v>0</v>
      </c>
      <c r="FC115" s="157">
        <f t="array" ref="FC11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11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15" s="134">
        <f>IFERROR(SUM(Tabla_Buffers_Agroinsumos[[#This Row],[VL-MP]:[VL-LF]]),"")</f>
        <v>0</v>
      </c>
      <c r="FF115" s="92">
        <f>IFERROR(Tabla_Buffers_Agroinsumos[[#This Row],[INV FIS VL]]-Tabla_Buffers_Agroinsumos[[#This Row],[BUFFER VL]],"")</f>
        <v>0</v>
      </c>
      <c r="FG115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115" s="134"/>
      <c r="FI115" s="134"/>
      <c r="FJ115" s="134"/>
      <c r="FK115" s="134"/>
      <c r="FL115" s="134"/>
      <c r="FM115" s="134"/>
      <c r="FN115" s="134"/>
      <c r="FO115" s="134"/>
      <c r="FP115" s="134"/>
    </row>
    <row r="116" spans="1:172">
      <c r="A116" s="158" t="s">
        <v>1092</v>
      </c>
      <c r="B116" s="159" t="s">
        <v>1093</v>
      </c>
      <c r="C116" s="159" t="s">
        <v>1095</v>
      </c>
      <c r="D116" s="159" t="s">
        <v>720</v>
      </c>
      <c r="E116" s="7" t="s">
        <v>863</v>
      </c>
      <c r="F116" s="19" t="s">
        <v>814</v>
      </c>
      <c r="G116" s="19" t="s">
        <v>873</v>
      </c>
      <c r="H116" s="19">
        <f>VLOOKUP(Tabla_Buffers_Agroinsumos[[#This Row],[CODIGO ]],TABLACONSOLIDADA[[Codigo]:[PV]],6,0)</f>
        <v>0</v>
      </c>
      <c r="I116" s="111">
        <f>VLOOKUP(Tabla_Buffers_Agroinsumos[[#This Row],[CODIGO ]],TABLACONSOLIDADA[[Codigo]:[PV]],5,0)</f>
        <v>2.29</v>
      </c>
      <c r="J116" s="19">
        <v>12</v>
      </c>
      <c r="K116" s="19">
        <v>14</v>
      </c>
      <c r="L116" s="111">
        <f>IFERROR(Tabla_Buffers_Agroinsumos[[#This Row],[BUFFER CENTRAL]]/((Tabla_Buffers_Agroinsumos[[#This Row],[TIEMPO REPOSICION ]]/Tabla_Buffers_Agroinsumos[[#This Row],[FRECUENCIA]])+1),0)</f>
        <v>0</v>
      </c>
      <c r="M116" s="111">
        <f t="array" ref="M116">IFERROR(INDEX(TABLACONSOLIDADA[Buff Act],MATCH("AGROINSUMOSMATERIAPRIMA"&amp;Tabla_Buffers_Agroinsumos[[#This Row],[CODIGO ]],TABLACONSOLIDADA[Bodega]&amp;TABLACONSOLIDADA[Codigo],0)),"")</f>
        <v>5000</v>
      </c>
      <c r="N116" s="111">
        <f t="array" ref="N116">IFERROR(INDEX(TABLACONSOLIDADA[Inv Fís Act],MATCH("AGROINSUMOSMATERIAPRIMA"&amp;Tabla_Buffers_Agroinsumos[[#This Row],[CODIGO ]],TABLACONSOLIDADA[Bodega]&amp;TABLACONSOLIDADA[Codigo],0)),"")</f>
        <v>0</v>
      </c>
      <c r="O116" s="161">
        <f t="array" ref="O11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3000</v>
      </c>
      <c r="P116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16" s="111">
        <f>IFERROR(SUM(Tabla_Buffers_Agroinsumos[[#This Row],[MP-C]:[MP-VL]]),"")</f>
        <v>0</v>
      </c>
      <c r="R116" s="154">
        <f>IFERROR(Tabla_Buffers_Agroinsumos[[#This Row],[INV FIS MATERIA PRIMA]]-Tabla_Buffers_Agroinsumos[[#This Row],[BUFFER MATERIA PRIMA]],"")</f>
        <v>-5000</v>
      </c>
      <c r="S116" s="154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-5000</v>
      </c>
      <c r="T116" s="111"/>
      <c r="U116" s="111"/>
      <c r="V116" s="111"/>
      <c r="W116" s="111"/>
      <c r="X116" s="111"/>
      <c r="Y116" s="111"/>
      <c r="Z116" s="111"/>
      <c r="AA116" s="111"/>
      <c r="AB116" s="111"/>
      <c r="AC116" s="152" t="str">
        <f t="array" ref="AC116">IFERROR(INDEX(TABLACONSOLIDADA[Buff Act],MATCH("AGROINSUMOSCENTRAL"&amp;Tabla_Buffers_Agroinsumos[[#This Row],[CODIGO ]],TABLACONSOLIDADA[Bodega]&amp;TABLACONSOLIDADA[Codigo],0)),"")</f>
        <v/>
      </c>
      <c r="AD116" s="111" t="str">
        <f t="array" ref="AD116">IFERROR(INDEX(TABLACONSOLIDADA[Inv Fís Act],MATCH("AGROINSUMOSCENTRAL"&amp;Tabla_Buffers_Agroinsumos[[#This Row],[CODIGO ]],TABLACONSOLIDADA[Bodega]&amp;TABLACONSOLIDADA[Codigo],0)),"")</f>
        <v/>
      </c>
      <c r="AE116" s="161" t="str">
        <f t="array" ref="AE11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16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16" s="153">
        <f>IFERROR(SUM(Tabla_Buffers_Agroinsumos[[#This Row],[C-MP]:[C-VL]]),"")</f>
        <v>0</v>
      </c>
      <c r="AH116" s="154" t="str">
        <f>IFERROR(Tabla_Buffers_Agroinsumos[[#This Row],[INV FIS CENTRAL]]-Tabla_Buffers_Agroinsumos[[#This Row],[BUFFER CENTRAL]],"")</f>
        <v/>
      </c>
      <c r="AI116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16" s="135"/>
      <c r="AK116" s="135"/>
      <c r="AL116" s="135"/>
      <c r="AM116" s="135"/>
      <c r="AN116" s="135"/>
      <c r="AO116" s="135"/>
      <c r="AP116" s="135"/>
      <c r="AQ116" s="135"/>
      <c r="AR116" s="135"/>
      <c r="AS116" s="135" t="str">
        <f t="array" ref="AS116">IFERROR(INDEX(TABLACONSOLIDADA[Buff Act],MATCH("AGROINSUMOScentralPROPIA"&amp;Tabla_Buffers_Agroinsumos[[#This Row],[CODIGO ]],TABLACONSOLIDADA[Bodega]&amp;TABLACONSOLIDADA[Codigo],0)),"")</f>
        <v/>
      </c>
      <c r="AT116" s="111" t="str">
        <f t="array" ref="AT116">IFERROR(INDEX(TABLACONSOLIDADA[Inv Fís Act],MATCH("AGROINSUMOScentralPROPIA"&amp;Tabla_Buffers_Agroinsumos[[#This Row],[CODIGO ]],TABLACONSOLIDADA[Bodega]&amp;TABLACONSOLIDADA[Codigo],0)),"")</f>
        <v/>
      </c>
      <c r="AU116" s="161" t="str">
        <f t="array" ref="AU11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16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16" s="135">
        <f>IFERROR(SUM(Tabla_Buffers_Agroinsumos[[#This Row],[P-MP]:[P-VL]]),"")</f>
        <v>0</v>
      </c>
      <c r="AX116" s="154" t="str">
        <f>IFERROR(Tabla_Buffers_Agroinsumos[[#This Row],[INV FIS PROPIA]]-Tabla_Buffers_Agroinsumos[[#This Row],[BUFFER PROPIA]],"")</f>
        <v/>
      </c>
      <c r="AY116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16" s="135"/>
      <c r="BA116" s="135"/>
      <c r="BB116" s="135"/>
      <c r="BC116" s="135"/>
      <c r="BD116" s="135"/>
      <c r="BE116" s="135"/>
      <c r="BF116" s="135"/>
      <c r="BG116" s="135"/>
      <c r="BH116" s="135"/>
      <c r="BI116" s="153" t="str">
        <f t="array" ref="BI116">IFERROR(INDEX(TABLACONSOLIDADA[Buff Act],MATCH("AGROINSUMOSSTODOMINGO"&amp;Tabla_Buffers_Agroinsumos[[#This Row],[CODIGO ]],TABLACONSOLIDADA[Bodega]&amp;TABLACONSOLIDADA[Codigo],0)),"")</f>
        <v/>
      </c>
      <c r="BJ116" s="111" t="str">
        <f t="array" ref="BJ116">IFERROR(INDEX(TABLACONSOLIDADA[Inv Fís Act],MATCH("AGROINSUMOSSTODOMINGO"&amp;Tabla_Buffers_Agroinsumos[[#This Row],[CODIGO ]],TABLACONSOLIDADA[Bodega]&amp;TABLACONSOLIDADA[Codigo],0)),"")</f>
        <v/>
      </c>
      <c r="BK116" s="161" t="str">
        <f t="array" ref="BK11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16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16" s="153">
        <f>IFERROR(SUM(Tabla_Buffers_Agroinsumos[[#This Row],[SD-MP]:[SD-VL]]),"")</f>
        <v>0</v>
      </c>
      <c r="BN116" s="154"/>
      <c r="BO116" s="154"/>
      <c r="BP116" s="135"/>
      <c r="BQ116" s="135"/>
      <c r="BR116" s="135"/>
      <c r="BS116" s="135"/>
      <c r="BT116" s="135"/>
      <c r="BU116" s="135"/>
      <c r="BV116" s="135"/>
      <c r="BW116" s="135"/>
      <c r="BX116" s="135"/>
      <c r="BY116" s="135" t="str">
        <f t="array" ref="BY116">IFERROR(INDEX(TABLACONSOLIDADA[Buff Act],MATCH("AGROINSUMOSMONCAYOLOPEZ"&amp;Tabla_Buffers_Agroinsumos[[#This Row],[CODIGO ]],TABLACONSOLIDADA[Bodega]&amp;TABLACONSOLIDADA[Codigo],0)),"")</f>
        <v/>
      </c>
      <c r="BZ116" s="111" t="str">
        <f t="array" ref="BZ116">IFERROR(INDEX(TABLACONSOLIDADA[Inv Fís Act],MATCH("AGROINSUMOSMONCAYOLOPEZ"&amp;Tabla_Buffers_Agroinsumos[[#This Row],[CODIGO ]],TABLACONSOLIDADA[Bodega]&amp;TABLACONSOLIDADA[Codigo],0)),"")</f>
        <v/>
      </c>
      <c r="CA116" s="161" t="str">
        <f t="array" ref="CA11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16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16" s="135">
        <f>IFERROR(SUM(Tabla_Buffers_Agroinsumos[[#This Row],[ML-MP]:[ML-VL]]),"")</f>
        <v>0</v>
      </c>
      <c r="CD116" s="154" t="str">
        <f>IFERROR(Tabla_Buffers_Agroinsumos[[#This Row],[INV FIS ML]]-Tabla_Buffers_Agroinsumos[[#This Row],[BUFFER ML]],"")</f>
        <v/>
      </c>
      <c r="CE116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16" s="135"/>
      <c r="CG116" s="135"/>
      <c r="CH116" s="135"/>
      <c r="CI116" s="135"/>
      <c r="CJ116" s="135"/>
      <c r="CK116" s="135"/>
      <c r="CL116" s="135"/>
      <c r="CM116" s="135"/>
      <c r="CN116" s="135"/>
      <c r="CO116" s="135" t="str">
        <f t="array" ref="CO116">IFERROR(INDEX(TABLACONSOLIDADA[Buff Act],MATCH("AGROINSUMOSAGROHERMANOSLEON"&amp;Tabla_Buffers_Agroinsumos[[#This Row],[CODIGO ]],TABLACONSOLIDADA[Bodega]&amp;TABLACONSOLIDADA[Codigo],0)),"")</f>
        <v/>
      </c>
      <c r="CP116" s="111" t="str">
        <f t="array" ref="CP116">IFERROR(INDEX(TABLACONSOLIDADA[Inv Fís Act],MATCH("AGROINSUMOSAGROHERMANOSLEON"&amp;Tabla_Buffers_Agroinsumos[[#This Row],[CODIGO ]],TABLACONSOLIDADA[Bodega]&amp;TABLACONSOLIDADA[Codigo],0)),"")</f>
        <v/>
      </c>
      <c r="CQ116" s="161" t="str">
        <f t="array" ref="CQ11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16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16" s="135">
        <f>IFERROR(SUM(Tabla_Buffers_Agroinsumos[[#This Row],[AL-MP]:[AL-VL]]),"")</f>
        <v>0</v>
      </c>
      <c r="CT116" s="154" t="str">
        <f>IFERROR(Tabla_Buffers_Agroinsumos[[#This Row],[INV FIS AL]]-Tabla_Buffers_Agroinsumos[[#This Row],[BUFFER AL]],"")</f>
        <v/>
      </c>
      <c r="CU116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16" s="135"/>
      <c r="CW116" s="135"/>
      <c r="CX116" s="135"/>
      <c r="CY116" s="135"/>
      <c r="CZ116" s="135"/>
      <c r="DA116" s="135"/>
      <c r="DB116" s="135"/>
      <c r="DC116" s="135"/>
      <c r="DD116" s="135"/>
      <c r="DE116" s="135" t="str">
        <f t="array" ref="DE116">IFERROR(INDEX(TABLACONSOLIDADA[Buff Act],MATCH("AGROINSUMOSAGRONUEVO"&amp;Tabla_Buffers_Agroinsumos[[#This Row],[CODIGO ]],TABLACONSOLIDADA[Bodega]&amp;TABLACONSOLIDADA[Codigo],0)),"")</f>
        <v/>
      </c>
      <c r="DF116" s="111" t="str">
        <f t="array" ref="DF116">IFERROR(INDEX(TABLACONSOLIDADA[Inv Fís Act],MATCH("AGROINSUMOSAGRONUEVO"&amp;Tabla_Buffers_Agroinsumos[[#This Row],[CODIGO ]],TABLACONSOLIDADA[Bodega]&amp;TABLACONSOLIDADA[Codigo],0)),"")</f>
        <v/>
      </c>
      <c r="DG116" s="161" t="str">
        <f t="array" ref="DG11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16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16" s="135">
        <f>IFERROR(SUM(Tabla_Buffers_Agroinsumos[[#This Row],[AN-MP]:[AN-VL]]),"")</f>
        <v>0</v>
      </c>
      <c r="DJ116" s="154" t="str">
        <f>IFERROR(Tabla_Buffers_Agroinsumos[[#This Row],[INV FIS AN]]-Tabla_Buffers_Agroinsumos[[#This Row],[BUFFER AN]],"")</f>
        <v/>
      </c>
      <c r="DK116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16" s="135"/>
      <c r="DM116" s="135"/>
      <c r="DN116" s="135"/>
      <c r="DO116" s="135"/>
      <c r="DP116" s="135"/>
      <c r="DQ116" s="135"/>
      <c r="DR116" s="135"/>
      <c r="DS116" s="135"/>
      <c r="DT116" s="135"/>
      <c r="DU116" s="135" t="str">
        <f t="array" ref="DU116">IFERROR(INDEX(TABLACONSOLIDADA[Buff Act],MATCH("AGROINSUMOSAGROQUIMICOSSUR"&amp;Tabla_Buffers_Agroinsumos[[#This Row],[CODIGO ]],TABLACONSOLIDADA[Bodega]&amp;TABLACONSOLIDADA[Codigo],0)),"")</f>
        <v/>
      </c>
      <c r="DV116" s="111" t="str">
        <f t="array" ref="DV116">IFERROR(INDEX(TABLACONSOLIDADA[Inv Fís Act],MATCH("AGROINSUMOSAGROQUIMICOSSUR"&amp;Tabla_Buffers_Agroinsumos[[#This Row],[CODIGO ]],TABLACONSOLIDADA[Bodega]&amp;TABLACONSOLIDADA[Codigo],0)),"")</f>
        <v/>
      </c>
      <c r="DW116" s="161" t="str">
        <f t="array" ref="DW11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16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16" s="135">
        <f>IFERROR(SUM(Tabla_Buffers_Agroinsumos[[#This Row],[AS-MP]:[AS-VL]]),"")</f>
        <v>0</v>
      </c>
      <c r="DZ116" s="154" t="str">
        <f>IFERROR(Tabla_Buffers_Agroinsumos[[#This Row],[INV FIS AS]]-Tabla_Buffers_Agroinsumos[[#This Row],[BUFFER AS]],"")</f>
        <v/>
      </c>
      <c r="EA116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16" s="135"/>
      <c r="EC116" s="135"/>
      <c r="ED116" s="135"/>
      <c r="EE116" s="135"/>
      <c r="EF116" s="135"/>
      <c r="EG116" s="135"/>
      <c r="EH116" s="135"/>
      <c r="EI116" s="135"/>
      <c r="EJ116" s="135"/>
      <c r="EK116" s="135" t="str">
        <f t="array" ref="EK116">IFERROR(INDEX(TABLACONSOLIDADA[Buff Act],MATCH("AGROINSUMOSLAFINCA"&amp;Tabla_Buffers_Agroinsumos[[#This Row],[CODIGO ]],TABLACONSOLIDADA[Bodega]&amp;TABLACONSOLIDADA[Codigo],0)),"")</f>
        <v/>
      </c>
      <c r="EL116" s="111" t="str">
        <f t="array" ref="EL116">IFERROR(INDEX(TABLACONSOLIDADA[Inv Fís Act],MATCH("AGROINSUMOSLAFINCA"&amp;Tabla_Buffers_Agroinsumos[[#This Row],[CODIGO ]],TABLACONSOLIDADA[Bodega]&amp;TABLACONSOLIDADA[Codigo],0)),"")</f>
        <v/>
      </c>
      <c r="EM116" s="161" t="str">
        <f t="array" ref="EM11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16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16" s="135">
        <f>IFERROR(SUM(Tabla_Buffers_Agroinsumos[[#This Row],[LF-MP]:[LF-VL]]),"")</f>
        <v>0</v>
      </c>
      <c r="EP116" s="154" t="str">
        <f>IFERROR(Tabla_Buffers_Agroinsumos[[#This Row],[INV FIS LF]]-Tabla_Buffers_Agroinsumos[[#This Row],[BUFFER LF]],"")</f>
        <v/>
      </c>
      <c r="EQ116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16" s="135"/>
      <c r="ES116" s="135"/>
      <c r="ET116" s="135"/>
      <c r="EU116" s="135"/>
      <c r="EV116" s="135"/>
      <c r="EW116" s="135"/>
      <c r="EX116" s="135"/>
      <c r="EY116" s="135"/>
      <c r="EZ116" s="135"/>
      <c r="FA116" s="135" t="str">
        <f t="array" ref="FA116">IFERROR(INDEX(TABLACONSOLIDADA[Buff Act],MATCH("AGROINSUMOSVERONICALEDESMA"&amp;Tabla_Buffers_Agroinsumos[[#This Row],[CODIGO ]],TABLACONSOLIDADA[Bodega]&amp;TABLACONSOLIDADA[Codigo],0)),"")</f>
        <v/>
      </c>
      <c r="FB116" s="111" t="str">
        <f t="array" ref="FB116">IFERROR(INDEX(TABLACONSOLIDADA[Inv Fís Act],MATCH("AGROINSUMOSVERONICALEDESMA"&amp;Tabla_Buffers_Agroinsumos[[#This Row],[CODIGO ]],TABLACONSOLIDADA[Bodega]&amp;TABLACONSOLIDADA[Codigo],0)),"")</f>
        <v/>
      </c>
      <c r="FC116" s="161" t="str">
        <f t="array" ref="FC11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16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16" s="135">
        <f>IFERROR(SUM(Tabla_Buffers_Agroinsumos[[#This Row],[VL-MP]:[VL-LF]]),"")</f>
        <v>0</v>
      </c>
      <c r="FF116" s="154" t="str">
        <f>IFERROR(Tabla_Buffers_Agroinsumos[[#This Row],[INV FIS VL]]-Tabla_Buffers_Agroinsumos[[#This Row],[BUFFER VL]],"")</f>
        <v/>
      </c>
      <c r="FG116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16" s="135"/>
      <c r="FI116" s="135"/>
      <c r="FJ116" s="135"/>
      <c r="FK116" s="135"/>
      <c r="FL116" s="135"/>
      <c r="FM116" s="135"/>
      <c r="FN116" s="135"/>
      <c r="FO116" s="135"/>
      <c r="FP116" s="135"/>
    </row>
    <row r="117" spans="1:172">
      <c r="A117" s="7" t="s">
        <v>215</v>
      </c>
      <c r="B117" s="7" t="s">
        <v>216</v>
      </c>
      <c r="C117" s="7" t="s">
        <v>709</v>
      </c>
      <c r="D117" s="7" t="s">
        <v>719</v>
      </c>
      <c r="E117" s="7" t="s">
        <v>975</v>
      </c>
      <c r="F117" s="19" t="s">
        <v>698</v>
      </c>
      <c r="G117" s="19" t="s">
        <v>698</v>
      </c>
      <c r="H117" s="19">
        <f>VLOOKUP(Tabla_Buffers_Agroinsumos[[#This Row],[CODIGO ]],TABLACONSOLIDADA[[Codigo]:[PV]],6,0)</f>
        <v>42</v>
      </c>
      <c r="I117" s="19">
        <f>VLOOKUP(Tabla_Buffers_Agroinsumos[[#This Row],[CODIGO ]],TABLACONSOLIDADA[[Codigo]:[PV]],5,0)</f>
        <v>12.92</v>
      </c>
      <c r="J117" s="19" t="s">
        <v>698</v>
      </c>
      <c r="K117" s="19" t="s">
        <v>698</v>
      </c>
      <c r="L117" s="19">
        <f>IFERROR(Tabla_Buffers_Agroinsumos[[#This Row],[BUFFER CENTRAL]]/((Tabla_Buffers_Agroinsumos[[#This Row],[TIEMPO REPOSICION ]]/Tabla_Buffers_Agroinsumos[[#This Row],[FRECUENCIA]])+1),0)</f>
        <v>0</v>
      </c>
      <c r="M117" s="19" t="str">
        <f t="array" ref="M117">IFERROR(INDEX(TABLACONSOLIDADA[Buff Act],MATCH("AGROINSUMOSMATERIAPRIMA"&amp;Tabla_Buffers_Agroinsumos[[#This Row],[CODIGO ]],TABLACONSOLIDADA[Bodega]&amp;TABLACONSOLIDADA[Codigo],0)),"")</f>
        <v/>
      </c>
      <c r="N117" s="157" t="str">
        <f t="array" ref="N117">IFERROR(INDEX(TABLACONSOLIDADA[Inv Fís Act],MATCH("AGROINSUMOSMATERIAPRIMA"&amp;Tabla_Buffers_Agroinsumos[[#This Row],[CODIGO ]],TABLACONSOLIDADA[Bodega]&amp;TABLACONSOLIDADA[Codigo],0)),"")</f>
        <v/>
      </c>
      <c r="O117" s="157" t="str">
        <f t="array" ref="O11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1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17" s="19">
        <f>IFERROR(SUM(Tabla_Buffers_Agroinsumos[[#This Row],[MP-C]:[MP-VL]]),"")</f>
        <v>0</v>
      </c>
      <c r="R117" s="92" t="str">
        <f>IFERROR(Tabla_Buffers_Agroinsumos[[#This Row],[INV FIS MATERIA PRIMA]]-Tabla_Buffers_Agroinsumos[[#This Row],[BUFFER MATERIA PRIMA]],"")</f>
        <v/>
      </c>
      <c r="S11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17" s="19"/>
      <c r="U117" s="19"/>
      <c r="V117" s="19"/>
      <c r="W117" s="19"/>
      <c r="X117" s="19"/>
      <c r="Y117" s="19"/>
      <c r="Z117" s="19"/>
      <c r="AA117" s="19"/>
      <c r="AB117" s="19"/>
      <c r="AC117" s="152">
        <f t="array" ref="AC117">IFERROR(INDEX(TABLACONSOLIDADA[Buff Act],MATCH("AGROINSUMOSCENTRAL"&amp;Tabla_Buffers_Agroinsumos[[#This Row],[CODIGO ]],TABLACONSOLIDADA[Bodega]&amp;TABLACONSOLIDADA[Codigo],0)),"")</f>
        <v>0</v>
      </c>
      <c r="AD117" s="157">
        <f t="array" ref="AD117">IFERROR(INDEX(TABLACONSOLIDADA[Inv Fís Act],MATCH("AGROINSUMOSCENTRAL"&amp;Tabla_Buffers_Agroinsumos[[#This Row],[CODIGO ]],TABLACONSOLIDADA[Bodega]&amp;TABLACONSOLIDADA[Codigo],0)),"")</f>
        <v>0</v>
      </c>
      <c r="AE117" s="157">
        <f t="array" ref="AE11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11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17" s="91">
        <f>IFERROR(SUM(Tabla_Buffers_Agroinsumos[[#This Row],[C-MP]:[C-VL]]),"")</f>
        <v>0</v>
      </c>
      <c r="AH117" s="92">
        <f>IFERROR(Tabla_Buffers_Agroinsumos[[#This Row],[INV FIS CENTRAL]]-Tabla_Buffers_Agroinsumos[[#This Row],[BUFFER CENTRAL]],"")</f>
        <v>0</v>
      </c>
      <c r="AI11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117" s="134"/>
      <c r="AK117" s="134"/>
      <c r="AL117" s="134"/>
      <c r="AM117" s="134"/>
      <c r="AN117" s="134"/>
      <c r="AO117" s="134"/>
      <c r="AP117" s="134"/>
      <c r="AQ117" s="134"/>
      <c r="AR117" s="134"/>
      <c r="AS117" s="134">
        <f t="array" ref="AS117">IFERROR(INDEX(TABLACONSOLIDADA[Buff Act],MATCH("AGROINSUMOScentralPROPIA"&amp;Tabla_Buffers_Agroinsumos[[#This Row],[CODIGO ]],TABLACONSOLIDADA[Bodega]&amp;TABLACONSOLIDADA[Codigo],0)),"")</f>
        <v>0</v>
      </c>
      <c r="AT117" s="157">
        <f t="array" ref="AT117">IFERROR(INDEX(TABLACONSOLIDADA[Inv Fís Act],MATCH("AGROINSUMOScentralPROPIA"&amp;Tabla_Buffers_Agroinsumos[[#This Row],[CODIGO ]],TABLACONSOLIDADA[Bodega]&amp;TABLACONSOLIDADA[Codigo],0)),"")</f>
        <v>0</v>
      </c>
      <c r="AU117" s="157">
        <f t="array" ref="AU11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1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17" s="134">
        <f>IFERROR(SUM(Tabla_Buffers_Agroinsumos[[#This Row],[P-MP]:[P-VL]]),"")</f>
        <v>0</v>
      </c>
      <c r="AX117" s="92">
        <f>IFERROR(Tabla_Buffers_Agroinsumos[[#This Row],[INV FIS PROPIA]]-Tabla_Buffers_Agroinsumos[[#This Row],[BUFFER PROPIA]],"")</f>
        <v>0</v>
      </c>
      <c r="AY11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117" s="134"/>
      <c r="BA117" s="134"/>
      <c r="BB117" s="134"/>
      <c r="BC117" s="134"/>
      <c r="BD117" s="134"/>
      <c r="BE117" s="134"/>
      <c r="BF117" s="134"/>
      <c r="BG117" s="134"/>
      <c r="BH117" s="134"/>
      <c r="BI117" s="91">
        <f t="array" ref="BI117">IFERROR(INDEX(TABLACONSOLIDADA[Buff Act],MATCH("AGROINSUMOSSTODOMINGO"&amp;Tabla_Buffers_Agroinsumos[[#This Row],[CODIGO ]],TABLACONSOLIDADA[Bodega]&amp;TABLACONSOLIDADA[Codigo],0)),"")</f>
        <v>0</v>
      </c>
      <c r="BJ117" s="157">
        <f t="array" ref="BJ117">IFERROR(INDEX(TABLACONSOLIDADA[Inv Fís Act],MATCH("AGROINSUMOSSTODOMINGO"&amp;Tabla_Buffers_Agroinsumos[[#This Row],[CODIGO ]],TABLACONSOLIDADA[Bodega]&amp;TABLACONSOLIDADA[Codigo],0)),"")</f>
        <v>0</v>
      </c>
      <c r="BK117" s="157">
        <f t="array" ref="BK11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11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17" s="91">
        <f>IFERROR(SUM(Tabla_Buffers_Agroinsumos[[#This Row],[SD-MP]:[SD-VL]]),"")</f>
        <v>0</v>
      </c>
      <c r="BN117" s="92"/>
      <c r="BO117" s="92"/>
      <c r="BP117" s="134"/>
      <c r="BQ117" s="134"/>
      <c r="BR117" s="134"/>
      <c r="BS117" s="134"/>
      <c r="BT117" s="134"/>
      <c r="BU117" s="134"/>
      <c r="BV117" s="134"/>
      <c r="BW117" s="134"/>
      <c r="BX117" s="134"/>
      <c r="BY117" s="134">
        <f t="array" ref="BY117">IFERROR(INDEX(TABLACONSOLIDADA[Buff Act],MATCH("AGROINSUMOSMONCAYOLOPEZ"&amp;Tabla_Buffers_Agroinsumos[[#This Row],[CODIGO ]],TABLACONSOLIDADA[Bodega]&amp;TABLACONSOLIDADA[Codigo],0)),"")</f>
        <v>0</v>
      </c>
      <c r="BZ117" s="157">
        <f t="array" ref="BZ117">IFERROR(INDEX(TABLACONSOLIDADA[Inv Fís Act],MATCH("AGROINSUMOSMONCAYOLOPEZ"&amp;Tabla_Buffers_Agroinsumos[[#This Row],[CODIGO ]],TABLACONSOLIDADA[Bodega]&amp;TABLACONSOLIDADA[Codigo],0)),"")</f>
        <v>0</v>
      </c>
      <c r="CA117" s="157">
        <f t="array" ref="CA11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1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17" s="134">
        <f>IFERROR(SUM(Tabla_Buffers_Agroinsumos[[#This Row],[ML-MP]:[ML-VL]]),"")</f>
        <v>0</v>
      </c>
      <c r="CD117" s="92">
        <f>IFERROR(Tabla_Buffers_Agroinsumos[[#This Row],[INV FIS ML]]-Tabla_Buffers_Agroinsumos[[#This Row],[BUFFER ML]],"")</f>
        <v>0</v>
      </c>
      <c r="CE117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17" s="134"/>
      <c r="CG117" s="134"/>
      <c r="CH117" s="134"/>
      <c r="CI117" s="134"/>
      <c r="CJ117" s="134"/>
      <c r="CK117" s="134"/>
      <c r="CL117" s="134"/>
      <c r="CM117" s="134"/>
      <c r="CN117" s="134"/>
      <c r="CO117" s="134">
        <f t="array" ref="CO117">IFERROR(INDEX(TABLACONSOLIDADA[Buff Act],MATCH("AGROINSUMOSAGROHERMANOSLEON"&amp;Tabla_Buffers_Agroinsumos[[#This Row],[CODIGO ]],TABLACONSOLIDADA[Bodega]&amp;TABLACONSOLIDADA[Codigo],0)),"")</f>
        <v>0</v>
      </c>
      <c r="CP117" s="157">
        <f t="array" ref="CP117">IFERROR(INDEX(TABLACONSOLIDADA[Inv Fís Act],MATCH("AGROINSUMOSAGROHERMANOSLEON"&amp;Tabla_Buffers_Agroinsumos[[#This Row],[CODIGO ]],TABLACONSOLIDADA[Bodega]&amp;TABLACONSOLIDADA[Codigo],0)),"")</f>
        <v>0</v>
      </c>
      <c r="CQ117" s="157">
        <f t="array" ref="CQ11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1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17" s="134">
        <f>IFERROR(SUM(Tabla_Buffers_Agroinsumos[[#This Row],[AL-MP]:[AL-VL]]),"")</f>
        <v>0</v>
      </c>
      <c r="CT117" s="92">
        <f>IFERROR(Tabla_Buffers_Agroinsumos[[#This Row],[INV FIS AL]]-Tabla_Buffers_Agroinsumos[[#This Row],[BUFFER AL]],"")</f>
        <v>0</v>
      </c>
      <c r="CU11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17" s="134"/>
      <c r="CW117" s="134"/>
      <c r="CX117" s="134"/>
      <c r="CY117" s="134"/>
      <c r="CZ117" s="134"/>
      <c r="DA117" s="134"/>
      <c r="DB117" s="134"/>
      <c r="DC117" s="134"/>
      <c r="DD117" s="134"/>
      <c r="DE117" s="134">
        <f t="array" ref="DE117">IFERROR(INDEX(TABLACONSOLIDADA[Buff Act],MATCH("AGROINSUMOSAGRONUEVO"&amp;Tabla_Buffers_Agroinsumos[[#This Row],[CODIGO ]],TABLACONSOLIDADA[Bodega]&amp;TABLACONSOLIDADA[Codigo],0)),"")</f>
        <v>0</v>
      </c>
      <c r="DF117" s="157">
        <f t="array" ref="DF117">IFERROR(INDEX(TABLACONSOLIDADA[Inv Fís Act],MATCH("AGROINSUMOSAGRONUEVO"&amp;Tabla_Buffers_Agroinsumos[[#This Row],[CODIGO ]],TABLACONSOLIDADA[Bodega]&amp;TABLACONSOLIDADA[Codigo],0)),"")</f>
        <v>0</v>
      </c>
      <c r="DG117" s="157">
        <f t="array" ref="DG11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1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17" s="134">
        <f>IFERROR(SUM(Tabla_Buffers_Agroinsumos[[#This Row],[AN-MP]:[AN-VL]]),"")</f>
        <v>0</v>
      </c>
      <c r="DJ117" s="92">
        <f>IFERROR(Tabla_Buffers_Agroinsumos[[#This Row],[INV FIS AN]]-Tabla_Buffers_Agroinsumos[[#This Row],[BUFFER AN]],"")</f>
        <v>0</v>
      </c>
      <c r="DK11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17" s="134"/>
      <c r="DM117" s="134"/>
      <c r="DN117" s="134"/>
      <c r="DO117" s="134"/>
      <c r="DP117" s="134"/>
      <c r="DQ117" s="134"/>
      <c r="DR117" s="134"/>
      <c r="DS117" s="134"/>
      <c r="DT117" s="134"/>
      <c r="DU117" s="134">
        <f t="array" ref="DU117">IFERROR(INDEX(TABLACONSOLIDADA[Buff Act],MATCH("AGROINSUMOSAGROQUIMICOSSUR"&amp;Tabla_Buffers_Agroinsumos[[#This Row],[CODIGO ]],TABLACONSOLIDADA[Bodega]&amp;TABLACONSOLIDADA[Codigo],0)),"")</f>
        <v>0</v>
      </c>
      <c r="DV117" s="157">
        <f t="array" ref="DV117">IFERROR(INDEX(TABLACONSOLIDADA[Inv Fís Act],MATCH("AGROINSUMOSAGROQUIMICOSSUR"&amp;Tabla_Buffers_Agroinsumos[[#This Row],[CODIGO ]],TABLACONSOLIDADA[Bodega]&amp;TABLACONSOLIDADA[Codigo],0)),"")</f>
        <v>0</v>
      </c>
      <c r="DW117" s="157">
        <f t="array" ref="DW11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1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17" s="134">
        <f>IFERROR(SUM(Tabla_Buffers_Agroinsumos[[#This Row],[AS-MP]:[AS-VL]]),"")</f>
        <v>0</v>
      </c>
      <c r="DZ117" s="92">
        <f>IFERROR(Tabla_Buffers_Agroinsumos[[#This Row],[INV FIS AS]]-Tabla_Buffers_Agroinsumos[[#This Row],[BUFFER AS]],"")</f>
        <v>0</v>
      </c>
      <c r="EA11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17" s="134"/>
      <c r="EC117" s="134"/>
      <c r="ED117" s="134"/>
      <c r="EE117" s="134"/>
      <c r="EF117" s="134"/>
      <c r="EG117" s="134"/>
      <c r="EH117" s="134"/>
      <c r="EI117" s="134"/>
      <c r="EJ117" s="134"/>
      <c r="EK117" s="134">
        <f t="array" ref="EK117">IFERROR(INDEX(TABLACONSOLIDADA[Buff Act],MATCH("AGROINSUMOSLAFINCA"&amp;Tabla_Buffers_Agroinsumos[[#This Row],[CODIGO ]],TABLACONSOLIDADA[Bodega]&amp;TABLACONSOLIDADA[Codigo],0)),"")</f>
        <v>0</v>
      </c>
      <c r="EL117" s="157">
        <f t="array" ref="EL117">IFERROR(INDEX(TABLACONSOLIDADA[Inv Fís Act],MATCH("AGROINSUMOSLAFINCA"&amp;Tabla_Buffers_Agroinsumos[[#This Row],[CODIGO ]],TABLACONSOLIDADA[Bodega]&amp;TABLACONSOLIDADA[Codigo],0)),"")</f>
        <v>0</v>
      </c>
      <c r="EM117" s="157">
        <f t="array" ref="EM11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1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17" s="134">
        <f>IFERROR(SUM(Tabla_Buffers_Agroinsumos[[#This Row],[LF-MP]:[LF-VL]]),"")</f>
        <v>0</v>
      </c>
      <c r="EP117" s="92">
        <f>IFERROR(Tabla_Buffers_Agroinsumos[[#This Row],[INV FIS LF]]-Tabla_Buffers_Agroinsumos[[#This Row],[BUFFER LF]],"")</f>
        <v>0</v>
      </c>
      <c r="EQ11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17" s="134"/>
      <c r="ES117" s="134"/>
      <c r="ET117" s="134"/>
      <c r="EU117" s="134"/>
      <c r="EV117" s="134"/>
      <c r="EW117" s="134"/>
      <c r="EX117" s="134"/>
      <c r="EY117" s="134"/>
      <c r="EZ117" s="134"/>
      <c r="FA117" s="134">
        <f t="array" ref="FA117">IFERROR(INDEX(TABLACONSOLIDADA[Buff Act],MATCH("AGROINSUMOSVERONICALEDESMA"&amp;Tabla_Buffers_Agroinsumos[[#This Row],[CODIGO ]],TABLACONSOLIDADA[Bodega]&amp;TABLACONSOLIDADA[Codigo],0)),"")</f>
        <v>0</v>
      </c>
      <c r="FB117" s="157">
        <f t="array" ref="FB117">IFERROR(INDEX(TABLACONSOLIDADA[Inv Fís Act],MATCH("AGROINSUMOSVERONICALEDESMA"&amp;Tabla_Buffers_Agroinsumos[[#This Row],[CODIGO ]],TABLACONSOLIDADA[Bodega]&amp;TABLACONSOLIDADA[Codigo],0)),"")</f>
        <v>0</v>
      </c>
      <c r="FC117" s="157">
        <f t="array" ref="FC11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11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17" s="134">
        <f>IFERROR(SUM(Tabla_Buffers_Agroinsumos[[#This Row],[VL-MP]:[VL-LF]]),"")</f>
        <v>0</v>
      </c>
      <c r="FF117" s="92">
        <f>IFERROR(Tabla_Buffers_Agroinsumos[[#This Row],[INV FIS VL]]-Tabla_Buffers_Agroinsumos[[#This Row],[BUFFER VL]],"")</f>
        <v>0</v>
      </c>
      <c r="FG11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117" s="134"/>
      <c r="FI117" s="134"/>
      <c r="FJ117" s="134"/>
      <c r="FK117" s="134"/>
      <c r="FL117" s="134"/>
      <c r="FM117" s="134"/>
      <c r="FN117" s="134"/>
      <c r="FO117" s="134"/>
      <c r="FP117" s="134"/>
    </row>
    <row r="118" spans="1:172">
      <c r="A118" s="7" t="s">
        <v>217</v>
      </c>
      <c r="B118" s="7" t="s">
        <v>218</v>
      </c>
      <c r="C118" s="7" t="s">
        <v>709</v>
      </c>
      <c r="D118" s="7" t="s">
        <v>719</v>
      </c>
      <c r="E118" s="7" t="s">
        <v>975</v>
      </c>
      <c r="F118" s="19" t="s">
        <v>698</v>
      </c>
      <c r="G118" s="19" t="s">
        <v>698</v>
      </c>
      <c r="H118" s="19">
        <f>VLOOKUP(Tabla_Buffers_Agroinsumos[[#This Row],[CODIGO ]],TABLACONSOLIDADA[[Codigo]:[PV]],6,0)</f>
        <v>8.9</v>
      </c>
      <c r="I118" s="19">
        <f>VLOOKUP(Tabla_Buffers_Agroinsumos[[#This Row],[CODIGO ]],TABLACONSOLIDADA[[Codigo]:[PV]],5,0)</f>
        <v>2.66</v>
      </c>
      <c r="J118" s="19" t="s">
        <v>698</v>
      </c>
      <c r="K118" s="19" t="s">
        <v>698</v>
      </c>
      <c r="L118" s="19">
        <f>IFERROR(Tabla_Buffers_Agroinsumos[[#This Row],[BUFFER CENTRAL]]/((Tabla_Buffers_Agroinsumos[[#This Row],[TIEMPO REPOSICION ]]/Tabla_Buffers_Agroinsumos[[#This Row],[FRECUENCIA]])+1),0)</f>
        <v>0</v>
      </c>
      <c r="M118" s="19" t="str">
        <f t="array" ref="M118">IFERROR(INDEX(TABLACONSOLIDADA[Buff Act],MATCH("AGROINSUMOSMATERIAPRIMA"&amp;Tabla_Buffers_Agroinsumos[[#This Row],[CODIGO ]],TABLACONSOLIDADA[Bodega]&amp;TABLACONSOLIDADA[Codigo],0)),"")</f>
        <v/>
      </c>
      <c r="N118" s="157" t="str">
        <f t="array" ref="N118">IFERROR(INDEX(TABLACONSOLIDADA[Inv Fís Act],MATCH("AGROINSUMOSMATERIAPRIMA"&amp;Tabla_Buffers_Agroinsumos[[#This Row],[CODIGO ]],TABLACONSOLIDADA[Bodega]&amp;TABLACONSOLIDADA[Codigo],0)),"")</f>
        <v/>
      </c>
      <c r="O118" s="157" t="str">
        <f t="array" ref="O11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1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18" s="19">
        <f>IFERROR(SUM(Tabla_Buffers_Agroinsumos[[#This Row],[MP-C]:[MP-VL]]),"")</f>
        <v>0</v>
      </c>
      <c r="R118" s="92" t="str">
        <f>IFERROR(Tabla_Buffers_Agroinsumos[[#This Row],[INV FIS MATERIA PRIMA]]-Tabla_Buffers_Agroinsumos[[#This Row],[BUFFER MATERIA PRIMA]],"")</f>
        <v/>
      </c>
      <c r="S11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18" s="19"/>
      <c r="U118" s="19"/>
      <c r="V118" s="19"/>
      <c r="W118" s="19"/>
      <c r="X118" s="19"/>
      <c r="Y118" s="19"/>
      <c r="Z118" s="19"/>
      <c r="AA118" s="19"/>
      <c r="AB118" s="19"/>
      <c r="AC118" s="152">
        <f t="array" ref="AC118">IFERROR(INDEX(TABLACONSOLIDADA[Buff Act],MATCH("AGROINSUMOSCENTRAL"&amp;Tabla_Buffers_Agroinsumos[[#This Row],[CODIGO ]],TABLACONSOLIDADA[Bodega]&amp;TABLACONSOLIDADA[Codigo],0)),"")</f>
        <v>100</v>
      </c>
      <c r="AD118" s="157">
        <f t="array" ref="AD118">IFERROR(INDEX(TABLACONSOLIDADA[Inv Fís Act],MATCH("AGROINSUMOSCENTRAL"&amp;Tabla_Buffers_Agroinsumos[[#This Row],[CODIGO ]],TABLACONSOLIDADA[Bodega]&amp;TABLACONSOLIDADA[Codigo],0)),"")</f>
        <v>120</v>
      </c>
      <c r="AE118" s="157">
        <f t="array" ref="AE11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120</v>
      </c>
      <c r="AF11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18" s="91">
        <f>IFERROR(SUM(Tabla_Buffers_Agroinsumos[[#This Row],[C-MP]:[C-VL]]),"")</f>
        <v>0</v>
      </c>
      <c r="AH118" s="92">
        <f>IFERROR(Tabla_Buffers_Agroinsumos[[#This Row],[INV FIS CENTRAL]]-Tabla_Buffers_Agroinsumos[[#This Row],[BUFFER CENTRAL]],"")</f>
        <v>20</v>
      </c>
      <c r="AI11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20</v>
      </c>
      <c r="AJ118" s="134"/>
      <c r="AK118" s="134"/>
      <c r="AL118" s="134"/>
      <c r="AM118" s="134"/>
      <c r="AN118" s="134"/>
      <c r="AO118" s="134"/>
      <c r="AP118" s="134"/>
      <c r="AQ118" s="134"/>
      <c r="AR118" s="134"/>
      <c r="AS118" s="134">
        <f t="array" ref="AS118">IFERROR(INDEX(TABLACONSOLIDADA[Buff Act],MATCH("AGROINSUMOScentralPROPIA"&amp;Tabla_Buffers_Agroinsumos[[#This Row],[CODIGO ]],TABLACONSOLIDADA[Bodega]&amp;TABLACONSOLIDADA[Codigo],0)),"")</f>
        <v>0</v>
      </c>
      <c r="AT118" s="157">
        <f t="array" ref="AT118">IFERROR(INDEX(TABLACONSOLIDADA[Inv Fís Act],MATCH("AGROINSUMOScentralPROPIA"&amp;Tabla_Buffers_Agroinsumos[[#This Row],[CODIGO ]],TABLACONSOLIDADA[Bodega]&amp;TABLACONSOLIDADA[Codigo],0)),"")</f>
        <v>0</v>
      </c>
      <c r="AU118" s="157">
        <f t="array" ref="AU11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1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18" s="134">
        <f>IFERROR(SUM(Tabla_Buffers_Agroinsumos[[#This Row],[P-MP]:[P-VL]]),"")</f>
        <v>0</v>
      </c>
      <c r="AX118" s="92">
        <f>IFERROR(Tabla_Buffers_Agroinsumos[[#This Row],[INV FIS PROPIA]]-Tabla_Buffers_Agroinsumos[[#This Row],[BUFFER PROPIA]],"")</f>
        <v>0</v>
      </c>
      <c r="AY11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118" s="134"/>
      <c r="BA118" s="134"/>
      <c r="BB118" s="134"/>
      <c r="BC118" s="134"/>
      <c r="BD118" s="134"/>
      <c r="BE118" s="134"/>
      <c r="BF118" s="134"/>
      <c r="BG118" s="134"/>
      <c r="BH118" s="134"/>
      <c r="BI118" s="91">
        <f t="array" ref="BI118">IFERROR(INDEX(TABLACONSOLIDADA[Buff Act],MATCH("AGROINSUMOSSTODOMINGO"&amp;Tabla_Buffers_Agroinsumos[[#This Row],[CODIGO ]],TABLACONSOLIDADA[Bodega]&amp;TABLACONSOLIDADA[Codigo],0)),"")</f>
        <v>0</v>
      </c>
      <c r="BJ118" s="157">
        <f t="array" ref="BJ118">IFERROR(INDEX(TABLACONSOLIDADA[Inv Fís Act],MATCH("AGROINSUMOSSTODOMINGO"&amp;Tabla_Buffers_Agroinsumos[[#This Row],[CODIGO ]],TABLACONSOLIDADA[Bodega]&amp;TABLACONSOLIDADA[Codigo],0)),"")</f>
        <v>0</v>
      </c>
      <c r="BK118" s="157">
        <f t="array" ref="BK11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11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18" s="91">
        <f>IFERROR(SUM(Tabla_Buffers_Agroinsumos[[#This Row],[SD-MP]:[SD-VL]]),"")</f>
        <v>0</v>
      </c>
      <c r="BN118" s="92"/>
      <c r="BO118" s="92"/>
      <c r="BP118" s="134"/>
      <c r="BQ118" s="134"/>
      <c r="BR118" s="134"/>
      <c r="BS118" s="134"/>
      <c r="BT118" s="134"/>
      <c r="BU118" s="134"/>
      <c r="BV118" s="134"/>
      <c r="BW118" s="134"/>
      <c r="BX118" s="134"/>
      <c r="BY118" s="134">
        <f t="array" ref="BY118">IFERROR(INDEX(TABLACONSOLIDADA[Buff Act],MATCH("AGROINSUMOSMONCAYOLOPEZ"&amp;Tabla_Buffers_Agroinsumos[[#This Row],[CODIGO ]],TABLACONSOLIDADA[Bodega]&amp;TABLACONSOLIDADA[Codigo],0)),"")</f>
        <v>0</v>
      </c>
      <c r="BZ118" s="157">
        <f t="array" ref="BZ118">IFERROR(INDEX(TABLACONSOLIDADA[Inv Fís Act],MATCH("AGROINSUMOSMONCAYOLOPEZ"&amp;Tabla_Buffers_Agroinsumos[[#This Row],[CODIGO ]],TABLACONSOLIDADA[Bodega]&amp;TABLACONSOLIDADA[Codigo],0)),"")</f>
        <v>0</v>
      </c>
      <c r="CA118" s="157">
        <f t="array" ref="CA11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1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18" s="134">
        <f>IFERROR(SUM(Tabla_Buffers_Agroinsumos[[#This Row],[ML-MP]:[ML-VL]]),"")</f>
        <v>0</v>
      </c>
      <c r="CD118" s="92">
        <f>IFERROR(Tabla_Buffers_Agroinsumos[[#This Row],[INV FIS ML]]-Tabla_Buffers_Agroinsumos[[#This Row],[BUFFER ML]],"")</f>
        <v>0</v>
      </c>
      <c r="CE11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18" s="134"/>
      <c r="CG118" s="134"/>
      <c r="CH118" s="134"/>
      <c r="CI118" s="134"/>
      <c r="CJ118" s="134"/>
      <c r="CK118" s="134"/>
      <c r="CL118" s="134"/>
      <c r="CM118" s="134"/>
      <c r="CN118" s="134"/>
      <c r="CO118" s="134">
        <f t="array" ref="CO118">IFERROR(INDEX(TABLACONSOLIDADA[Buff Act],MATCH("AGROINSUMOSAGROHERMANOSLEON"&amp;Tabla_Buffers_Agroinsumos[[#This Row],[CODIGO ]],TABLACONSOLIDADA[Bodega]&amp;TABLACONSOLIDADA[Codigo],0)),"")</f>
        <v>200</v>
      </c>
      <c r="CP118" s="157">
        <f t="array" ref="CP118">IFERROR(INDEX(TABLACONSOLIDADA[Inv Fís Act],MATCH("AGROINSUMOSAGROHERMANOSLEON"&amp;Tabla_Buffers_Agroinsumos[[#This Row],[CODIGO ]],TABLACONSOLIDADA[Bodega]&amp;TABLACONSOLIDADA[Codigo],0)),"")</f>
        <v>200</v>
      </c>
      <c r="CQ118" s="157">
        <f t="array" ref="CQ11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200</v>
      </c>
      <c r="CR11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18" s="134">
        <f>IFERROR(SUM(Tabla_Buffers_Agroinsumos[[#This Row],[AL-MP]:[AL-VL]]),"")</f>
        <v>0</v>
      </c>
      <c r="CT118" s="92">
        <f>IFERROR(Tabla_Buffers_Agroinsumos[[#This Row],[INV FIS AL]]-Tabla_Buffers_Agroinsumos[[#This Row],[BUFFER AL]],"")</f>
        <v>0</v>
      </c>
      <c r="CU11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18" s="134"/>
      <c r="CW118" s="134"/>
      <c r="CX118" s="134"/>
      <c r="CY118" s="134"/>
      <c r="CZ118" s="134"/>
      <c r="DA118" s="134"/>
      <c r="DB118" s="134"/>
      <c r="DC118" s="134"/>
      <c r="DD118" s="134"/>
      <c r="DE118" s="134">
        <f t="array" ref="DE118">IFERROR(INDEX(TABLACONSOLIDADA[Buff Act],MATCH("AGROINSUMOSAGRONUEVO"&amp;Tabla_Buffers_Agroinsumos[[#This Row],[CODIGO ]],TABLACONSOLIDADA[Bodega]&amp;TABLACONSOLIDADA[Codigo],0)),"")</f>
        <v>0</v>
      </c>
      <c r="DF118" s="157">
        <f t="array" ref="DF118">IFERROR(INDEX(TABLACONSOLIDADA[Inv Fís Act],MATCH("AGROINSUMOSAGRONUEVO"&amp;Tabla_Buffers_Agroinsumos[[#This Row],[CODIGO ]],TABLACONSOLIDADA[Bodega]&amp;TABLACONSOLIDADA[Codigo],0)),"")</f>
        <v>0</v>
      </c>
      <c r="DG118" s="157">
        <f t="array" ref="DG11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1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18" s="134">
        <f>IFERROR(SUM(Tabla_Buffers_Agroinsumos[[#This Row],[AN-MP]:[AN-VL]]),"")</f>
        <v>0</v>
      </c>
      <c r="DJ118" s="92">
        <f>IFERROR(Tabla_Buffers_Agroinsumos[[#This Row],[INV FIS AN]]-Tabla_Buffers_Agroinsumos[[#This Row],[BUFFER AN]],"")</f>
        <v>0</v>
      </c>
      <c r="DK11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18" s="134"/>
      <c r="DM118" s="134"/>
      <c r="DN118" s="134"/>
      <c r="DO118" s="134"/>
      <c r="DP118" s="134"/>
      <c r="DQ118" s="134"/>
      <c r="DR118" s="134"/>
      <c r="DS118" s="134"/>
      <c r="DT118" s="134"/>
      <c r="DU118" s="134">
        <f t="array" ref="DU118">IFERROR(INDEX(TABLACONSOLIDADA[Buff Act],MATCH("AGROINSUMOSAGROQUIMICOSSUR"&amp;Tabla_Buffers_Agroinsumos[[#This Row],[CODIGO ]],TABLACONSOLIDADA[Bodega]&amp;TABLACONSOLIDADA[Codigo],0)),"")</f>
        <v>0</v>
      </c>
      <c r="DV118" s="157">
        <f t="array" ref="DV118">IFERROR(INDEX(TABLACONSOLIDADA[Inv Fís Act],MATCH("AGROINSUMOSAGROQUIMICOSSUR"&amp;Tabla_Buffers_Agroinsumos[[#This Row],[CODIGO ]],TABLACONSOLIDADA[Bodega]&amp;TABLACONSOLIDADA[Codigo],0)),"")</f>
        <v>0</v>
      </c>
      <c r="DW118" s="157">
        <f t="array" ref="DW11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1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18" s="134">
        <f>IFERROR(SUM(Tabla_Buffers_Agroinsumos[[#This Row],[AS-MP]:[AS-VL]]),"")</f>
        <v>0</v>
      </c>
      <c r="DZ118" s="92">
        <f>IFERROR(Tabla_Buffers_Agroinsumos[[#This Row],[INV FIS AS]]-Tabla_Buffers_Agroinsumos[[#This Row],[BUFFER AS]],"")</f>
        <v>0</v>
      </c>
      <c r="EA11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18" s="134"/>
      <c r="EC118" s="134"/>
      <c r="ED118" s="134"/>
      <c r="EE118" s="134"/>
      <c r="EF118" s="134"/>
      <c r="EG118" s="134"/>
      <c r="EH118" s="134"/>
      <c r="EI118" s="134"/>
      <c r="EJ118" s="134"/>
      <c r="EK118" s="134">
        <f t="array" ref="EK118">IFERROR(INDEX(TABLACONSOLIDADA[Buff Act],MATCH("AGROINSUMOSLAFINCA"&amp;Tabla_Buffers_Agroinsumos[[#This Row],[CODIGO ]],TABLACONSOLIDADA[Bodega]&amp;TABLACONSOLIDADA[Codigo],0)),"")</f>
        <v>0</v>
      </c>
      <c r="EL118" s="157">
        <f t="array" ref="EL118">IFERROR(INDEX(TABLACONSOLIDADA[Inv Fís Act],MATCH("AGROINSUMOSLAFINCA"&amp;Tabla_Buffers_Agroinsumos[[#This Row],[CODIGO ]],TABLACONSOLIDADA[Bodega]&amp;TABLACONSOLIDADA[Codigo],0)),"")</f>
        <v>0</v>
      </c>
      <c r="EM118" s="157">
        <f t="array" ref="EM11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1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18" s="134">
        <f>IFERROR(SUM(Tabla_Buffers_Agroinsumos[[#This Row],[LF-MP]:[LF-VL]]),"")</f>
        <v>0</v>
      </c>
      <c r="EP118" s="92">
        <f>IFERROR(Tabla_Buffers_Agroinsumos[[#This Row],[INV FIS LF]]-Tabla_Buffers_Agroinsumos[[#This Row],[BUFFER LF]],"")</f>
        <v>0</v>
      </c>
      <c r="EQ11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18" s="134"/>
      <c r="ES118" s="134"/>
      <c r="ET118" s="134"/>
      <c r="EU118" s="134"/>
      <c r="EV118" s="134"/>
      <c r="EW118" s="134"/>
      <c r="EX118" s="134"/>
      <c r="EY118" s="134"/>
      <c r="EZ118" s="134"/>
      <c r="FA118" s="134">
        <f t="array" ref="FA118">IFERROR(INDEX(TABLACONSOLIDADA[Buff Act],MATCH("AGROINSUMOSVERONICALEDESMA"&amp;Tabla_Buffers_Agroinsumos[[#This Row],[CODIGO ]],TABLACONSOLIDADA[Bodega]&amp;TABLACONSOLIDADA[Codigo],0)),"")</f>
        <v>0</v>
      </c>
      <c r="FB118" s="157">
        <f t="array" ref="FB118">IFERROR(INDEX(TABLACONSOLIDADA[Inv Fís Act],MATCH("AGROINSUMOSVERONICALEDESMA"&amp;Tabla_Buffers_Agroinsumos[[#This Row],[CODIGO ]],TABLACONSOLIDADA[Bodega]&amp;TABLACONSOLIDADA[Codigo],0)),"")</f>
        <v>0</v>
      </c>
      <c r="FC118" s="157">
        <f t="array" ref="FC11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11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18" s="134">
        <f>IFERROR(SUM(Tabla_Buffers_Agroinsumos[[#This Row],[VL-MP]:[VL-LF]]),"")</f>
        <v>0</v>
      </c>
      <c r="FF118" s="92">
        <f>IFERROR(Tabla_Buffers_Agroinsumos[[#This Row],[INV FIS VL]]-Tabla_Buffers_Agroinsumos[[#This Row],[BUFFER VL]],"")</f>
        <v>0</v>
      </c>
      <c r="FG11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118" s="134"/>
      <c r="FI118" s="134"/>
      <c r="FJ118" s="134"/>
      <c r="FK118" s="134"/>
      <c r="FL118" s="134"/>
      <c r="FM118" s="134"/>
      <c r="FN118" s="134"/>
      <c r="FO118" s="134"/>
      <c r="FP118" s="134"/>
    </row>
    <row r="119" spans="1:172">
      <c r="A119" s="7" t="s">
        <v>876</v>
      </c>
      <c r="B119" s="7" t="s">
        <v>954</v>
      </c>
      <c r="C119" s="7" t="s">
        <v>707</v>
      </c>
      <c r="D119" s="7" t="s">
        <v>732</v>
      </c>
      <c r="E119" s="7" t="s">
        <v>975</v>
      </c>
      <c r="F119" s="19" t="s">
        <v>698</v>
      </c>
      <c r="G119" s="19" t="s">
        <v>698</v>
      </c>
      <c r="H119" s="19">
        <f>VLOOKUP(Tabla_Buffers_Agroinsumos[[#This Row],[CODIGO ]],TABLACONSOLIDADA[[Codigo]:[PV]],6,0)</f>
        <v>15.09</v>
      </c>
      <c r="I119" s="19">
        <f>VLOOKUP(Tabla_Buffers_Agroinsumos[[#This Row],[CODIGO ]],TABLACONSOLIDADA[[Codigo]:[PV]],5,0)</f>
        <v>9.81</v>
      </c>
      <c r="J119" s="19" t="s">
        <v>698</v>
      </c>
      <c r="K119" s="19" t="s">
        <v>698</v>
      </c>
      <c r="L119" s="19">
        <f>IFERROR(Tabla_Buffers_Agroinsumos[[#This Row],[BUFFER CENTRAL]]/((Tabla_Buffers_Agroinsumos[[#This Row],[TIEMPO REPOSICION ]]/Tabla_Buffers_Agroinsumos[[#This Row],[FRECUENCIA]])+1),0)</f>
        <v>0</v>
      </c>
      <c r="M119" s="19" t="str">
        <f t="array" ref="M119">IFERROR(INDEX(TABLACONSOLIDADA[Buff Act],MATCH("AGROINSUMOSMATERIAPRIMA"&amp;Tabla_Buffers_Agroinsumos[[#This Row],[CODIGO ]],TABLACONSOLIDADA[Bodega]&amp;TABLACONSOLIDADA[Codigo],0)),"")</f>
        <v/>
      </c>
      <c r="N119" s="157" t="str">
        <f t="array" ref="N119">IFERROR(INDEX(TABLACONSOLIDADA[Inv Fís Act],MATCH("AGROINSUMOSMATERIAPRIMA"&amp;Tabla_Buffers_Agroinsumos[[#This Row],[CODIGO ]],TABLACONSOLIDADA[Bodega]&amp;TABLACONSOLIDADA[Codigo],0)),"")</f>
        <v/>
      </c>
      <c r="O119" s="157" t="str">
        <f t="array" ref="O11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1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19" s="19">
        <f>IFERROR(SUM(Tabla_Buffers_Agroinsumos[[#This Row],[MP-C]:[MP-VL]]),"")</f>
        <v>0</v>
      </c>
      <c r="R119" s="92" t="str">
        <f>IFERROR(Tabla_Buffers_Agroinsumos[[#This Row],[INV FIS MATERIA PRIMA]]-Tabla_Buffers_Agroinsumos[[#This Row],[BUFFER MATERIA PRIMA]],"")</f>
        <v/>
      </c>
      <c r="S11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19" s="19"/>
      <c r="U119" s="19"/>
      <c r="V119" s="19"/>
      <c r="W119" s="19"/>
      <c r="X119" s="19"/>
      <c r="Y119" s="19"/>
      <c r="Z119" s="19"/>
      <c r="AA119" s="19"/>
      <c r="AB119" s="19"/>
      <c r="AC119" s="152">
        <f t="array" ref="AC119">IFERROR(INDEX(TABLACONSOLIDADA[Buff Act],MATCH("AGROINSUMOSCENTRAL"&amp;Tabla_Buffers_Agroinsumos[[#This Row],[CODIGO ]],TABLACONSOLIDADA[Bodega]&amp;TABLACONSOLIDADA[Codigo],0)),"")</f>
        <v>20</v>
      </c>
      <c r="AD119" s="157">
        <f t="array" ref="AD119">IFERROR(INDEX(TABLACONSOLIDADA[Inv Fís Act],MATCH("AGROINSUMOSCENTRAL"&amp;Tabla_Buffers_Agroinsumos[[#This Row],[CODIGO ]],TABLACONSOLIDADA[Bodega]&amp;TABLACONSOLIDADA[Codigo],0)),"")</f>
        <v>27</v>
      </c>
      <c r="AE119" s="157">
        <f t="array" ref="AE11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47</v>
      </c>
      <c r="AF11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19" s="91">
        <f>IFERROR(SUM(Tabla_Buffers_Agroinsumos[[#This Row],[C-MP]:[C-VL]]),"")</f>
        <v>0</v>
      </c>
      <c r="AH119" s="92">
        <f>IFERROR(Tabla_Buffers_Agroinsumos[[#This Row],[INV FIS CENTRAL]]-Tabla_Buffers_Agroinsumos[[#This Row],[BUFFER CENTRAL]],"")</f>
        <v>7</v>
      </c>
      <c r="AI11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7</v>
      </c>
      <c r="AJ119" s="134"/>
      <c r="AK119" s="134"/>
      <c r="AL119" s="134"/>
      <c r="AM119" s="134"/>
      <c r="AN119" s="134"/>
      <c r="AO119" s="134"/>
      <c r="AP119" s="134"/>
      <c r="AQ119" s="134"/>
      <c r="AR119" s="134"/>
      <c r="AS119" s="134">
        <f t="array" ref="AS119">IFERROR(INDEX(TABLACONSOLIDADA[Buff Act],MATCH("AGROINSUMOScentralPROPIA"&amp;Tabla_Buffers_Agroinsumos[[#This Row],[CODIGO ]],TABLACONSOLIDADA[Bodega]&amp;TABLACONSOLIDADA[Codigo],0)),"")</f>
        <v>6</v>
      </c>
      <c r="AT119" s="157">
        <f t="array" ref="AT119">IFERROR(INDEX(TABLACONSOLIDADA[Inv Fís Act],MATCH("AGROINSUMOScentralPROPIA"&amp;Tabla_Buffers_Agroinsumos[[#This Row],[CODIGO ]],TABLACONSOLIDADA[Bodega]&amp;TABLACONSOLIDADA[Codigo],0)),"")</f>
        <v>0</v>
      </c>
      <c r="AU119" s="157">
        <f t="array" ref="AU11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1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19" s="134">
        <f>IFERROR(SUM(Tabla_Buffers_Agroinsumos[[#This Row],[P-MP]:[P-VL]]),"")</f>
        <v>0</v>
      </c>
      <c r="AX119" s="92">
        <f>IFERROR(Tabla_Buffers_Agroinsumos[[#This Row],[INV FIS PROPIA]]-Tabla_Buffers_Agroinsumos[[#This Row],[BUFFER PROPIA]],"")</f>
        <v>-6</v>
      </c>
      <c r="AY11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</v>
      </c>
      <c r="AZ119" s="134"/>
      <c r="BA119" s="134"/>
      <c r="BB119" s="134"/>
      <c r="BC119" s="134"/>
      <c r="BD119" s="134"/>
      <c r="BE119" s="134"/>
      <c r="BF119" s="134"/>
      <c r="BG119" s="134"/>
      <c r="BH119" s="134"/>
      <c r="BI119" s="91">
        <f t="array" ref="BI119">IFERROR(INDEX(TABLACONSOLIDADA[Buff Act],MATCH("AGROINSUMOSSTODOMINGO"&amp;Tabla_Buffers_Agroinsumos[[#This Row],[CODIGO ]],TABLACONSOLIDADA[Bodega]&amp;TABLACONSOLIDADA[Codigo],0)),"")</f>
        <v>0</v>
      </c>
      <c r="BJ119" s="157">
        <f t="array" ref="BJ119">IFERROR(INDEX(TABLACONSOLIDADA[Inv Fís Act],MATCH("AGROINSUMOSSTODOMINGO"&amp;Tabla_Buffers_Agroinsumos[[#This Row],[CODIGO ]],TABLACONSOLIDADA[Bodega]&amp;TABLACONSOLIDADA[Codigo],0)),"")</f>
        <v>20</v>
      </c>
      <c r="BK119" s="157">
        <f t="array" ref="BK11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20</v>
      </c>
      <c r="BL11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19" s="91">
        <f>IFERROR(SUM(Tabla_Buffers_Agroinsumos[[#This Row],[SD-MP]:[SD-VL]]),"")</f>
        <v>0</v>
      </c>
      <c r="BN119" s="92"/>
      <c r="BO119" s="92"/>
      <c r="BP119" s="134"/>
      <c r="BQ119" s="134"/>
      <c r="BR119" s="134"/>
      <c r="BS119" s="134"/>
      <c r="BT119" s="134"/>
      <c r="BU119" s="134"/>
      <c r="BV119" s="134"/>
      <c r="BW119" s="134"/>
      <c r="BX119" s="134"/>
      <c r="BY119" s="134">
        <f t="array" ref="BY119">IFERROR(INDEX(TABLACONSOLIDADA[Buff Act],MATCH("AGROINSUMOSMONCAYOLOPEZ"&amp;Tabla_Buffers_Agroinsumos[[#This Row],[CODIGO ]],TABLACONSOLIDADA[Bodega]&amp;TABLACONSOLIDADA[Codigo],0)),"")</f>
        <v>0</v>
      </c>
      <c r="BZ119" s="157">
        <f t="array" ref="BZ119">IFERROR(INDEX(TABLACONSOLIDADA[Inv Fís Act],MATCH("AGROINSUMOSMONCAYOLOPEZ"&amp;Tabla_Buffers_Agroinsumos[[#This Row],[CODIGO ]],TABLACONSOLIDADA[Bodega]&amp;TABLACONSOLIDADA[Codigo],0)),"")</f>
        <v>0</v>
      </c>
      <c r="CA119" s="157">
        <f t="array" ref="CA11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1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19" s="134">
        <f>IFERROR(SUM(Tabla_Buffers_Agroinsumos[[#This Row],[ML-MP]:[ML-VL]]),"")</f>
        <v>0</v>
      </c>
      <c r="CD119" s="92">
        <f>IFERROR(Tabla_Buffers_Agroinsumos[[#This Row],[INV FIS ML]]-Tabla_Buffers_Agroinsumos[[#This Row],[BUFFER ML]],"")</f>
        <v>0</v>
      </c>
      <c r="CE11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19" s="134"/>
      <c r="CG119" s="134"/>
      <c r="CH119" s="134"/>
      <c r="CI119" s="134"/>
      <c r="CJ119" s="134"/>
      <c r="CK119" s="134"/>
      <c r="CL119" s="134"/>
      <c r="CM119" s="134"/>
      <c r="CN119" s="134"/>
      <c r="CO119" s="134">
        <f t="array" ref="CO119">IFERROR(INDEX(TABLACONSOLIDADA[Buff Act],MATCH("AGROINSUMOSAGROHERMANOSLEON"&amp;Tabla_Buffers_Agroinsumos[[#This Row],[CODIGO ]],TABLACONSOLIDADA[Bodega]&amp;TABLACONSOLIDADA[Codigo],0)),"")</f>
        <v>0</v>
      </c>
      <c r="CP119" s="157">
        <f t="array" ref="CP119">IFERROR(INDEX(TABLACONSOLIDADA[Inv Fís Act],MATCH("AGROINSUMOSAGROHERMANOSLEON"&amp;Tabla_Buffers_Agroinsumos[[#This Row],[CODIGO ]],TABLACONSOLIDADA[Bodega]&amp;TABLACONSOLIDADA[Codigo],0)),"")</f>
        <v>0</v>
      </c>
      <c r="CQ119" s="157">
        <f t="array" ref="CQ11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1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19" s="134">
        <f>IFERROR(SUM(Tabla_Buffers_Agroinsumos[[#This Row],[AL-MP]:[AL-VL]]),"")</f>
        <v>0</v>
      </c>
      <c r="CT119" s="92">
        <f>IFERROR(Tabla_Buffers_Agroinsumos[[#This Row],[INV FIS AL]]-Tabla_Buffers_Agroinsumos[[#This Row],[BUFFER AL]],"")</f>
        <v>0</v>
      </c>
      <c r="CU119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19" s="134"/>
      <c r="CW119" s="134"/>
      <c r="CX119" s="134"/>
      <c r="CY119" s="134"/>
      <c r="CZ119" s="134"/>
      <c r="DA119" s="134"/>
      <c r="DB119" s="134"/>
      <c r="DC119" s="134"/>
      <c r="DD119" s="134"/>
      <c r="DE119" s="134">
        <f t="array" ref="DE119">IFERROR(INDEX(TABLACONSOLIDADA[Buff Act],MATCH("AGROINSUMOSAGRONUEVO"&amp;Tabla_Buffers_Agroinsumos[[#This Row],[CODIGO ]],TABLACONSOLIDADA[Bodega]&amp;TABLACONSOLIDADA[Codigo],0)),"")</f>
        <v>0</v>
      </c>
      <c r="DF119" s="157">
        <f t="array" ref="DF119">IFERROR(INDEX(TABLACONSOLIDADA[Inv Fís Act],MATCH("AGROINSUMOSAGRONUEVO"&amp;Tabla_Buffers_Agroinsumos[[#This Row],[CODIGO ]],TABLACONSOLIDADA[Bodega]&amp;TABLACONSOLIDADA[Codigo],0)),"")</f>
        <v>0</v>
      </c>
      <c r="DG119" s="157">
        <f t="array" ref="DG11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1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19" s="134">
        <f>IFERROR(SUM(Tabla_Buffers_Agroinsumos[[#This Row],[AN-MP]:[AN-VL]]),"")</f>
        <v>0</v>
      </c>
      <c r="DJ119" s="92">
        <f>IFERROR(Tabla_Buffers_Agroinsumos[[#This Row],[INV FIS AN]]-Tabla_Buffers_Agroinsumos[[#This Row],[BUFFER AN]],"")</f>
        <v>0</v>
      </c>
      <c r="DK11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19" s="134"/>
      <c r="DM119" s="134"/>
      <c r="DN119" s="134"/>
      <c r="DO119" s="134"/>
      <c r="DP119" s="134"/>
      <c r="DQ119" s="134"/>
      <c r="DR119" s="134"/>
      <c r="DS119" s="134"/>
      <c r="DT119" s="134"/>
      <c r="DU119" s="134">
        <f t="array" ref="DU119">IFERROR(INDEX(TABLACONSOLIDADA[Buff Act],MATCH("AGROINSUMOSAGROQUIMICOSSUR"&amp;Tabla_Buffers_Agroinsumos[[#This Row],[CODIGO ]],TABLACONSOLIDADA[Bodega]&amp;TABLACONSOLIDADA[Codigo],0)),"")</f>
        <v>0</v>
      </c>
      <c r="DV119" s="157">
        <f t="array" ref="DV119">IFERROR(INDEX(TABLACONSOLIDADA[Inv Fís Act],MATCH("AGROINSUMOSAGROQUIMICOSSUR"&amp;Tabla_Buffers_Agroinsumos[[#This Row],[CODIGO ]],TABLACONSOLIDADA[Bodega]&amp;TABLACONSOLIDADA[Codigo],0)),"")</f>
        <v>0</v>
      </c>
      <c r="DW119" s="157">
        <f t="array" ref="DW11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1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19" s="134">
        <f>IFERROR(SUM(Tabla_Buffers_Agroinsumos[[#This Row],[AS-MP]:[AS-VL]]),"")</f>
        <v>0</v>
      </c>
      <c r="DZ119" s="92">
        <f>IFERROR(Tabla_Buffers_Agroinsumos[[#This Row],[INV FIS AS]]-Tabla_Buffers_Agroinsumos[[#This Row],[BUFFER AS]],"")</f>
        <v>0</v>
      </c>
      <c r="EA11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19" s="134"/>
      <c r="EC119" s="134"/>
      <c r="ED119" s="134"/>
      <c r="EE119" s="134"/>
      <c r="EF119" s="134"/>
      <c r="EG119" s="134"/>
      <c r="EH119" s="134"/>
      <c r="EI119" s="134"/>
      <c r="EJ119" s="134"/>
      <c r="EK119" s="134">
        <f t="array" ref="EK119">IFERROR(INDEX(TABLACONSOLIDADA[Buff Act],MATCH("AGROINSUMOSLAFINCA"&amp;Tabla_Buffers_Agroinsumos[[#This Row],[CODIGO ]],TABLACONSOLIDADA[Bodega]&amp;TABLACONSOLIDADA[Codigo],0)),"")</f>
        <v>0</v>
      </c>
      <c r="EL119" s="157">
        <f t="array" ref="EL119">IFERROR(INDEX(TABLACONSOLIDADA[Inv Fís Act],MATCH("AGROINSUMOSLAFINCA"&amp;Tabla_Buffers_Agroinsumos[[#This Row],[CODIGO ]],TABLACONSOLIDADA[Bodega]&amp;TABLACONSOLIDADA[Codigo],0)),"")</f>
        <v>0</v>
      </c>
      <c r="EM119" s="157">
        <f t="array" ref="EM11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1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19" s="134">
        <f>IFERROR(SUM(Tabla_Buffers_Agroinsumos[[#This Row],[LF-MP]:[LF-VL]]),"")</f>
        <v>0</v>
      </c>
      <c r="EP119" s="92">
        <f>IFERROR(Tabla_Buffers_Agroinsumos[[#This Row],[INV FIS LF]]-Tabla_Buffers_Agroinsumos[[#This Row],[BUFFER LF]],"")</f>
        <v>0</v>
      </c>
      <c r="EQ11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19" s="134"/>
      <c r="ES119" s="134"/>
      <c r="ET119" s="134"/>
      <c r="EU119" s="134"/>
      <c r="EV119" s="134"/>
      <c r="EW119" s="134"/>
      <c r="EX119" s="134"/>
      <c r="EY119" s="134"/>
      <c r="EZ119" s="134"/>
      <c r="FA119" s="134">
        <f t="array" ref="FA119">IFERROR(INDEX(TABLACONSOLIDADA[Buff Act],MATCH("AGROINSUMOSVERONICALEDESMA"&amp;Tabla_Buffers_Agroinsumos[[#This Row],[CODIGO ]],TABLACONSOLIDADA[Bodega]&amp;TABLACONSOLIDADA[Codigo],0)),"")</f>
        <v>0</v>
      </c>
      <c r="FB119" s="157">
        <f t="array" ref="FB119">IFERROR(INDEX(TABLACONSOLIDADA[Inv Fís Act],MATCH("AGROINSUMOSVERONICALEDESMA"&amp;Tabla_Buffers_Agroinsumos[[#This Row],[CODIGO ]],TABLACONSOLIDADA[Bodega]&amp;TABLACONSOLIDADA[Codigo],0)),"")</f>
        <v>0</v>
      </c>
      <c r="FC119" s="157">
        <f t="array" ref="FC11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11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19" s="134">
        <f>IFERROR(SUM(Tabla_Buffers_Agroinsumos[[#This Row],[VL-MP]:[VL-LF]]),"")</f>
        <v>0</v>
      </c>
      <c r="FF119" s="92">
        <f>IFERROR(Tabla_Buffers_Agroinsumos[[#This Row],[INV FIS VL]]-Tabla_Buffers_Agroinsumos[[#This Row],[BUFFER VL]],"")</f>
        <v>0</v>
      </c>
      <c r="FG11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119" s="134"/>
      <c r="FI119" s="134"/>
      <c r="FJ119" s="134"/>
      <c r="FK119" s="134"/>
      <c r="FL119" s="134"/>
      <c r="FM119" s="134"/>
      <c r="FN119" s="134"/>
      <c r="FO119" s="134"/>
      <c r="FP119" s="134"/>
    </row>
    <row r="120" spans="1:172">
      <c r="A120" s="7" t="s">
        <v>219</v>
      </c>
      <c r="B120" s="7" t="s">
        <v>220</v>
      </c>
      <c r="C120" s="7" t="s">
        <v>707</v>
      </c>
      <c r="D120" s="7" t="s">
        <v>732</v>
      </c>
      <c r="E120" s="7" t="s">
        <v>975</v>
      </c>
      <c r="F120" s="19" t="s">
        <v>698</v>
      </c>
      <c r="G120" s="19" t="s">
        <v>698</v>
      </c>
      <c r="H120" s="19">
        <f>VLOOKUP(Tabla_Buffers_Agroinsumos[[#This Row],[CODIGO ]],TABLACONSOLIDADA[[Codigo]:[PV]],6,0)</f>
        <v>30.9</v>
      </c>
      <c r="I120" s="19">
        <f>VLOOKUP(Tabla_Buffers_Agroinsumos[[#This Row],[CODIGO ]],TABLACONSOLIDADA[[Codigo]:[PV]],5,0)</f>
        <v>37.92</v>
      </c>
      <c r="J120" s="19" t="s">
        <v>698</v>
      </c>
      <c r="K120" s="19" t="s">
        <v>698</v>
      </c>
      <c r="L120" s="19">
        <f>IFERROR(Tabla_Buffers_Agroinsumos[[#This Row],[BUFFER CENTRAL]]/((Tabla_Buffers_Agroinsumos[[#This Row],[TIEMPO REPOSICION ]]/Tabla_Buffers_Agroinsumos[[#This Row],[FRECUENCIA]])+1),0)</f>
        <v>0</v>
      </c>
      <c r="M120" s="19" t="str">
        <f t="array" ref="M120">IFERROR(INDEX(TABLACONSOLIDADA[Buff Act],MATCH("AGROINSUMOSMATERIAPRIMA"&amp;Tabla_Buffers_Agroinsumos[[#This Row],[CODIGO ]],TABLACONSOLIDADA[Bodega]&amp;TABLACONSOLIDADA[Codigo],0)),"")</f>
        <v/>
      </c>
      <c r="N120" s="157" t="str">
        <f t="array" ref="N120">IFERROR(INDEX(TABLACONSOLIDADA[Inv Fís Act],MATCH("AGROINSUMOSMATERIAPRIMA"&amp;Tabla_Buffers_Agroinsumos[[#This Row],[CODIGO ]],TABLACONSOLIDADA[Bodega]&amp;TABLACONSOLIDADA[Codigo],0)),"")</f>
        <v/>
      </c>
      <c r="O120" s="157" t="str">
        <f t="array" ref="O12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2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20" s="19">
        <f>IFERROR(SUM(Tabla_Buffers_Agroinsumos[[#This Row],[MP-C]:[MP-VL]]),"")</f>
        <v>0</v>
      </c>
      <c r="R120" s="92" t="str">
        <f>IFERROR(Tabla_Buffers_Agroinsumos[[#This Row],[INV FIS MATERIA PRIMA]]-Tabla_Buffers_Agroinsumos[[#This Row],[BUFFER MATERIA PRIMA]],"")</f>
        <v/>
      </c>
      <c r="S12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20" s="19"/>
      <c r="U120" s="19"/>
      <c r="V120" s="19"/>
      <c r="W120" s="19"/>
      <c r="X120" s="19"/>
      <c r="Y120" s="19"/>
      <c r="Z120" s="19"/>
      <c r="AA120" s="19"/>
      <c r="AB120" s="19"/>
      <c r="AC120" s="152">
        <f t="array" ref="AC120">IFERROR(INDEX(TABLACONSOLIDADA[Buff Act],MATCH("AGROINSUMOSCENTRAL"&amp;Tabla_Buffers_Agroinsumos[[#This Row],[CODIGO ]],TABLACONSOLIDADA[Bodega]&amp;TABLACONSOLIDADA[Codigo],0)),"")</f>
        <v>21</v>
      </c>
      <c r="AD120" s="157">
        <f t="array" ref="AD120">IFERROR(INDEX(TABLACONSOLIDADA[Inv Fís Act],MATCH("AGROINSUMOSCENTRAL"&amp;Tabla_Buffers_Agroinsumos[[#This Row],[CODIGO ]],TABLACONSOLIDADA[Bodega]&amp;TABLACONSOLIDADA[Codigo],0)),"")</f>
        <v>53</v>
      </c>
      <c r="AE120" s="157">
        <f t="array" ref="AE12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63</v>
      </c>
      <c r="AF12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20" s="91">
        <f>IFERROR(SUM(Tabla_Buffers_Agroinsumos[[#This Row],[C-MP]:[C-VL]]),"")</f>
        <v>0</v>
      </c>
      <c r="AH120" s="92">
        <f>IFERROR(Tabla_Buffers_Agroinsumos[[#This Row],[INV FIS CENTRAL]]-Tabla_Buffers_Agroinsumos[[#This Row],[BUFFER CENTRAL]],"")</f>
        <v>32</v>
      </c>
      <c r="AI12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32</v>
      </c>
      <c r="AJ120" s="134"/>
      <c r="AK120" s="134"/>
      <c r="AL120" s="134"/>
      <c r="AM120" s="134"/>
      <c r="AN120" s="134"/>
      <c r="AO120" s="134"/>
      <c r="AP120" s="134"/>
      <c r="AQ120" s="134"/>
      <c r="AR120" s="134"/>
      <c r="AS120" s="134">
        <f t="array" ref="AS120">IFERROR(INDEX(TABLACONSOLIDADA[Buff Act],MATCH("AGROINSUMOScentralPROPIA"&amp;Tabla_Buffers_Agroinsumos[[#This Row],[CODIGO ]],TABLACONSOLIDADA[Bodega]&amp;TABLACONSOLIDADA[Codigo],0)),"")</f>
        <v>6</v>
      </c>
      <c r="AT120" s="157">
        <f t="array" ref="AT120">IFERROR(INDEX(TABLACONSOLIDADA[Inv Fís Act],MATCH("AGROINSUMOScentralPROPIA"&amp;Tabla_Buffers_Agroinsumos[[#This Row],[CODIGO ]],TABLACONSOLIDADA[Bodega]&amp;TABLACONSOLIDADA[Codigo],0)),"")</f>
        <v>0</v>
      </c>
      <c r="AU120" s="157">
        <f t="array" ref="AU12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2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20" s="134">
        <f>IFERROR(SUM(Tabla_Buffers_Agroinsumos[[#This Row],[P-MP]:[P-VL]]),"")</f>
        <v>0</v>
      </c>
      <c r="AX120" s="92">
        <f>IFERROR(Tabla_Buffers_Agroinsumos[[#This Row],[INV FIS PROPIA]]-Tabla_Buffers_Agroinsumos[[#This Row],[BUFFER PROPIA]],"")</f>
        <v>-6</v>
      </c>
      <c r="AY12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</v>
      </c>
      <c r="AZ120" s="134"/>
      <c r="BA120" s="134"/>
      <c r="BB120" s="134"/>
      <c r="BC120" s="134"/>
      <c r="BD120" s="134"/>
      <c r="BE120" s="134"/>
      <c r="BF120" s="134"/>
      <c r="BG120" s="134"/>
      <c r="BH120" s="134"/>
      <c r="BI120" s="91">
        <f t="array" ref="BI120">IFERROR(INDEX(TABLACONSOLIDADA[Buff Act],MATCH("AGROINSUMOSSTODOMINGO"&amp;Tabla_Buffers_Agroinsumos[[#This Row],[CODIGO ]],TABLACONSOLIDADA[Bodega]&amp;TABLACONSOLIDADA[Codigo],0)),"")</f>
        <v>0</v>
      </c>
      <c r="BJ120" s="157">
        <f t="array" ref="BJ120">IFERROR(INDEX(TABLACONSOLIDADA[Inv Fís Act],MATCH("AGROINSUMOSSTODOMINGO"&amp;Tabla_Buffers_Agroinsumos[[#This Row],[CODIGO ]],TABLACONSOLIDADA[Bodega]&amp;TABLACONSOLIDADA[Codigo],0)),"")</f>
        <v>0</v>
      </c>
      <c r="BK120" s="157">
        <f t="array" ref="BK12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12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20" s="91">
        <f>IFERROR(SUM(Tabla_Buffers_Agroinsumos[[#This Row],[SD-MP]:[SD-VL]]),"")</f>
        <v>0</v>
      </c>
      <c r="BN120" s="92"/>
      <c r="BO120" s="92"/>
      <c r="BP120" s="134"/>
      <c r="BQ120" s="134"/>
      <c r="BR120" s="134"/>
      <c r="BS120" s="134"/>
      <c r="BT120" s="134"/>
      <c r="BU120" s="134"/>
      <c r="BV120" s="134"/>
      <c r="BW120" s="134"/>
      <c r="BX120" s="134"/>
      <c r="BY120" s="134">
        <f t="array" ref="BY120">IFERROR(INDEX(TABLACONSOLIDADA[Buff Act],MATCH("AGROINSUMOSMONCAYOLOPEZ"&amp;Tabla_Buffers_Agroinsumos[[#This Row],[CODIGO ]],TABLACONSOLIDADA[Bodega]&amp;TABLACONSOLIDADA[Codigo],0)),"")</f>
        <v>0</v>
      </c>
      <c r="BZ120" s="157">
        <f t="array" ref="BZ120">IFERROR(INDEX(TABLACONSOLIDADA[Inv Fís Act],MATCH("AGROINSUMOSMONCAYOLOPEZ"&amp;Tabla_Buffers_Agroinsumos[[#This Row],[CODIGO ]],TABLACONSOLIDADA[Bodega]&amp;TABLACONSOLIDADA[Codigo],0)),"")</f>
        <v>0</v>
      </c>
      <c r="CA120" s="157">
        <f t="array" ref="CA12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2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20" s="134">
        <f>IFERROR(SUM(Tabla_Buffers_Agroinsumos[[#This Row],[ML-MP]:[ML-VL]]),"")</f>
        <v>0</v>
      </c>
      <c r="CD120" s="92">
        <f>IFERROR(Tabla_Buffers_Agroinsumos[[#This Row],[INV FIS ML]]-Tabla_Buffers_Agroinsumos[[#This Row],[BUFFER ML]],"")</f>
        <v>0</v>
      </c>
      <c r="CE12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20" s="134"/>
      <c r="CG120" s="134"/>
      <c r="CH120" s="134"/>
      <c r="CI120" s="134"/>
      <c r="CJ120" s="134"/>
      <c r="CK120" s="134"/>
      <c r="CL120" s="134"/>
      <c r="CM120" s="134"/>
      <c r="CN120" s="134"/>
      <c r="CO120" s="134">
        <f t="array" ref="CO120">IFERROR(INDEX(TABLACONSOLIDADA[Buff Act],MATCH("AGROINSUMOSAGROHERMANOSLEON"&amp;Tabla_Buffers_Agroinsumos[[#This Row],[CODIGO ]],TABLACONSOLIDADA[Bodega]&amp;TABLACONSOLIDADA[Codigo],0)),"")</f>
        <v>0</v>
      </c>
      <c r="CP120" s="157">
        <f t="array" ref="CP120">IFERROR(INDEX(TABLACONSOLIDADA[Inv Fís Act],MATCH("AGROINSUMOSAGROHERMANOSLEON"&amp;Tabla_Buffers_Agroinsumos[[#This Row],[CODIGO ]],TABLACONSOLIDADA[Bodega]&amp;TABLACONSOLIDADA[Codigo],0)),"")</f>
        <v>0</v>
      </c>
      <c r="CQ120" s="157">
        <f t="array" ref="CQ12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2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20" s="134">
        <f>IFERROR(SUM(Tabla_Buffers_Agroinsumos[[#This Row],[AL-MP]:[AL-VL]]),"")</f>
        <v>0</v>
      </c>
      <c r="CT120" s="92">
        <f>IFERROR(Tabla_Buffers_Agroinsumos[[#This Row],[INV FIS AL]]-Tabla_Buffers_Agroinsumos[[#This Row],[BUFFER AL]],"")</f>
        <v>0</v>
      </c>
      <c r="CU120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20" s="134"/>
      <c r="CW120" s="134"/>
      <c r="CX120" s="134"/>
      <c r="CY120" s="134"/>
      <c r="CZ120" s="134"/>
      <c r="DA120" s="134"/>
      <c r="DB120" s="134"/>
      <c r="DC120" s="134"/>
      <c r="DD120" s="134"/>
      <c r="DE120" s="134">
        <f t="array" ref="DE120">IFERROR(INDEX(TABLACONSOLIDADA[Buff Act],MATCH("AGROINSUMOSAGRONUEVO"&amp;Tabla_Buffers_Agroinsumos[[#This Row],[CODIGO ]],TABLACONSOLIDADA[Bodega]&amp;TABLACONSOLIDADA[Codigo],0)),"")</f>
        <v>0</v>
      </c>
      <c r="DF120" s="157">
        <f t="array" ref="DF120">IFERROR(INDEX(TABLACONSOLIDADA[Inv Fís Act],MATCH("AGROINSUMOSAGRONUEVO"&amp;Tabla_Buffers_Agroinsumos[[#This Row],[CODIGO ]],TABLACONSOLIDADA[Bodega]&amp;TABLACONSOLIDADA[Codigo],0)),"")</f>
        <v>0</v>
      </c>
      <c r="DG120" s="157">
        <f t="array" ref="DG12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2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20" s="134">
        <f>IFERROR(SUM(Tabla_Buffers_Agroinsumos[[#This Row],[AN-MP]:[AN-VL]]),"")</f>
        <v>0</v>
      </c>
      <c r="DJ120" s="92">
        <f>IFERROR(Tabla_Buffers_Agroinsumos[[#This Row],[INV FIS AN]]-Tabla_Buffers_Agroinsumos[[#This Row],[BUFFER AN]],"")</f>
        <v>0</v>
      </c>
      <c r="DK12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20" s="134"/>
      <c r="DM120" s="134"/>
      <c r="DN120" s="134"/>
      <c r="DO120" s="134"/>
      <c r="DP120" s="134"/>
      <c r="DQ120" s="134"/>
      <c r="DR120" s="134"/>
      <c r="DS120" s="134"/>
      <c r="DT120" s="134"/>
      <c r="DU120" s="134">
        <f t="array" ref="DU120">IFERROR(INDEX(TABLACONSOLIDADA[Buff Act],MATCH("AGROINSUMOSAGROQUIMICOSSUR"&amp;Tabla_Buffers_Agroinsumos[[#This Row],[CODIGO ]],TABLACONSOLIDADA[Bodega]&amp;TABLACONSOLIDADA[Codigo],0)),"")</f>
        <v>0</v>
      </c>
      <c r="DV120" s="157">
        <f t="array" ref="DV120">IFERROR(INDEX(TABLACONSOLIDADA[Inv Fís Act],MATCH("AGROINSUMOSAGROQUIMICOSSUR"&amp;Tabla_Buffers_Agroinsumos[[#This Row],[CODIGO ]],TABLACONSOLIDADA[Bodega]&amp;TABLACONSOLIDADA[Codigo],0)),"")</f>
        <v>0</v>
      </c>
      <c r="DW120" s="157">
        <f t="array" ref="DW12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2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20" s="134">
        <f>IFERROR(SUM(Tabla_Buffers_Agroinsumos[[#This Row],[AS-MP]:[AS-VL]]),"")</f>
        <v>0</v>
      </c>
      <c r="DZ120" s="92">
        <f>IFERROR(Tabla_Buffers_Agroinsumos[[#This Row],[INV FIS AS]]-Tabla_Buffers_Agroinsumos[[#This Row],[BUFFER AS]],"")</f>
        <v>0</v>
      </c>
      <c r="EA12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20" s="134"/>
      <c r="EC120" s="134"/>
      <c r="ED120" s="134"/>
      <c r="EE120" s="134"/>
      <c r="EF120" s="134"/>
      <c r="EG120" s="134"/>
      <c r="EH120" s="134"/>
      <c r="EI120" s="134"/>
      <c r="EJ120" s="134"/>
      <c r="EK120" s="134">
        <f t="array" ref="EK120">IFERROR(INDEX(TABLACONSOLIDADA[Buff Act],MATCH("AGROINSUMOSLAFINCA"&amp;Tabla_Buffers_Agroinsumos[[#This Row],[CODIGO ]],TABLACONSOLIDADA[Bodega]&amp;TABLACONSOLIDADA[Codigo],0)),"")</f>
        <v>0</v>
      </c>
      <c r="EL120" s="157">
        <f t="array" ref="EL120">IFERROR(INDEX(TABLACONSOLIDADA[Inv Fís Act],MATCH("AGROINSUMOSLAFINCA"&amp;Tabla_Buffers_Agroinsumos[[#This Row],[CODIGO ]],TABLACONSOLIDADA[Bodega]&amp;TABLACONSOLIDADA[Codigo],0)),"")</f>
        <v>0</v>
      </c>
      <c r="EM120" s="157">
        <f t="array" ref="EM12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2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20" s="134">
        <f>IFERROR(SUM(Tabla_Buffers_Agroinsumos[[#This Row],[LF-MP]:[LF-VL]]),"")</f>
        <v>0</v>
      </c>
      <c r="EP120" s="92">
        <f>IFERROR(Tabla_Buffers_Agroinsumos[[#This Row],[INV FIS LF]]-Tabla_Buffers_Agroinsumos[[#This Row],[BUFFER LF]],"")</f>
        <v>0</v>
      </c>
      <c r="EQ120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20" s="134"/>
      <c r="ES120" s="134"/>
      <c r="ET120" s="134"/>
      <c r="EU120" s="134"/>
      <c r="EV120" s="134"/>
      <c r="EW120" s="134"/>
      <c r="EX120" s="134"/>
      <c r="EY120" s="134"/>
      <c r="EZ120" s="134"/>
      <c r="FA120" s="134">
        <f t="array" ref="FA120">IFERROR(INDEX(TABLACONSOLIDADA[Buff Act],MATCH("AGROINSUMOSVERONICALEDESMA"&amp;Tabla_Buffers_Agroinsumos[[#This Row],[CODIGO ]],TABLACONSOLIDADA[Bodega]&amp;TABLACONSOLIDADA[Codigo],0)),"")</f>
        <v>0</v>
      </c>
      <c r="FB120" s="157">
        <f t="array" ref="FB120">IFERROR(INDEX(TABLACONSOLIDADA[Inv Fís Act],MATCH("AGROINSUMOSVERONICALEDESMA"&amp;Tabla_Buffers_Agroinsumos[[#This Row],[CODIGO ]],TABLACONSOLIDADA[Bodega]&amp;TABLACONSOLIDADA[Codigo],0)),"")</f>
        <v>0</v>
      </c>
      <c r="FC120" s="157">
        <f t="array" ref="FC12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12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20" s="134">
        <f>IFERROR(SUM(Tabla_Buffers_Agroinsumos[[#This Row],[VL-MP]:[VL-LF]]),"")</f>
        <v>0</v>
      </c>
      <c r="FF120" s="92">
        <f>IFERROR(Tabla_Buffers_Agroinsumos[[#This Row],[INV FIS VL]]-Tabla_Buffers_Agroinsumos[[#This Row],[BUFFER VL]],"")</f>
        <v>0</v>
      </c>
      <c r="FG12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120" s="134"/>
      <c r="FI120" s="134"/>
      <c r="FJ120" s="134"/>
      <c r="FK120" s="134"/>
      <c r="FL120" s="134"/>
      <c r="FM120" s="134"/>
      <c r="FN120" s="134"/>
      <c r="FO120" s="134"/>
      <c r="FP120" s="134"/>
    </row>
    <row r="121" spans="1:172">
      <c r="A121" s="7" t="s">
        <v>221</v>
      </c>
      <c r="B121" s="7" t="s">
        <v>222</v>
      </c>
      <c r="C121" s="7" t="s">
        <v>709</v>
      </c>
      <c r="D121" s="7" t="s">
        <v>720</v>
      </c>
      <c r="E121" s="7" t="s">
        <v>863</v>
      </c>
      <c r="F121" s="19" t="s">
        <v>814</v>
      </c>
      <c r="G121" s="19" t="s">
        <v>873</v>
      </c>
      <c r="H121" s="19">
        <f>VLOOKUP(Tabla_Buffers_Agroinsumos[[#This Row],[CODIGO ]],TABLACONSOLIDADA[[Codigo]:[PV]],6,0)</f>
        <v>0</v>
      </c>
      <c r="I121" s="19">
        <f>VLOOKUP(Tabla_Buffers_Agroinsumos[[#This Row],[CODIGO ]],TABLACONSOLIDADA[[Codigo]:[PV]],5,0)</f>
        <v>29.7</v>
      </c>
      <c r="J121" s="19">
        <v>12</v>
      </c>
      <c r="K121" s="19">
        <v>14</v>
      </c>
      <c r="L121" s="19">
        <f>IFERROR(Tabla_Buffers_Agroinsumos[[#This Row],[BUFFER CENTRAL]]/((Tabla_Buffers_Agroinsumos[[#This Row],[TIEMPO REPOSICION ]]/Tabla_Buffers_Agroinsumos[[#This Row],[FRECUENCIA]])+1),0)</f>
        <v>0</v>
      </c>
      <c r="M121" s="19">
        <f t="array" ref="M121">IFERROR(INDEX(TABLACONSOLIDADA[Buff Act],MATCH("AGROINSUMOSMATERIAPRIMA"&amp;Tabla_Buffers_Agroinsumos[[#This Row],[CODIGO ]],TABLACONSOLIDADA[Bodega]&amp;TABLACONSOLIDADA[Codigo],0)),"")</f>
        <v>600</v>
      </c>
      <c r="N121" s="157">
        <f t="array" ref="N121">IFERROR(INDEX(TABLACONSOLIDADA[Inv Fís Act],MATCH("AGROINSUMOSMATERIAPRIMA"&amp;Tabla_Buffers_Agroinsumos[[#This Row],[CODIGO ]],TABLACONSOLIDADA[Bodega]&amp;TABLACONSOLIDADA[Codigo],0)),"")</f>
        <v>90</v>
      </c>
      <c r="O121" s="157">
        <f t="array" ref="O12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90</v>
      </c>
      <c r="P12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21" s="19">
        <f>IFERROR(SUM(Tabla_Buffers_Agroinsumos[[#This Row],[MP-C]:[MP-VL]]),"")</f>
        <v>0</v>
      </c>
      <c r="R121" s="92">
        <f>IFERROR(Tabla_Buffers_Agroinsumos[[#This Row],[INV FIS MATERIA PRIMA]]-Tabla_Buffers_Agroinsumos[[#This Row],[BUFFER MATERIA PRIMA]],"")</f>
        <v>-510</v>
      </c>
      <c r="S12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-510</v>
      </c>
      <c r="T121" s="19"/>
      <c r="U121" s="19"/>
      <c r="V121" s="19"/>
      <c r="W121" s="19"/>
      <c r="X121" s="19"/>
      <c r="Y121" s="19"/>
      <c r="Z121" s="19"/>
      <c r="AA121" s="19"/>
      <c r="AB121" s="19"/>
      <c r="AC121" s="152" t="str">
        <f t="array" ref="AC121">IFERROR(INDEX(TABLACONSOLIDADA[Buff Act],MATCH("AGROINSUMOSCENTRAL"&amp;Tabla_Buffers_Agroinsumos[[#This Row],[CODIGO ]],TABLACONSOLIDADA[Bodega]&amp;TABLACONSOLIDADA[Codigo],0)),"")</f>
        <v/>
      </c>
      <c r="AD121" s="157" t="str">
        <f t="array" ref="AD121">IFERROR(INDEX(TABLACONSOLIDADA[Inv Fís Act],MATCH("AGROINSUMOSCENTRAL"&amp;Tabla_Buffers_Agroinsumos[[#This Row],[CODIGO ]],TABLACONSOLIDADA[Bodega]&amp;TABLACONSOLIDADA[Codigo],0)),"")</f>
        <v/>
      </c>
      <c r="AE121" s="157" t="str">
        <f t="array" ref="AE12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2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21" s="91">
        <f>IFERROR(SUM(Tabla_Buffers_Agroinsumos[[#This Row],[C-MP]:[C-VL]]),"")</f>
        <v>0</v>
      </c>
      <c r="AH121" s="92" t="str">
        <f>IFERROR(Tabla_Buffers_Agroinsumos[[#This Row],[INV FIS CENTRAL]]-Tabla_Buffers_Agroinsumos[[#This Row],[BUFFER CENTRAL]],"")</f>
        <v/>
      </c>
      <c r="AI12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21" s="134"/>
      <c r="AK121" s="134"/>
      <c r="AL121" s="134"/>
      <c r="AM121" s="134"/>
      <c r="AN121" s="134"/>
      <c r="AO121" s="134"/>
      <c r="AP121" s="134"/>
      <c r="AQ121" s="134"/>
      <c r="AR121" s="134"/>
      <c r="AS121" s="134" t="str">
        <f t="array" ref="AS121">IFERROR(INDEX(TABLACONSOLIDADA[Buff Act],MATCH("AGROINSUMOScentralPROPIA"&amp;Tabla_Buffers_Agroinsumos[[#This Row],[CODIGO ]],TABLACONSOLIDADA[Bodega]&amp;TABLACONSOLIDADA[Codigo],0)),"")</f>
        <v/>
      </c>
      <c r="AT121" s="157" t="str">
        <f t="array" ref="AT121">IFERROR(INDEX(TABLACONSOLIDADA[Inv Fís Act],MATCH("AGROINSUMOScentralPROPIA"&amp;Tabla_Buffers_Agroinsumos[[#This Row],[CODIGO ]],TABLACONSOLIDADA[Bodega]&amp;TABLACONSOLIDADA[Codigo],0)),"")</f>
        <v/>
      </c>
      <c r="AU121" s="157" t="str">
        <f t="array" ref="AU12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2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21" s="134">
        <f>IFERROR(SUM(Tabla_Buffers_Agroinsumos[[#This Row],[P-MP]:[P-VL]]),"")</f>
        <v>0</v>
      </c>
      <c r="AX121" s="92" t="str">
        <f>IFERROR(Tabla_Buffers_Agroinsumos[[#This Row],[INV FIS PROPIA]]-Tabla_Buffers_Agroinsumos[[#This Row],[BUFFER PROPIA]],"")</f>
        <v/>
      </c>
      <c r="AY12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21" s="134"/>
      <c r="BA121" s="134"/>
      <c r="BB121" s="134"/>
      <c r="BC121" s="134"/>
      <c r="BD121" s="134"/>
      <c r="BE121" s="134"/>
      <c r="BF121" s="134"/>
      <c r="BG121" s="134"/>
      <c r="BH121" s="134"/>
      <c r="BI121" s="91" t="str">
        <f t="array" ref="BI121">IFERROR(INDEX(TABLACONSOLIDADA[Buff Act],MATCH("AGROINSUMOSSTODOMINGO"&amp;Tabla_Buffers_Agroinsumos[[#This Row],[CODIGO ]],TABLACONSOLIDADA[Bodega]&amp;TABLACONSOLIDADA[Codigo],0)),"")</f>
        <v/>
      </c>
      <c r="BJ121" s="157" t="str">
        <f t="array" ref="BJ121">IFERROR(INDEX(TABLACONSOLIDADA[Inv Fís Act],MATCH("AGROINSUMOSSTODOMINGO"&amp;Tabla_Buffers_Agroinsumos[[#This Row],[CODIGO ]],TABLACONSOLIDADA[Bodega]&amp;TABLACONSOLIDADA[Codigo],0)),"")</f>
        <v/>
      </c>
      <c r="BK121" s="157" t="str">
        <f t="array" ref="BK12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2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21" s="91">
        <f>IFERROR(SUM(Tabla_Buffers_Agroinsumos[[#This Row],[SD-MP]:[SD-VL]]),"")</f>
        <v>0</v>
      </c>
      <c r="BN121" s="92"/>
      <c r="BO121" s="92"/>
      <c r="BP121" s="134"/>
      <c r="BQ121" s="134"/>
      <c r="BR121" s="134"/>
      <c r="BS121" s="134"/>
      <c r="BT121" s="134"/>
      <c r="BU121" s="134"/>
      <c r="BV121" s="134"/>
      <c r="BW121" s="134"/>
      <c r="BX121" s="134"/>
      <c r="BY121" s="134" t="str">
        <f t="array" ref="BY121">IFERROR(INDEX(TABLACONSOLIDADA[Buff Act],MATCH("AGROINSUMOSMONCAYOLOPEZ"&amp;Tabla_Buffers_Agroinsumos[[#This Row],[CODIGO ]],TABLACONSOLIDADA[Bodega]&amp;TABLACONSOLIDADA[Codigo],0)),"")</f>
        <v/>
      </c>
      <c r="BZ121" s="157" t="str">
        <f t="array" ref="BZ121">IFERROR(INDEX(TABLACONSOLIDADA[Inv Fís Act],MATCH("AGROINSUMOSMONCAYOLOPEZ"&amp;Tabla_Buffers_Agroinsumos[[#This Row],[CODIGO ]],TABLACONSOLIDADA[Bodega]&amp;TABLACONSOLIDADA[Codigo],0)),"")</f>
        <v/>
      </c>
      <c r="CA121" s="157" t="str">
        <f t="array" ref="CA12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2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21" s="134">
        <f>IFERROR(SUM(Tabla_Buffers_Agroinsumos[[#This Row],[ML-MP]:[ML-VL]]),"")</f>
        <v>0</v>
      </c>
      <c r="CD121" s="92" t="str">
        <f>IFERROR(Tabla_Buffers_Agroinsumos[[#This Row],[INV FIS ML]]-Tabla_Buffers_Agroinsumos[[#This Row],[BUFFER ML]],"")</f>
        <v/>
      </c>
      <c r="CE12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21" s="134"/>
      <c r="CG121" s="134"/>
      <c r="CH121" s="134"/>
      <c r="CI121" s="134"/>
      <c r="CJ121" s="134"/>
      <c r="CK121" s="134"/>
      <c r="CL121" s="134"/>
      <c r="CM121" s="134"/>
      <c r="CN121" s="134"/>
      <c r="CO121" s="134" t="str">
        <f t="array" ref="CO121">IFERROR(INDEX(TABLACONSOLIDADA[Buff Act],MATCH("AGROINSUMOSAGROHERMANOSLEON"&amp;Tabla_Buffers_Agroinsumos[[#This Row],[CODIGO ]],TABLACONSOLIDADA[Bodega]&amp;TABLACONSOLIDADA[Codigo],0)),"")</f>
        <v/>
      </c>
      <c r="CP121" s="157" t="str">
        <f t="array" ref="CP121">IFERROR(INDEX(TABLACONSOLIDADA[Inv Fís Act],MATCH("AGROINSUMOSAGROHERMANOSLEON"&amp;Tabla_Buffers_Agroinsumos[[#This Row],[CODIGO ]],TABLACONSOLIDADA[Bodega]&amp;TABLACONSOLIDADA[Codigo],0)),"")</f>
        <v/>
      </c>
      <c r="CQ121" s="157" t="str">
        <f t="array" ref="CQ12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2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21" s="134">
        <f>IFERROR(SUM(Tabla_Buffers_Agroinsumos[[#This Row],[AL-MP]:[AL-VL]]),"")</f>
        <v>0</v>
      </c>
      <c r="CT121" s="92" t="str">
        <f>IFERROR(Tabla_Buffers_Agroinsumos[[#This Row],[INV FIS AL]]-Tabla_Buffers_Agroinsumos[[#This Row],[BUFFER AL]],"")</f>
        <v/>
      </c>
      <c r="CU12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21" s="134"/>
      <c r="CW121" s="134"/>
      <c r="CX121" s="134"/>
      <c r="CY121" s="134"/>
      <c r="CZ121" s="134"/>
      <c r="DA121" s="134"/>
      <c r="DB121" s="134"/>
      <c r="DC121" s="134"/>
      <c r="DD121" s="134"/>
      <c r="DE121" s="134" t="str">
        <f t="array" ref="DE121">IFERROR(INDEX(TABLACONSOLIDADA[Buff Act],MATCH("AGROINSUMOSAGRONUEVO"&amp;Tabla_Buffers_Agroinsumos[[#This Row],[CODIGO ]],TABLACONSOLIDADA[Bodega]&amp;TABLACONSOLIDADA[Codigo],0)),"")</f>
        <v/>
      </c>
      <c r="DF121" s="157" t="str">
        <f t="array" ref="DF121">IFERROR(INDEX(TABLACONSOLIDADA[Inv Fís Act],MATCH("AGROINSUMOSAGRONUEVO"&amp;Tabla_Buffers_Agroinsumos[[#This Row],[CODIGO ]],TABLACONSOLIDADA[Bodega]&amp;TABLACONSOLIDADA[Codigo],0)),"")</f>
        <v/>
      </c>
      <c r="DG121" s="157" t="str">
        <f t="array" ref="DG12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2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21" s="134">
        <f>IFERROR(SUM(Tabla_Buffers_Agroinsumos[[#This Row],[AN-MP]:[AN-VL]]),"")</f>
        <v>0</v>
      </c>
      <c r="DJ121" s="92" t="str">
        <f>IFERROR(Tabla_Buffers_Agroinsumos[[#This Row],[INV FIS AN]]-Tabla_Buffers_Agroinsumos[[#This Row],[BUFFER AN]],"")</f>
        <v/>
      </c>
      <c r="DK12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21" s="134"/>
      <c r="DM121" s="134"/>
      <c r="DN121" s="134"/>
      <c r="DO121" s="134"/>
      <c r="DP121" s="134"/>
      <c r="DQ121" s="134"/>
      <c r="DR121" s="134"/>
      <c r="DS121" s="134"/>
      <c r="DT121" s="134"/>
      <c r="DU121" s="134" t="str">
        <f t="array" ref="DU121">IFERROR(INDEX(TABLACONSOLIDADA[Buff Act],MATCH("AGROINSUMOSAGROQUIMICOSSUR"&amp;Tabla_Buffers_Agroinsumos[[#This Row],[CODIGO ]],TABLACONSOLIDADA[Bodega]&amp;TABLACONSOLIDADA[Codigo],0)),"")</f>
        <v/>
      </c>
      <c r="DV121" s="157" t="str">
        <f t="array" ref="DV121">IFERROR(INDEX(TABLACONSOLIDADA[Inv Fís Act],MATCH("AGROINSUMOSAGROQUIMICOSSUR"&amp;Tabla_Buffers_Agroinsumos[[#This Row],[CODIGO ]],TABLACONSOLIDADA[Bodega]&amp;TABLACONSOLIDADA[Codigo],0)),"")</f>
        <v/>
      </c>
      <c r="DW121" s="157" t="str">
        <f t="array" ref="DW12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2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21" s="134">
        <f>IFERROR(SUM(Tabla_Buffers_Agroinsumos[[#This Row],[AS-MP]:[AS-VL]]),"")</f>
        <v>0</v>
      </c>
      <c r="DZ121" s="92" t="str">
        <f>IFERROR(Tabla_Buffers_Agroinsumos[[#This Row],[INV FIS AS]]-Tabla_Buffers_Agroinsumos[[#This Row],[BUFFER AS]],"")</f>
        <v/>
      </c>
      <c r="EA12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21" s="134"/>
      <c r="EC121" s="134"/>
      <c r="ED121" s="134"/>
      <c r="EE121" s="134"/>
      <c r="EF121" s="134"/>
      <c r="EG121" s="134"/>
      <c r="EH121" s="134"/>
      <c r="EI121" s="134"/>
      <c r="EJ121" s="134"/>
      <c r="EK121" s="134" t="str">
        <f t="array" ref="EK121">IFERROR(INDEX(TABLACONSOLIDADA[Buff Act],MATCH("AGROINSUMOSLAFINCA"&amp;Tabla_Buffers_Agroinsumos[[#This Row],[CODIGO ]],TABLACONSOLIDADA[Bodega]&amp;TABLACONSOLIDADA[Codigo],0)),"")</f>
        <v/>
      </c>
      <c r="EL121" s="157" t="str">
        <f t="array" ref="EL121">IFERROR(INDEX(TABLACONSOLIDADA[Inv Fís Act],MATCH("AGROINSUMOSLAFINCA"&amp;Tabla_Buffers_Agroinsumos[[#This Row],[CODIGO ]],TABLACONSOLIDADA[Bodega]&amp;TABLACONSOLIDADA[Codigo],0)),"")</f>
        <v/>
      </c>
      <c r="EM121" s="157" t="str">
        <f t="array" ref="EM12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2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21" s="134">
        <f>IFERROR(SUM(Tabla_Buffers_Agroinsumos[[#This Row],[LF-MP]:[LF-VL]]),"")</f>
        <v>0</v>
      </c>
      <c r="EP121" s="92" t="str">
        <f>IFERROR(Tabla_Buffers_Agroinsumos[[#This Row],[INV FIS LF]]-Tabla_Buffers_Agroinsumos[[#This Row],[BUFFER LF]],"")</f>
        <v/>
      </c>
      <c r="EQ12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21" s="134"/>
      <c r="ES121" s="134"/>
      <c r="ET121" s="134"/>
      <c r="EU121" s="134"/>
      <c r="EV121" s="134"/>
      <c r="EW121" s="134"/>
      <c r="EX121" s="134"/>
      <c r="EY121" s="134"/>
      <c r="EZ121" s="134"/>
      <c r="FA121" s="134" t="str">
        <f t="array" ref="FA121">IFERROR(INDEX(TABLACONSOLIDADA[Buff Act],MATCH("AGROINSUMOSVERONICALEDESMA"&amp;Tabla_Buffers_Agroinsumos[[#This Row],[CODIGO ]],TABLACONSOLIDADA[Bodega]&amp;TABLACONSOLIDADA[Codigo],0)),"")</f>
        <v/>
      </c>
      <c r="FB121" s="157" t="str">
        <f t="array" ref="FB121">IFERROR(INDEX(TABLACONSOLIDADA[Inv Fís Act],MATCH("AGROINSUMOSVERONICALEDESMA"&amp;Tabla_Buffers_Agroinsumos[[#This Row],[CODIGO ]],TABLACONSOLIDADA[Bodega]&amp;TABLACONSOLIDADA[Codigo],0)),"")</f>
        <v/>
      </c>
      <c r="FC121" s="157" t="str">
        <f t="array" ref="FC12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2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21" s="134">
        <f>IFERROR(SUM(Tabla_Buffers_Agroinsumos[[#This Row],[VL-MP]:[VL-LF]]),"")</f>
        <v>0</v>
      </c>
      <c r="FF121" s="92" t="str">
        <f>IFERROR(Tabla_Buffers_Agroinsumos[[#This Row],[INV FIS VL]]-Tabla_Buffers_Agroinsumos[[#This Row],[BUFFER VL]],"")</f>
        <v/>
      </c>
      <c r="FG12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21" s="134"/>
      <c r="FI121" s="134"/>
      <c r="FJ121" s="134"/>
      <c r="FK121" s="134"/>
      <c r="FL121" s="134"/>
      <c r="FM121" s="134"/>
      <c r="FN121" s="134"/>
      <c r="FO121" s="134"/>
      <c r="FP121" s="134"/>
    </row>
    <row r="122" spans="1:172">
      <c r="A122" s="7" t="s">
        <v>223</v>
      </c>
      <c r="B122" s="7" t="s">
        <v>224</v>
      </c>
      <c r="C122" s="7" t="s">
        <v>867</v>
      </c>
      <c r="D122" s="7" t="s">
        <v>717</v>
      </c>
      <c r="E122" s="7" t="s">
        <v>863</v>
      </c>
      <c r="F122" s="19" t="s">
        <v>816</v>
      </c>
      <c r="G122" s="19" t="s">
        <v>802</v>
      </c>
      <c r="H122" s="19">
        <f>VLOOKUP(Tabla_Buffers_Agroinsumos[[#This Row],[CODIGO ]],TABLACONSOLIDADA[[Codigo]:[PV]],6,0)</f>
        <v>0</v>
      </c>
      <c r="I122" s="19">
        <f>VLOOKUP(Tabla_Buffers_Agroinsumos[[#This Row],[CODIGO ]],TABLACONSOLIDADA[[Codigo]:[PV]],5,0)</f>
        <v>1200</v>
      </c>
      <c r="J122" s="19">
        <v>4</v>
      </c>
      <c r="K122" s="19">
        <v>4</v>
      </c>
      <c r="L122" s="19">
        <f>IFERROR(Tabla_Buffers_Agroinsumos[[#This Row],[BUFFER CENTRAL]]/((Tabla_Buffers_Agroinsumos[[#This Row],[TIEMPO REPOSICION ]]/Tabla_Buffers_Agroinsumos[[#This Row],[FRECUENCIA]])+1),0)</f>
        <v>0</v>
      </c>
      <c r="M122" s="19">
        <f t="array" ref="M122">IFERROR(INDEX(TABLACONSOLIDADA[Buff Act],MATCH("AGROINSUMOSMATERIAPRIMA"&amp;Tabla_Buffers_Agroinsumos[[#This Row],[CODIGO ]],TABLACONSOLIDADA[Bodega]&amp;TABLACONSOLIDADA[Codigo],0)),"")</f>
        <v>2</v>
      </c>
      <c r="N122" s="157">
        <f t="array" ref="N122">IFERROR(INDEX(TABLACONSOLIDADA[Inv Fís Act],MATCH("AGROINSUMOSMATERIAPRIMA"&amp;Tabla_Buffers_Agroinsumos[[#This Row],[CODIGO ]],TABLACONSOLIDADA[Bodega]&amp;TABLACONSOLIDADA[Codigo],0)),"")</f>
        <v>2.1575000000000002</v>
      </c>
      <c r="O122" s="157">
        <f t="array" ref="O12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2.1575000000000002</v>
      </c>
      <c r="P12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22" s="19">
        <f>IFERROR(SUM(Tabla_Buffers_Agroinsumos[[#This Row],[MP-C]:[MP-VL]]),"")</f>
        <v>0</v>
      </c>
      <c r="R122" s="92">
        <f>IFERROR(Tabla_Buffers_Agroinsumos[[#This Row],[INV FIS MATERIA PRIMA]]-Tabla_Buffers_Agroinsumos[[#This Row],[BUFFER MATERIA PRIMA]],"")</f>
        <v>0.1575000000000002</v>
      </c>
      <c r="S12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0.1575000000000002</v>
      </c>
      <c r="T122" s="19"/>
      <c r="U122" s="19"/>
      <c r="V122" s="19"/>
      <c r="W122" s="19"/>
      <c r="X122" s="19"/>
      <c r="Y122" s="19"/>
      <c r="Z122" s="19"/>
      <c r="AA122" s="19"/>
      <c r="AB122" s="19"/>
      <c r="AC122" s="152" t="str">
        <f t="array" ref="AC122">IFERROR(INDEX(TABLACONSOLIDADA[Buff Act],MATCH("AGROINSUMOSCENTRAL"&amp;Tabla_Buffers_Agroinsumos[[#This Row],[CODIGO ]],TABLACONSOLIDADA[Bodega]&amp;TABLACONSOLIDADA[Codigo],0)),"")</f>
        <v/>
      </c>
      <c r="AD122" s="157" t="str">
        <f t="array" ref="AD122">IFERROR(INDEX(TABLACONSOLIDADA[Inv Fís Act],MATCH("AGROINSUMOSCENTRAL"&amp;Tabla_Buffers_Agroinsumos[[#This Row],[CODIGO ]],TABLACONSOLIDADA[Bodega]&amp;TABLACONSOLIDADA[Codigo],0)),"")</f>
        <v/>
      </c>
      <c r="AE122" s="157" t="str">
        <f t="array" ref="AE12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2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22" s="91">
        <f>IFERROR(SUM(Tabla_Buffers_Agroinsumos[[#This Row],[C-MP]:[C-VL]]),"")</f>
        <v>0</v>
      </c>
      <c r="AH122" s="92" t="str">
        <f>IFERROR(Tabla_Buffers_Agroinsumos[[#This Row],[INV FIS CENTRAL]]-Tabla_Buffers_Agroinsumos[[#This Row],[BUFFER CENTRAL]],"")</f>
        <v/>
      </c>
      <c r="AI12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22" s="134"/>
      <c r="AK122" s="134"/>
      <c r="AL122" s="134"/>
      <c r="AM122" s="134"/>
      <c r="AN122" s="134"/>
      <c r="AO122" s="134"/>
      <c r="AP122" s="134"/>
      <c r="AQ122" s="134"/>
      <c r="AR122" s="134"/>
      <c r="AS122" s="134" t="str">
        <f t="array" ref="AS122">IFERROR(INDEX(TABLACONSOLIDADA[Buff Act],MATCH("AGROINSUMOScentralPROPIA"&amp;Tabla_Buffers_Agroinsumos[[#This Row],[CODIGO ]],TABLACONSOLIDADA[Bodega]&amp;TABLACONSOLIDADA[Codigo],0)),"")</f>
        <v/>
      </c>
      <c r="AT122" s="157" t="str">
        <f t="array" ref="AT122">IFERROR(INDEX(TABLACONSOLIDADA[Inv Fís Act],MATCH("AGROINSUMOScentralPROPIA"&amp;Tabla_Buffers_Agroinsumos[[#This Row],[CODIGO ]],TABLACONSOLIDADA[Bodega]&amp;TABLACONSOLIDADA[Codigo],0)),"")</f>
        <v/>
      </c>
      <c r="AU122" s="157" t="str">
        <f t="array" ref="AU12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2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22" s="134">
        <f>IFERROR(SUM(Tabla_Buffers_Agroinsumos[[#This Row],[P-MP]:[P-VL]]),"")</f>
        <v>0</v>
      </c>
      <c r="AX122" s="92" t="str">
        <f>IFERROR(Tabla_Buffers_Agroinsumos[[#This Row],[INV FIS PROPIA]]-Tabla_Buffers_Agroinsumos[[#This Row],[BUFFER PROPIA]],"")</f>
        <v/>
      </c>
      <c r="AY12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22" s="134"/>
      <c r="BA122" s="134"/>
      <c r="BB122" s="134"/>
      <c r="BC122" s="134"/>
      <c r="BD122" s="134"/>
      <c r="BE122" s="134"/>
      <c r="BF122" s="134"/>
      <c r="BG122" s="134"/>
      <c r="BH122" s="134"/>
      <c r="BI122" s="91" t="str">
        <f t="array" ref="BI122">IFERROR(INDEX(TABLACONSOLIDADA[Buff Act],MATCH("AGROINSUMOSSTODOMINGO"&amp;Tabla_Buffers_Agroinsumos[[#This Row],[CODIGO ]],TABLACONSOLIDADA[Bodega]&amp;TABLACONSOLIDADA[Codigo],0)),"")</f>
        <v/>
      </c>
      <c r="BJ122" s="157" t="str">
        <f t="array" ref="BJ122">IFERROR(INDEX(TABLACONSOLIDADA[Inv Fís Act],MATCH("AGROINSUMOSSTODOMINGO"&amp;Tabla_Buffers_Agroinsumos[[#This Row],[CODIGO ]],TABLACONSOLIDADA[Bodega]&amp;TABLACONSOLIDADA[Codigo],0)),"")</f>
        <v/>
      </c>
      <c r="BK122" s="157" t="str">
        <f t="array" ref="BK12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2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22" s="91">
        <f>IFERROR(SUM(Tabla_Buffers_Agroinsumos[[#This Row],[SD-MP]:[SD-VL]]),"")</f>
        <v>0</v>
      </c>
      <c r="BN122" s="92"/>
      <c r="BO122" s="92"/>
      <c r="BP122" s="134"/>
      <c r="BQ122" s="134"/>
      <c r="BR122" s="134"/>
      <c r="BS122" s="134"/>
      <c r="BT122" s="134"/>
      <c r="BU122" s="134"/>
      <c r="BV122" s="134"/>
      <c r="BW122" s="134"/>
      <c r="BX122" s="134"/>
      <c r="BY122" s="134" t="str">
        <f t="array" ref="BY122">IFERROR(INDEX(TABLACONSOLIDADA[Buff Act],MATCH("AGROINSUMOSMONCAYOLOPEZ"&amp;Tabla_Buffers_Agroinsumos[[#This Row],[CODIGO ]],TABLACONSOLIDADA[Bodega]&amp;TABLACONSOLIDADA[Codigo],0)),"")</f>
        <v/>
      </c>
      <c r="BZ122" s="157" t="str">
        <f t="array" ref="BZ122">IFERROR(INDEX(TABLACONSOLIDADA[Inv Fís Act],MATCH("AGROINSUMOSMONCAYOLOPEZ"&amp;Tabla_Buffers_Agroinsumos[[#This Row],[CODIGO ]],TABLACONSOLIDADA[Bodega]&amp;TABLACONSOLIDADA[Codigo],0)),"")</f>
        <v/>
      </c>
      <c r="CA122" s="157" t="str">
        <f t="array" ref="CA12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2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22" s="134">
        <f>IFERROR(SUM(Tabla_Buffers_Agroinsumos[[#This Row],[ML-MP]:[ML-VL]]),"")</f>
        <v>0</v>
      </c>
      <c r="CD122" s="92" t="str">
        <f>IFERROR(Tabla_Buffers_Agroinsumos[[#This Row],[INV FIS ML]]-Tabla_Buffers_Agroinsumos[[#This Row],[BUFFER ML]],"")</f>
        <v/>
      </c>
      <c r="CE12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22" s="134"/>
      <c r="CG122" s="134"/>
      <c r="CH122" s="134"/>
      <c r="CI122" s="134"/>
      <c r="CJ122" s="134"/>
      <c r="CK122" s="134"/>
      <c r="CL122" s="134"/>
      <c r="CM122" s="134"/>
      <c r="CN122" s="134"/>
      <c r="CO122" s="134" t="str">
        <f t="array" ref="CO122">IFERROR(INDEX(TABLACONSOLIDADA[Buff Act],MATCH("AGROINSUMOSAGROHERMANOSLEON"&amp;Tabla_Buffers_Agroinsumos[[#This Row],[CODIGO ]],TABLACONSOLIDADA[Bodega]&amp;TABLACONSOLIDADA[Codigo],0)),"")</f>
        <v/>
      </c>
      <c r="CP122" s="157" t="str">
        <f t="array" ref="CP122">IFERROR(INDEX(TABLACONSOLIDADA[Inv Fís Act],MATCH("AGROINSUMOSAGROHERMANOSLEON"&amp;Tabla_Buffers_Agroinsumos[[#This Row],[CODIGO ]],TABLACONSOLIDADA[Bodega]&amp;TABLACONSOLIDADA[Codigo],0)),"")</f>
        <v/>
      </c>
      <c r="CQ122" s="157" t="str">
        <f t="array" ref="CQ12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2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22" s="134">
        <f>IFERROR(SUM(Tabla_Buffers_Agroinsumos[[#This Row],[AL-MP]:[AL-VL]]),"")</f>
        <v>0</v>
      </c>
      <c r="CT122" s="92" t="str">
        <f>IFERROR(Tabla_Buffers_Agroinsumos[[#This Row],[INV FIS AL]]-Tabla_Buffers_Agroinsumos[[#This Row],[BUFFER AL]],"")</f>
        <v/>
      </c>
      <c r="CU12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22" s="134"/>
      <c r="CW122" s="134"/>
      <c r="CX122" s="134"/>
      <c r="CY122" s="134"/>
      <c r="CZ122" s="134"/>
      <c r="DA122" s="134"/>
      <c r="DB122" s="134"/>
      <c r="DC122" s="134"/>
      <c r="DD122" s="134"/>
      <c r="DE122" s="134" t="str">
        <f t="array" ref="DE122">IFERROR(INDEX(TABLACONSOLIDADA[Buff Act],MATCH("AGROINSUMOSAGRONUEVO"&amp;Tabla_Buffers_Agroinsumos[[#This Row],[CODIGO ]],TABLACONSOLIDADA[Bodega]&amp;TABLACONSOLIDADA[Codigo],0)),"")</f>
        <v/>
      </c>
      <c r="DF122" s="157" t="str">
        <f t="array" ref="DF122">IFERROR(INDEX(TABLACONSOLIDADA[Inv Fís Act],MATCH("AGROINSUMOSAGRONUEVO"&amp;Tabla_Buffers_Agroinsumos[[#This Row],[CODIGO ]],TABLACONSOLIDADA[Bodega]&amp;TABLACONSOLIDADA[Codigo],0)),"")</f>
        <v/>
      </c>
      <c r="DG122" s="157" t="str">
        <f t="array" ref="DG12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2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22" s="134">
        <f>IFERROR(SUM(Tabla_Buffers_Agroinsumos[[#This Row],[AN-MP]:[AN-VL]]),"")</f>
        <v>0</v>
      </c>
      <c r="DJ122" s="92" t="str">
        <f>IFERROR(Tabla_Buffers_Agroinsumos[[#This Row],[INV FIS AN]]-Tabla_Buffers_Agroinsumos[[#This Row],[BUFFER AN]],"")</f>
        <v/>
      </c>
      <c r="DK12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22" s="134"/>
      <c r="DM122" s="134"/>
      <c r="DN122" s="134"/>
      <c r="DO122" s="134"/>
      <c r="DP122" s="134"/>
      <c r="DQ122" s="134"/>
      <c r="DR122" s="134"/>
      <c r="DS122" s="134"/>
      <c r="DT122" s="134"/>
      <c r="DU122" s="134" t="str">
        <f t="array" ref="DU122">IFERROR(INDEX(TABLACONSOLIDADA[Buff Act],MATCH("AGROINSUMOSAGROQUIMICOSSUR"&amp;Tabla_Buffers_Agroinsumos[[#This Row],[CODIGO ]],TABLACONSOLIDADA[Bodega]&amp;TABLACONSOLIDADA[Codigo],0)),"")</f>
        <v/>
      </c>
      <c r="DV122" s="157" t="str">
        <f t="array" ref="DV122">IFERROR(INDEX(TABLACONSOLIDADA[Inv Fís Act],MATCH("AGROINSUMOSAGROQUIMICOSSUR"&amp;Tabla_Buffers_Agroinsumos[[#This Row],[CODIGO ]],TABLACONSOLIDADA[Bodega]&amp;TABLACONSOLIDADA[Codigo],0)),"")</f>
        <v/>
      </c>
      <c r="DW122" s="157" t="str">
        <f t="array" ref="DW12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2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22" s="134">
        <f>IFERROR(SUM(Tabla_Buffers_Agroinsumos[[#This Row],[AS-MP]:[AS-VL]]),"")</f>
        <v>0</v>
      </c>
      <c r="DZ122" s="92" t="str">
        <f>IFERROR(Tabla_Buffers_Agroinsumos[[#This Row],[INV FIS AS]]-Tabla_Buffers_Agroinsumos[[#This Row],[BUFFER AS]],"")</f>
        <v/>
      </c>
      <c r="EA12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22" s="134"/>
      <c r="EC122" s="134"/>
      <c r="ED122" s="134"/>
      <c r="EE122" s="134"/>
      <c r="EF122" s="134"/>
      <c r="EG122" s="134"/>
      <c r="EH122" s="134"/>
      <c r="EI122" s="134"/>
      <c r="EJ122" s="134"/>
      <c r="EK122" s="134" t="str">
        <f t="array" ref="EK122">IFERROR(INDEX(TABLACONSOLIDADA[Buff Act],MATCH("AGROINSUMOSLAFINCA"&amp;Tabla_Buffers_Agroinsumos[[#This Row],[CODIGO ]],TABLACONSOLIDADA[Bodega]&amp;TABLACONSOLIDADA[Codigo],0)),"")</f>
        <v/>
      </c>
      <c r="EL122" s="157" t="str">
        <f t="array" ref="EL122">IFERROR(INDEX(TABLACONSOLIDADA[Inv Fís Act],MATCH("AGROINSUMOSLAFINCA"&amp;Tabla_Buffers_Agroinsumos[[#This Row],[CODIGO ]],TABLACONSOLIDADA[Bodega]&amp;TABLACONSOLIDADA[Codigo],0)),"")</f>
        <v/>
      </c>
      <c r="EM122" s="157" t="str">
        <f t="array" ref="EM12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2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22" s="134">
        <f>IFERROR(SUM(Tabla_Buffers_Agroinsumos[[#This Row],[LF-MP]:[LF-VL]]),"")</f>
        <v>0</v>
      </c>
      <c r="EP122" s="92" t="str">
        <f>IFERROR(Tabla_Buffers_Agroinsumos[[#This Row],[INV FIS LF]]-Tabla_Buffers_Agroinsumos[[#This Row],[BUFFER LF]],"")</f>
        <v/>
      </c>
      <c r="EQ12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22" s="134"/>
      <c r="ES122" s="134"/>
      <c r="ET122" s="134"/>
      <c r="EU122" s="134"/>
      <c r="EV122" s="134"/>
      <c r="EW122" s="134"/>
      <c r="EX122" s="134"/>
      <c r="EY122" s="134"/>
      <c r="EZ122" s="134"/>
      <c r="FA122" s="134" t="str">
        <f t="array" ref="FA122">IFERROR(INDEX(TABLACONSOLIDADA[Buff Act],MATCH("AGROINSUMOSVERONICALEDESMA"&amp;Tabla_Buffers_Agroinsumos[[#This Row],[CODIGO ]],TABLACONSOLIDADA[Bodega]&amp;TABLACONSOLIDADA[Codigo],0)),"")</f>
        <v/>
      </c>
      <c r="FB122" s="157" t="str">
        <f t="array" ref="FB122">IFERROR(INDEX(TABLACONSOLIDADA[Inv Fís Act],MATCH("AGROINSUMOSVERONICALEDESMA"&amp;Tabla_Buffers_Agroinsumos[[#This Row],[CODIGO ]],TABLACONSOLIDADA[Bodega]&amp;TABLACONSOLIDADA[Codigo],0)),"")</f>
        <v/>
      </c>
      <c r="FC122" s="157" t="str">
        <f t="array" ref="FC12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2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22" s="134">
        <f>IFERROR(SUM(Tabla_Buffers_Agroinsumos[[#This Row],[VL-MP]:[VL-LF]]),"")</f>
        <v>0</v>
      </c>
      <c r="FF122" s="92" t="str">
        <f>IFERROR(Tabla_Buffers_Agroinsumos[[#This Row],[INV FIS VL]]-Tabla_Buffers_Agroinsumos[[#This Row],[BUFFER VL]],"")</f>
        <v/>
      </c>
      <c r="FG12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22" s="134"/>
      <c r="FI122" s="134"/>
      <c r="FJ122" s="134"/>
      <c r="FK122" s="134"/>
      <c r="FL122" s="134"/>
      <c r="FM122" s="134"/>
      <c r="FN122" s="134"/>
      <c r="FO122" s="134"/>
      <c r="FP122" s="134"/>
    </row>
    <row r="123" spans="1:172">
      <c r="A123" s="7" t="s">
        <v>225</v>
      </c>
      <c r="B123" s="7" t="s">
        <v>226</v>
      </c>
      <c r="C123" s="7" t="s">
        <v>709</v>
      </c>
      <c r="D123" s="7" t="s">
        <v>720</v>
      </c>
      <c r="E123" s="7" t="s">
        <v>863</v>
      </c>
      <c r="F123" s="19" t="s">
        <v>814</v>
      </c>
      <c r="G123" s="19" t="s">
        <v>873</v>
      </c>
      <c r="H123" s="19">
        <f>VLOOKUP(Tabla_Buffers_Agroinsumos[[#This Row],[CODIGO ]],TABLACONSOLIDADA[[Codigo]:[PV]],6,0)</f>
        <v>0</v>
      </c>
      <c r="I123" s="19">
        <f>VLOOKUP(Tabla_Buffers_Agroinsumos[[#This Row],[CODIGO ]],TABLACONSOLIDADA[[Codigo]:[PV]],5,0)</f>
        <v>1246.6300000000001</v>
      </c>
      <c r="J123" s="19">
        <v>12</v>
      </c>
      <c r="K123" s="19">
        <v>14</v>
      </c>
      <c r="L123" s="19">
        <f>IFERROR(Tabla_Buffers_Agroinsumos[[#This Row],[BUFFER CENTRAL]]/((Tabla_Buffers_Agroinsumos[[#This Row],[TIEMPO REPOSICION ]]/Tabla_Buffers_Agroinsumos[[#This Row],[FRECUENCIA]])+1),0)</f>
        <v>0</v>
      </c>
      <c r="M123" s="19">
        <f t="array" ref="M123">IFERROR(INDEX(TABLACONSOLIDADA[Buff Act],MATCH("AGROINSUMOSMATERIAPRIMA"&amp;Tabla_Buffers_Agroinsumos[[#This Row],[CODIGO ]],TABLACONSOLIDADA[Bodega]&amp;TABLACONSOLIDADA[Codigo],0)),"")</f>
        <v>9</v>
      </c>
      <c r="N123" s="157">
        <f t="array" ref="N123">IFERROR(INDEX(TABLACONSOLIDADA[Inv Fís Act],MATCH("AGROINSUMOSMATERIAPRIMA"&amp;Tabla_Buffers_Agroinsumos[[#This Row],[CODIGO ]],TABLACONSOLIDADA[Bodega]&amp;TABLACONSOLIDADA[Codigo],0)),"")</f>
        <v>5.9625500000000002</v>
      </c>
      <c r="O123" s="157">
        <f t="array" ref="O12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8.9625500000000002</v>
      </c>
      <c r="P12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23" s="19">
        <f>IFERROR(SUM(Tabla_Buffers_Agroinsumos[[#This Row],[MP-C]:[MP-VL]]),"")</f>
        <v>0</v>
      </c>
      <c r="R123" s="92">
        <f>IFERROR(Tabla_Buffers_Agroinsumos[[#This Row],[INV FIS MATERIA PRIMA]]-Tabla_Buffers_Agroinsumos[[#This Row],[BUFFER MATERIA PRIMA]],"")</f>
        <v>-3.0374499999999998</v>
      </c>
      <c r="S12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-3.0374499999999998</v>
      </c>
      <c r="T123" s="19"/>
      <c r="U123" s="19"/>
      <c r="V123" s="19"/>
      <c r="W123" s="19"/>
      <c r="X123" s="19"/>
      <c r="Y123" s="19"/>
      <c r="Z123" s="19"/>
      <c r="AA123" s="19"/>
      <c r="AB123" s="19"/>
      <c r="AC123" s="152" t="str">
        <f t="array" ref="AC123">IFERROR(INDEX(TABLACONSOLIDADA[Buff Act],MATCH("AGROINSUMOSCENTRAL"&amp;Tabla_Buffers_Agroinsumos[[#This Row],[CODIGO ]],TABLACONSOLIDADA[Bodega]&amp;TABLACONSOLIDADA[Codigo],0)),"")</f>
        <v/>
      </c>
      <c r="AD123" s="157" t="str">
        <f t="array" ref="AD123">IFERROR(INDEX(TABLACONSOLIDADA[Inv Fís Act],MATCH("AGROINSUMOSCENTRAL"&amp;Tabla_Buffers_Agroinsumos[[#This Row],[CODIGO ]],TABLACONSOLIDADA[Bodega]&amp;TABLACONSOLIDADA[Codigo],0)),"")</f>
        <v/>
      </c>
      <c r="AE123" s="157" t="str">
        <f t="array" ref="AE12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2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23" s="91">
        <f>IFERROR(SUM(Tabla_Buffers_Agroinsumos[[#This Row],[C-MP]:[C-VL]]),"")</f>
        <v>0</v>
      </c>
      <c r="AH123" s="92" t="str">
        <f>IFERROR(Tabla_Buffers_Agroinsumos[[#This Row],[INV FIS CENTRAL]]-Tabla_Buffers_Agroinsumos[[#This Row],[BUFFER CENTRAL]],"")</f>
        <v/>
      </c>
      <c r="AI12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23" s="134"/>
      <c r="AK123" s="134"/>
      <c r="AL123" s="134"/>
      <c r="AM123" s="134"/>
      <c r="AN123" s="134"/>
      <c r="AO123" s="134"/>
      <c r="AP123" s="134"/>
      <c r="AQ123" s="134"/>
      <c r="AR123" s="134"/>
      <c r="AS123" s="134" t="str">
        <f t="array" ref="AS123">IFERROR(INDEX(TABLACONSOLIDADA[Buff Act],MATCH("AGROINSUMOScentralPROPIA"&amp;Tabla_Buffers_Agroinsumos[[#This Row],[CODIGO ]],TABLACONSOLIDADA[Bodega]&amp;TABLACONSOLIDADA[Codigo],0)),"")</f>
        <v/>
      </c>
      <c r="AT123" s="157" t="str">
        <f t="array" ref="AT123">IFERROR(INDEX(TABLACONSOLIDADA[Inv Fís Act],MATCH("AGROINSUMOScentralPROPIA"&amp;Tabla_Buffers_Agroinsumos[[#This Row],[CODIGO ]],TABLACONSOLIDADA[Bodega]&amp;TABLACONSOLIDADA[Codigo],0)),"")</f>
        <v/>
      </c>
      <c r="AU123" s="157" t="str">
        <f t="array" ref="AU12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2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23" s="134">
        <f>IFERROR(SUM(Tabla_Buffers_Agroinsumos[[#This Row],[P-MP]:[P-VL]]),"")</f>
        <v>0</v>
      </c>
      <c r="AX123" s="92" t="str">
        <f>IFERROR(Tabla_Buffers_Agroinsumos[[#This Row],[INV FIS PROPIA]]-Tabla_Buffers_Agroinsumos[[#This Row],[BUFFER PROPIA]],"")</f>
        <v/>
      </c>
      <c r="AY12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23" s="134"/>
      <c r="BA123" s="134"/>
      <c r="BB123" s="134"/>
      <c r="BC123" s="134"/>
      <c r="BD123" s="134"/>
      <c r="BE123" s="134"/>
      <c r="BF123" s="134"/>
      <c r="BG123" s="134"/>
      <c r="BH123" s="134"/>
      <c r="BI123" s="91" t="str">
        <f t="array" ref="BI123">IFERROR(INDEX(TABLACONSOLIDADA[Buff Act],MATCH("AGROINSUMOSSTODOMINGO"&amp;Tabla_Buffers_Agroinsumos[[#This Row],[CODIGO ]],TABLACONSOLIDADA[Bodega]&amp;TABLACONSOLIDADA[Codigo],0)),"")</f>
        <v/>
      </c>
      <c r="BJ123" s="157" t="str">
        <f t="array" ref="BJ123">IFERROR(INDEX(TABLACONSOLIDADA[Inv Fís Act],MATCH("AGROINSUMOSSTODOMINGO"&amp;Tabla_Buffers_Agroinsumos[[#This Row],[CODIGO ]],TABLACONSOLIDADA[Bodega]&amp;TABLACONSOLIDADA[Codigo],0)),"")</f>
        <v/>
      </c>
      <c r="BK123" s="157" t="str">
        <f t="array" ref="BK12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2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23" s="91">
        <f>IFERROR(SUM(Tabla_Buffers_Agroinsumos[[#This Row],[SD-MP]:[SD-VL]]),"")</f>
        <v>0</v>
      </c>
      <c r="BN123" s="92"/>
      <c r="BO123" s="92"/>
      <c r="BP123" s="134"/>
      <c r="BQ123" s="134"/>
      <c r="BR123" s="134"/>
      <c r="BS123" s="134"/>
      <c r="BT123" s="134"/>
      <c r="BU123" s="134"/>
      <c r="BV123" s="134"/>
      <c r="BW123" s="134"/>
      <c r="BX123" s="134"/>
      <c r="BY123" s="134" t="str">
        <f t="array" ref="BY123">IFERROR(INDEX(TABLACONSOLIDADA[Buff Act],MATCH("AGROINSUMOSMONCAYOLOPEZ"&amp;Tabla_Buffers_Agroinsumos[[#This Row],[CODIGO ]],TABLACONSOLIDADA[Bodega]&amp;TABLACONSOLIDADA[Codigo],0)),"")</f>
        <v/>
      </c>
      <c r="BZ123" s="157" t="str">
        <f t="array" ref="BZ123">IFERROR(INDEX(TABLACONSOLIDADA[Inv Fís Act],MATCH("AGROINSUMOSMONCAYOLOPEZ"&amp;Tabla_Buffers_Agroinsumos[[#This Row],[CODIGO ]],TABLACONSOLIDADA[Bodega]&amp;TABLACONSOLIDADA[Codigo],0)),"")</f>
        <v/>
      </c>
      <c r="CA123" s="157" t="str">
        <f t="array" ref="CA12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2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23" s="134">
        <f>IFERROR(SUM(Tabla_Buffers_Agroinsumos[[#This Row],[ML-MP]:[ML-VL]]),"")</f>
        <v>0</v>
      </c>
      <c r="CD123" s="92" t="str">
        <f>IFERROR(Tabla_Buffers_Agroinsumos[[#This Row],[INV FIS ML]]-Tabla_Buffers_Agroinsumos[[#This Row],[BUFFER ML]],"")</f>
        <v/>
      </c>
      <c r="CE12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23" s="134"/>
      <c r="CG123" s="134"/>
      <c r="CH123" s="134"/>
      <c r="CI123" s="134"/>
      <c r="CJ123" s="134"/>
      <c r="CK123" s="134"/>
      <c r="CL123" s="134"/>
      <c r="CM123" s="134"/>
      <c r="CN123" s="134"/>
      <c r="CO123" s="134" t="str">
        <f t="array" ref="CO123">IFERROR(INDEX(TABLACONSOLIDADA[Buff Act],MATCH("AGROINSUMOSAGROHERMANOSLEON"&amp;Tabla_Buffers_Agroinsumos[[#This Row],[CODIGO ]],TABLACONSOLIDADA[Bodega]&amp;TABLACONSOLIDADA[Codigo],0)),"")</f>
        <v/>
      </c>
      <c r="CP123" s="157" t="str">
        <f t="array" ref="CP123">IFERROR(INDEX(TABLACONSOLIDADA[Inv Fís Act],MATCH("AGROINSUMOSAGROHERMANOSLEON"&amp;Tabla_Buffers_Agroinsumos[[#This Row],[CODIGO ]],TABLACONSOLIDADA[Bodega]&amp;TABLACONSOLIDADA[Codigo],0)),"")</f>
        <v/>
      </c>
      <c r="CQ123" s="157" t="str">
        <f t="array" ref="CQ12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2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23" s="134">
        <f>IFERROR(SUM(Tabla_Buffers_Agroinsumos[[#This Row],[AL-MP]:[AL-VL]]),"")</f>
        <v>0</v>
      </c>
      <c r="CT123" s="92" t="str">
        <f>IFERROR(Tabla_Buffers_Agroinsumos[[#This Row],[INV FIS AL]]-Tabla_Buffers_Agroinsumos[[#This Row],[BUFFER AL]],"")</f>
        <v/>
      </c>
      <c r="CU12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23" s="134"/>
      <c r="CW123" s="134"/>
      <c r="CX123" s="134"/>
      <c r="CY123" s="134"/>
      <c r="CZ123" s="134"/>
      <c r="DA123" s="134"/>
      <c r="DB123" s="134"/>
      <c r="DC123" s="134"/>
      <c r="DD123" s="134"/>
      <c r="DE123" s="134" t="str">
        <f t="array" ref="DE123">IFERROR(INDEX(TABLACONSOLIDADA[Buff Act],MATCH("AGROINSUMOSAGRONUEVO"&amp;Tabla_Buffers_Agroinsumos[[#This Row],[CODIGO ]],TABLACONSOLIDADA[Bodega]&amp;TABLACONSOLIDADA[Codigo],0)),"")</f>
        <v/>
      </c>
      <c r="DF123" s="157" t="str">
        <f t="array" ref="DF123">IFERROR(INDEX(TABLACONSOLIDADA[Inv Fís Act],MATCH("AGROINSUMOSAGRONUEVO"&amp;Tabla_Buffers_Agroinsumos[[#This Row],[CODIGO ]],TABLACONSOLIDADA[Bodega]&amp;TABLACONSOLIDADA[Codigo],0)),"")</f>
        <v/>
      </c>
      <c r="DG123" s="157" t="str">
        <f t="array" ref="DG12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2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23" s="134">
        <f>IFERROR(SUM(Tabla_Buffers_Agroinsumos[[#This Row],[AN-MP]:[AN-VL]]),"")</f>
        <v>0</v>
      </c>
      <c r="DJ123" s="92" t="str">
        <f>IFERROR(Tabla_Buffers_Agroinsumos[[#This Row],[INV FIS AN]]-Tabla_Buffers_Agroinsumos[[#This Row],[BUFFER AN]],"")</f>
        <v/>
      </c>
      <c r="DK12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23" s="134"/>
      <c r="DM123" s="134"/>
      <c r="DN123" s="134"/>
      <c r="DO123" s="134"/>
      <c r="DP123" s="134"/>
      <c r="DQ123" s="134"/>
      <c r="DR123" s="134"/>
      <c r="DS123" s="134"/>
      <c r="DT123" s="134"/>
      <c r="DU123" s="134" t="str">
        <f t="array" ref="DU123">IFERROR(INDEX(TABLACONSOLIDADA[Buff Act],MATCH("AGROINSUMOSAGROQUIMICOSSUR"&amp;Tabla_Buffers_Agroinsumos[[#This Row],[CODIGO ]],TABLACONSOLIDADA[Bodega]&amp;TABLACONSOLIDADA[Codigo],0)),"")</f>
        <v/>
      </c>
      <c r="DV123" s="157" t="str">
        <f t="array" ref="DV123">IFERROR(INDEX(TABLACONSOLIDADA[Inv Fís Act],MATCH("AGROINSUMOSAGROQUIMICOSSUR"&amp;Tabla_Buffers_Agroinsumos[[#This Row],[CODIGO ]],TABLACONSOLIDADA[Bodega]&amp;TABLACONSOLIDADA[Codigo],0)),"")</f>
        <v/>
      </c>
      <c r="DW123" s="157" t="str">
        <f t="array" ref="DW12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2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23" s="134">
        <f>IFERROR(SUM(Tabla_Buffers_Agroinsumos[[#This Row],[AS-MP]:[AS-VL]]),"")</f>
        <v>0</v>
      </c>
      <c r="DZ123" s="92" t="str">
        <f>IFERROR(Tabla_Buffers_Agroinsumos[[#This Row],[INV FIS AS]]-Tabla_Buffers_Agroinsumos[[#This Row],[BUFFER AS]],"")</f>
        <v/>
      </c>
      <c r="EA12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23" s="134"/>
      <c r="EC123" s="134"/>
      <c r="ED123" s="134"/>
      <c r="EE123" s="134"/>
      <c r="EF123" s="134"/>
      <c r="EG123" s="134"/>
      <c r="EH123" s="134"/>
      <c r="EI123" s="134"/>
      <c r="EJ123" s="134"/>
      <c r="EK123" s="134" t="str">
        <f t="array" ref="EK123">IFERROR(INDEX(TABLACONSOLIDADA[Buff Act],MATCH("AGROINSUMOSLAFINCA"&amp;Tabla_Buffers_Agroinsumos[[#This Row],[CODIGO ]],TABLACONSOLIDADA[Bodega]&amp;TABLACONSOLIDADA[Codigo],0)),"")</f>
        <v/>
      </c>
      <c r="EL123" s="157" t="str">
        <f t="array" ref="EL123">IFERROR(INDEX(TABLACONSOLIDADA[Inv Fís Act],MATCH("AGROINSUMOSLAFINCA"&amp;Tabla_Buffers_Agroinsumos[[#This Row],[CODIGO ]],TABLACONSOLIDADA[Bodega]&amp;TABLACONSOLIDADA[Codigo],0)),"")</f>
        <v/>
      </c>
      <c r="EM123" s="157" t="str">
        <f t="array" ref="EM12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2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23" s="134">
        <f>IFERROR(SUM(Tabla_Buffers_Agroinsumos[[#This Row],[LF-MP]:[LF-VL]]),"")</f>
        <v>0</v>
      </c>
      <c r="EP123" s="92" t="str">
        <f>IFERROR(Tabla_Buffers_Agroinsumos[[#This Row],[INV FIS LF]]-Tabla_Buffers_Agroinsumos[[#This Row],[BUFFER LF]],"")</f>
        <v/>
      </c>
      <c r="EQ12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23" s="134"/>
      <c r="ES123" s="134"/>
      <c r="ET123" s="134"/>
      <c r="EU123" s="134"/>
      <c r="EV123" s="134"/>
      <c r="EW123" s="134"/>
      <c r="EX123" s="134"/>
      <c r="EY123" s="134"/>
      <c r="EZ123" s="134"/>
      <c r="FA123" s="134" t="str">
        <f t="array" ref="FA123">IFERROR(INDEX(TABLACONSOLIDADA[Buff Act],MATCH("AGROINSUMOSVERONICALEDESMA"&amp;Tabla_Buffers_Agroinsumos[[#This Row],[CODIGO ]],TABLACONSOLIDADA[Bodega]&amp;TABLACONSOLIDADA[Codigo],0)),"")</f>
        <v/>
      </c>
      <c r="FB123" s="157" t="str">
        <f t="array" ref="FB123">IFERROR(INDEX(TABLACONSOLIDADA[Inv Fís Act],MATCH("AGROINSUMOSVERONICALEDESMA"&amp;Tabla_Buffers_Agroinsumos[[#This Row],[CODIGO ]],TABLACONSOLIDADA[Bodega]&amp;TABLACONSOLIDADA[Codigo],0)),"")</f>
        <v/>
      </c>
      <c r="FC123" s="157" t="str">
        <f t="array" ref="FC12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2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23" s="134">
        <f>IFERROR(SUM(Tabla_Buffers_Agroinsumos[[#This Row],[VL-MP]:[VL-LF]]),"")</f>
        <v>0</v>
      </c>
      <c r="FF123" s="92" t="str">
        <f>IFERROR(Tabla_Buffers_Agroinsumos[[#This Row],[INV FIS VL]]-Tabla_Buffers_Agroinsumos[[#This Row],[BUFFER VL]],"")</f>
        <v/>
      </c>
      <c r="FG12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23" s="134"/>
      <c r="FI123" s="134"/>
      <c r="FJ123" s="134"/>
      <c r="FK123" s="134"/>
      <c r="FL123" s="134"/>
      <c r="FM123" s="134"/>
      <c r="FN123" s="134"/>
      <c r="FO123" s="134"/>
      <c r="FP123" s="134"/>
    </row>
    <row r="124" spans="1:172">
      <c r="A124" s="20" t="s">
        <v>1258</v>
      </c>
      <c r="B124" s="177" t="s">
        <v>1203</v>
      </c>
      <c r="C124" s="7" t="s">
        <v>709</v>
      </c>
      <c r="D124" s="7" t="s">
        <v>720</v>
      </c>
      <c r="E124" s="7" t="s">
        <v>863</v>
      </c>
      <c r="F124" s="19" t="s">
        <v>814</v>
      </c>
      <c r="G124" s="19" t="s">
        <v>873</v>
      </c>
      <c r="H124" s="111">
        <v>0</v>
      </c>
      <c r="I124" s="111">
        <v>0</v>
      </c>
      <c r="J124" s="111"/>
      <c r="K124" s="111"/>
      <c r="L124" s="111">
        <f>IFERROR(Tabla_Buffers_Agroinsumos[[#This Row],[BUFFER CENTRAL]]/((Tabla_Buffers_Agroinsumos[[#This Row],[TIEMPO REPOSICION ]]/Tabla_Buffers_Agroinsumos[[#This Row],[FRECUENCIA]])+1),0)</f>
        <v>0</v>
      </c>
      <c r="M124" s="111">
        <v>3000</v>
      </c>
      <c r="N124" s="111" t="str">
        <f t="array" ref="N124">IFERROR(INDEX(TABLACONSOLIDADA[Inv Fís Act],MATCH("AGROINSUMOSMATERIAPRIMA"&amp;Tabla_Buffers_Agroinsumos[[#This Row],[CODIGO ]],TABLACONSOLIDADA[Bodega]&amp;TABLACONSOLIDADA[Codigo],0)),"")</f>
        <v/>
      </c>
      <c r="O124" s="161" t="str">
        <f t="array" ref="O12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24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24" s="111">
        <f>IFERROR(SUM(Tabla_Buffers_Agroinsumos[[#This Row],[MP-C]:[MP-VL]]),"")</f>
        <v>0</v>
      </c>
      <c r="R124" s="154" t="str">
        <f>IFERROR(Tabla_Buffers_Agroinsumos[[#This Row],[INV FIS MATERIA PRIMA]]-Tabla_Buffers_Agroinsumos[[#This Row],[BUFFER MATERIA PRIMA]],"")</f>
        <v/>
      </c>
      <c r="S124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24" s="111"/>
      <c r="U124" s="111"/>
      <c r="V124" s="111"/>
      <c r="W124" s="111"/>
      <c r="X124" s="111"/>
      <c r="Y124" s="111"/>
      <c r="Z124" s="111"/>
      <c r="AA124" s="111"/>
      <c r="AB124" s="111"/>
      <c r="AC124" s="152" t="str">
        <f t="array" ref="AC124">IFERROR(INDEX(TABLACONSOLIDADA[Buff Act],MATCH("AGROINSUMOSCENTRAL"&amp;Tabla_Buffers_Agroinsumos[[#This Row],[CODIGO ]],TABLACONSOLIDADA[Bodega]&amp;TABLACONSOLIDADA[Codigo],0)),"")</f>
        <v/>
      </c>
      <c r="AD124" s="111" t="str">
        <f t="array" ref="AD124">IFERROR(INDEX(TABLACONSOLIDADA[Inv Fís Act],MATCH("AGROINSUMOSCENTRAL"&amp;Tabla_Buffers_Agroinsumos[[#This Row],[CODIGO ]],TABLACONSOLIDADA[Bodega]&amp;TABLACONSOLIDADA[Codigo],0)),"")</f>
        <v/>
      </c>
      <c r="AE124" s="161" t="str">
        <f t="array" ref="AE12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24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24" s="153">
        <f>IFERROR(SUM(Tabla_Buffers_Agroinsumos[[#This Row],[C-MP]:[C-VL]]),"")</f>
        <v>0</v>
      </c>
      <c r="AH124" s="154" t="str">
        <f>IFERROR(Tabla_Buffers_Agroinsumos[[#This Row],[INV FIS CENTRAL]]-Tabla_Buffers_Agroinsumos[[#This Row],[BUFFER CENTRAL]],"")</f>
        <v/>
      </c>
      <c r="AI124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24" s="135"/>
      <c r="AK124" s="135"/>
      <c r="AL124" s="135"/>
      <c r="AM124" s="135"/>
      <c r="AN124" s="135"/>
      <c r="AO124" s="135"/>
      <c r="AP124" s="135"/>
      <c r="AQ124" s="135"/>
      <c r="AR124" s="135"/>
      <c r="AS124" s="135" t="str">
        <f t="array" ref="AS124">IFERROR(INDEX(TABLACONSOLIDADA[Buff Act],MATCH("AGROINSUMOScentralPROPIA"&amp;Tabla_Buffers_Agroinsumos[[#This Row],[CODIGO ]],TABLACONSOLIDADA[Bodega]&amp;TABLACONSOLIDADA[Codigo],0)),"")</f>
        <v/>
      </c>
      <c r="AT124" s="111" t="str">
        <f t="array" ref="AT124">IFERROR(INDEX(TABLACONSOLIDADA[Inv Fís Act],MATCH("AGROINSUMOScentralPROPIA"&amp;Tabla_Buffers_Agroinsumos[[#This Row],[CODIGO ]],TABLACONSOLIDADA[Bodega]&amp;TABLACONSOLIDADA[Codigo],0)),"")</f>
        <v/>
      </c>
      <c r="AU124" s="161" t="str">
        <f t="array" ref="AU12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24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24" s="135">
        <f>IFERROR(SUM(Tabla_Buffers_Agroinsumos[[#This Row],[P-MP]:[P-VL]]),"")</f>
        <v>0</v>
      </c>
      <c r="AX124" s="154" t="str">
        <f>IFERROR(Tabla_Buffers_Agroinsumos[[#This Row],[INV FIS PROPIA]]-Tabla_Buffers_Agroinsumos[[#This Row],[BUFFER PROPIA]],"")</f>
        <v/>
      </c>
      <c r="AY124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24" s="135"/>
      <c r="BA124" s="135"/>
      <c r="BB124" s="135"/>
      <c r="BC124" s="135"/>
      <c r="BD124" s="135"/>
      <c r="BE124" s="135"/>
      <c r="BF124" s="135"/>
      <c r="BG124" s="135"/>
      <c r="BH124" s="135"/>
      <c r="BI124" s="153" t="str">
        <f t="array" ref="BI124">IFERROR(INDEX(TABLACONSOLIDADA[Buff Act],MATCH("AGROINSUMOSSTODOMINGO"&amp;Tabla_Buffers_Agroinsumos[[#This Row],[CODIGO ]],TABLACONSOLIDADA[Bodega]&amp;TABLACONSOLIDADA[Codigo],0)),"")</f>
        <v/>
      </c>
      <c r="BJ124" s="111" t="str">
        <f t="array" ref="BJ124">IFERROR(INDEX(TABLACONSOLIDADA[Inv Fís Act],MATCH("AGROINSUMOSSTODOMINGO"&amp;Tabla_Buffers_Agroinsumos[[#This Row],[CODIGO ]],TABLACONSOLIDADA[Bodega]&amp;TABLACONSOLIDADA[Codigo],0)),"")</f>
        <v/>
      </c>
      <c r="BK124" s="161" t="str">
        <f t="array" ref="BK12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24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24" s="153">
        <f>IFERROR(SUM(Tabla_Buffers_Agroinsumos[[#This Row],[SD-MP]:[SD-VL]]),"")</f>
        <v>0</v>
      </c>
      <c r="BN124" s="154"/>
      <c r="BO124" s="154"/>
      <c r="BP124" s="135"/>
      <c r="BQ124" s="135"/>
      <c r="BR124" s="135"/>
      <c r="BS124" s="135"/>
      <c r="BT124" s="135"/>
      <c r="BU124" s="135"/>
      <c r="BV124" s="135"/>
      <c r="BW124" s="135"/>
      <c r="BX124" s="135"/>
      <c r="BY124" s="135" t="str">
        <f t="array" ref="BY124">IFERROR(INDEX(TABLACONSOLIDADA[Buff Act],MATCH("AGROINSUMOSMONCAYOLOPEZ"&amp;Tabla_Buffers_Agroinsumos[[#This Row],[CODIGO ]],TABLACONSOLIDADA[Bodega]&amp;TABLACONSOLIDADA[Codigo],0)),"")</f>
        <v/>
      </c>
      <c r="BZ124" s="111" t="str">
        <f t="array" ref="BZ124">IFERROR(INDEX(TABLACONSOLIDADA[Inv Fís Act],MATCH("AGROINSUMOSMONCAYOLOPEZ"&amp;Tabla_Buffers_Agroinsumos[[#This Row],[CODIGO ]],TABLACONSOLIDADA[Bodega]&amp;TABLACONSOLIDADA[Codigo],0)),"")</f>
        <v/>
      </c>
      <c r="CA124" s="161" t="str">
        <f t="array" ref="CA12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24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24" s="135">
        <f>IFERROR(SUM(Tabla_Buffers_Agroinsumos[[#This Row],[ML-MP]:[ML-VL]]),"")</f>
        <v>0</v>
      </c>
      <c r="CD124" s="154" t="str">
        <f>IFERROR(Tabla_Buffers_Agroinsumos[[#This Row],[INV FIS ML]]-Tabla_Buffers_Agroinsumos[[#This Row],[BUFFER ML]],"")</f>
        <v/>
      </c>
      <c r="CE124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24" s="135"/>
      <c r="CG124" s="135"/>
      <c r="CH124" s="135"/>
      <c r="CI124" s="135"/>
      <c r="CJ124" s="135"/>
      <c r="CK124" s="135"/>
      <c r="CL124" s="135"/>
      <c r="CM124" s="135"/>
      <c r="CN124" s="135"/>
      <c r="CO124" s="135" t="str">
        <f t="array" ref="CO124">IFERROR(INDEX(TABLACONSOLIDADA[Buff Act],MATCH("AGROINSUMOSAGROHERMANOSLEON"&amp;Tabla_Buffers_Agroinsumos[[#This Row],[CODIGO ]],TABLACONSOLIDADA[Bodega]&amp;TABLACONSOLIDADA[Codigo],0)),"")</f>
        <v/>
      </c>
      <c r="CP124" s="111" t="str">
        <f t="array" ref="CP124">IFERROR(INDEX(TABLACONSOLIDADA[Inv Fís Act],MATCH("AGROINSUMOSAGROHERMANOSLEON"&amp;Tabla_Buffers_Agroinsumos[[#This Row],[CODIGO ]],TABLACONSOLIDADA[Bodega]&amp;TABLACONSOLIDADA[Codigo],0)),"")</f>
        <v/>
      </c>
      <c r="CQ124" s="161" t="str">
        <f t="array" ref="CQ12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24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24" s="135">
        <f>IFERROR(SUM(Tabla_Buffers_Agroinsumos[[#This Row],[AL-MP]:[AL-VL]]),"")</f>
        <v>0</v>
      </c>
      <c r="CT124" s="154" t="str">
        <f>IFERROR(Tabla_Buffers_Agroinsumos[[#This Row],[INV FIS AL]]-Tabla_Buffers_Agroinsumos[[#This Row],[BUFFER AL]],"")</f>
        <v/>
      </c>
      <c r="CU124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24" s="135"/>
      <c r="CW124" s="135"/>
      <c r="CX124" s="135"/>
      <c r="CY124" s="135"/>
      <c r="CZ124" s="135"/>
      <c r="DA124" s="135"/>
      <c r="DB124" s="135"/>
      <c r="DC124" s="135"/>
      <c r="DD124" s="135"/>
      <c r="DE124" s="135" t="str">
        <f t="array" ref="DE124">IFERROR(INDEX(TABLACONSOLIDADA[Buff Act],MATCH("AGROINSUMOSAGRONUEVO"&amp;Tabla_Buffers_Agroinsumos[[#This Row],[CODIGO ]],TABLACONSOLIDADA[Bodega]&amp;TABLACONSOLIDADA[Codigo],0)),"")</f>
        <v/>
      </c>
      <c r="DF124" s="111" t="str">
        <f t="array" ref="DF124">IFERROR(INDEX(TABLACONSOLIDADA[Inv Fís Act],MATCH("AGROINSUMOSAGRONUEVO"&amp;Tabla_Buffers_Agroinsumos[[#This Row],[CODIGO ]],TABLACONSOLIDADA[Bodega]&amp;TABLACONSOLIDADA[Codigo],0)),"")</f>
        <v/>
      </c>
      <c r="DG124" s="161" t="str">
        <f t="array" ref="DG12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24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24" s="135">
        <f>IFERROR(SUM(Tabla_Buffers_Agroinsumos[[#This Row],[AN-MP]:[AN-VL]]),"")</f>
        <v>0</v>
      </c>
      <c r="DJ124" s="154" t="str">
        <f>IFERROR(Tabla_Buffers_Agroinsumos[[#This Row],[INV FIS AN]]-Tabla_Buffers_Agroinsumos[[#This Row],[BUFFER AN]],"")</f>
        <v/>
      </c>
      <c r="DK124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24" s="135"/>
      <c r="DM124" s="135"/>
      <c r="DN124" s="135"/>
      <c r="DO124" s="135"/>
      <c r="DP124" s="135"/>
      <c r="DQ124" s="135"/>
      <c r="DR124" s="135"/>
      <c r="DS124" s="135"/>
      <c r="DT124" s="135"/>
      <c r="DU124" s="135" t="str">
        <f t="array" ref="DU124">IFERROR(INDEX(TABLACONSOLIDADA[Buff Act],MATCH("AGROINSUMOSAGROQUIMICOSSUR"&amp;Tabla_Buffers_Agroinsumos[[#This Row],[CODIGO ]],TABLACONSOLIDADA[Bodega]&amp;TABLACONSOLIDADA[Codigo],0)),"")</f>
        <v/>
      </c>
      <c r="DV124" s="111" t="str">
        <f t="array" ref="DV124">IFERROR(INDEX(TABLACONSOLIDADA[Inv Fís Act],MATCH("AGROINSUMOSAGROQUIMICOSSUR"&amp;Tabla_Buffers_Agroinsumos[[#This Row],[CODIGO ]],TABLACONSOLIDADA[Bodega]&amp;TABLACONSOLIDADA[Codigo],0)),"")</f>
        <v/>
      </c>
      <c r="DW124" s="161" t="str">
        <f t="array" ref="DW12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24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24" s="135">
        <f>IFERROR(SUM(Tabla_Buffers_Agroinsumos[[#This Row],[AS-MP]:[AS-VL]]),"")</f>
        <v>0</v>
      </c>
      <c r="DZ124" s="154" t="str">
        <f>IFERROR(Tabla_Buffers_Agroinsumos[[#This Row],[INV FIS AS]]-Tabla_Buffers_Agroinsumos[[#This Row],[BUFFER AS]],"")</f>
        <v/>
      </c>
      <c r="EA124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24" s="135"/>
      <c r="EC124" s="135"/>
      <c r="ED124" s="135"/>
      <c r="EE124" s="135"/>
      <c r="EF124" s="135"/>
      <c r="EG124" s="135"/>
      <c r="EH124" s="135"/>
      <c r="EI124" s="135"/>
      <c r="EJ124" s="135"/>
      <c r="EK124" s="135" t="str">
        <f t="array" ref="EK124">IFERROR(INDEX(TABLACONSOLIDADA[Buff Act],MATCH("AGROINSUMOSLAFINCA"&amp;Tabla_Buffers_Agroinsumos[[#This Row],[CODIGO ]],TABLACONSOLIDADA[Bodega]&amp;TABLACONSOLIDADA[Codigo],0)),"")</f>
        <v/>
      </c>
      <c r="EL124" s="111" t="str">
        <f t="array" ref="EL124">IFERROR(INDEX(TABLACONSOLIDADA[Inv Fís Act],MATCH("AGROINSUMOSLAFINCA"&amp;Tabla_Buffers_Agroinsumos[[#This Row],[CODIGO ]],TABLACONSOLIDADA[Bodega]&amp;TABLACONSOLIDADA[Codigo],0)),"")</f>
        <v/>
      </c>
      <c r="EM124" s="161" t="str">
        <f t="array" ref="EM12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24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24" s="135">
        <f>IFERROR(SUM(Tabla_Buffers_Agroinsumos[[#This Row],[LF-MP]:[LF-VL]]),"")</f>
        <v>0</v>
      </c>
      <c r="EP124" s="154" t="str">
        <f>IFERROR(Tabla_Buffers_Agroinsumos[[#This Row],[INV FIS LF]]-Tabla_Buffers_Agroinsumos[[#This Row],[BUFFER LF]],"")</f>
        <v/>
      </c>
      <c r="EQ124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24" s="135"/>
      <c r="ES124" s="135"/>
      <c r="ET124" s="135"/>
      <c r="EU124" s="135"/>
      <c r="EV124" s="135"/>
      <c r="EW124" s="135"/>
      <c r="EX124" s="135"/>
      <c r="EY124" s="135"/>
      <c r="EZ124" s="135"/>
      <c r="FA124" s="135" t="str">
        <f t="array" ref="FA124">IFERROR(INDEX(TABLACONSOLIDADA[Buff Act],MATCH("AGROINSUMOSVERONICALEDESMA"&amp;Tabla_Buffers_Agroinsumos[[#This Row],[CODIGO ]],TABLACONSOLIDADA[Bodega]&amp;TABLACONSOLIDADA[Codigo],0)),"")</f>
        <v/>
      </c>
      <c r="FB124" s="111" t="str">
        <f t="array" ref="FB124">IFERROR(INDEX(TABLACONSOLIDADA[Inv Fís Act],MATCH("AGROINSUMOSVERONICALEDESMA"&amp;Tabla_Buffers_Agroinsumos[[#This Row],[CODIGO ]],TABLACONSOLIDADA[Bodega]&amp;TABLACONSOLIDADA[Codigo],0)),"")</f>
        <v/>
      </c>
      <c r="FC124" s="161" t="str">
        <f t="array" ref="FC12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24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24" s="135">
        <f>IFERROR(SUM(Tabla_Buffers_Agroinsumos[[#This Row],[VL-MP]:[VL-LF]]),"")</f>
        <v>0</v>
      </c>
      <c r="FF124" s="154" t="str">
        <f>IFERROR(Tabla_Buffers_Agroinsumos[[#This Row],[INV FIS VL]]-Tabla_Buffers_Agroinsumos[[#This Row],[BUFFER VL]],"")</f>
        <v/>
      </c>
      <c r="FG124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24" s="135"/>
      <c r="FI124" s="135"/>
      <c r="FJ124" s="135"/>
      <c r="FK124" s="135"/>
      <c r="FL124" s="135"/>
      <c r="FM124" s="135"/>
      <c r="FN124" s="135"/>
      <c r="FO124" s="135"/>
      <c r="FP124" s="135"/>
    </row>
    <row r="125" spans="1:172">
      <c r="A125" s="7" t="s">
        <v>227</v>
      </c>
      <c r="B125" s="7" t="s">
        <v>228</v>
      </c>
      <c r="C125" s="7" t="s">
        <v>709</v>
      </c>
      <c r="D125" s="7" t="s">
        <v>719</v>
      </c>
      <c r="E125" s="7" t="s">
        <v>975</v>
      </c>
      <c r="F125" s="19" t="s">
        <v>698</v>
      </c>
      <c r="G125" s="19" t="s">
        <v>698</v>
      </c>
      <c r="H125" s="19">
        <f>VLOOKUP(Tabla_Buffers_Agroinsumos[[#This Row],[CODIGO ]],TABLACONSOLIDADA[[Codigo]:[PV]],6,0)</f>
        <v>2.44</v>
      </c>
      <c r="I125" s="19">
        <f>VLOOKUP(Tabla_Buffers_Agroinsumos[[#This Row],[CODIGO ]],TABLACONSOLIDADA[[Codigo]:[PV]],5,0)</f>
        <v>1.1499999999999999</v>
      </c>
      <c r="J125" s="19" t="s">
        <v>698</v>
      </c>
      <c r="K125" s="19" t="s">
        <v>698</v>
      </c>
      <c r="L125" s="19">
        <f>IFERROR(Tabla_Buffers_Agroinsumos[[#This Row],[BUFFER CENTRAL]]/((Tabla_Buffers_Agroinsumos[[#This Row],[TIEMPO REPOSICION ]]/Tabla_Buffers_Agroinsumos[[#This Row],[FRECUENCIA]])+1),0)</f>
        <v>0</v>
      </c>
      <c r="M125" s="19" t="str">
        <f t="array" ref="M125">IFERROR(INDEX(TABLACONSOLIDADA[Buff Act],MATCH("AGROINSUMOSMATERIAPRIMA"&amp;Tabla_Buffers_Agroinsumos[[#This Row],[CODIGO ]],TABLACONSOLIDADA[Bodega]&amp;TABLACONSOLIDADA[Codigo],0)),"")</f>
        <v/>
      </c>
      <c r="N125" s="157" t="str">
        <f t="array" ref="N125">IFERROR(INDEX(TABLACONSOLIDADA[Inv Fís Act],MATCH("AGROINSUMOSMATERIAPRIMA"&amp;Tabla_Buffers_Agroinsumos[[#This Row],[CODIGO ]],TABLACONSOLIDADA[Bodega]&amp;TABLACONSOLIDADA[Codigo],0)),"")</f>
        <v/>
      </c>
      <c r="O125" s="157" t="str">
        <f t="array" ref="O12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2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25" s="19">
        <f>IFERROR(SUM(Tabla_Buffers_Agroinsumos[[#This Row],[MP-C]:[MP-VL]]),"")</f>
        <v>0</v>
      </c>
      <c r="R125" s="92" t="str">
        <f>IFERROR(Tabla_Buffers_Agroinsumos[[#This Row],[INV FIS MATERIA PRIMA]]-Tabla_Buffers_Agroinsumos[[#This Row],[BUFFER MATERIA PRIMA]],"")</f>
        <v/>
      </c>
      <c r="S12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25" s="19"/>
      <c r="U125" s="19"/>
      <c r="V125" s="19"/>
      <c r="W125" s="19"/>
      <c r="X125" s="19"/>
      <c r="Y125" s="19"/>
      <c r="Z125" s="19"/>
      <c r="AA125" s="19"/>
      <c r="AB125" s="19"/>
      <c r="AC125" s="152">
        <f t="array" ref="AC125">IFERROR(INDEX(TABLACONSOLIDADA[Buff Act],MATCH("AGROINSUMOSCENTRAL"&amp;Tabla_Buffers_Agroinsumos[[#This Row],[CODIGO ]],TABLACONSOLIDADA[Bodega]&amp;TABLACONSOLIDADA[Codigo],0)),"")</f>
        <v>800</v>
      </c>
      <c r="AD125" s="157">
        <f t="array" ref="AD125">IFERROR(INDEX(TABLACONSOLIDADA[Inv Fís Act],MATCH("AGROINSUMOSCENTRAL"&amp;Tabla_Buffers_Agroinsumos[[#This Row],[CODIGO ]],TABLACONSOLIDADA[Bodega]&amp;TABLACONSOLIDADA[Codigo],0)),"")</f>
        <v>275</v>
      </c>
      <c r="AE125" s="157">
        <f t="array" ref="AE12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800</v>
      </c>
      <c r="AF12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25" s="91">
        <f>IFERROR(SUM(Tabla_Buffers_Agroinsumos[[#This Row],[C-MP]:[C-VL]]),"")</f>
        <v>0</v>
      </c>
      <c r="AH125" s="92">
        <f>IFERROR(Tabla_Buffers_Agroinsumos[[#This Row],[INV FIS CENTRAL]]-Tabla_Buffers_Agroinsumos[[#This Row],[BUFFER CENTRAL]],"")</f>
        <v>-525</v>
      </c>
      <c r="AI12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-525</v>
      </c>
      <c r="AJ125" s="134"/>
      <c r="AK125" s="134"/>
      <c r="AL125" s="134"/>
      <c r="AM125" s="134"/>
      <c r="AN125" s="134"/>
      <c r="AO125" s="134"/>
      <c r="AP125" s="134"/>
      <c r="AQ125" s="134"/>
      <c r="AR125" s="134"/>
      <c r="AS125" s="134">
        <f t="array" ref="AS125">IFERROR(INDEX(TABLACONSOLIDADA[Buff Act],MATCH("AGROINSUMOScentralPROPIA"&amp;Tabla_Buffers_Agroinsumos[[#This Row],[CODIGO ]],TABLACONSOLIDADA[Bodega]&amp;TABLACONSOLIDADA[Codigo],0)),"")</f>
        <v>300</v>
      </c>
      <c r="AT125" s="157">
        <f t="array" ref="AT125">IFERROR(INDEX(TABLACONSOLIDADA[Inv Fís Act],MATCH("AGROINSUMOScentralPROPIA"&amp;Tabla_Buffers_Agroinsumos[[#This Row],[CODIGO ]],TABLACONSOLIDADA[Bodega]&amp;TABLACONSOLIDADA[Codigo],0)),"")</f>
        <v>0</v>
      </c>
      <c r="AU125" s="157">
        <f t="array" ref="AU12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2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25" s="134">
        <f>IFERROR(SUM(Tabla_Buffers_Agroinsumos[[#This Row],[P-MP]:[P-VL]]),"")</f>
        <v>0</v>
      </c>
      <c r="AX125" s="92">
        <f>IFERROR(Tabla_Buffers_Agroinsumos[[#This Row],[INV FIS PROPIA]]-Tabla_Buffers_Agroinsumos[[#This Row],[BUFFER PROPIA]],"")</f>
        <v>-300</v>
      </c>
      <c r="AY12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-300</v>
      </c>
      <c r="AZ125" s="134"/>
      <c r="BA125" s="134"/>
      <c r="BB125" s="134"/>
      <c r="BC125" s="134"/>
      <c r="BD125" s="134"/>
      <c r="BE125" s="134"/>
      <c r="BF125" s="134"/>
      <c r="BG125" s="134"/>
      <c r="BH125" s="134"/>
      <c r="BI125" s="91">
        <f t="array" ref="BI125">IFERROR(INDEX(TABLACONSOLIDADA[Buff Act],MATCH("AGROINSUMOSSTODOMINGO"&amp;Tabla_Buffers_Agroinsumos[[#This Row],[CODIGO ]],TABLACONSOLIDADA[Bodega]&amp;TABLACONSOLIDADA[Codigo],0)),"")</f>
        <v>0</v>
      </c>
      <c r="BJ125" s="157">
        <f t="array" ref="BJ125">IFERROR(INDEX(TABLACONSOLIDADA[Inv Fís Act],MATCH("AGROINSUMOSSTODOMINGO"&amp;Tabla_Buffers_Agroinsumos[[#This Row],[CODIGO ]],TABLACONSOLIDADA[Bodega]&amp;TABLACONSOLIDADA[Codigo],0)),"")</f>
        <v>0</v>
      </c>
      <c r="BK125" s="157">
        <f t="array" ref="BK12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12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25" s="91">
        <f>IFERROR(SUM(Tabla_Buffers_Agroinsumos[[#This Row],[SD-MP]:[SD-VL]]),"")</f>
        <v>0</v>
      </c>
      <c r="BN125" s="92"/>
      <c r="BO125" s="92"/>
      <c r="BP125" s="134"/>
      <c r="BQ125" s="134"/>
      <c r="BR125" s="134"/>
      <c r="BS125" s="134"/>
      <c r="BT125" s="134"/>
      <c r="BU125" s="134"/>
      <c r="BV125" s="134"/>
      <c r="BW125" s="134"/>
      <c r="BX125" s="134"/>
      <c r="BY125" s="134">
        <f t="array" ref="BY125">IFERROR(INDEX(TABLACONSOLIDADA[Buff Act],MATCH("AGROINSUMOSMONCAYOLOPEZ"&amp;Tabla_Buffers_Agroinsumos[[#This Row],[CODIGO ]],TABLACONSOLIDADA[Bodega]&amp;TABLACONSOLIDADA[Codigo],0)),"")</f>
        <v>0</v>
      </c>
      <c r="BZ125" s="157">
        <f t="array" ref="BZ125">IFERROR(INDEX(TABLACONSOLIDADA[Inv Fís Act],MATCH("AGROINSUMOSMONCAYOLOPEZ"&amp;Tabla_Buffers_Agroinsumos[[#This Row],[CODIGO ]],TABLACONSOLIDADA[Bodega]&amp;TABLACONSOLIDADA[Codigo],0)),"")</f>
        <v>0</v>
      </c>
      <c r="CA125" s="157">
        <f t="array" ref="CA12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2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25" s="134">
        <f>IFERROR(SUM(Tabla_Buffers_Agroinsumos[[#This Row],[ML-MP]:[ML-VL]]),"")</f>
        <v>0</v>
      </c>
      <c r="CD125" s="92">
        <f>IFERROR(Tabla_Buffers_Agroinsumos[[#This Row],[INV FIS ML]]-Tabla_Buffers_Agroinsumos[[#This Row],[BUFFER ML]],"")</f>
        <v>0</v>
      </c>
      <c r="CE12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25" s="134"/>
      <c r="CG125" s="134"/>
      <c r="CH125" s="134"/>
      <c r="CI125" s="134"/>
      <c r="CJ125" s="134"/>
      <c r="CK125" s="134"/>
      <c r="CL125" s="134"/>
      <c r="CM125" s="134"/>
      <c r="CN125" s="134"/>
      <c r="CO125" s="134">
        <f t="array" ref="CO125">IFERROR(INDEX(TABLACONSOLIDADA[Buff Act],MATCH("AGROINSUMOSAGROHERMANOSLEON"&amp;Tabla_Buffers_Agroinsumos[[#This Row],[CODIGO ]],TABLACONSOLIDADA[Bodega]&amp;TABLACONSOLIDADA[Codigo],0)),"")</f>
        <v>0</v>
      </c>
      <c r="CP125" s="157">
        <f t="array" ref="CP125">IFERROR(INDEX(TABLACONSOLIDADA[Inv Fís Act],MATCH("AGROINSUMOSAGROHERMANOSLEON"&amp;Tabla_Buffers_Agroinsumos[[#This Row],[CODIGO ]],TABLACONSOLIDADA[Bodega]&amp;TABLACONSOLIDADA[Codigo],0)),"")</f>
        <v>0</v>
      </c>
      <c r="CQ125" s="157">
        <f t="array" ref="CQ12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2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25" s="134">
        <f>IFERROR(SUM(Tabla_Buffers_Agroinsumos[[#This Row],[AL-MP]:[AL-VL]]),"")</f>
        <v>0</v>
      </c>
      <c r="CT125" s="92">
        <f>IFERROR(Tabla_Buffers_Agroinsumos[[#This Row],[INV FIS AL]]-Tabla_Buffers_Agroinsumos[[#This Row],[BUFFER AL]],"")</f>
        <v>0</v>
      </c>
      <c r="CU12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25" s="134"/>
      <c r="CW125" s="134"/>
      <c r="CX125" s="134"/>
      <c r="CY125" s="134"/>
      <c r="CZ125" s="134"/>
      <c r="DA125" s="134"/>
      <c r="DB125" s="134"/>
      <c r="DC125" s="134"/>
      <c r="DD125" s="134"/>
      <c r="DE125" s="134">
        <f t="array" ref="DE125">IFERROR(INDEX(TABLACONSOLIDADA[Buff Act],MATCH("AGROINSUMOSAGRONUEVO"&amp;Tabla_Buffers_Agroinsumos[[#This Row],[CODIGO ]],TABLACONSOLIDADA[Bodega]&amp;TABLACONSOLIDADA[Codigo],0)),"")</f>
        <v>0</v>
      </c>
      <c r="DF125" s="157">
        <f t="array" ref="DF125">IFERROR(INDEX(TABLACONSOLIDADA[Inv Fís Act],MATCH("AGROINSUMOSAGRONUEVO"&amp;Tabla_Buffers_Agroinsumos[[#This Row],[CODIGO ]],TABLACONSOLIDADA[Bodega]&amp;TABLACONSOLIDADA[Codigo],0)),"")</f>
        <v>0</v>
      </c>
      <c r="DG125" s="157">
        <f t="array" ref="DG12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2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25" s="134">
        <f>IFERROR(SUM(Tabla_Buffers_Agroinsumos[[#This Row],[AN-MP]:[AN-VL]]),"")</f>
        <v>0</v>
      </c>
      <c r="DJ125" s="92">
        <f>IFERROR(Tabla_Buffers_Agroinsumos[[#This Row],[INV FIS AN]]-Tabla_Buffers_Agroinsumos[[#This Row],[BUFFER AN]],"")</f>
        <v>0</v>
      </c>
      <c r="DK12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25" s="134"/>
      <c r="DM125" s="134"/>
      <c r="DN125" s="134"/>
      <c r="DO125" s="134"/>
      <c r="DP125" s="134"/>
      <c r="DQ125" s="134"/>
      <c r="DR125" s="134"/>
      <c r="DS125" s="134"/>
      <c r="DT125" s="134"/>
      <c r="DU125" s="134">
        <f t="array" ref="DU125">IFERROR(INDEX(TABLACONSOLIDADA[Buff Act],MATCH("AGROINSUMOSAGROQUIMICOSSUR"&amp;Tabla_Buffers_Agroinsumos[[#This Row],[CODIGO ]],TABLACONSOLIDADA[Bodega]&amp;TABLACONSOLIDADA[Codigo],0)),"")</f>
        <v>0</v>
      </c>
      <c r="DV125" s="157">
        <f t="array" ref="DV125">IFERROR(INDEX(TABLACONSOLIDADA[Inv Fís Act],MATCH("AGROINSUMOSAGROQUIMICOSSUR"&amp;Tabla_Buffers_Agroinsumos[[#This Row],[CODIGO ]],TABLACONSOLIDADA[Bodega]&amp;TABLACONSOLIDADA[Codigo],0)),"")</f>
        <v>0</v>
      </c>
      <c r="DW125" s="157">
        <f t="array" ref="DW12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2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25" s="134">
        <f>IFERROR(SUM(Tabla_Buffers_Agroinsumos[[#This Row],[AS-MP]:[AS-VL]]),"")</f>
        <v>0</v>
      </c>
      <c r="DZ125" s="92">
        <f>IFERROR(Tabla_Buffers_Agroinsumos[[#This Row],[INV FIS AS]]-Tabla_Buffers_Agroinsumos[[#This Row],[BUFFER AS]],"")</f>
        <v>0</v>
      </c>
      <c r="EA12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25" s="134"/>
      <c r="EC125" s="134"/>
      <c r="ED125" s="134"/>
      <c r="EE125" s="134"/>
      <c r="EF125" s="134"/>
      <c r="EG125" s="134"/>
      <c r="EH125" s="134"/>
      <c r="EI125" s="134"/>
      <c r="EJ125" s="134"/>
      <c r="EK125" s="134">
        <f t="array" ref="EK125">IFERROR(INDEX(TABLACONSOLIDADA[Buff Act],MATCH("AGROINSUMOSLAFINCA"&amp;Tabla_Buffers_Agroinsumos[[#This Row],[CODIGO ]],TABLACONSOLIDADA[Bodega]&amp;TABLACONSOLIDADA[Codigo],0)),"")</f>
        <v>0</v>
      </c>
      <c r="EL125" s="157">
        <f t="array" ref="EL125">IFERROR(INDEX(TABLACONSOLIDADA[Inv Fís Act],MATCH("AGROINSUMOSLAFINCA"&amp;Tabla_Buffers_Agroinsumos[[#This Row],[CODIGO ]],TABLACONSOLIDADA[Bodega]&amp;TABLACONSOLIDADA[Codigo],0)),"")</f>
        <v>0</v>
      </c>
      <c r="EM125" s="157">
        <f t="array" ref="EM12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2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25" s="134">
        <f>IFERROR(SUM(Tabla_Buffers_Agroinsumos[[#This Row],[LF-MP]:[LF-VL]]),"")</f>
        <v>0</v>
      </c>
      <c r="EP125" s="92">
        <f>IFERROR(Tabla_Buffers_Agroinsumos[[#This Row],[INV FIS LF]]-Tabla_Buffers_Agroinsumos[[#This Row],[BUFFER LF]],"")</f>
        <v>0</v>
      </c>
      <c r="EQ12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25" s="134"/>
      <c r="ES125" s="134"/>
      <c r="ET125" s="134"/>
      <c r="EU125" s="134"/>
      <c r="EV125" s="134"/>
      <c r="EW125" s="134"/>
      <c r="EX125" s="134"/>
      <c r="EY125" s="134"/>
      <c r="EZ125" s="134"/>
      <c r="FA125" s="134">
        <f t="array" ref="FA125">IFERROR(INDEX(TABLACONSOLIDADA[Buff Act],MATCH("AGROINSUMOSVERONICALEDESMA"&amp;Tabla_Buffers_Agroinsumos[[#This Row],[CODIGO ]],TABLACONSOLIDADA[Bodega]&amp;TABLACONSOLIDADA[Codigo],0)),"")</f>
        <v>42</v>
      </c>
      <c r="FB125" s="157">
        <f t="array" ref="FB125">IFERROR(INDEX(TABLACONSOLIDADA[Inv Fís Act],MATCH("AGROINSUMOSVERONICALEDESMA"&amp;Tabla_Buffers_Agroinsumos[[#This Row],[CODIGO ]],TABLACONSOLIDADA[Bodega]&amp;TABLACONSOLIDADA[Codigo],0)),"")</f>
        <v>25</v>
      </c>
      <c r="FC125" s="157">
        <f t="array" ref="FC12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42</v>
      </c>
      <c r="FD12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25" s="134">
        <f>IFERROR(SUM(Tabla_Buffers_Agroinsumos[[#This Row],[VL-MP]:[VL-LF]]),"")</f>
        <v>0</v>
      </c>
      <c r="FF125" s="92">
        <f>IFERROR(Tabla_Buffers_Agroinsumos[[#This Row],[INV FIS VL]]-Tabla_Buffers_Agroinsumos[[#This Row],[BUFFER VL]],"")</f>
        <v>-17</v>
      </c>
      <c r="FG125" s="92">
        <f>IFERROR(Tabla_Buffers_Agroinsumos[[#This Row],[INV FIS VL]]+Tabla_Buffers_Agroinsumos[[#This Row],[TRANSFERENCIAS A VL]]-Tabla_Buffers_Agroinsumos[[#This Row],[BUFFER VL]]-Tabla_Buffers_Agroinsumos[[#This Row],[TRANSFERENCIAS DE VL]],"")</f>
        <v>-17</v>
      </c>
      <c r="FH125" s="134"/>
      <c r="FI125" s="134"/>
      <c r="FJ125" s="134"/>
      <c r="FK125" s="134"/>
      <c r="FL125" s="134"/>
      <c r="FM125" s="134"/>
      <c r="FN125" s="134"/>
      <c r="FO125" s="134"/>
      <c r="FP125" s="134"/>
    </row>
    <row r="126" spans="1:172">
      <c r="A126" s="7" t="s">
        <v>229</v>
      </c>
      <c r="B126" s="7" t="s">
        <v>230</v>
      </c>
      <c r="C126" s="7" t="s">
        <v>709</v>
      </c>
      <c r="D126" s="7" t="s">
        <v>719</v>
      </c>
      <c r="E126" s="7" t="s">
        <v>975</v>
      </c>
      <c r="F126" s="19" t="s">
        <v>698</v>
      </c>
      <c r="G126" s="19" t="s">
        <v>698</v>
      </c>
      <c r="H126" s="19">
        <f>VLOOKUP(Tabla_Buffers_Agroinsumos[[#This Row],[CODIGO ]],TABLACONSOLIDADA[[Codigo]:[PV]],6,0)</f>
        <v>6.49</v>
      </c>
      <c r="I126" s="19">
        <f>VLOOKUP(Tabla_Buffers_Agroinsumos[[#This Row],[CODIGO ]],TABLACONSOLIDADA[[Codigo]:[PV]],5,0)</f>
        <v>2.8</v>
      </c>
      <c r="J126" s="19" t="s">
        <v>698</v>
      </c>
      <c r="K126" s="19" t="s">
        <v>698</v>
      </c>
      <c r="L126" s="19">
        <f>IFERROR(Tabla_Buffers_Agroinsumos[[#This Row],[BUFFER CENTRAL]]/((Tabla_Buffers_Agroinsumos[[#This Row],[TIEMPO REPOSICION ]]/Tabla_Buffers_Agroinsumos[[#This Row],[FRECUENCIA]])+1),0)</f>
        <v>0</v>
      </c>
      <c r="M126" s="19" t="str">
        <f t="array" ref="M126">IFERROR(INDEX(TABLACONSOLIDADA[Buff Act],MATCH("AGROINSUMOSMATERIAPRIMA"&amp;Tabla_Buffers_Agroinsumos[[#This Row],[CODIGO ]],TABLACONSOLIDADA[Bodega]&amp;TABLACONSOLIDADA[Codigo],0)),"")</f>
        <v/>
      </c>
      <c r="N126" s="157" t="str">
        <f t="array" ref="N126">IFERROR(INDEX(TABLACONSOLIDADA[Inv Fís Act],MATCH("AGROINSUMOSMATERIAPRIMA"&amp;Tabla_Buffers_Agroinsumos[[#This Row],[CODIGO ]],TABLACONSOLIDADA[Bodega]&amp;TABLACONSOLIDADA[Codigo],0)),"")</f>
        <v/>
      </c>
      <c r="O126" s="157" t="str">
        <f t="array" ref="O12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2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26" s="19">
        <f>IFERROR(SUM(Tabla_Buffers_Agroinsumos[[#This Row],[MP-C]:[MP-VL]]),"")</f>
        <v>0</v>
      </c>
      <c r="R126" s="92" t="str">
        <f>IFERROR(Tabla_Buffers_Agroinsumos[[#This Row],[INV FIS MATERIA PRIMA]]-Tabla_Buffers_Agroinsumos[[#This Row],[BUFFER MATERIA PRIMA]],"")</f>
        <v/>
      </c>
      <c r="S12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26" s="19"/>
      <c r="U126" s="19"/>
      <c r="V126" s="19"/>
      <c r="W126" s="19"/>
      <c r="X126" s="19"/>
      <c r="Y126" s="19"/>
      <c r="Z126" s="19"/>
      <c r="AA126" s="19"/>
      <c r="AB126" s="19"/>
      <c r="AC126" s="152">
        <f t="array" ref="AC126">IFERROR(INDEX(TABLACONSOLIDADA[Buff Act],MATCH("AGROINSUMOSCENTRAL"&amp;Tabla_Buffers_Agroinsumos[[#This Row],[CODIGO ]],TABLACONSOLIDADA[Bodega]&amp;TABLACONSOLIDADA[Codigo],0)),"")</f>
        <v>250</v>
      </c>
      <c r="AD126" s="157">
        <f t="array" ref="AD126">IFERROR(INDEX(TABLACONSOLIDADA[Inv Fís Act],MATCH("AGROINSUMOSCENTRAL"&amp;Tabla_Buffers_Agroinsumos[[#This Row],[CODIGO ]],TABLACONSOLIDADA[Bodega]&amp;TABLACONSOLIDADA[Codigo],0)),"")</f>
        <v>0</v>
      </c>
      <c r="AE126" s="157">
        <f t="array" ref="AE12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236</v>
      </c>
      <c r="AF12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26" s="91">
        <f>IFERROR(SUM(Tabla_Buffers_Agroinsumos[[#This Row],[C-MP]:[C-VL]]),"")</f>
        <v>0</v>
      </c>
      <c r="AH126" s="92">
        <f>IFERROR(Tabla_Buffers_Agroinsumos[[#This Row],[INV FIS CENTRAL]]-Tabla_Buffers_Agroinsumos[[#This Row],[BUFFER CENTRAL]],"")</f>
        <v>-250</v>
      </c>
      <c r="AI126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-250</v>
      </c>
      <c r="AJ126" s="134"/>
      <c r="AK126" s="134"/>
      <c r="AL126" s="134"/>
      <c r="AM126" s="134"/>
      <c r="AN126" s="134"/>
      <c r="AO126" s="134"/>
      <c r="AP126" s="134"/>
      <c r="AQ126" s="134"/>
      <c r="AR126" s="134"/>
      <c r="AS126" s="134">
        <f t="array" ref="AS126">IFERROR(INDEX(TABLACONSOLIDADA[Buff Act],MATCH("AGROINSUMOScentralPROPIA"&amp;Tabla_Buffers_Agroinsumos[[#This Row],[CODIGO ]],TABLACONSOLIDADA[Bodega]&amp;TABLACONSOLIDADA[Codigo],0)),"")</f>
        <v>42</v>
      </c>
      <c r="AT126" s="157">
        <f t="array" ref="AT126">IFERROR(INDEX(TABLACONSOLIDADA[Inv Fís Act],MATCH("AGROINSUMOScentralPROPIA"&amp;Tabla_Buffers_Agroinsumos[[#This Row],[CODIGO ]],TABLACONSOLIDADA[Bodega]&amp;TABLACONSOLIDADA[Codigo],0)),"")</f>
        <v>0</v>
      </c>
      <c r="AU126" s="157">
        <f t="array" ref="AU12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2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26" s="134">
        <f>IFERROR(SUM(Tabla_Buffers_Agroinsumos[[#This Row],[P-MP]:[P-VL]]),"")</f>
        <v>0</v>
      </c>
      <c r="AX126" s="92">
        <f>IFERROR(Tabla_Buffers_Agroinsumos[[#This Row],[INV FIS PROPIA]]-Tabla_Buffers_Agroinsumos[[#This Row],[BUFFER PROPIA]],"")</f>
        <v>-42</v>
      </c>
      <c r="AY126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-42</v>
      </c>
      <c r="AZ126" s="134"/>
      <c r="BA126" s="134"/>
      <c r="BB126" s="134"/>
      <c r="BC126" s="134"/>
      <c r="BD126" s="134"/>
      <c r="BE126" s="134"/>
      <c r="BF126" s="134"/>
      <c r="BG126" s="134"/>
      <c r="BH126" s="134"/>
      <c r="BI126" s="91">
        <f t="array" ref="BI126">IFERROR(INDEX(TABLACONSOLIDADA[Buff Act],MATCH("AGROINSUMOSSTODOMINGO"&amp;Tabla_Buffers_Agroinsumos[[#This Row],[CODIGO ]],TABLACONSOLIDADA[Bodega]&amp;TABLACONSOLIDADA[Codigo],0)),"")</f>
        <v>0</v>
      </c>
      <c r="BJ126" s="157">
        <f t="array" ref="BJ126">IFERROR(INDEX(TABLACONSOLIDADA[Inv Fís Act],MATCH("AGROINSUMOSSTODOMINGO"&amp;Tabla_Buffers_Agroinsumos[[#This Row],[CODIGO ]],TABLACONSOLIDADA[Bodega]&amp;TABLACONSOLIDADA[Codigo],0)),"")</f>
        <v>54</v>
      </c>
      <c r="BK126" s="157">
        <f t="array" ref="BK12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54</v>
      </c>
      <c r="BL12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26" s="91">
        <f>IFERROR(SUM(Tabla_Buffers_Agroinsumos[[#This Row],[SD-MP]:[SD-VL]]),"")</f>
        <v>0</v>
      </c>
      <c r="BN126" s="92"/>
      <c r="BO126" s="92"/>
      <c r="BP126" s="134"/>
      <c r="BQ126" s="134"/>
      <c r="BR126" s="134"/>
      <c r="BS126" s="134"/>
      <c r="BT126" s="134"/>
      <c r="BU126" s="134"/>
      <c r="BV126" s="134"/>
      <c r="BW126" s="134"/>
      <c r="BX126" s="134"/>
      <c r="BY126" s="134">
        <f t="array" ref="BY126">IFERROR(INDEX(TABLACONSOLIDADA[Buff Act],MATCH("AGROINSUMOSMONCAYOLOPEZ"&amp;Tabla_Buffers_Agroinsumos[[#This Row],[CODIGO ]],TABLACONSOLIDADA[Bodega]&amp;TABLACONSOLIDADA[Codigo],0)),"")</f>
        <v>0</v>
      </c>
      <c r="BZ126" s="157">
        <f t="array" ref="BZ126">IFERROR(INDEX(TABLACONSOLIDADA[Inv Fís Act],MATCH("AGROINSUMOSMONCAYOLOPEZ"&amp;Tabla_Buffers_Agroinsumos[[#This Row],[CODIGO ]],TABLACONSOLIDADA[Bodega]&amp;TABLACONSOLIDADA[Codigo],0)),"")</f>
        <v>0</v>
      </c>
      <c r="CA126" s="157">
        <f t="array" ref="CA12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2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26" s="134">
        <f>IFERROR(SUM(Tabla_Buffers_Agroinsumos[[#This Row],[ML-MP]:[ML-VL]]),"")</f>
        <v>0</v>
      </c>
      <c r="CD126" s="92">
        <f>IFERROR(Tabla_Buffers_Agroinsumos[[#This Row],[INV FIS ML]]-Tabla_Buffers_Agroinsumos[[#This Row],[BUFFER ML]],"")</f>
        <v>0</v>
      </c>
      <c r="CE126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26" s="134"/>
      <c r="CG126" s="134"/>
      <c r="CH126" s="134"/>
      <c r="CI126" s="134"/>
      <c r="CJ126" s="134"/>
      <c r="CK126" s="134"/>
      <c r="CL126" s="134"/>
      <c r="CM126" s="134"/>
      <c r="CN126" s="134"/>
      <c r="CO126" s="134">
        <f t="array" ref="CO126">IFERROR(INDEX(TABLACONSOLIDADA[Buff Act],MATCH("AGROINSUMOSAGROHERMANOSLEON"&amp;Tabla_Buffers_Agroinsumos[[#This Row],[CODIGO ]],TABLACONSOLIDADA[Bodega]&amp;TABLACONSOLIDADA[Codigo],0)),"")</f>
        <v>0</v>
      </c>
      <c r="CP126" s="157">
        <f t="array" ref="CP126">IFERROR(INDEX(TABLACONSOLIDADA[Inv Fís Act],MATCH("AGROINSUMOSAGROHERMANOSLEON"&amp;Tabla_Buffers_Agroinsumos[[#This Row],[CODIGO ]],TABLACONSOLIDADA[Bodega]&amp;TABLACONSOLIDADA[Codigo],0)),"")</f>
        <v>0</v>
      </c>
      <c r="CQ126" s="157">
        <f t="array" ref="CQ12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2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26" s="134">
        <f>IFERROR(SUM(Tabla_Buffers_Agroinsumos[[#This Row],[AL-MP]:[AL-VL]]),"")</f>
        <v>0</v>
      </c>
      <c r="CT126" s="92">
        <f>IFERROR(Tabla_Buffers_Agroinsumos[[#This Row],[INV FIS AL]]-Tabla_Buffers_Agroinsumos[[#This Row],[BUFFER AL]],"")</f>
        <v>0</v>
      </c>
      <c r="CU126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26" s="134"/>
      <c r="CW126" s="134"/>
      <c r="CX126" s="134"/>
      <c r="CY126" s="134"/>
      <c r="CZ126" s="134"/>
      <c r="DA126" s="134"/>
      <c r="DB126" s="134"/>
      <c r="DC126" s="134"/>
      <c r="DD126" s="134"/>
      <c r="DE126" s="134">
        <f t="array" ref="DE126">IFERROR(INDEX(TABLACONSOLIDADA[Buff Act],MATCH("AGROINSUMOSAGRONUEVO"&amp;Tabla_Buffers_Agroinsumos[[#This Row],[CODIGO ]],TABLACONSOLIDADA[Bodega]&amp;TABLACONSOLIDADA[Codigo],0)),"")</f>
        <v>0</v>
      </c>
      <c r="DF126" s="157">
        <f t="array" ref="DF126">IFERROR(INDEX(TABLACONSOLIDADA[Inv Fís Act],MATCH("AGROINSUMOSAGRONUEVO"&amp;Tabla_Buffers_Agroinsumos[[#This Row],[CODIGO ]],TABLACONSOLIDADA[Bodega]&amp;TABLACONSOLIDADA[Codigo],0)),"")</f>
        <v>0</v>
      </c>
      <c r="DG126" s="157">
        <f t="array" ref="DG12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2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26" s="134">
        <f>IFERROR(SUM(Tabla_Buffers_Agroinsumos[[#This Row],[AN-MP]:[AN-VL]]),"")</f>
        <v>0</v>
      </c>
      <c r="DJ126" s="92">
        <f>IFERROR(Tabla_Buffers_Agroinsumos[[#This Row],[INV FIS AN]]-Tabla_Buffers_Agroinsumos[[#This Row],[BUFFER AN]],"")</f>
        <v>0</v>
      </c>
      <c r="DK126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26" s="134"/>
      <c r="DM126" s="134"/>
      <c r="DN126" s="134"/>
      <c r="DO126" s="134"/>
      <c r="DP126" s="134"/>
      <c r="DQ126" s="134"/>
      <c r="DR126" s="134"/>
      <c r="DS126" s="134"/>
      <c r="DT126" s="134"/>
      <c r="DU126" s="134">
        <f t="array" ref="DU126">IFERROR(INDEX(TABLACONSOLIDADA[Buff Act],MATCH("AGROINSUMOSAGROQUIMICOSSUR"&amp;Tabla_Buffers_Agroinsumos[[#This Row],[CODIGO ]],TABLACONSOLIDADA[Bodega]&amp;TABLACONSOLIDADA[Codigo],0)),"")</f>
        <v>0</v>
      </c>
      <c r="DV126" s="157">
        <f t="array" ref="DV126">IFERROR(INDEX(TABLACONSOLIDADA[Inv Fís Act],MATCH("AGROINSUMOSAGROQUIMICOSSUR"&amp;Tabla_Buffers_Agroinsumos[[#This Row],[CODIGO ]],TABLACONSOLIDADA[Bodega]&amp;TABLACONSOLIDADA[Codigo],0)),"")</f>
        <v>0</v>
      </c>
      <c r="DW126" s="157">
        <f t="array" ref="DW12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2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26" s="134">
        <f>IFERROR(SUM(Tabla_Buffers_Agroinsumos[[#This Row],[AS-MP]:[AS-VL]]),"")</f>
        <v>0</v>
      </c>
      <c r="DZ126" s="92">
        <f>IFERROR(Tabla_Buffers_Agroinsumos[[#This Row],[INV FIS AS]]-Tabla_Buffers_Agroinsumos[[#This Row],[BUFFER AS]],"")</f>
        <v>0</v>
      </c>
      <c r="EA126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26" s="134"/>
      <c r="EC126" s="134"/>
      <c r="ED126" s="134"/>
      <c r="EE126" s="134"/>
      <c r="EF126" s="134"/>
      <c r="EG126" s="134"/>
      <c r="EH126" s="134"/>
      <c r="EI126" s="134"/>
      <c r="EJ126" s="134"/>
      <c r="EK126" s="134">
        <f t="array" ref="EK126">IFERROR(INDEX(TABLACONSOLIDADA[Buff Act],MATCH("AGROINSUMOSLAFINCA"&amp;Tabla_Buffers_Agroinsumos[[#This Row],[CODIGO ]],TABLACONSOLIDADA[Bodega]&amp;TABLACONSOLIDADA[Codigo],0)),"")</f>
        <v>0</v>
      </c>
      <c r="EL126" s="157">
        <f t="array" ref="EL126">IFERROR(INDEX(TABLACONSOLIDADA[Inv Fís Act],MATCH("AGROINSUMOSLAFINCA"&amp;Tabla_Buffers_Agroinsumos[[#This Row],[CODIGO ]],TABLACONSOLIDADA[Bodega]&amp;TABLACONSOLIDADA[Codigo],0)),"")</f>
        <v>0</v>
      </c>
      <c r="EM126" s="157">
        <f t="array" ref="EM12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2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26" s="134">
        <f>IFERROR(SUM(Tabla_Buffers_Agroinsumos[[#This Row],[LF-MP]:[LF-VL]]),"")</f>
        <v>0</v>
      </c>
      <c r="EP126" s="92">
        <f>IFERROR(Tabla_Buffers_Agroinsumos[[#This Row],[INV FIS LF]]-Tabla_Buffers_Agroinsumos[[#This Row],[BUFFER LF]],"")</f>
        <v>0</v>
      </c>
      <c r="EQ126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26" s="134"/>
      <c r="ES126" s="134"/>
      <c r="ET126" s="134"/>
      <c r="EU126" s="134"/>
      <c r="EV126" s="134"/>
      <c r="EW126" s="134"/>
      <c r="EX126" s="134"/>
      <c r="EY126" s="134"/>
      <c r="EZ126" s="134"/>
      <c r="FA126" s="134">
        <f t="array" ref="FA126">IFERROR(INDEX(TABLACONSOLIDADA[Buff Act],MATCH("AGROINSUMOSVERONICALEDESMA"&amp;Tabla_Buffers_Agroinsumos[[#This Row],[CODIGO ]],TABLACONSOLIDADA[Bodega]&amp;TABLACONSOLIDADA[Codigo],0)),"")</f>
        <v>21</v>
      </c>
      <c r="FB126" s="157">
        <f t="array" ref="FB126">IFERROR(INDEX(TABLACONSOLIDADA[Inv Fís Act],MATCH("AGROINSUMOSVERONICALEDESMA"&amp;Tabla_Buffers_Agroinsumos[[#This Row],[CODIGO ]],TABLACONSOLIDADA[Bodega]&amp;TABLACONSOLIDADA[Codigo],0)),"")</f>
        <v>0</v>
      </c>
      <c r="FC126" s="157">
        <f t="array" ref="FC12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1</v>
      </c>
      <c r="FD12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26" s="134">
        <f>IFERROR(SUM(Tabla_Buffers_Agroinsumos[[#This Row],[VL-MP]:[VL-LF]]),"")</f>
        <v>0</v>
      </c>
      <c r="FF126" s="92">
        <f>IFERROR(Tabla_Buffers_Agroinsumos[[#This Row],[INV FIS VL]]-Tabla_Buffers_Agroinsumos[[#This Row],[BUFFER VL]],"")</f>
        <v>-21</v>
      </c>
      <c r="FG126" s="92">
        <f>IFERROR(Tabla_Buffers_Agroinsumos[[#This Row],[INV FIS VL]]+Tabla_Buffers_Agroinsumos[[#This Row],[TRANSFERENCIAS A VL]]-Tabla_Buffers_Agroinsumos[[#This Row],[BUFFER VL]]-Tabla_Buffers_Agroinsumos[[#This Row],[TRANSFERENCIAS DE VL]],"")</f>
        <v>-21</v>
      </c>
      <c r="FH126" s="134"/>
      <c r="FI126" s="134"/>
      <c r="FJ126" s="134"/>
      <c r="FK126" s="134"/>
      <c r="FL126" s="134"/>
      <c r="FM126" s="134"/>
      <c r="FN126" s="134"/>
      <c r="FO126" s="134"/>
      <c r="FP126" s="134"/>
    </row>
    <row r="127" spans="1:172">
      <c r="A127" s="20" t="s">
        <v>1264</v>
      </c>
      <c r="B127" s="7" t="s">
        <v>1268</v>
      </c>
      <c r="C127" s="7" t="s">
        <v>712</v>
      </c>
      <c r="D127" s="7" t="s">
        <v>717</v>
      </c>
      <c r="E127" s="7" t="s">
        <v>863</v>
      </c>
      <c r="F127" s="19" t="s">
        <v>814</v>
      </c>
      <c r="G127" s="19" t="s">
        <v>873</v>
      </c>
      <c r="H127" s="111" t="e">
        <f>VLOOKUP(Tabla_Buffers_Agroinsumos[[#This Row],[CODIGO ]],TABLACONSOLIDADA[[Codigo]:[PV]],6,0)</f>
        <v>#N/A</v>
      </c>
      <c r="I127" s="111" t="e">
        <f>VLOOKUP(Tabla_Buffers_Agroinsumos[[#This Row],[CODIGO ]],TABLACONSOLIDADA[[Codigo]:[PV]],5,0)</f>
        <v>#N/A</v>
      </c>
      <c r="J127" s="111"/>
      <c r="K127" s="111"/>
      <c r="L127" s="111">
        <f>IFERROR(Tabla_Buffers_Agroinsumos[[#This Row],[BUFFER CENTRAL]]/((Tabla_Buffers_Agroinsumos[[#This Row],[TIEMPO REPOSICION ]]/Tabla_Buffers_Agroinsumos[[#This Row],[FRECUENCIA]])+1),0)</f>
        <v>0</v>
      </c>
      <c r="M127" s="111">
        <v>4000</v>
      </c>
      <c r="N127" s="111" t="str">
        <f t="array" ref="N127">IFERROR(INDEX(TABLACONSOLIDADA[Inv Fís Act],MATCH("AGROINSUMOSMATERIAPRIMA"&amp;Tabla_Buffers_Agroinsumos[[#This Row],[CODIGO ]],TABLACONSOLIDADA[Bodega]&amp;TABLACONSOLIDADA[Codigo],0)),"")</f>
        <v/>
      </c>
      <c r="O127" s="183" t="str">
        <f t="array" ref="O12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27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27" s="111">
        <f>IFERROR(SUM(Tabla_Buffers_Agroinsumos[[#This Row],[MP-C]:[MP-VL]]),"")</f>
        <v>0</v>
      </c>
      <c r="R127" s="154" t="str">
        <f>IFERROR(Tabla_Buffers_Agroinsumos[[#This Row],[INV FIS MATERIA PRIMA]]-Tabla_Buffers_Agroinsumos[[#This Row],[BUFFER MATERIA PRIMA]],"")</f>
        <v/>
      </c>
      <c r="S127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27" s="111"/>
      <c r="U127" s="111"/>
      <c r="V127" s="111"/>
      <c r="W127" s="111"/>
      <c r="X127" s="111"/>
      <c r="Y127" s="111"/>
      <c r="Z127" s="111"/>
      <c r="AA127" s="111"/>
      <c r="AB127" s="111"/>
      <c r="AC127" s="152" t="str">
        <f t="array" ref="AC127">IFERROR(INDEX(TABLACONSOLIDADA[Buff Act],MATCH("AGROINSUMOSCENTRAL"&amp;Tabla_Buffers_Agroinsumos[[#This Row],[CODIGO ]],TABLACONSOLIDADA[Bodega]&amp;TABLACONSOLIDADA[Codigo],0)),"")</f>
        <v/>
      </c>
      <c r="AD127" s="111" t="str">
        <f t="array" ref="AD127">IFERROR(INDEX(TABLACONSOLIDADA[Inv Fís Act],MATCH("AGROINSUMOSCENTRAL"&amp;Tabla_Buffers_Agroinsumos[[#This Row],[CODIGO ]],TABLACONSOLIDADA[Bodega]&amp;TABLACONSOLIDADA[Codigo],0)),"")</f>
        <v/>
      </c>
      <c r="AE127" s="183" t="str">
        <f t="array" ref="AE12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27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27" s="153">
        <f>IFERROR(SUM(Tabla_Buffers_Agroinsumos[[#This Row],[C-MP]:[C-VL]]),"")</f>
        <v>0</v>
      </c>
      <c r="AH127" s="154" t="str">
        <f>IFERROR(Tabla_Buffers_Agroinsumos[[#This Row],[INV FIS CENTRAL]]-Tabla_Buffers_Agroinsumos[[#This Row],[BUFFER CENTRAL]],"")</f>
        <v/>
      </c>
      <c r="AI127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27" s="135"/>
      <c r="AK127" s="135"/>
      <c r="AL127" s="135"/>
      <c r="AM127" s="135"/>
      <c r="AN127" s="135"/>
      <c r="AO127" s="135"/>
      <c r="AP127" s="135"/>
      <c r="AQ127" s="135"/>
      <c r="AR127" s="135"/>
      <c r="AS127" s="135" t="str">
        <f t="array" ref="AS127">IFERROR(INDEX(TABLACONSOLIDADA[Buff Act],MATCH("AGROINSUMOScentralPROPIA"&amp;Tabla_Buffers_Agroinsumos[[#This Row],[CODIGO ]],TABLACONSOLIDADA[Bodega]&amp;TABLACONSOLIDADA[Codigo],0)),"")</f>
        <v/>
      </c>
      <c r="AT127" s="111" t="str">
        <f t="array" ref="AT127">IFERROR(INDEX(TABLACONSOLIDADA[Inv Fís Act],MATCH("AGROINSUMOScentralPROPIA"&amp;Tabla_Buffers_Agroinsumos[[#This Row],[CODIGO ]],TABLACONSOLIDADA[Bodega]&amp;TABLACONSOLIDADA[Codigo],0)),"")</f>
        <v/>
      </c>
      <c r="AU127" s="183" t="str">
        <f t="array" ref="AU12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27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27" s="135">
        <f>IFERROR(SUM(Tabla_Buffers_Agroinsumos[[#This Row],[P-MP]:[P-VL]]),"")</f>
        <v>0</v>
      </c>
      <c r="AX127" s="154" t="str">
        <f>IFERROR(Tabla_Buffers_Agroinsumos[[#This Row],[INV FIS PROPIA]]-Tabla_Buffers_Agroinsumos[[#This Row],[BUFFER PROPIA]],"")</f>
        <v/>
      </c>
      <c r="AY127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27" s="135"/>
      <c r="BA127" s="135"/>
      <c r="BB127" s="135"/>
      <c r="BC127" s="135"/>
      <c r="BD127" s="135"/>
      <c r="BE127" s="135"/>
      <c r="BF127" s="135"/>
      <c r="BG127" s="135"/>
      <c r="BH127" s="135"/>
      <c r="BI127" s="153" t="str">
        <f t="array" ref="BI127">IFERROR(INDEX(TABLACONSOLIDADA[Buff Act],MATCH("AGROINSUMOSSTODOMINGO"&amp;Tabla_Buffers_Agroinsumos[[#This Row],[CODIGO ]],TABLACONSOLIDADA[Bodega]&amp;TABLACONSOLIDADA[Codigo],0)),"")</f>
        <v/>
      </c>
      <c r="BJ127" s="111" t="str">
        <f t="array" ref="BJ127">IFERROR(INDEX(TABLACONSOLIDADA[Inv Fís Act],MATCH("AGROINSUMOSSTODOMINGO"&amp;Tabla_Buffers_Agroinsumos[[#This Row],[CODIGO ]],TABLACONSOLIDADA[Bodega]&amp;TABLACONSOLIDADA[Codigo],0)),"")</f>
        <v/>
      </c>
      <c r="BK127" s="183" t="str">
        <f t="array" ref="BK12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27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27" s="153">
        <f>IFERROR(SUM(Tabla_Buffers_Agroinsumos[[#This Row],[SD-MP]:[SD-VL]]),"")</f>
        <v>0</v>
      </c>
      <c r="BN127" s="154"/>
      <c r="BO127" s="154"/>
      <c r="BP127" s="135"/>
      <c r="BQ127" s="135"/>
      <c r="BR127" s="135"/>
      <c r="BS127" s="135"/>
      <c r="BT127" s="135"/>
      <c r="BU127" s="135"/>
      <c r="BV127" s="135"/>
      <c r="BW127" s="135"/>
      <c r="BX127" s="135"/>
      <c r="BY127" s="135" t="str">
        <f t="array" ref="BY127">IFERROR(INDEX(TABLACONSOLIDADA[Buff Act],MATCH("AGROINSUMOSMONCAYOLOPEZ"&amp;Tabla_Buffers_Agroinsumos[[#This Row],[CODIGO ]],TABLACONSOLIDADA[Bodega]&amp;TABLACONSOLIDADA[Codigo],0)),"")</f>
        <v/>
      </c>
      <c r="BZ127" s="111" t="str">
        <f t="array" ref="BZ127">IFERROR(INDEX(TABLACONSOLIDADA[Inv Fís Act],MATCH("AGROINSUMOSMONCAYOLOPEZ"&amp;Tabla_Buffers_Agroinsumos[[#This Row],[CODIGO ]],TABLACONSOLIDADA[Bodega]&amp;TABLACONSOLIDADA[Codigo],0)),"")</f>
        <v/>
      </c>
      <c r="CA127" s="183" t="str">
        <f t="array" ref="CA12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27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27" s="135">
        <f>IFERROR(SUM(Tabla_Buffers_Agroinsumos[[#This Row],[ML-MP]:[ML-VL]]),"")</f>
        <v>0</v>
      </c>
      <c r="CD127" s="154" t="str">
        <f>IFERROR(Tabla_Buffers_Agroinsumos[[#This Row],[INV FIS ML]]-Tabla_Buffers_Agroinsumos[[#This Row],[BUFFER ML]],"")</f>
        <v/>
      </c>
      <c r="CE127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27" s="135"/>
      <c r="CG127" s="135"/>
      <c r="CH127" s="135"/>
      <c r="CI127" s="135"/>
      <c r="CJ127" s="135"/>
      <c r="CK127" s="135"/>
      <c r="CL127" s="135"/>
      <c r="CM127" s="135"/>
      <c r="CN127" s="135"/>
      <c r="CO127" s="135" t="str">
        <f t="array" ref="CO127">IFERROR(INDEX(TABLACONSOLIDADA[Buff Act],MATCH("AGROINSUMOSAGROHERMANOSLEON"&amp;Tabla_Buffers_Agroinsumos[[#This Row],[CODIGO ]],TABLACONSOLIDADA[Bodega]&amp;TABLACONSOLIDADA[Codigo],0)),"")</f>
        <v/>
      </c>
      <c r="CP127" s="111" t="str">
        <f t="array" ref="CP127">IFERROR(INDEX(TABLACONSOLIDADA[Inv Fís Act],MATCH("AGROINSUMOSAGROHERMANOSLEON"&amp;Tabla_Buffers_Agroinsumos[[#This Row],[CODIGO ]],TABLACONSOLIDADA[Bodega]&amp;TABLACONSOLIDADA[Codigo],0)),"")</f>
        <v/>
      </c>
      <c r="CQ127" s="183" t="str">
        <f t="array" ref="CQ12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27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27" s="135">
        <f>IFERROR(SUM(Tabla_Buffers_Agroinsumos[[#This Row],[AL-MP]:[AL-VL]]),"")</f>
        <v>0</v>
      </c>
      <c r="CT127" s="154" t="str">
        <f>IFERROR(Tabla_Buffers_Agroinsumos[[#This Row],[INV FIS AL]]-Tabla_Buffers_Agroinsumos[[#This Row],[BUFFER AL]],"")</f>
        <v/>
      </c>
      <c r="CU127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27" s="135"/>
      <c r="CW127" s="135"/>
      <c r="CX127" s="135"/>
      <c r="CY127" s="135"/>
      <c r="CZ127" s="135"/>
      <c r="DA127" s="135"/>
      <c r="DB127" s="135"/>
      <c r="DC127" s="135"/>
      <c r="DD127" s="135"/>
      <c r="DE127" s="135" t="str">
        <f t="array" ref="DE127">IFERROR(INDEX(TABLACONSOLIDADA[Buff Act],MATCH("AGROINSUMOSAGRONUEVO"&amp;Tabla_Buffers_Agroinsumos[[#This Row],[CODIGO ]],TABLACONSOLIDADA[Bodega]&amp;TABLACONSOLIDADA[Codigo],0)),"")</f>
        <v/>
      </c>
      <c r="DF127" s="111" t="str">
        <f t="array" ref="DF127">IFERROR(INDEX(TABLACONSOLIDADA[Inv Fís Act],MATCH("AGROINSUMOSAGRONUEVO"&amp;Tabla_Buffers_Agroinsumos[[#This Row],[CODIGO ]],TABLACONSOLIDADA[Bodega]&amp;TABLACONSOLIDADA[Codigo],0)),"")</f>
        <v/>
      </c>
      <c r="DG127" s="183" t="str">
        <f t="array" ref="DG12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27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27" s="135">
        <f>IFERROR(SUM(Tabla_Buffers_Agroinsumos[[#This Row],[AN-MP]:[AN-VL]]),"")</f>
        <v>0</v>
      </c>
      <c r="DJ127" s="154" t="str">
        <f>IFERROR(Tabla_Buffers_Agroinsumos[[#This Row],[INV FIS AN]]-Tabla_Buffers_Agroinsumos[[#This Row],[BUFFER AN]],"")</f>
        <v/>
      </c>
      <c r="DK127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27" s="135"/>
      <c r="DM127" s="135"/>
      <c r="DN127" s="135"/>
      <c r="DO127" s="135"/>
      <c r="DP127" s="135"/>
      <c r="DQ127" s="135"/>
      <c r="DR127" s="135"/>
      <c r="DS127" s="135"/>
      <c r="DT127" s="135"/>
      <c r="DU127" s="135" t="str">
        <f t="array" ref="DU127">IFERROR(INDEX(TABLACONSOLIDADA[Buff Act],MATCH("AGROINSUMOSAGROQUIMICOSSUR"&amp;Tabla_Buffers_Agroinsumos[[#This Row],[CODIGO ]],TABLACONSOLIDADA[Bodega]&amp;TABLACONSOLIDADA[Codigo],0)),"")</f>
        <v/>
      </c>
      <c r="DV127" s="111" t="str">
        <f t="array" ref="DV127">IFERROR(INDEX(TABLACONSOLIDADA[Inv Fís Act],MATCH("AGROINSUMOSAGROQUIMICOSSUR"&amp;Tabla_Buffers_Agroinsumos[[#This Row],[CODIGO ]],TABLACONSOLIDADA[Bodega]&amp;TABLACONSOLIDADA[Codigo],0)),"")</f>
        <v/>
      </c>
      <c r="DW127" s="183" t="str">
        <f t="array" ref="DW12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27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27" s="135">
        <f>IFERROR(SUM(Tabla_Buffers_Agroinsumos[[#This Row],[AS-MP]:[AS-VL]]),"")</f>
        <v>0</v>
      </c>
      <c r="DZ127" s="154" t="str">
        <f>IFERROR(Tabla_Buffers_Agroinsumos[[#This Row],[INV FIS AS]]-Tabla_Buffers_Agroinsumos[[#This Row],[BUFFER AS]],"")</f>
        <v/>
      </c>
      <c r="EA127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27" s="135"/>
      <c r="EC127" s="135"/>
      <c r="ED127" s="135"/>
      <c r="EE127" s="135"/>
      <c r="EF127" s="135"/>
      <c r="EG127" s="135"/>
      <c r="EH127" s="135"/>
      <c r="EI127" s="135"/>
      <c r="EJ127" s="135"/>
      <c r="EK127" s="135" t="str">
        <f t="array" ref="EK127">IFERROR(INDEX(TABLACONSOLIDADA[Buff Act],MATCH("AGROINSUMOSLAFINCA"&amp;Tabla_Buffers_Agroinsumos[[#This Row],[CODIGO ]],TABLACONSOLIDADA[Bodega]&amp;TABLACONSOLIDADA[Codigo],0)),"")</f>
        <v/>
      </c>
      <c r="EL127" s="111" t="str">
        <f t="array" ref="EL127">IFERROR(INDEX(TABLACONSOLIDADA[Inv Fís Act],MATCH("AGROINSUMOSLAFINCA"&amp;Tabla_Buffers_Agroinsumos[[#This Row],[CODIGO ]],TABLACONSOLIDADA[Bodega]&amp;TABLACONSOLIDADA[Codigo],0)),"")</f>
        <v/>
      </c>
      <c r="EM127" s="183" t="str">
        <f t="array" ref="EM12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27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27" s="135">
        <f>IFERROR(SUM(Tabla_Buffers_Agroinsumos[[#This Row],[LF-MP]:[LF-VL]]),"")</f>
        <v>0</v>
      </c>
      <c r="EP127" s="154" t="str">
        <f>IFERROR(Tabla_Buffers_Agroinsumos[[#This Row],[INV FIS LF]]-Tabla_Buffers_Agroinsumos[[#This Row],[BUFFER LF]],"")</f>
        <v/>
      </c>
      <c r="EQ127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27" s="135"/>
      <c r="ES127" s="135"/>
      <c r="ET127" s="135"/>
      <c r="EU127" s="135"/>
      <c r="EV127" s="135"/>
      <c r="EW127" s="135"/>
      <c r="EX127" s="135"/>
      <c r="EY127" s="135"/>
      <c r="EZ127" s="135"/>
      <c r="FA127" s="135" t="str">
        <f t="array" ref="FA127">IFERROR(INDEX(TABLACONSOLIDADA[Buff Act],MATCH("AGROINSUMOSVERONICALEDESMA"&amp;Tabla_Buffers_Agroinsumos[[#This Row],[CODIGO ]],TABLACONSOLIDADA[Bodega]&amp;TABLACONSOLIDADA[Codigo],0)),"")</f>
        <v/>
      </c>
      <c r="FB127" s="111" t="str">
        <f t="array" ref="FB127">IFERROR(INDEX(TABLACONSOLIDADA[Inv Fís Act],MATCH("AGROINSUMOSVERONICALEDESMA"&amp;Tabla_Buffers_Agroinsumos[[#This Row],[CODIGO ]],TABLACONSOLIDADA[Bodega]&amp;TABLACONSOLIDADA[Codigo],0)),"")</f>
        <v/>
      </c>
      <c r="FC127" s="183" t="str">
        <f t="array" ref="FC12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27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27" s="135">
        <f>IFERROR(SUM(Tabla_Buffers_Agroinsumos[[#This Row],[VL-MP]:[VL-LF]]),"")</f>
        <v>0</v>
      </c>
      <c r="FF127" s="154" t="str">
        <f>IFERROR(Tabla_Buffers_Agroinsumos[[#This Row],[INV FIS VL]]-Tabla_Buffers_Agroinsumos[[#This Row],[BUFFER VL]],"")</f>
        <v/>
      </c>
      <c r="FG127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27" s="135"/>
      <c r="FI127" s="135"/>
      <c r="FJ127" s="135"/>
      <c r="FK127" s="135"/>
      <c r="FL127" s="135"/>
      <c r="FM127" s="135"/>
      <c r="FN127" s="135"/>
      <c r="FO127" s="135"/>
      <c r="FP127" s="135"/>
    </row>
    <row r="128" spans="1:172">
      <c r="A128" s="7" t="s">
        <v>233</v>
      </c>
      <c r="B128" s="7" t="s">
        <v>1261</v>
      </c>
      <c r="C128" s="7" t="s">
        <v>712</v>
      </c>
      <c r="D128" s="7" t="s">
        <v>717</v>
      </c>
      <c r="E128" s="7" t="s">
        <v>863</v>
      </c>
      <c r="F128" s="19" t="s">
        <v>713</v>
      </c>
      <c r="G128" s="19" t="s">
        <v>802</v>
      </c>
      <c r="H128" s="19">
        <f>VLOOKUP(Tabla_Buffers_Agroinsumos[[#This Row],[CODIGO ]],TABLACONSOLIDADA[[Codigo]:[PV]],6,0)</f>
        <v>0</v>
      </c>
      <c r="I128" s="19">
        <f>VLOOKUP(Tabla_Buffers_Agroinsumos[[#This Row],[CODIGO ]],TABLACONSOLIDADA[[Codigo]:[PV]],5,0)</f>
        <v>380</v>
      </c>
      <c r="J128" s="19">
        <v>4</v>
      </c>
      <c r="K128" s="19">
        <v>4</v>
      </c>
      <c r="L128" s="19">
        <f>IFERROR(Tabla_Buffers_Agroinsumos[[#This Row],[BUFFER CENTRAL]]/((Tabla_Buffers_Agroinsumos[[#This Row],[TIEMPO REPOSICION ]]/Tabla_Buffers_Agroinsumos[[#This Row],[FRECUENCIA]])+1),0)</f>
        <v>0</v>
      </c>
      <c r="M128" s="19">
        <f t="array" ref="M128">IFERROR(INDEX(TABLACONSOLIDADA[Buff Act],MATCH("AGROINSUMOSMATERIAPRIMA"&amp;Tabla_Buffers_Agroinsumos[[#This Row],[CODIGO ]],TABLACONSOLIDADA[Bodega]&amp;TABLACONSOLIDADA[Codigo],0)),"")</f>
        <v>0</v>
      </c>
      <c r="N128" s="157">
        <f t="array" ref="N128">IFERROR(INDEX(TABLACONSOLIDADA[Inv Fís Act],MATCH("AGROINSUMOSMATERIAPRIMA"&amp;Tabla_Buffers_Agroinsumos[[#This Row],[CODIGO ]],TABLACONSOLIDADA[Bodega]&amp;TABLACONSOLIDADA[Codigo],0)),"")</f>
        <v>7</v>
      </c>
      <c r="O128" s="157">
        <f t="array" ref="O12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7</v>
      </c>
      <c r="P12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28" s="19">
        <f>IFERROR(SUM(Tabla_Buffers_Agroinsumos[[#This Row],[MP-C]:[MP-VL]]),"")</f>
        <v>0</v>
      </c>
      <c r="R128" s="92">
        <f>IFERROR(Tabla_Buffers_Agroinsumos[[#This Row],[INV FIS MATERIA PRIMA]]-Tabla_Buffers_Agroinsumos[[#This Row],[BUFFER MATERIA PRIMA]],"")</f>
        <v>7</v>
      </c>
      <c r="S12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7</v>
      </c>
      <c r="T128" s="19"/>
      <c r="U128" s="19"/>
      <c r="V128" s="19"/>
      <c r="W128" s="19"/>
      <c r="X128" s="19"/>
      <c r="Y128" s="19"/>
      <c r="Z128" s="19"/>
      <c r="AA128" s="19"/>
      <c r="AB128" s="19"/>
      <c r="AC128" s="152" t="str">
        <f t="array" ref="AC128">IFERROR(INDEX(TABLACONSOLIDADA[Buff Act],MATCH("AGROINSUMOSCENTRAL"&amp;Tabla_Buffers_Agroinsumos[[#This Row],[CODIGO ]],TABLACONSOLIDADA[Bodega]&amp;TABLACONSOLIDADA[Codigo],0)),"")</f>
        <v/>
      </c>
      <c r="AD128" s="157" t="str">
        <f t="array" ref="AD128">IFERROR(INDEX(TABLACONSOLIDADA[Inv Fís Act],MATCH("AGROINSUMOSCENTRAL"&amp;Tabla_Buffers_Agroinsumos[[#This Row],[CODIGO ]],TABLACONSOLIDADA[Bodega]&amp;TABLACONSOLIDADA[Codigo],0)),"")</f>
        <v/>
      </c>
      <c r="AE128" s="157" t="str">
        <f t="array" ref="AE12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2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28" s="91">
        <f>IFERROR(SUM(Tabla_Buffers_Agroinsumos[[#This Row],[C-MP]:[C-VL]]),"")</f>
        <v>0</v>
      </c>
      <c r="AH128" s="92" t="str">
        <f>IFERROR(Tabla_Buffers_Agroinsumos[[#This Row],[INV FIS CENTRAL]]-Tabla_Buffers_Agroinsumos[[#This Row],[BUFFER CENTRAL]],"")</f>
        <v/>
      </c>
      <c r="AI12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28" s="134"/>
      <c r="AK128" s="134"/>
      <c r="AL128" s="134"/>
      <c r="AM128" s="134"/>
      <c r="AN128" s="134"/>
      <c r="AO128" s="134"/>
      <c r="AP128" s="134"/>
      <c r="AQ128" s="134"/>
      <c r="AR128" s="134"/>
      <c r="AS128" s="134" t="str">
        <f t="array" ref="AS128">IFERROR(INDEX(TABLACONSOLIDADA[Buff Act],MATCH("AGROINSUMOScentralPROPIA"&amp;Tabla_Buffers_Agroinsumos[[#This Row],[CODIGO ]],TABLACONSOLIDADA[Bodega]&amp;TABLACONSOLIDADA[Codigo],0)),"")</f>
        <v/>
      </c>
      <c r="AT128" s="157" t="str">
        <f t="array" ref="AT128">IFERROR(INDEX(TABLACONSOLIDADA[Inv Fís Act],MATCH("AGROINSUMOScentralPROPIA"&amp;Tabla_Buffers_Agroinsumos[[#This Row],[CODIGO ]],TABLACONSOLIDADA[Bodega]&amp;TABLACONSOLIDADA[Codigo],0)),"")</f>
        <v/>
      </c>
      <c r="AU128" s="157" t="str">
        <f t="array" ref="AU12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2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28" s="134">
        <f>IFERROR(SUM(Tabla_Buffers_Agroinsumos[[#This Row],[P-MP]:[P-VL]]),"")</f>
        <v>0</v>
      </c>
      <c r="AX128" s="92" t="str">
        <f>IFERROR(Tabla_Buffers_Agroinsumos[[#This Row],[INV FIS PROPIA]]-Tabla_Buffers_Agroinsumos[[#This Row],[BUFFER PROPIA]],"")</f>
        <v/>
      </c>
      <c r="AY12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28" s="134"/>
      <c r="BA128" s="134"/>
      <c r="BB128" s="134"/>
      <c r="BC128" s="134"/>
      <c r="BD128" s="134"/>
      <c r="BE128" s="134"/>
      <c r="BF128" s="134"/>
      <c r="BG128" s="134"/>
      <c r="BH128" s="134"/>
      <c r="BI128" s="91" t="str">
        <f t="array" ref="BI128">IFERROR(INDEX(TABLACONSOLIDADA[Buff Act],MATCH("AGROINSUMOSSTODOMINGO"&amp;Tabla_Buffers_Agroinsumos[[#This Row],[CODIGO ]],TABLACONSOLIDADA[Bodega]&amp;TABLACONSOLIDADA[Codigo],0)),"")</f>
        <v/>
      </c>
      <c r="BJ128" s="157" t="str">
        <f t="array" ref="BJ128">IFERROR(INDEX(TABLACONSOLIDADA[Inv Fís Act],MATCH("AGROINSUMOSSTODOMINGO"&amp;Tabla_Buffers_Agroinsumos[[#This Row],[CODIGO ]],TABLACONSOLIDADA[Bodega]&amp;TABLACONSOLIDADA[Codigo],0)),"")</f>
        <v/>
      </c>
      <c r="BK128" s="157" t="str">
        <f t="array" ref="BK12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2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28" s="91">
        <f>IFERROR(SUM(Tabla_Buffers_Agroinsumos[[#This Row],[SD-MP]:[SD-VL]]),"")</f>
        <v>0</v>
      </c>
      <c r="BN128" s="92"/>
      <c r="BO128" s="92"/>
      <c r="BP128" s="134"/>
      <c r="BQ128" s="134"/>
      <c r="BR128" s="134"/>
      <c r="BS128" s="134"/>
      <c r="BT128" s="134"/>
      <c r="BU128" s="134"/>
      <c r="BV128" s="134"/>
      <c r="BW128" s="134"/>
      <c r="BX128" s="134"/>
      <c r="BY128" s="134" t="str">
        <f t="array" ref="BY128">IFERROR(INDEX(TABLACONSOLIDADA[Buff Act],MATCH("AGROINSUMOSMONCAYOLOPEZ"&amp;Tabla_Buffers_Agroinsumos[[#This Row],[CODIGO ]],TABLACONSOLIDADA[Bodega]&amp;TABLACONSOLIDADA[Codigo],0)),"")</f>
        <v/>
      </c>
      <c r="BZ128" s="157" t="str">
        <f t="array" ref="BZ128">IFERROR(INDEX(TABLACONSOLIDADA[Inv Fís Act],MATCH("AGROINSUMOSMONCAYOLOPEZ"&amp;Tabla_Buffers_Agroinsumos[[#This Row],[CODIGO ]],TABLACONSOLIDADA[Bodega]&amp;TABLACONSOLIDADA[Codigo],0)),"")</f>
        <v/>
      </c>
      <c r="CA128" s="157" t="str">
        <f t="array" ref="CA12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2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28" s="134">
        <f>IFERROR(SUM(Tabla_Buffers_Agroinsumos[[#This Row],[ML-MP]:[ML-VL]]),"")</f>
        <v>0</v>
      </c>
      <c r="CD128" s="92" t="str">
        <f>IFERROR(Tabla_Buffers_Agroinsumos[[#This Row],[INV FIS ML]]-Tabla_Buffers_Agroinsumos[[#This Row],[BUFFER ML]],"")</f>
        <v/>
      </c>
      <c r="CE12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28" s="134"/>
      <c r="CG128" s="134"/>
      <c r="CH128" s="134"/>
      <c r="CI128" s="134"/>
      <c r="CJ128" s="134"/>
      <c r="CK128" s="134"/>
      <c r="CL128" s="134"/>
      <c r="CM128" s="134"/>
      <c r="CN128" s="134"/>
      <c r="CO128" s="134" t="str">
        <f t="array" ref="CO128">IFERROR(INDEX(TABLACONSOLIDADA[Buff Act],MATCH("AGROINSUMOSAGROHERMANOSLEON"&amp;Tabla_Buffers_Agroinsumos[[#This Row],[CODIGO ]],TABLACONSOLIDADA[Bodega]&amp;TABLACONSOLIDADA[Codigo],0)),"")</f>
        <v/>
      </c>
      <c r="CP128" s="157" t="str">
        <f t="array" ref="CP128">IFERROR(INDEX(TABLACONSOLIDADA[Inv Fís Act],MATCH("AGROINSUMOSAGROHERMANOSLEON"&amp;Tabla_Buffers_Agroinsumos[[#This Row],[CODIGO ]],TABLACONSOLIDADA[Bodega]&amp;TABLACONSOLIDADA[Codigo],0)),"")</f>
        <v/>
      </c>
      <c r="CQ128" s="157" t="str">
        <f t="array" ref="CQ12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2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28" s="134">
        <f>IFERROR(SUM(Tabla_Buffers_Agroinsumos[[#This Row],[AL-MP]:[AL-VL]]),"")</f>
        <v>0</v>
      </c>
      <c r="CT128" s="92" t="str">
        <f>IFERROR(Tabla_Buffers_Agroinsumos[[#This Row],[INV FIS AL]]-Tabla_Buffers_Agroinsumos[[#This Row],[BUFFER AL]],"")</f>
        <v/>
      </c>
      <c r="CU12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28" s="134"/>
      <c r="CW128" s="134"/>
      <c r="CX128" s="134"/>
      <c r="CY128" s="134"/>
      <c r="CZ128" s="134"/>
      <c r="DA128" s="134"/>
      <c r="DB128" s="134"/>
      <c r="DC128" s="134"/>
      <c r="DD128" s="134"/>
      <c r="DE128" s="134" t="str">
        <f t="array" ref="DE128">IFERROR(INDEX(TABLACONSOLIDADA[Buff Act],MATCH("AGROINSUMOSAGRONUEVO"&amp;Tabla_Buffers_Agroinsumos[[#This Row],[CODIGO ]],TABLACONSOLIDADA[Bodega]&amp;TABLACONSOLIDADA[Codigo],0)),"")</f>
        <v/>
      </c>
      <c r="DF128" s="157" t="str">
        <f t="array" ref="DF128">IFERROR(INDEX(TABLACONSOLIDADA[Inv Fís Act],MATCH("AGROINSUMOSAGRONUEVO"&amp;Tabla_Buffers_Agroinsumos[[#This Row],[CODIGO ]],TABLACONSOLIDADA[Bodega]&amp;TABLACONSOLIDADA[Codigo],0)),"")</f>
        <v/>
      </c>
      <c r="DG128" s="157" t="str">
        <f t="array" ref="DG12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2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28" s="134">
        <f>IFERROR(SUM(Tabla_Buffers_Agroinsumos[[#This Row],[AN-MP]:[AN-VL]]),"")</f>
        <v>0</v>
      </c>
      <c r="DJ128" s="92" t="str">
        <f>IFERROR(Tabla_Buffers_Agroinsumos[[#This Row],[INV FIS AN]]-Tabla_Buffers_Agroinsumos[[#This Row],[BUFFER AN]],"")</f>
        <v/>
      </c>
      <c r="DK12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28" s="134"/>
      <c r="DM128" s="134"/>
      <c r="DN128" s="134"/>
      <c r="DO128" s="134"/>
      <c r="DP128" s="134"/>
      <c r="DQ128" s="134"/>
      <c r="DR128" s="134"/>
      <c r="DS128" s="134"/>
      <c r="DT128" s="134"/>
      <c r="DU128" s="134" t="str">
        <f t="array" ref="DU128">IFERROR(INDEX(TABLACONSOLIDADA[Buff Act],MATCH("AGROINSUMOSAGROQUIMICOSSUR"&amp;Tabla_Buffers_Agroinsumos[[#This Row],[CODIGO ]],TABLACONSOLIDADA[Bodega]&amp;TABLACONSOLIDADA[Codigo],0)),"")</f>
        <v/>
      </c>
      <c r="DV128" s="157" t="str">
        <f t="array" ref="DV128">IFERROR(INDEX(TABLACONSOLIDADA[Inv Fís Act],MATCH("AGROINSUMOSAGROQUIMICOSSUR"&amp;Tabla_Buffers_Agroinsumos[[#This Row],[CODIGO ]],TABLACONSOLIDADA[Bodega]&amp;TABLACONSOLIDADA[Codigo],0)),"")</f>
        <v/>
      </c>
      <c r="DW128" s="157" t="str">
        <f t="array" ref="DW12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2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28" s="134">
        <f>IFERROR(SUM(Tabla_Buffers_Agroinsumos[[#This Row],[AS-MP]:[AS-VL]]),"")</f>
        <v>0</v>
      </c>
      <c r="DZ128" s="92" t="str">
        <f>IFERROR(Tabla_Buffers_Agroinsumos[[#This Row],[INV FIS AS]]-Tabla_Buffers_Agroinsumos[[#This Row],[BUFFER AS]],"")</f>
        <v/>
      </c>
      <c r="EA12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28" s="134"/>
      <c r="EC128" s="134"/>
      <c r="ED128" s="134"/>
      <c r="EE128" s="134"/>
      <c r="EF128" s="134"/>
      <c r="EG128" s="134"/>
      <c r="EH128" s="134"/>
      <c r="EI128" s="134"/>
      <c r="EJ128" s="134"/>
      <c r="EK128" s="134" t="str">
        <f t="array" ref="EK128">IFERROR(INDEX(TABLACONSOLIDADA[Buff Act],MATCH("AGROINSUMOSLAFINCA"&amp;Tabla_Buffers_Agroinsumos[[#This Row],[CODIGO ]],TABLACONSOLIDADA[Bodega]&amp;TABLACONSOLIDADA[Codigo],0)),"")</f>
        <v/>
      </c>
      <c r="EL128" s="157" t="str">
        <f t="array" ref="EL128">IFERROR(INDEX(TABLACONSOLIDADA[Inv Fís Act],MATCH("AGROINSUMOSLAFINCA"&amp;Tabla_Buffers_Agroinsumos[[#This Row],[CODIGO ]],TABLACONSOLIDADA[Bodega]&amp;TABLACONSOLIDADA[Codigo],0)),"")</f>
        <v/>
      </c>
      <c r="EM128" s="157" t="str">
        <f t="array" ref="EM12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2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28" s="134">
        <f>IFERROR(SUM(Tabla_Buffers_Agroinsumos[[#This Row],[LF-MP]:[LF-VL]]),"")</f>
        <v>0</v>
      </c>
      <c r="EP128" s="92" t="str">
        <f>IFERROR(Tabla_Buffers_Agroinsumos[[#This Row],[INV FIS LF]]-Tabla_Buffers_Agroinsumos[[#This Row],[BUFFER LF]],"")</f>
        <v/>
      </c>
      <c r="EQ12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28" s="134"/>
      <c r="ES128" s="134"/>
      <c r="ET128" s="134"/>
      <c r="EU128" s="134"/>
      <c r="EV128" s="134"/>
      <c r="EW128" s="134"/>
      <c r="EX128" s="134"/>
      <c r="EY128" s="134"/>
      <c r="EZ128" s="134"/>
      <c r="FA128" s="134" t="str">
        <f t="array" ref="FA128">IFERROR(INDEX(TABLACONSOLIDADA[Buff Act],MATCH("AGROINSUMOSVERONICALEDESMA"&amp;Tabla_Buffers_Agroinsumos[[#This Row],[CODIGO ]],TABLACONSOLIDADA[Bodega]&amp;TABLACONSOLIDADA[Codigo],0)),"")</f>
        <v/>
      </c>
      <c r="FB128" s="157" t="str">
        <f t="array" ref="FB128">IFERROR(INDEX(TABLACONSOLIDADA[Inv Fís Act],MATCH("AGROINSUMOSVERONICALEDESMA"&amp;Tabla_Buffers_Agroinsumos[[#This Row],[CODIGO ]],TABLACONSOLIDADA[Bodega]&amp;TABLACONSOLIDADA[Codigo],0)),"")</f>
        <v/>
      </c>
      <c r="FC128" s="157" t="str">
        <f t="array" ref="FC12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2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28" s="134">
        <f>IFERROR(SUM(Tabla_Buffers_Agroinsumos[[#This Row],[VL-MP]:[VL-LF]]),"")</f>
        <v>0</v>
      </c>
      <c r="FF128" s="92" t="str">
        <f>IFERROR(Tabla_Buffers_Agroinsumos[[#This Row],[INV FIS VL]]-Tabla_Buffers_Agroinsumos[[#This Row],[BUFFER VL]],"")</f>
        <v/>
      </c>
      <c r="FG12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28" s="134"/>
      <c r="FI128" s="134"/>
      <c r="FJ128" s="134"/>
      <c r="FK128" s="134"/>
      <c r="FL128" s="134"/>
      <c r="FM128" s="134"/>
      <c r="FN128" s="134"/>
      <c r="FO128" s="134"/>
      <c r="FP128" s="134"/>
    </row>
    <row r="129" spans="1:172">
      <c r="A129" s="7" t="s">
        <v>231</v>
      </c>
      <c r="B129" s="7" t="s">
        <v>1260</v>
      </c>
      <c r="C129" s="7" t="s">
        <v>712</v>
      </c>
      <c r="D129" s="7" t="s">
        <v>717</v>
      </c>
      <c r="E129" s="7" t="s">
        <v>863</v>
      </c>
      <c r="F129" s="19" t="s">
        <v>814</v>
      </c>
      <c r="G129" s="19" t="s">
        <v>873</v>
      </c>
      <c r="H129" s="19">
        <f>VLOOKUP(Tabla_Buffers_Agroinsumos[[#This Row],[CODIGO ]],TABLACONSOLIDADA[[Codigo]:[PV]],6,0)</f>
        <v>0</v>
      </c>
      <c r="I129" s="19">
        <f>VLOOKUP(Tabla_Buffers_Agroinsumos[[#This Row],[CODIGO ]],TABLACONSOLIDADA[[Codigo]:[PV]],5,0)</f>
        <v>5167.33</v>
      </c>
      <c r="J129" s="19">
        <v>4</v>
      </c>
      <c r="K129" s="19">
        <v>4</v>
      </c>
      <c r="L129" s="19">
        <f>IFERROR(Tabla_Buffers_Agroinsumos[[#This Row],[BUFFER CENTRAL]]/((Tabla_Buffers_Agroinsumos[[#This Row],[TIEMPO REPOSICION ]]/Tabla_Buffers_Agroinsumos[[#This Row],[FRECUENCIA]])+1),0)</f>
        <v>0</v>
      </c>
      <c r="M129" s="19">
        <v>6</v>
      </c>
      <c r="N129" s="157">
        <f t="array" ref="N129">IFERROR(INDEX(TABLACONSOLIDADA[Inv Fís Act],MATCH("AGROINSUMOSMATERIAPRIMA"&amp;Tabla_Buffers_Agroinsumos[[#This Row],[CODIGO ]],TABLACONSOLIDADA[Bodega]&amp;TABLACONSOLIDADA[Codigo],0)),"")</f>
        <v>1.06501</v>
      </c>
      <c r="O129" s="157">
        <f t="array" ref="O12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5.56501</v>
      </c>
      <c r="P12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29" s="19">
        <f>IFERROR(SUM(Tabla_Buffers_Agroinsumos[[#This Row],[MP-C]:[MP-VL]]),"")</f>
        <v>0</v>
      </c>
      <c r="R129" s="92">
        <f>IFERROR(Tabla_Buffers_Agroinsumos[[#This Row],[INV FIS MATERIA PRIMA]]-Tabla_Buffers_Agroinsumos[[#This Row],[BUFFER MATERIA PRIMA]],"")</f>
        <v>-4.93499</v>
      </c>
      <c r="S12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-4.93499</v>
      </c>
      <c r="T129" s="19"/>
      <c r="U129" s="19"/>
      <c r="V129" s="19"/>
      <c r="W129" s="19"/>
      <c r="X129" s="19"/>
      <c r="Y129" s="19"/>
      <c r="Z129" s="19"/>
      <c r="AA129" s="19"/>
      <c r="AB129" s="19"/>
      <c r="AC129" s="152" t="str">
        <f t="array" ref="AC129">IFERROR(INDEX(TABLACONSOLIDADA[Buff Act],MATCH("AGROINSUMOSCENTRAL"&amp;Tabla_Buffers_Agroinsumos[[#This Row],[CODIGO ]],TABLACONSOLIDADA[Bodega]&amp;TABLACONSOLIDADA[Codigo],0)),"")</f>
        <v/>
      </c>
      <c r="AD129" s="157" t="str">
        <f t="array" ref="AD129">IFERROR(INDEX(TABLACONSOLIDADA[Inv Fís Act],MATCH("AGROINSUMOSCENTRAL"&amp;Tabla_Buffers_Agroinsumos[[#This Row],[CODIGO ]],TABLACONSOLIDADA[Bodega]&amp;TABLACONSOLIDADA[Codigo],0)),"")</f>
        <v/>
      </c>
      <c r="AE129" s="157" t="str">
        <f t="array" ref="AE12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2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29" s="91">
        <f>IFERROR(SUM(Tabla_Buffers_Agroinsumos[[#This Row],[C-MP]:[C-VL]]),"")</f>
        <v>0</v>
      </c>
      <c r="AH129" s="92" t="str">
        <f>IFERROR(Tabla_Buffers_Agroinsumos[[#This Row],[INV FIS CENTRAL]]-Tabla_Buffers_Agroinsumos[[#This Row],[BUFFER CENTRAL]],"")</f>
        <v/>
      </c>
      <c r="AI12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29" s="134"/>
      <c r="AK129" s="134"/>
      <c r="AL129" s="134"/>
      <c r="AM129" s="134"/>
      <c r="AN129" s="134"/>
      <c r="AO129" s="134"/>
      <c r="AP129" s="134"/>
      <c r="AQ129" s="134"/>
      <c r="AR129" s="134"/>
      <c r="AS129" s="134" t="str">
        <f t="array" ref="AS129">IFERROR(INDEX(TABLACONSOLIDADA[Buff Act],MATCH("AGROINSUMOScentralPROPIA"&amp;Tabla_Buffers_Agroinsumos[[#This Row],[CODIGO ]],TABLACONSOLIDADA[Bodega]&amp;TABLACONSOLIDADA[Codigo],0)),"")</f>
        <v/>
      </c>
      <c r="AT129" s="157" t="str">
        <f t="array" ref="AT129">IFERROR(INDEX(TABLACONSOLIDADA[Inv Fís Act],MATCH("AGROINSUMOScentralPROPIA"&amp;Tabla_Buffers_Agroinsumos[[#This Row],[CODIGO ]],TABLACONSOLIDADA[Bodega]&amp;TABLACONSOLIDADA[Codigo],0)),"")</f>
        <v/>
      </c>
      <c r="AU129" s="157" t="str">
        <f t="array" ref="AU12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2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29" s="134">
        <f>IFERROR(SUM(Tabla_Buffers_Agroinsumos[[#This Row],[P-MP]:[P-VL]]),"")</f>
        <v>0</v>
      </c>
      <c r="AX129" s="92" t="str">
        <f>IFERROR(Tabla_Buffers_Agroinsumos[[#This Row],[INV FIS PROPIA]]-Tabla_Buffers_Agroinsumos[[#This Row],[BUFFER PROPIA]],"")</f>
        <v/>
      </c>
      <c r="AY12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29" s="134"/>
      <c r="BA129" s="134"/>
      <c r="BB129" s="134"/>
      <c r="BC129" s="134"/>
      <c r="BD129" s="134"/>
      <c r="BE129" s="134"/>
      <c r="BF129" s="134"/>
      <c r="BG129" s="134"/>
      <c r="BH129" s="134"/>
      <c r="BI129" s="91" t="str">
        <f t="array" ref="BI129">IFERROR(INDEX(TABLACONSOLIDADA[Buff Act],MATCH("AGROINSUMOSSTODOMINGO"&amp;Tabla_Buffers_Agroinsumos[[#This Row],[CODIGO ]],TABLACONSOLIDADA[Bodega]&amp;TABLACONSOLIDADA[Codigo],0)),"")</f>
        <v/>
      </c>
      <c r="BJ129" s="157" t="str">
        <f t="array" ref="BJ129">IFERROR(INDEX(TABLACONSOLIDADA[Inv Fís Act],MATCH("AGROINSUMOSSTODOMINGO"&amp;Tabla_Buffers_Agroinsumos[[#This Row],[CODIGO ]],TABLACONSOLIDADA[Bodega]&amp;TABLACONSOLIDADA[Codigo],0)),"")</f>
        <v/>
      </c>
      <c r="BK129" s="157" t="str">
        <f t="array" ref="BK12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2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29" s="91">
        <f>IFERROR(SUM(Tabla_Buffers_Agroinsumos[[#This Row],[SD-MP]:[SD-VL]]),"")</f>
        <v>0</v>
      </c>
      <c r="BN129" s="92"/>
      <c r="BO129" s="92"/>
      <c r="BP129" s="134"/>
      <c r="BQ129" s="134"/>
      <c r="BR129" s="134"/>
      <c r="BS129" s="134"/>
      <c r="BT129" s="134"/>
      <c r="BU129" s="134"/>
      <c r="BV129" s="134"/>
      <c r="BW129" s="134"/>
      <c r="BX129" s="134"/>
      <c r="BY129" s="134" t="str">
        <f t="array" ref="BY129">IFERROR(INDEX(TABLACONSOLIDADA[Buff Act],MATCH("AGROINSUMOSMONCAYOLOPEZ"&amp;Tabla_Buffers_Agroinsumos[[#This Row],[CODIGO ]],TABLACONSOLIDADA[Bodega]&amp;TABLACONSOLIDADA[Codigo],0)),"")</f>
        <v/>
      </c>
      <c r="BZ129" s="157" t="str">
        <f t="array" ref="BZ129">IFERROR(INDEX(TABLACONSOLIDADA[Inv Fís Act],MATCH("AGROINSUMOSMONCAYOLOPEZ"&amp;Tabla_Buffers_Agroinsumos[[#This Row],[CODIGO ]],TABLACONSOLIDADA[Bodega]&amp;TABLACONSOLIDADA[Codigo],0)),"")</f>
        <v/>
      </c>
      <c r="CA129" s="157" t="str">
        <f t="array" ref="CA12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2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29" s="134">
        <f>IFERROR(SUM(Tabla_Buffers_Agroinsumos[[#This Row],[ML-MP]:[ML-VL]]),"")</f>
        <v>0</v>
      </c>
      <c r="CD129" s="92" t="str">
        <f>IFERROR(Tabla_Buffers_Agroinsumos[[#This Row],[INV FIS ML]]-Tabla_Buffers_Agroinsumos[[#This Row],[BUFFER ML]],"")</f>
        <v/>
      </c>
      <c r="CE12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29" s="134"/>
      <c r="CG129" s="134"/>
      <c r="CH129" s="134"/>
      <c r="CI129" s="134"/>
      <c r="CJ129" s="134"/>
      <c r="CK129" s="134"/>
      <c r="CL129" s="134"/>
      <c r="CM129" s="134"/>
      <c r="CN129" s="134"/>
      <c r="CO129" s="134" t="str">
        <f t="array" ref="CO129">IFERROR(INDEX(TABLACONSOLIDADA[Buff Act],MATCH("AGROINSUMOSAGROHERMANOSLEON"&amp;Tabla_Buffers_Agroinsumos[[#This Row],[CODIGO ]],TABLACONSOLIDADA[Bodega]&amp;TABLACONSOLIDADA[Codigo],0)),"")</f>
        <v/>
      </c>
      <c r="CP129" s="157" t="str">
        <f t="array" ref="CP129">IFERROR(INDEX(TABLACONSOLIDADA[Inv Fís Act],MATCH("AGROINSUMOSAGROHERMANOSLEON"&amp;Tabla_Buffers_Agroinsumos[[#This Row],[CODIGO ]],TABLACONSOLIDADA[Bodega]&amp;TABLACONSOLIDADA[Codigo],0)),"")</f>
        <v/>
      </c>
      <c r="CQ129" s="157" t="str">
        <f t="array" ref="CQ12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2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29" s="134">
        <f>IFERROR(SUM(Tabla_Buffers_Agroinsumos[[#This Row],[AL-MP]:[AL-VL]]),"")</f>
        <v>0</v>
      </c>
      <c r="CT129" s="92" t="str">
        <f>IFERROR(Tabla_Buffers_Agroinsumos[[#This Row],[INV FIS AL]]-Tabla_Buffers_Agroinsumos[[#This Row],[BUFFER AL]],"")</f>
        <v/>
      </c>
      <c r="CU12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29" s="134"/>
      <c r="CW129" s="134"/>
      <c r="CX129" s="134"/>
      <c r="CY129" s="134"/>
      <c r="CZ129" s="134"/>
      <c r="DA129" s="134"/>
      <c r="DB129" s="134"/>
      <c r="DC129" s="134"/>
      <c r="DD129" s="134"/>
      <c r="DE129" s="134" t="str">
        <f t="array" ref="DE129">IFERROR(INDEX(TABLACONSOLIDADA[Buff Act],MATCH("AGROINSUMOSAGRONUEVO"&amp;Tabla_Buffers_Agroinsumos[[#This Row],[CODIGO ]],TABLACONSOLIDADA[Bodega]&amp;TABLACONSOLIDADA[Codigo],0)),"")</f>
        <v/>
      </c>
      <c r="DF129" s="157" t="str">
        <f t="array" ref="DF129">IFERROR(INDEX(TABLACONSOLIDADA[Inv Fís Act],MATCH("AGROINSUMOSAGRONUEVO"&amp;Tabla_Buffers_Agroinsumos[[#This Row],[CODIGO ]],TABLACONSOLIDADA[Bodega]&amp;TABLACONSOLIDADA[Codigo],0)),"")</f>
        <v/>
      </c>
      <c r="DG129" s="157" t="str">
        <f t="array" ref="DG12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2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29" s="134">
        <f>IFERROR(SUM(Tabla_Buffers_Agroinsumos[[#This Row],[AN-MP]:[AN-VL]]),"")</f>
        <v>0</v>
      </c>
      <c r="DJ129" s="92" t="str">
        <f>IFERROR(Tabla_Buffers_Agroinsumos[[#This Row],[INV FIS AN]]-Tabla_Buffers_Agroinsumos[[#This Row],[BUFFER AN]],"")</f>
        <v/>
      </c>
      <c r="DK12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29" s="134"/>
      <c r="DM129" s="134"/>
      <c r="DN129" s="134"/>
      <c r="DO129" s="134"/>
      <c r="DP129" s="134"/>
      <c r="DQ129" s="134"/>
      <c r="DR129" s="134"/>
      <c r="DS129" s="134"/>
      <c r="DT129" s="134"/>
      <c r="DU129" s="134" t="str">
        <f t="array" ref="DU129">IFERROR(INDEX(TABLACONSOLIDADA[Buff Act],MATCH("AGROINSUMOSAGROQUIMICOSSUR"&amp;Tabla_Buffers_Agroinsumos[[#This Row],[CODIGO ]],TABLACONSOLIDADA[Bodega]&amp;TABLACONSOLIDADA[Codigo],0)),"")</f>
        <v/>
      </c>
      <c r="DV129" s="157" t="str">
        <f t="array" ref="DV129">IFERROR(INDEX(TABLACONSOLIDADA[Inv Fís Act],MATCH("AGROINSUMOSAGROQUIMICOSSUR"&amp;Tabla_Buffers_Agroinsumos[[#This Row],[CODIGO ]],TABLACONSOLIDADA[Bodega]&amp;TABLACONSOLIDADA[Codigo],0)),"")</f>
        <v/>
      </c>
      <c r="DW129" s="157" t="str">
        <f t="array" ref="DW12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2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29" s="134">
        <f>IFERROR(SUM(Tabla_Buffers_Agroinsumos[[#This Row],[AS-MP]:[AS-VL]]),"")</f>
        <v>0</v>
      </c>
      <c r="DZ129" s="92" t="str">
        <f>IFERROR(Tabla_Buffers_Agroinsumos[[#This Row],[INV FIS AS]]-Tabla_Buffers_Agroinsumos[[#This Row],[BUFFER AS]],"")</f>
        <v/>
      </c>
      <c r="EA12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29" s="134"/>
      <c r="EC129" s="134"/>
      <c r="ED129" s="134"/>
      <c r="EE129" s="134"/>
      <c r="EF129" s="134"/>
      <c r="EG129" s="134"/>
      <c r="EH129" s="134"/>
      <c r="EI129" s="134"/>
      <c r="EJ129" s="134"/>
      <c r="EK129" s="134" t="str">
        <f t="array" ref="EK129">IFERROR(INDEX(TABLACONSOLIDADA[Buff Act],MATCH("AGROINSUMOSLAFINCA"&amp;Tabla_Buffers_Agroinsumos[[#This Row],[CODIGO ]],TABLACONSOLIDADA[Bodega]&amp;TABLACONSOLIDADA[Codigo],0)),"")</f>
        <v/>
      </c>
      <c r="EL129" s="157" t="str">
        <f t="array" ref="EL129">IFERROR(INDEX(TABLACONSOLIDADA[Inv Fís Act],MATCH("AGROINSUMOSLAFINCA"&amp;Tabla_Buffers_Agroinsumos[[#This Row],[CODIGO ]],TABLACONSOLIDADA[Bodega]&amp;TABLACONSOLIDADA[Codigo],0)),"")</f>
        <v/>
      </c>
      <c r="EM129" s="157" t="str">
        <f t="array" ref="EM12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2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29" s="134">
        <f>IFERROR(SUM(Tabla_Buffers_Agroinsumos[[#This Row],[LF-MP]:[LF-VL]]),"")</f>
        <v>0</v>
      </c>
      <c r="EP129" s="92" t="str">
        <f>IFERROR(Tabla_Buffers_Agroinsumos[[#This Row],[INV FIS LF]]-Tabla_Buffers_Agroinsumos[[#This Row],[BUFFER LF]],"")</f>
        <v/>
      </c>
      <c r="EQ12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29" s="134"/>
      <c r="ES129" s="134"/>
      <c r="ET129" s="134"/>
      <c r="EU129" s="134"/>
      <c r="EV129" s="134"/>
      <c r="EW129" s="134"/>
      <c r="EX129" s="134"/>
      <c r="EY129" s="134"/>
      <c r="EZ129" s="134"/>
      <c r="FA129" s="134" t="str">
        <f t="array" ref="FA129">IFERROR(INDEX(TABLACONSOLIDADA[Buff Act],MATCH("AGROINSUMOSVERONICALEDESMA"&amp;Tabla_Buffers_Agroinsumos[[#This Row],[CODIGO ]],TABLACONSOLIDADA[Bodega]&amp;TABLACONSOLIDADA[Codigo],0)),"")</f>
        <v/>
      </c>
      <c r="FB129" s="157" t="str">
        <f t="array" ref="FB129">IFERROR(INDEX(TABLACONSOLIDADA[Inv Fís Act],MATCH("AGROINSUMOSVERONICALEDESMA"&amp;Tabla_Buffers_Agroinsumos[[#This Row],[CODIGO ]],TABLACONSOLIDADA[Bodega]&amp;TABLACONSOLIDADA[Codigo],0)),"")</f>
        <v/>
      </c>
      <c r="FC129" s="157" t="str">
        <f t="array" ref="FC12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2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29" s="134">
        <f>IFERROR(SUM(Tabla_Buffers_Agroinsumos[[#This Row],[VL-MP]:[VL-LF]]),"")</f>
        <v>0</v>
      </c>
      <c r="FF129" s="92" t="str">
        <f>IFERROR(Tabla_Buffers_Agroinsumos[[#This Row],[INV FIS VL]]-Tabla_Buffers_Agroinsumos[[#This Row],[BUFFER VL]],"")</f>
        <v/>
      </c>
      <c r="FG12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29" s="134"/>
      <c r="FI129" s="134"/>
      <c r="FJ129" s="134"/>
      <c r="FK129" s="134"/>
      <c r="FL129" s="134"/>
      <c r="FM129" s="134"/>
      <c r="FN129" s="134"/>
      <c r="FO129" s="134"/>
      <c r="FP129" s="134"/>
    </row>
    <row r="130" spans="1:172">
      <c r="A130" s="20" t="s">
        <v>1265</v>
      </c>
      <c r="B130" s="7" t="s">
        <v>1269</v>
      </c>
      <c r="C130" s="7" t="s">
        <v>712</v>
      </c>
      <c r="D130" s="7" t="s">
        <v>717</v>
      </c>
      <c r="E130" s="7" t="s">
        <v>863</v>
      </c>
      <c r="F130" s="19" t="s">
        <v>814</v>
      </c>
      <c r="G130" s="19" t="s">
        <v>873</v>
      </c>
      <c r="H130" s="111" t="e">
        <f>VLOOKUP(Tabla_Buffers_Agroinsumos[[#This Row],[CODIGO ]],TABLACONSOLIDADA[[Codigo]:[PV]],6,0)</f>
        <v>#N/A</v>
      </c>
      <c r="I130" s="111" t="e">
        <f>VLOOKUP(Tabla_Buffers_Agroinsumos[[#This Row],[CODIGO ]],TABLACONSOLIDADA[[Codigo]:[PV]],5,0)</f>
        <v>#N/A</v>
      </c>
      <c r="J130" s="111"/>
      <c r="K130" s="111"/>
      <c r="L130" s="111">
        <f>IFERROR(Tabla_Buffers_Agroinsumos[[#This Row],[BUFFER CENTRAL]]/((Tabla_Buffers_Agroinsumos[[#This Row],[TIEMPO REPOSICION ]]/Tabla_Buffers_Agroinsumos[[#This Row],[FRECUENCIA]])+1),0)</f>
        <v>0</v>
      </c>
      <c r="M130" s="111">
        <v>3000</v>
      </c>
      <c r="N130" s="111" t="str">
        <f t="array" ref="N130">IFERROR(INDEX(TABLACONSOLIDADA[Inv Fís Act],MATCH("AGROINSUMOSMATERIAPRIMA"&amp;Tabla_Buffers_Agroinsumos[[#This Row],[CODIGO ]],TABLACONSOLIDADA[Bodega]&amp;TABLACONSOLIDADA[Codigo],0)),"")</f>
        <v/>
      </c>
      <c r="O130" s="183" t="str">
        <f t="array" ref="O13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30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30" s="111">
        <f>IFERROR(SUM(Tabla_Buffers_Agroinsumos[[#This Row],[MP-C]:[MP-VL]]),"")</f>
        <v>0</v>
      </c>
      <c r="R130" s="154" t="str">
        <f>IFERROR(Tabla_Buffers_Agroinsumos[[#This Row],[INV FIS MATERIA PRIMA]]-Tabla_Buffers_Agroinsumos[[#This Row],[BUFFER MATERIA PRIMA]],"")</f>
        <v/>
      </c>
      <c r="S130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30" s="111"/>
      <c r="U130" s="111"/>
      <c r="V130" s="111"/>
      <c r="W130" s="111"/>
      <c r="X130" s="111"/>
      <c r="Y130" s="111"/>
      <c r="Z130" s="111"/>
      <c r="AA130" s="111"/>
      <c r="AB130" s="111"/>
      <c r="AC130" s="152" t="str">
        <f t="array" ref="AC130">IFERROR(INDEX(TABLACONSOLIDADA[Buff Act],MATCH("AGROINSUMOSCENTRAL"&amp;Tabla_Buffers_Agroinsumos[[#This Row],[CODIGO ]],TABLACONSOLIDADA[Bodega]&amp;TABLACONSOLIDADA[Codigo],0)),"")</f>
        <v/>
      </c>
      <c r="AD130" s="111" t="str">
        <f t="array" ref="AD130">IFERROR(INDEX(TABLACONSOLIDADA[Inv Fís Act],MATCH("AGROINSUMOSCENTRAL"&amp;Tabla_Buffers_Agroinsumos[[#This Row],[CODIGO ]],TABLACONSOLIDADA[Bodega]&amp;TABLACONSOLIDADA[Codigo],0)),"")</f>
        <v/>
      </c>
      <c r="AE130" s="183" t="str">
        <f t="array" ref="AE13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30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30" s="153">
        <f>IFERROR(SUM(Tabla_Buffers_Agroinsumos[[#This Row],[C-MP]:[C-VL]]),"")</f>
        <v>0</v>
      </c>
      <c r="AH130" s="154" t="str">
        <f>IFERROR(Tabla_Buffers_Agroinsumos[[#This Row],[INV FIS CENTRAL]]-Tabla_Buffers_Agroinsumos[[#This Row],[BUFFER CENTRAL]],"")</f>
        <v/>
      </c>
      <c r="AI130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30" s="135"/>
      <c r="AK130" s="135"/>
      <c r="AL130" s="135"/>
      <c r="AM130" s="135"/>
      <c r="AN130" s="135"/>
      <c r="AO130" s="135"/>
      <c r="AP130" s="135"/>
      <c r="AQ130" s="135"/>
      <c r="AR130" s="135"/>
      <c r="AS130" s="135" t="str">
        <f t="array" ref="AS130">IFERROR(INDEX(TABLACONSOLIDADA[Buff Act],MATCH("AGROINSUMOScentralPROPIA"&amp;Tabla_Buffers_Agroinsumos[[#This Row],[CODIGO ]],TABLACONSOLIDADA[Bodega]&amp;TABLACONSOLIDADA[Codigo],0)),"")</f>
        <v/>
      </c>
      <c r="AT130" s="111" t="str">
        <f t="array" ref="AT130">IFERROR(INDEX(TABLACONSOLIDADA[Inv Fís Act],MATCH("AGROINSUMOScentralPROPIA"&amp;Tabla_Buffers_Agroinsumos[[#This Row],[CODIGO ]],TABLACONSOLIDADA[Bodega]&amp;TABLACONSOLIDADA[Codigo],0)),"")</f>
        <v/>
      </c>
      <c r="AU130" s="183" t="str">
        <f t="array" ref="AU13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30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30" s="135">
        <f>IFERROR(SUM(Tabla_Buffers_Agroinsumos[[#This Row],[P-MP]:[P-VL]]),"")</f>
        <v>0</v>
      </c>
      <c r="AX130" s="154" t="str">
        <f>IFERROR(Tabla_Buffers_Agroinsumos[[#This Row],[INV FIS PROPIA]]-Tabla_Buffers_Agroinsumos[[#This Row],[BUFFER PROPIA]],"")</f>
        <v/>
      </c>
      <c r="AY130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30" s="135"/>
      <c r="BA130" s="135"/>
      <c r="BB130" s="135"/>
      <c r="BC130" s="135"/>
      <c r="BD130" s="135"/>
      <c r="BE130" s="135"/>
      <c r="BF130" s="135"/>
      <c r="BG130" s="135"/>
      <c r="BH130" s="135"/>
      <c r="BI130" s="153" t="str">
        <f t="array" ref="BI130">IFERROR(INDEX(TABLACONSOLIDADA[Buff Act],MATCH("AGROINSUMOSSTODOMINGO"&amp;Tabla_Buffers_Agroinsumos[[#This Row],[CODIGO ]],TABLACONSOLIDADA[Bodega]&amp;TABLACONSOLIDADA[Codigo],0)),"")</f>
        <v/>
      </c>
      <c r="BJ130" s="111" t="str">
        <f t="array" ref="BJ130">IFERROR(INDEX(TABLACONSOLIDADA[Inv Fís Act],MATCH("AGROINSUMOSSTODOMINGO"&amp;Tabla_Buffers_Agroinsumos[[#This Row],[CODIGO ]],TABLACONSOLIDADA[Bodega]&amp;TABLACONSOLIDADA[Codigo],0)),"")</f>
        <v/>
      </c>
      <c r="BK130" s="183" t="str">
        <f t="array" ref="BK13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30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30" s="153">
        <f>IFERROR(SUM(Tabla_Buffers_Agroinsumos[[#This Row],[SD-MP]:[SD-VL]]),"")</f>
        <v>0</v>
      </c>
      <c r="BN130" s="154"/>
      <c r="BO130" s="154"/>
      <c r="BP130" s="135"/>
      <c r="BQ130" s="135"/>
      <c r="BR130" s="135"/>
      <c r="BS130" s="135"/>
      <c r="BT130" s="135"/>
      <c r="BU130" s="135"/>
      <c r="BV130" s="135"/>
      <c r="BW130" s="135"/>
      <c r="BX130" s="135"/>
      <c r="BY130" s="135" t="str">
        <f t="array" ref="BY130">IFERROR(INDEX(TABLACONSOLIDADA[Buff Act],MATCH("AGROINSUMOSMONCAYOLOPEZ"&amp;Tabla_Buffers_Agroinsumos[[#This Row],[CODIGO ]],TABLACONSOLIDADA[Bodega]&amp;TABLACONSOLIDADA[Codigo],0)),"")</f>
        <v/>
      </c>
      <c r="BZ130" s="111" t="str">
        <f t="array" ref="BZ130">IFERROR(INDEX(TABLACONSOLIDADA[Inv Fís Act],MATCH("AGROINSUMOSMONCAYOLOPEZ"&amp;Tabla_Buffers_Agroinsumos[[#This Row],[CODIGO ]],TABLACONSOLIDADA[Bodega]&amp;TABLACONSOLIDADA[Codigo],0)),"")</f>
        <v/>
      </c>
      <c r="CA130" s="183" t="str">
        <f t="array" ref="CA13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30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30" s="135">
        <f>IFERROR(SUM(Tabla_Buffers_Agroinsumos[[#This Row],[ML-MP]:[ML-VL]]),"")</f>
        <v>0</v>
      </c>
      <c r="CD130" s="154" t="str">
        <f>IFERROR(Tabla_Buffers_Agroinsumos[[#This Row],[INV FIS ML]]-Tabla_Buffers_Agroinsumos[[#This Row],[BUFFER ML]],"")</f>
        <v/>
      </c>
      <c r="CE130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30" s="135"/>
      <c r="CG130" s="135"/>
      <c r="CH130" s="135"/>
      <c r="CI130" s="135"/>
      <c r="CJ130" s="135"/>
      <c r="CK130" s="135"/>
      <c r="CL130" s="135"/>
      <c r="CM130" s="135"/>
      <c r="CN130" s="135"/>
      <c r="CO130" s="135" t="str">
        <f t="array" ref="CO130">IFERROR(INDEX(TABLACONSOLIDADA[Buff Act],MATCH("AGROINSUMOSAGROHERMANOSLEON"&amp;Tabla_Buffers_Agroinsumos[[#This Row],[CODIGO ]],TABLACONSOLIDADA[Bodega]&amp;TABLACONSOLIDADA[Codigo],0)),"")</f>
        <v/>
      </c>
      <c r="CP130" s="111" t="str">
        <f t="array" ref="CP130">IFERROR(INDEX(TABLACONSOLIDADA[Inv Fís Act],MATCH("AGROINSUMOSAGROHERMANOSLEON"&amp;Tabla_Buffers_Agroinsumos[[#This Row],[CODIGO ]],TABLACONSOLIDADA[Bodega]&amp;TABLACONSOLIDADA[Codigo],0)),"")</f>
        <v/>
      </c>
      <c r="CQ130" s="183" t="str">
        <f t="array" ref="CQ13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30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30" s="135">
        <f>IFERROR(SUM(Tabla_Buffers_Agroinsumos[[#This Row],[AL-MP]:[AL-VL]]),"")</f>
        <v>0</v>
      </c>
      <c r="CT130" s="154" t="str">
        <f>IFERROR(Tabla_Buffers_Agroinsumos[[#This Row],[INV FIS AL]]-Tabla_Buffers_Agroinsumos[[#This Row],[BUFFER AL]],"")</f>
        <v/>
      </c>
      <c r="CU130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30" s="135"/>
      <c r="CW130" s="135"/>
      <c r="CX130" s="135"/>
      <c r="CY130" s="135"/>
      <c r="CZ130" s="135"/>
      <c r="DA130" s="135"/>
      <c r="DB130" s="135"/>
      <c r="DC130" s="135"/>
      <c r="DD130" s="135"/>
      <c r="DE130" s="135" t="str">
        <f t="array" ref="DE130">IFERROR(INDEX(TABLACONSOLIDADA[Buff Act],MATCH("AGROINSUMOSAGRONUEVO"&amp;Tabla_Buffers_Agroinsumos[[#This Row],[CODIGO ]],TABLACONSOLIDADA[Bodega]&amp;TABLACONSOLIDADA[Codigo],0)),"")</f>
        <v/>
      </c>
      <c r="DF130" s="111" t="str">
        <f t="array" ref="DF130">IFERROR(INDEX(TABLACONSOLIDADA[Inv Fís Act],MATCH("AGROINSUMOSAGRONUEVO"&amp;Tabla_Buffers_Agroinsumos[[#This Row],[CODIGO ]],TABLACONSOLIDADA[Bodega]&amp;TABLACONSOLIDADA[Codigo],0)),"")</f>
        <v/>
      </c>
      <c r="DG130" s="183" t="str">
        <f t="array" ref="DG13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30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30" s="135">
        <f>IFERROR(SUM(Tabla_Buffers_Agroinsumos[[#This Row],[AN-MP]:[AN-VL]]),"")</f>
        <v>0</v>
      </c>
      <c r="DJ130" s="154" t="str">
        <f>IFERROR(Tabla_Buffers_Agroinsumos[[#This Row],[INV FIS AN]]-Tabla_Buffers_Agroinsumos[[#This Row],[BUFFER AN]],"")</f>
        <v/>
      </c>
      <c r="DK130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30" s="135"/>
      <c r="DM130" s="135"/>
      <c r="DN130" s="135"/>
      <c r="DO130" s="135"/>
      <c r="DP130" s="135"/>
      <c r="DQ130" s="135"/>
      <c r="DR130" s="135"/>
      <c r="DS130" s="135"/>
      <c r="DT130" s="135"/>
      <c r="DU130" s="135" t="str">
        <f t="array" ref="DU130">IFERROR(INDEX(TABLACONSOLIDADA[Buff Act],MATCH("AGROINSUMOSAGROQUIMICOSSUR"&amp;Tabla_Buffers_Agroinsumos[[#This Row],[CODIGO ]],TABLACONSOLIDADA[Bodega]&amp;TABLACONSOLIDADA[Codigo],0)),"")</f>
        <v/>
      </c>
      <c r="DV130" s="111" t="str">
        <f t="array" ref="DV130">IFERROR(INDEX(TABLACONSOLIDADA[Inv Fís Act],MATCH("AGROINSUMOSAGROQUIMICOSSUR"&amp;Tabla_Buffers_Agroinsumos[[#This Row],[CODIGO ]],TABLACONSOLIDADA[Bodega]&amp;TABLACONSOLIDADA[Codigo],0)),"")</f>
        <v/>
      </c>
      <c r="DW130" s="183" t="str">
        <f t="array" ref="DW13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30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30" s="135">
        <f>IFERROR(SUM(Tabla_Buffers_Agroinsumos[[#This Row],[AS-MP]:[AS-VL]]),"")</f>
        <v>0</v>
      </c>
      <c r="DZ130" s="154" t="str">
        <f>IFERROR(Tabla_Buffers_Agroinsumos[[#This Row],[INV FIS AS]]-Tabla_Buffers_Agroinsumos[[#This Row],[BUFFER AS]],"")</f>
        <v/>
      </c>
      <c r="EA130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30" s="135"/>
      <c r="EC130" s="135"/>
      <c r="ED130" s="135"/>
      <c r="EE130" s="135"/>
      <c r="EF130" s="135"/>
      <c r="EG130" s="135"/>
      <c r="EH130" s="135"/>
      <c r="EI130" s="135"/>
      <c r="EJ130" s="135"/>
      <c r="EK130" s="135" t="str">
        <f t="array" ref="EK130">IFERROR(INDEX(TABLACONSOLIDADA[Buff Act],MATCH("AGROINSUMOSLAFINCA"&amp;Tabla_Buffers_Agroinsumos[[#This Row],[CODIGO ]],TABLACONSOLIDADA[Bodega]&amp;TABLACONSOLIDADA[Codigo],0)),"")</f>
        <v/>
      </c>
      <c r="EL130" s="111" t="str">
        <f t="array" ref="EL130">IFERROR(INDEX(TABLACONSOLIDADA[Inv Fís Act],MATCH("AGROINSUMOSLAFINCA"&amp;Tabla_Buffers_Agroinsumos[[#This Row],[CODIGO ]],TABLACONSOLIDADA[Bodega]&amp;TABLACONSOLIDADA[Codigo],0)),"")</f>
        <v/>
      </c>
      <c r="EM130" s="183" t="str">
        <f t="array" ref="EM13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30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30" s="135">
        <f>IFERROR(SUM(Tabla_Buffers_Agroinsumos[[#This Row],[LF-MP]:[LF-VL]]),"")</f>
        <v>0</v>
      </c>
      <c r="EP130" s="154" t="str">
        <f>IFERROR(Tabla_Buffers_Agroinsumos[[#This Row],[INV FIS LF]]-Tabla_Buffers_Agroinsumos[[#This Row],[BUFFER LF]],"")</f>
        <v/>
      </c>
      <c r="EQ130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30" s="135"/>
      <c r="ES130" s="135"/>
      <c r="ET130" s="135"/>
      <c r="EU130" s="135"/>
      <c r="EV130" s="135"/>
      <c r="EW130" s="135"/>
      <c r="EX130" s="135"/>
      <c r="EY130" s="135"/>
      <c r="EZ130" s="135"/>
      <c r="FA130" s="135" t="str">
        <f t="array" ref="FA130">IFERROR(INDEX(TABLACONSOLIDADA[Buff Act],MATCH("AGROINSUMOSVERONICALEDESMA"&amp;Tabla_Buffers_Agroinsumos[[#This Row],[CODIGO ]],TABLACONSOLIDADA[Bodega]&amp;TABLACONSOLIDADA[Codigo],0)),"")</f>
        <v/>
      </c>
      <c r="FB130" s="111" t="str">
        <f t="array" ref="FB130">IFERROR(INDEX(TABLACONSOLIDADA[Inv Fís Act],MATCH("AGROINSUMOSVERONICALEDESMA"&amp;Tabla_Buffers_Agroinsumos[[#This Row],[CODIGO ]],TABLACONSOLIDADA[Bodega]&amp;TABLACONSOLIDADA[Codigo],0)),"")</f>
        <v/>
      </c>
      <c r="FC130" s="183" t="str">
        <f t="array" ref="FC13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30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30" s="135">
        <f>IFERROR(SUM(Tabla_Buffers_Agroinsumos[[#This Row],[VL-MP]:[VL-LF]]),"")</f>
        <v>0</v>
      </c>
      <c r="FF130" s="154" t="str">
        <f>IFERROR(Tabla_Buffers_Agroinsumos[[#This Row],[INV FIS VL]]-Tabla_Buffers_Agroinsumos[[#This Row],[BUFFER VL]],"")</f>
        <v/>
      </c>
      <c r="FG130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30" s="135"/>
      <c r="FI130" s="135"/>
      <c r="FJ130" s="135"/>
      <c r="FK130" s="135"/>
      <c r="FL130" s="135"/>
      <c r="FM130" s="135"/>
      <c r="FN130" s="135"/>
      <c r="FO130" s="135"/>
      <c r="FP130" s="135"/>
    </row>
    <row r="131" spans="1:172">
      <c r="A131" s="7" t="s">
        <v>235</v>
      </c>
      <c r="B131" s="7" t="s">
        <v>236</v>
      </c>
      <c r="C131" s="7" t="s">
        <v>712</v>
      </c>
      <c r="D131" s="7" t="s">
        <v>717</v>
      </c>
      <c r="E131" s="7" t="s">
        <v>863</v>
      </c>
      <c r="F131" s="19" t="s">
        <v>816</v>
      </c>
      <c r="G131" s="19" t="s">
        <v>802</v>
      </c>
      <c r="H131" s="19">
        <f>VLOOKUP(Tabla_Buffers_Agroinsumos[[#This Row],[CODIGO ]],TABLACONSOLIDADA[[Codigo]:[PV]],6,0)</f>
        <v>0</v>
      </c>
      <c r="I131" s="19">
        <f>VLOOKUP(Tabla_Buffers_Agroinsumos[[#This Row],[CODIGO ]],TABLACONSOLIDADA[[Codigo]:[PV]],5,0)</f>
        <v>20.5</v>
      </c>
      <c r="J131" s="19">
        <v>4</v>
      </c>
      <c r="K131" s="19">
        <v>4</v>
      </c>
      <c r="L131" s="19">
        <f>IFERROR(Tabla_Buffers_Agroinsumos[[#This Row],[BUFFER CENTRAL]]/((Tabla_Buffers_Agroinsumos[[#This Row],[TIEMPO REPOSICION ]]/Tabla_Buffers_Agroinsumos[[#This Row],[FRECUENCIA]])+1),0)</f>
        <v>0</v>
      </c>
      <c r="M131" s="19">
        <f t="array" ref="M131">IFERROR(INDEX(TABLACONSOLIDADA[Buff Act],MATCH("AGROINSUMOSMATERIAPRIMA"&amp;Tabla_Buffers_Agroinsumos[[#This Row],[CODIGO ]],TABLACONSOLIDADA[Bodega]&amp;TABLACONSOLIDADA[Codigo],0)),"")</f>
        <v>0</v>
      </c>
      <c r="N131" s="157">
        <f t="array" ref="N131">IFERROR(INDEX(TABLACONSOLIDADA[Inv Fís Act],MATCH("AGROINSUMOSMATERIAPRIMA"&amp;Tabla_Buffers_Agroinsumos[[#This Row],[CODIGO ]],TABLACONSOLIDADA[Bodega]&amp;TABLACONSOLIDADA[Codigo],0)),"")</f>
        <v>0</v>
      </c>
      <c r="O131" s="157">
        <f t="array" ref="O13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13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31" s="19">
        <f>IFERROR(SUM(Tabla_Buffers_Agroinsumos[[#This Row],[MP-C]:[MP-VL]]),"")</f>
        <v>0</v>
      </c>
      <c r="R131" s="92">
        <f>IFERROR(Tabla_Buffers_Agroinsumos[[#This Row],[INV FIS MATERIA PRIMA]]-Tabla_Buffers_Agroinsumos[[#This Row],[BUFFER MATERIA PRIMA]],"")</f>
        <v>0</v>
      </c>
      <c r="S13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131" s="19"/>
      <c r="U131" s="19"/>
      <c r="V131" s="19"/>
      <c r="W131" s="19"/>
      <c r="X131" s="19"/>
      <c r="Y131" s="19"/>
      <c r="Z131" s="19"/>
      <c r="AA131" s="19"/>
      <c r="AB131" s="19"/>
      <c r="AC131" s="152" t="str">
        <f t="array" ref="AC131">IFERROR(INDEX(TABLACONSOLIDADA[Buff Act],MATCH("AGROINSUMOSCENTRAL"&amp;Tabla_Buffers_Agroinsumos[[#This Row],[CODIGO ]],TABLACONSOLIDADA[Bodega]&amp;TABLACONSOLIDADA[Codigo],0)),"")</f>
        <v/>
      </c>
      <c r="AD131" s="157" t="str">
        <f t="array" ref="AD131">IFERROR(INDEX(TABLACONSOLIDADA[Inv Fís Act],MATCH("AGROINSUMOSCENTRAL"&amp;Tabla_Buffers_Agroinsumos[[#This Row],[CODIGO ]],TABLACONSOLIDADA[Bodega]&amp;TABLACONSOLIDADA[Codigo],0)),"")</f>
        <v/>
      </c>
      <c r="AE131" s="157" t="str">
        <f t="array" ref="AE13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3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31" s="91">
        <f>IFERROR(SUM(Tabla_Buffers_Agroinsumos[[#This Row],[C-MP]:[C-VL]]),"")</f>
        <v>0</v>
      </c>
      <c r="AH131" s="92" t="str">
        <f>IFERROR(Tabla_Buffers_Agroinsumos[[#This Row],[INV FIS CENTRAL]]-Tabla_Buffers_Agroinsumos[[#This Row],[BUFFER CENTRAL]],"")</f>
        <v/>
      </c>
      <c r="AI13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31" s="134"/>
      <c r="AK131" s="134"/>
      <c r="AL131" s="134"/>
      <c r="AM131" s="134"/>
      <c r="AN131" s="134"/>
      <c r="AO131" s="134"/>
      <c r="AP131" s="134"/>
      <c r="AQ131" s="134"/>
      <c r="AR131" s="134"/>
      <c r="AS131" s="134" t="str">
        <f t="array" ref="AS131">IFERROR(INDEX(TABLACONSOLIDADA[Buff Act],MATCH("AGROINSUMOScentralPROPIA"&amp;Tabla_Buffers_Agroinsumos[[#This Row],[CODIGO ]],TABLACONSOLIDADA[Bodega]&amp;TABLACONSOLIDADA[Codigo],0)),"")</f>
        <v/>
      </c>
      <c r="AT131" s="157" t="str">
        <f t="array" ref="AT131">IFERROR(INDEX(TABLACONSOLIDADA[Inv Fís Act],MATCH("AGROINSUMOScentralPROPIA"&amp;Tabla_Buffers_Agroinsumos[[#This Row],[CODIGO ]],TABLACONSOLIDADA[Bodega]&amp;TABLACONSOLIDADA[Codigo],0)),"")</f>
        <v/>
      </c>
      <c r="AU131" s="157" t="str">
        <f t="array" ref="AU13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3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31" s="134">
        <f>IFERROR(SUM(Tabla_Buffers_Agroinsumos[[#This Row],[P-MP]:[P-VL]]),"")</f>
        <v>0</v>
      </c>
      <c r="AX131" s="92" t="str">
        <f>IFERROR(Tabla_Buffers_Agroinsumos[[#This Row],[INV FIS PROPIA]]-Tabla_Buffers_Agroinsumos[[#This Row],[BUFFER PROPIA]],"")</f>
        <v/>
      </c>
      <c r="AY13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31" s="134"/>
      <c r="BA131" s="134"/>
      <c r="BB131" s="134"/>
      <c r="BC131" s="134"/>
      <c r="BD131" s="134"/>
      <c r="BE131" s="134"/>
      <c r="BF131" s="134"/>
      <c r="BG131" s="134"/>
      <c r="BH131" s="134"/>
      <c r="BI131" s="91" t="str">
        <f t="array" ref="BI131">IFERROR(INDEX(TABLACONSOLIDADA[Buff Act],MATCH("AGROINSUMOSSTODOMINGO"&amp;Tabla_Buffers_Agroinsumos[[#This Row],[CODIGO ]],TABLACONSOLIDADA[Bodega]&amp;TABLACONSOLIDADA[Codigo],0)),"")</f>
        <v/>
      </c>
      <c r="BJ131" s="157" t="str">
        <f t="array" ref="BJ131">IFERROR(INDEX(TABLACONSOLIDADA[Inv Fís Act],MATCH("AGROINSUMOSSTODOMINGO"&amp;Tabla_Buffers_Agroinsumos[[#This Row],[CODIGO ]],TABLACONSOLIDADA[Bodega]&amp;TABLACONSOLIDADA[Codigo],0)),"")</f>
        <v/>
      </c>
      <c r="BK131" s="157" t="str">
        <f t="array" ref="BK13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3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31" s="91">
        <f>IFERROR(SUM(Tabla_Buffers_Agroinsumos[[#This Row],[SD-MP]:[SD-VL]]),"")</f>
        <v>0</v>
      </c>
      <c r="BN131" s="92"/>
      <c r="BO131" s="92"/>
      <c r="BP131" s="134"/>
      <c r="BQ131" s="134"/>
      <c r="BR131" s="134"/>
      <c r="BS131" s="134"/>
      <c r="BT131" s="134"/>
      <c r="BU131" s="134"/>
      <c r="BV131" s="134"/>
      <c r="BW131" s="134"/>
      <c r="BX131" s="134"/>
      <c r="BY131" s="134" t="str">
        <f t="array" ref="BY131">IFERROR(INDEX(TABLACONSOLIDADA[Buff Act],MATCH("AGROINSUMOSMONCAYOLOPEZ"&amp;Tabla_Buffers_Agroinsumos[[#This Row],[CODIGO ]],TABLACONSOLIDADA[Bodega]&amp;TABLACONSOLIDADA[Codigo],0)),"")</f>
        <v/>
      </c>
      <c r="BZ131" s="157" t="str">
        <f t="array" ref="BZ131">IFERROR(INDEX(TABLACONSOLIDADA[Inv Fís Act],MATCH("AGROINSUMOSMONCAYOLOPEZ"&amp;Tabla_Buffers_Agroinsumos[[#This Row],[CODIGO ]],TABLACONSOLIDADA[Bodega]&amp;TABLACONSOLIDADA[Codigo],0)),"")</f>
        <v/>
      </c>
      <c r="CA131" s="157" t="str">
        <f t="array" ref="CA13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3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31" s="134">
        <f>IFERROR(SUM(Tabla_Buffers_Agroinsumos[[#This Row],[ML-MP]:[ML-VL]]),"")</f>
        <v>0</v>
      </c>
      <c r="CD131" s="92" t="str">
        <f>IFERROR(Tabla_Buffers_Agroinsumos[[#This Row],[INV FIS ML]]-Tabla_Buffers_Agroinsumos[[#This Row],[BUFFER ML]],"")</f>
        <v/>
      </c>
      <c r="CE13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31" s="134"/>
      <c r="CG131" s="134"/>
      <c r="CH131" s="134"/>
      <c r="CI131" s="134"/>
      <c r="CJ131" s="134"/>
      <c r="CK131" s="134"/>
      <c r="CL131" s="134"/>
      <c r="CM131" s="134"/>
      <c r="CN131" s="134"/>
      <c r="CO131" s="134" t="str">
        <f t="array" ref="CO131">IFERROR(INDEX(TABLACONSOLIDADA[Buff Act],MATCH("AGROINSUMOSAGROHERMANOSLEON"&amp;Tabla_Buffers_Agroinsumos[[#This Row],[CODIGO ]],TABLACONSOLIDADA[Bodega]&amp;TABLACONSOLIDADA[Codigo],0)),"")</f>
        <v/>
      </c>
      <c r="CP131" s="157" t="str">
        <f t="array" ref="CP131">IFERROR(INDEX(TABLACONSOLIDADA[Inv Fís Act],MATCH("AGROINSUMOSAGROHERMANOSLEON"&amp;Tabla_Buffers_Agroinsumos[[#This Row],[CODIGO ]],TABLACONSOLIDADA[Bodega]&amp;TABLACONSOLIDADA[Codigo],0)),"")</f>
        <v/>
      </c>
      <c r="CQ131" s="157" t="str">
        <f t="array" ref="CQ13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3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31" s="134">
        <f>IFERROR(SUM(Tabla_Buffers_Agroinsumos[[#This Row],[AL-MP]:[AL-VL]]),"")</f>
        <v>0</v>
      </c>
      <c r="CT131" s="92" t="str">
        <f>IFERROR(Tabla_Buffers_Agroinsumos[[#This Row],[INV FIS AL]]-Tabla_Buffers_Agroinsumos[[#This Row],[BUFFER AL]],"")</f>
        <v/>
      </c>
      <c r="CU13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31" s="134"/>
      <c r="CW131" s="134"/>
      <c r="CX131" s="134"/>
      <c r="CY131" s="134"/>
      <c r="CZ131" s="134"/>
      <c r="DA131" s="134"/>
      <c r="DB131" s="134"/>
      <c r="DC131" s="134"/>
      <c r="DD131" s="134"/>
      <c r="DE131" s="134" t="str">
        <f t="array" ref="DE131">IFERROR(INDEX(TABLACONSOLIDADA[Buff Act],MATCH("AGROINSUMOSAGRONUEVO"&amp;Tabla_Buffers_Agroinsumos[[#This Row],[CODIGO ]],TABLACONSOLIDADA[Bodega]&amp;TABLACONSOLIDADA[Codigo],0)),"")</f>
        <v/>
      </c>
      <c r="DF131" s="157" t="str">
        <f t="array" ref="DF131">IFERROR(INDEX(TABLACONSOLIDADA[Inv Fís Act],MATCH("AGROINSUMOSAGRONUEVO"&amp;Tabla_Buffers_Agroinsumos[[#This Row],[CODIGO ]],TABLACONSOLIDADA[Bodega]&amp;TABLACONSOLIDADA[Codigo],0)),"")</f>
        <v/>
      </c>
      <c r="DG131" s="157" t="str">
        <f t="array" ref="DG13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3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31" s="134">
        <f>IFERROR(SUM(Tabla_Buffers_Agroinsumos[[#This Row],[AN-MP]:[AN-VL]]),"")</f>
        <v>0</v>
      </c>
      <c r="DJ131" s="92" t="str">
        <f>IFERROR(Tabla_Buffers_Agroinsumos[[#This Row],[INV FIS AN]]-Tabla_Buffers_Agroinsumos[[#This Row],[BUFFER AN]],"")</f>
        <v/>
      </c>
      <c r="DK13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31" s="134"/>
      <c r="DM131" s="134"/>
      <c r="DN131" s="134"/>
      <c r="DO131" s="134"/>
      <c r="DP131" s="134"/>
      <c r="DQ131" s="134"/>
      <c r="DR131" s="134"/>
      <c r="DS131" s="134"/>
      <c r="DT131" s="134"/>
      <c r="DU131" s="134" t="str">
        <f t="array" ref="DU131">IFERROR(INDEX(TABLACONSOLIDADA[Buff Act],MATCH("AGROINSUMOSAGROQUIMICOSSUR"&amp;Tabla_Buffers_Agroinsumos[[#This Row],[CODIGO ]],TABLACONSOLIDADA[Bodega]&amp;TABLACONSOLIDADA[Codigo],0)),"")</f>
        <v/>
      </c>
      <c r="DV131" s="157" t="str">
        <f t="array" ref="DV131">IFERROR(INDEX(TABLACONSOLIDADA[Inv Fís Act],MATCH("AGROINSUMOSAGROQUIMICOSSUR"&amp;Tabla_Buffers_Agroinsumos[[#This Row],[CODIGO ]],TABLACONSOLIDADA[Bodega]&amp;TABLACONSOLIDADA[Codigo],0)),"")</f>
        <v/>
      </c>
      <c r="DW131" s="157" t="str">
        <f t="array" ref="DW13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3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31" s="134">
        <f>IFERROR(SUM(Tabla_Buffers_Agroinsumos[[#This Row],[AS-MP]:[AS-VL]]),"")</f>
        <v>0</v>
      </c>
      <c r="DZ131" s="92" t="str">
        <f>IFERROR(Tabla_Buffers_Agroinsumos[[#This Row],[INV FIS AS]]-Tabla_Buffers_Agroinsumos[[#This Row],[BUFFER AS]],"")</f>
        <v/>
      </c>
      <c r="EA13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31" s="134"/>
      <c r="EC131" s="134"/>
      <c r="ED131" s="134"/>
      <c r="EE131" s="134"/>
      <c r="EF131" s="134"/>
      <c r="EG131" s="134"/>
      <c r="EH131" s="134"/>
      <c r="EI131" s="134"/>
      <c r="EJ131" s="134"/>
      <c r="EK131" s="134" t="str">
        <f t="array" ref="EK131">IFERROR(INDEX(TABLACONSOLIDADA[Buff Act],MATCH("AGROINSUMOSLAFINCA"&amp;Tabla_Buffers_Agroinsumos[[#This Row],[CODIGO ]],TABLACONSOLIDADA[Bodega]&amp;TABLACONSOLIDADA[Codigo],0)),"")</f>
        <v/>
      </c>
      <c r="EL131" s="157" t="str">
        <f t="array" ref="EL131">IFERROR(INDEX(TABLACONSOLIDADA[Inv Fís Act],MATCH("AGROINSUMOSLAFINCA"&amp;Tabla_Buffers_Agroinsumos[[#This Row],[CODIGO ]],TABLACONSOLIDADA[Bodega]&amp;TABLACONSOLIDADA[Codigo],0)),"")</f>
        <v/>
      </c>
      <c r="EM131" s="157" t="str">
        <f t="array" ref="EM13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3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31" s="134">
        <f>IFERROR(SUM(Tabla_Buffers_Agroinsumos[[#This Row],[LF-MP]:[LF-VL]]),"")</f>
        <v>0</v>
      </c>
      <c r="EP131" s="92" t="str">
        <f>IFERROR(Tabla_Buffers_Agroinsumos[[#This Row],[INV FIS LF]]-Tabla_Buffers_Agroinsumos[[#This Row],[BUFFER LF]],"")</f>
        <v/>
      </c>
      <c r="EQ13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31" s="134"/>
      <c r="ES131" s="134"/>
      <c r="ET131" s="134"/>
      <c r="EU131" s="134"/>
      <c r="EV131" s="134"/>
      <c r="EW131" s="134"/>
      <c r="EX131" s="134"/>
      <c r="EY131" s="134"/>
      <c r="EZ131" s="134"/>
      <c r="FA131" s="134" t="str">
        <f t="array" ref="FA131">IFERROR(INDEX(TABLACONSOLIDADA[Buff Act],MATCH("AGROINSUMOSVERONICALEDESMA"&amp;Tabla_Buffers_Agroinsumos[[#This Row],[CODIGO ]],TABLACONSOLIDADA[Bodega]&amp;TABLACONSOLIDADA[Codigo],0)),"")</f>
        <v/>
      </c>
      <c r="FB131" s="157" t="str">
        <f t="array" ref="FB131">IFERROR(INDEX(TABLACONSOLIDADA[Inv Fís Act],MATCH("AGROINSUMOSVERONICALEDESMA"&amp;Tabla_Buffers_Agroinsumos[[#This Row],[CODIGO ]],TABLACONSOLIDADA[Bodega]&amp;TABLACONSOLIDADA[Codigo],0)),"")</f>
        <v/>
      </c>
      <c r="FC131" s="157" t="str">
        <f t="array" ref="FC13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3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31" s="134">
        <f>IFERROR(SUM(Tabla_Buffers_Agroinsumos[[#This Row],[VL-MP]:[VL-LF]]),"")</f>
        <v>0</v>
      </c>
      <c r="FF131" s="92" t="str">
        <f>IFERROR(Tabla_Buffers_Agroinsumos[[#This Row],[INV FIS VL]]-Tabla_Buffers_Agroinsumos[[#This Row],[BUFFER VL]],"")</f>
        <v/>
      </c>
      <c r="FG13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31" s="134"/>
      <c r="FI131" s="134"/>
      <c r="FJ131" s="134"/>
      <c r="FK131" s="134"/>
      <c r="FL131" s="134"/>
      <c r="FM131" s="134"/>
      <c r="FN131" s="134"/>
      <c r="FO131" s="134"/>
      <c r="FP131" s="134"/>
    </row>
    <row r="132" spans="1:172">
      <c r="A132" s="7" t="s">
        <v>237</v>
      </c>
      <c r="B132" s="7" t="s">
        <v>238</v>
      </c>
      <c r="C132" s="7" t="s">
        <v>710</v>
      </c>
      <c r="D132" s="7" t="s">
        <v>718</v>
      </c>
      <c r="E132" s="7" t="s">
        <v>863</v>
      </c>
      <c r="F132" s="19" t="s">
        <v>810</v>
      </c>
      <c r="G132" s="19" t="s">
        <v>802</v>
      </c>
      <c r="H132" s="19">
        <f>VLOOKUP(Tabla_Buffers_Agroinsumos[[#This Row],[CODIGO ]],TABLACONSOLIDADA[[Codigo]:[PV]],6,0)</f>
        <v>0</v>
      </c>
      <c r="I132" s="19">
        <f>VLOOKUP(Tabla_Buffers_Agroinsumos[[#This Row],[CODIGO ]],TABLACONSOLIDADA[[Codigo]:[PV]],5,0)</f>
        <v>0.31</v>
      </c>
      <c r="J132" s="19">
        <v>4</v>
      </c>
      <c r="K132" s="19">
        <v>4</v>
      </c>
      <c r="L132" s="19">
        <f>IFERROR(Tabla_Buffers_Agroinsumos[[#This Row],[BUFFER CENTRAL]]/((Tabla_Buffers_Agroinsumos[[#This Row],[TIEMPO REPOSICION ]]/Tabla_Buffers_Agroinsumos[[#This Row],[FRECUENCIA]])+1),0)</f>
        <v>0</v>
      </c>
      <c r="M132" s="19">
        <f t="array" ref="M132">IFERROR(INDEX(TABLACONSOLIDADA[Buff Act],MATCH("AGROINSUMOSMATERIAPRIMA"&amp;Tabla_Buffers_Agroinsumos[[#This Row],[CODIGO ]],TABLACONSOLIDADA[Bodega]&amp;TABLACONSOLIDADA[Codigo],0)),"")</f>
        <v>0</v>
      </c>
      <c r="N132" s="157">
        <f t="array" ref="N132">IFERROR(INDEX(TABLACONSOLIDADA[Inv Fís Act],MATCH("AGROINSUMOSMATERIAPRIMA"&amp;Tabla_Buffers_Agroinsumos[[#This Row],[CODIGO ]],TABLACONSOLIDADA[Bodega]&amp;TABLACONSOLIDADA[Codigo],0)),"")</f>
        <v>1538</v>
      </c>
      <c r="O132" s="157">
        <f t="array" ref="O13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1538</v>
      </c>
      <c r="P13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32" s="19">
        <f>IFERROR(SUM(Tabla_Buffers_Agroinsumos[[#This Row],[MP-C]:[MP-VL]]),"")</f>
        <v>0</v>
      </c>
      <c r="R132" s="92">
        <f>IFERROR(Tabla_Buffers_Agroinsumos[[#This Row],[INV FIS MATERIA PRIMA]]-Tabla_Buffers_Agroinsumos[[#This Row],[BUFFER MATERIA PRIMA]],"")</f>
        <v>1538</v>
      </c>
      <c r="S13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1538</v>
      </c>
      <c r="T132" s="19"/>
      <c r="U132" s="19"/>
      <c r="V132" s="19"/>
      <c r="W132" s="19"/>
      <c r="X132" s="19"/>
      <c r="Y132" s="19"/>
      <c r="Z132" s="19"/>
      <c r="AA132" s="19"/>
      <c r="AB132" s="19"/>
      <c r="AC132" s="152" t="str">
        <f t="array" ref="AC132">IFERROR(INDEX(TABLACONSOLIDADA[Buff Act],MATCH("AGROINSUMOSCENTRAL"&amp;Tabla_Buffers_Agroinsumos[[#This Row],[CODIGO ]],TABLACONSOLIDADA[Bodega]&amp;TABLACONSOLIDADA[Codigo],0)),"")</f>
        <v/>
      </c>
      <c r="AD132" s="157" t="str">
        <f t="array" ref="AD132">IFERROR(INDEX(TABLACONSOLIDADA[Inv Fís Act],MATCH("AGROINSUMOSCENTRAL"&amp;Tabla_Buffers_Agroinsumos[[#This Row],[CODIGO ]],TABLACONSOLIDADA[Bodega]&amp;TABLACONSOLIDADA[Codigo],0)),"")</f>
        <v/>
      </c>
      <c r="AE132" s="157" t="str">
        <f t="array" ref="AE13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3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32" s="91">
        <f>IFERROR(SUM(Tabla_Buffers_Agroinsumos[[#This Row],[C-MP]:[C-VL]]),"")</f>
        <v>0</v>
      </c>
      <c r="AH132" s="92" t="str">
        <f>IFERROR(Tabla_Buffers_Agroinsumos[[#This Row],[INV FIS CENTRAL]]-Tabla_Buffers_Agroinsumos[[#This Row],[BUFFER CENTRAL]],"")</f>
        <v/>
      </c>
      <c r="AI13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32" s="134"/>
      <c r="AK132" s="134"/>
      <c r="AL132" s="134"/>
      <c r="AM132" s="134"/>
      <c r="AN132" s="134"/>
      <c r="AO132" s="134"/>
      <c r="AP132" s="134"/>
      <c r="AQ132" s="134"/>
      <c r="AR132" s="134"/>
      <c r="AS132" s="134" t="str">
        <f t="array" ref="AS132">IFERROR(INDEX(TABLACONSOLIDADA[Buff Act],MATCH("AGROINSUMOScentralPROPIA"&amp;Tabla_Buffers_Agroinsumos[[#This Row],[CODIGO ]],TABLACONSOLIDADA[Bodega]&amp;TABLACONSOLIDADA[Codigo],0)),"")</f>
        <v/>
      </c>
      <c r="AT132" s="157" t="str">
        <f t="array" ref="AT132">IFERROR(INDEX(TABLACONSOLIDADA[Inv Fís Act],MATCH("AGROINSUMOScentralPROPIA"&amp;Tabla_Buffers_Agroinsumos[[#This Row],[CODIGO ]],TABLACONSOLIDADA[Bodega]&amp;TABLACONSOLIDADA[Codigo],0)),"")</f>
        <v/>
      </c>
      <c r="AU132" s="157" t="str">
        <f t="array" ref="AU13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3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32" s="134">
        <f>IFERROR(SUM(Tabla_Buffers_Agroinsumos[[#This Row],[P-MP]:[P-VL]]),"")</f>
        <v>0</v>
      </c>
      <c r="AX132" s="92" t="str">
        <f>IFERROR(Tabla_Buffers_Agroinsumos[[#This Row],[INV FIS PROPIA]]-Tabla_Buffers_Agroinsumos[[#This Row],[BUFFER PROPIA]],"")</f>
        <v/>
      </c>
      <c r="AY13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32" s="134"/>
      <c r="BA132" s="134"/>
      <c r="BB132" s="134"/>
      <c r="BC132" s="134"/>
      <c r="BD132" s="134"/>
      <c r="BE132" s="134"/>
      <c r="BF132" s="134"/>
      <c r="BG132" s="134"/>
      <c r="BH132" s="134"/>
      <c r="BI132" s="91" t="str">
        <f t="array" ref="BI132">IFERROR(INDEX(TABLACONSOLIDADA[Buff Act],MATCH("AGROINSUMOSSTODOMINGO"&amp;Tabla_Buffers_Agroinsumos[[#This Row],[CODIGO ]],TABLACONSOLIDADA[Bodega]&amp;TABLACONSOLIDADA[Codigo],0)),"")</f>
        <v/>
      </c>
      <c r="BJ132" s="157" t="str">
        <f t="array" ref="BJ132">IFERROR(INDEX(TABLACONSOLIDADA[Inv Fís Act],MATCH("AGROINSUMOSSTODOMINGO"&amp;Tabla_Buffers_Agroinsumos[[#This Row],[CODIGO ]],TABLACONSOLIDADA[Bodega]&amp;TABLACONSOLIDADA[Codigo],0)),"")</f>
        <v/>
      </c>
      <c r="BK132" s="157" t="str">
        <f t="array" ref="BK13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3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32" s="91">
        <f>IFERROR(SUM(Tabla_Buffers_Agroinsumos[[#This Row],[SD-MP]:[SD-VL]]),"")</f>
        <v>0</v>
      </c>
      <c r="BN132" s="92"/>
      <c r="BO132" s="92"/>
      <c r="BP132" s="134"/>
      <c r="BQ132" s="134"/>
      <c r="BR132" s="134"/>
      <c r="BS132" s="134"/>
      <c r="BT132" s="134"/>
      <c r="BU132" s="134"/>
      <c r="BV132" s="134"/>
      <c r="BW132" s="134"/>
      <c r="BX132" s="134"/>
      <c r="BY132" s="134" t="str">
        <f t="array" ref="BY132">IFERROR(INDEX(TABLACONSOLIDADA[Buff Act],MATCH("AGROINSUMOSMONCAYOLOPEZ"&amp;Tabla_Buffers_Agroinsumos[[#This Row],[CODIGO ]],TABLACONSOLIDADA[Bodega]&amp;TABLACONSOLIDADA[Codigo],0)),"")</f>
        <v/>
      </c>
      <c r="BZ132" s="157" t="str">
        <f t="array" ref="BZ132">IFERROR(INDEX(TABLACONSOLIDADA[Inv Fís Act],MATCH("AGROINSUMOSMONCAYOLOPEZ"&amp;Tabla_Buffers_Agroinsumos[[#This Row],[CODIGO ]],TABLACONSOLIDADA[Bodega]&amp;TABLACONSOLIDADA[Codigo],0)),"")</f>
        <v/>
      </c>
      <c r="CA132" s="157" t="str">
        <f t="array" ref="CA13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3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32" s="134">
        <f>IFERROR(SUM(Tabla_Buffers_Agroinsumos[[#This Row],[ML-MP]:[ML-VL]]),"")</f>
        <v>0</v>
      </c>
      <c r="CD132" s="92" t="str">
        <f>IFERROR(Tabla_Buffers_Agroinsumos[[#This Row],[INV FIS ML]]-Tabla_Buffers_Agroinsumos[[#This Row],[BUFFER ML]],"")</f>
        <v/>
      </c>
      <c r="CE13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32" s="134"/>
      <c r="CG132" s="134"/>
      <c r="CH132" s="134"/>
      <c r="CI132" s="134"/>
      <c r="CJ132" s="134"/>
      <c r="CK132" s="134"/>
      <c r="CL132" s="134"/>
      <c r="CM132" s="134"/>
      <c r="CN132" s="134"/>
      <c r="CO132" s="134" t="str">
        <f t="array" ref="CO132">IFERROR(INDEX(TABLACONSOLIDADA[Buff Act],MATCH("AGROINSUMOSAGROHERMANOSLEON"&amp;Tabla_Buffers_Agroinsumos[[#This Row],[CODIGO ]],TABLACONSOLIDADA[Bodega]&amp;TABLACONSOLIDADA[Codigo],0)),"")</f>
        <v/>
      </c>
      <c r="CP132" s="157" t="str">
        <f t="array" ref="CP132">IFERROR(INDEX(TABLACONSOLIDADA[Inv Fís Act],MATCH("AGROINSUMOSAGROHERMANOSLEON"&amp;Tabla_Buffers_Agroinsumos[[#This Row],[CODIGO ]],TABLACONSOLIDADA[Bodega]&amp;TABLACONSOLIDADA[Codigo],0)),"")</f>
        <v/>
      </c>
      <c r="CQ132" s="157" t="str">
        <f t="array" ref="CQ13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3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32" s="134">
        <f>IFERROR(SUM(Tabla_Buffers_Agroinsumos[[#This Row],[AL-MP]:[AL-VL]]),"")</f>
        <v>0</v>
      </c>
      <c r="CT132" s="92" t="str">
        <f>IFERROR(Tabla_Buffers_Agroinsumos[[#This Row],[INV FIS AL]]-Tabla_Buffers_Agroinsumos[[#This Row],[BUFFER AL]],"")</f>
        <v/>
      </c>
      <c r="CU13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32" s="134"/>
      <c r="CW132" s="134"/>
      <c r="CX132" s="134"/>
      <c r="CY132" s="134"/>
      <c r="CZ132" s="134"/>
      <c r="DA132" s="134"/>
      <c r="DB132" s="134"/>
      <c r="DC132" s="134"/>
      <c r="DD132" s="134"/>
      <c r="DE132" s="134" t="str">
        <f t="array" ref="DE132">IFERROR(INDEX(TABLACONSOLIDADA[Buff Act],MATCH("AGROINSUMOSAGRONUEVO"&amp;Tabla_Buffers_Agroinsumos[[#This Row],[CODIGO ]],TABLACONSOLIDADA[Bodega]&amp;TABLACONSOLIDADA[Codigo],0)),"")</f>
        <v/>
      </c>
      <c r="DF132" s="157" t="str">
        <f t="array" ref="DF132">IFERROR(INDEX(TABLACONSOLIDADA[Inv Fís Act],MATCH("AGROINSUMOSAGRONUEVO"&amp;Tabla_Buffers_Agroinsumos[[#This Row],[CODIGO ]],TABLACONSOLIDADA[Bodega]&amp;TABLACONSOLIDADA[Codigo],0)),"")</f>
        <v/>
      </c>
      <c r="DG132" s="157" t="str">
        <f t="array" ref="DG13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3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32" s="134">
        <f>IFERROR(SUM(Tabla_Buffers_Agroinsumos[[#This Row],[AN-MP]:[AN-VL]]),"")</f>
        <v>0</v>
      </c>
      <c r="DJ132" s="92" t="str">
        <f>IFERROR(Tabla_Buffers_Agroinsumos[[#This Row],[INV FIS AN]]-Tabla_Buffers_Agroinsumos[[#This Row],[BUFFER AN]],"")</f>
        <v/>
      </c>
      <c r="DK13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32" s="134"/>
      <c r="DM132" s="134"/>
      <c r="DN132" s="134"/>
      <c r="DO132" s="134"/>
      <c r="DP132" s="134"/>
      <c r="DQ132" s="134"/>
      <c r="DR132" s="134"/>
      <c r="DS132" s="134"/>
      <c r="DT132" s="134"/>
      <c r="DU132" s="134" t="str">
        <f t="array" ref="DU132">IFERROR(INDEX(TABLACONSOLIDADA[Buff Act],MATCH("AGROINSUMOSAGROQUIMICOSSUR"&amp;Tabla_Buffers_Agroinsumos[[#This Row],[CODIGO ]],TABLACONSOLIDADA[Bodega]&amp;TABLACONSOLIDADA[Codigo],0)),"")</f>
        <v/>
      </c>
      <c r="DV132" s="157" t="str">
        <f t="array" ref="DV132">IFERROR(INDEX(TABLACONSOLIDADA[Inv Fís Act],MATCH("AGROINSUMOSAGROQUIMICOSSUR"&amp;Tabla_Buffers_Agroinsumos[[#This Row],[CODIGO ]],TABLACONSOLIDADA[Bodega]&amp;TABLACONSOLIDADA[Codigo],0)),"")</f>
        <v/>
      </c>
      <c r="DW132" s="157" t="str">
        <f t="array" ref="DW13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3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32" s="134">
        <f>IFERROR(SUM(Tabla_Buffers_Agroinsumos[[#This Row],[AS-MP]:[AS-VL]]),"")</f>
        <v>0</v>
      </c>
      <c r="DZ132" s="92" t="str">
        <f>IFERROR(Tabla_Buffers_Agroinsumos[[#This Row],[INV FIS AS]]-Tabla_Buffers_Agroinsumos[[#This Row],[BUFFER AS]],"")</f>
        <v/>
      </c>
      <c r="EA13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32" s="134"/>
      <c r="EC132" s="134"/>
      <c r="ED132" s="134"/>
      <c r="EE132" s="134"/>
      <c r="EF132" s="134"/>
      <c r="EG132" s="134"/>
      <c r="EH132" s="134"/>
      <c r="EI132" s="134"/>
      <c r="EJ132" s="134"/>
      <c r="EK132" s="134" t="str">
        <f t="array" ref="EK132">IFERROR(INDEX(TABLACONSOLIDADA[Buff Act],MATCH("AGROINSUMOSLAFINCA"&amp;Tabla_Buffers_Agroinsumos[[#This Row],[CODIGO ]],TABLACONSOLIDADA[Bodega]&amp;TABLACONSOLIDADA[Codigo],0)),"")</f>
        <v/>
      </c>
      <c r="EL132" s="157" t="str">
        <f t="array" ref="EL132">IFERROR(INDEX(TABLACONSOLIDADA[Inv Fís Act],MATCH("AGROINSUMOSLAFINCA"&amp;Tabla_Buffers_Agroinsumos[[#This Row],[CODIGO ]],TABLACONSOLIDADA[Bodega]&amp;TABLACONSOLIDADA[Codigo],0)),"")</f>
        <v/>
      </c>
      <c r="EM132" s="157" t="str">
        <f t="array" ref="EM13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3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32" s="134">
        <f>IFERROR(SUM(Tabla_Buffers_Agroinsumos[[#This Row],[LF-MP]:[LF-VL]]),"")</f>
        <v>0</v>
      </c>
      <c r="EP132" s="92" t="str">
        <f>IFERROR(Tabla_Buffers_Agroinsumos[[#This Row],[INV FIS LF]]-Tabla_Buffers_Agroinsumos[[#This Row],[BUFFER LF]],"")</f>
        <v/>
      </c>
      <c r="EQ13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32" s="134"/>
      <c r="ES132" s="134"/>
      <c r="ET132" s="134"/>
      <c r="EU132" s="134"/>
      <c r="EV132" s="134"/>
      <c r="EW132" s="134"/>
      <c r="EX132" s="134"/>
      <c r="EY132" s="134"/>
      <c r="EZ132" s="134"/>
      <c r="FA132" s="134" t="str">
        <f t="array" ref="FA132">IFERROR(INDEX(TABLACONSOLIDADA[Buff Act],MATCH("AGROINSUMOSVERONICALEDESMA"&amp;Tabla_Buffers_Agroinsumos[[#This Row],[CODIGO ]],TABLACONSOLIDADA[Bodega]&amp;TABLACONSOLIDADA[Codigo],0)),"")</f>
        <v/>
      </c>
      <c r="FB132" s="157" t="str">
        <f t="array" ref="FB132">IFERROR(INDEX(TABLACONSOLIDADA[Inv Fís Act],MATCH("AGROINSUMOSVERONICALEDESMA"&amp;Tabla_Buffers_Agroinsumos[[#This Row],[CODIGO ]],TABLACONSOLIDADA[Bodega]&amp;TABLACONSOLIDADA[Codigo],0)),"")</f>
        <v/>
      </c>
      <c r="FC132" s="157" t="str">
        <f t="array" ref="FC13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3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32" s="134">
        <f>IFERROR(SUM(Tabla_Buffers_Agroinsumos[[#This Row],[VL-MP]:[VL-LF]]),"")</f>
        <v>0</v>
      </c>
      <c r="FF132" s="92" t="str">
        <f>IFERROR(Tabla_Buffers_Agroinsumos[[#This Row],[INV FIS VL]]-Tabla_Buffers_Agroinsumos[[#This Row],[BUFFER VL]],"")</f>
        <v/>
      </c>
      <c r="FG13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32" s="134"/>
      <c r="FI132" s="134"/>
      <c r="FJ132" s="134"/>
      <c r="FK132" s="134"/>
      <c r="FL132" s="134"/>
      <c r="FM132" s="134"/>
      <c r="FN132" s="134"/>
      <c r="FO132" s="134"/>
      <c r="FP132" s="134"/>
    </row>
    <row r="133" spans="1:172">
      <c r="A133" s="7" t="s">
        <v>239</v>
      </c>
      <c r="B133" s="7" t="s">
        <v>240</v>
      </c>
      <c r="C133" s="7" t="s">
        <v>710</v>
      </c>
      <c r="D133" s="7" t="s">
        <v>718</v>
      </c>
      <c r="E133" s="7" t="s">
        <v>863</v>
      </c>
      <c r="F133" s="19" t="s">
        <v>810</v>
      </c>
      <c r="G133" s="19" t="s">
        <v>802</v>
      </c>
      <c r="H133" s="19">
        <f>VLOOKUP(Tabla_Buffers_Agroinsumos[[#This Row],[CODIGO ]],TABLACONSOLIDADA[[Codigo]:[PV]],6,0)</f>
        <v>0</v>
      </c>
      <c r="I133" s="19">
        <f>VLOOKUP(Tabla_Buffers_Agroinsumos[[#This Row],[CODIGO ]],TABLACONSOLIDADA[[Codigo]:[PV]],5,0)</f>
        <v>0.27</v>
      </c>
      <c r="J133" s="19">
        <v>4</v>
      </c>
      <c r="K133" s="19">
        <v>4</v>
      </c>
      <c r="L133" s="19">
        <f>IFERROR(Tabla_Buffers_Agroinsumos[[#This Row],[BUFFER CENTRAL]]/((Tabla_Buffers_Agroinsumos[[#This Row],[TIEMPO REPOSICION ]]/Tabla_Buffers_Agroinsumos[[#This Row],[FRECUENCIA]])+1),0)</f>
        <v>0</v>
      </c>
      <c r="M133" s="19">
        <f t="array" ref="M133">IFERROR(INDEX(TABLACONSOLIDADA[Buff Act],MATCH("AGROINSUMOSMATERIAPRIMA"&amp;Tabla_Buffers_Agroinsumos[[#This Row],[CODIGO ]],TABLACONSOLIDADA[Bodega]&amp;TABLACONSOLIDADA[Codigo],0)),"")</f>
        <v>0</v>
      </c>
      <c r="N133" s="157">
        <f t="array" ref="N133">IFERROR(INDEX(TABLACONSOLIDADA[Inv Fís Act],MATCH("AGROINSUMOSMATERIAPRIMA"&amp;Tabla_Buffers_Agroinsumos[[#This Row],[CODIGO ]],TABLACONSOLIDADA[Bodega]&amp;TABLACONSOLIDADA[Codigo],0)),"")</f>
        <v>1</v>
      </c>
      <c r="O133" s="157">
        <f t="array" ref="O13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</v>
      </c>
      <c r="P13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33" s="19">
        <f>IFERROR(SUM(Tabla_Buffers_Agroinsumos[[#This Row],[MP-C]:[MP-VL]]),"")</f>
        <v>0</v>
      </c>
      <c r="R133" s="92">
        <f>IFERROR(Tabla_Buffers_Agroinsumos[[#This Row],[INV FIS MATERIA PRIMA]]-Tabla_Buffers_Agroinsumos[[#This Row],[BUFFER MATERIA PRIMA]],"")</f>
        <v>1</v>
      </c>
      <c r="S13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</v>
      </c>
      <c r="T133" s="19"/>
      <c r="U133" s="19"/>
      <c r="V133" s="19"/>
      <c r="W133" s="19"/>
      <c r="X133" s="19"/>
      <c r="Y133" s="19"/>
      <c r="Z133" s="19"/>
      <c r="AA133" s="19"/>
      <c r="AB133" s="19"/>
      <c r="AC133" s="152" t="str">
        <f t="array" ref="AC133">IFERROR(INDEX(TABLACONSOLIDADA[Buff Act],MATCH("AGROINSUMOSCENTRAL"&amp;Tabla_Buffers_Agroinsumos[[#This Row],[CODIGO ]],TABLACONSOLIDADA[Bodega]&amp;TABLACONSOLIDADA[Codigo],0)),"")</f>
        <v/>
      </c>
      <c r="AD133" s="157" t="str">
        <f t="array" ref="AD133">IFERROR(INDEX(TABLACONSOLIDADA[Inv Fís Act],MATCH("AGROINSUMOSCENTRAL"&amp;Tabla_Buffers_Agroinsumos[[#This Row],[CODIGO ]],TABLACONSOLIDADA[Bodega]&amp;TABLACONSOLIDADA[Codigo],0)),"")</f>
        <v/>
      </c>
      <c r="AE133" s="157" t="str">
        <f t="array" ref="AE13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3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33" s="91">
        <f>IFERROR(SUM(Tabla_Buffers_Agroinsumos[[#This Row],[C-MP]:[C-VL]]),"")</f>
        <v>0</v>
      </c>
      <c r="AH133" s="92" t="str">
        <f>IFERROR(Tabla_Buffers_Agroinsumos[[#This Row],[INV FIS CENTRAL]]-Tabla_Buffers_Agroinsumos[[#This Row],[BUFFER CENTRAL]],"")</f>
        <v/>
      </c>
      <c r="AI13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33" s="134"/>
      <c r="AK133" s="134"/>
      <c r="AL133" s="134"/>
      <c r="AM133" s="134"/>
      <c r="AN133" s="134"/>
      <c r="AO133" s="134"/>
      <c r="AP133" s="134"/>
      <c r="AQ133" s="134"/>
      <c r="AR133" s="134"/>
      <c r="AS133" s="134" t="str">
        <f t="array" ref="AS133">IFERROR(INDEX(TABLACONSOLIDADA[Buff Act],MATCH("AGROINSUMOScentralPROPIA"&amp;Tabla_Buffers_Agroinsumos[[#This Row],[CODIGO ]],TABLACONSOLIDADA[Bodega]&amp;TABLACONSOLIDADA[Codigo],0)),"")</f>
        <v/>
      </c>
      <c r="AT133" s="157" t="str">
        <f t="array" ref="AT133">IFERROR(INDEX(TABLACONSOLIDADA[Inv Fís Act],MATCH("AGROINSUMOScentralPROPIA"&amp;Tabla_Buffers_Agroinsumos[[#This Row],[CODIGO ]],TABLACONSOLIDADA[Bodega]&amp;TABLACONSOLIDADA[Codigo],0)),"")</f>
        <v/>
      </c>
      <c r="AU133" s="157" t="str">
        <f t="array" ref="AU13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3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33" s="134">
        <f>IFERROR(SUM(Tabla_Buffers_Agroinsumos[[#This Row],[P-MP]:[P-VL]]),"")</f>
        <v>0</v>
      </c>
      <c r="AX133" s="92" t="str">
        <f>IFERROR(Tabla_Buffers_Agroinsumos[[#This Row],[INV FIS PROPIA]]-Tabla_Buffers_Agroinsumos[[#This Row],[BUFFER PROPIA]],"")</f>
        <v/>
      </c>
      <c r="AY13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33" s="134"/>
      <c r="BA133" s="134"/>
      <c r="BB133" s="134"/>
      <c r="BC133" s="134"/>
      <c r="BD133" s="134"/>
      <c r="BE133" s="134"/>
      <c r="BF133" s="134"/>
      <c r="BG133" s="134"/>
      <c r="BH133" s="134"/>
      <c r="BI133" s="91" t="str">
        <f t="array" ref="BI133">IFERROR(INDEX(TABLACONSOLIDADA[Buff Act],MATCH("AGROINSUMOSSTODOMINGO"&amp;Tabla_Buffers_Agroinsumos[[#This Row],[CODIGO ]],TABLACONSOLIDADA[Bodega]&amp;TABLACONSOLIDADA[Codigo],0)),"")</f>
        <v/>
      </c>
      <c r="BJ133" s="157" t="str">
        <f t="array" ref="BJ133">IFERROR(INDEX(TABLACONSOLIDADA[Inv Fís Act],MATCH("AGROINSUMOSSTODOMINGO"&amp;Tabla_Buffers_Agroinsumos[[#This Row],[CODIGO ]],TABLACONSOLIDADA[Bodega]&amp;TABLACONSOLIDADA[Codigo],0)),"")</f>
        <v/>
      </c>
      <c r="BK133" s="157" t="str">
        <f t="array" ref="BK13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3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33" s="91">
        <f>IFERROR(SUM(Tabla_Buffers_Agroinsumos[[#This Row],[SD-MP]:[SD-VL]]),"")</f>
        <v>0</v>
      </c>
      <c r="BN133" s="92"/>
      <c r="BO133" s="92"/>
      <c r="BP133" s="134"/>
      <c r="BQ133" s="134"/>
      <c r="BR133" s="134"/>
      <c r="BS133" s="134"/>
      <c r="BT133" s="134"/>
      <c r="BU133" s="134"/>
      <c r="BV133" s="134"/>
      <c r="BW133" s="134"/>
      <c r="BX133" s="134"/>
      <c r="BY133" s="134" t="str">
        <f t="array" ref="BY133">IFERROR(INDEX(TABLACONSOLIDADA[Buff Act],MATCH("AGROINSUMOSMONCAYOLOPEZ"&amp;Tabla_Buffers_Agroinsumos[[#This Row],[CODIGO ]],TABLACONSOLIDADA[Bodega]&amp;TABLACONSOLIDADA[Codigo],0)),"")</f>
        <v/>
      </c>
      <c r="BZ133" s="157" t="str">
        <f t="array" ref="BZ133">IFERROR(INDEX(TABLACONSOLIDADA[Inv Fís Act],MATCH("AGROINSUMOSMONCAYOLOPEZ"&amp;Tabla_Buffers_Agroinsumos[[#This Row],[CODIGO ]],TABLACONSOLIDADA[Bodega]&amp;TABLACONSOLIDADA[Codigo],0)),"")</f>
        <v/>
      </c>
      <c r="CA133" s="157" t="str">
        <f t="array" ref="CA13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3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33" s="134">
        <f>IFERROR(SUM(Tabla_Buffers_Agroinsumos[[#This Row],[ML-MP]:[ML-VL]]),"")</f>
        <v>0</v>
      </c>
      <c r="CD133" s="92" t="str">
        <f>IFERROR(Tabla_Buffers_Agroinsumos[[#This Row],[INV FIS ML]]-Tabla_Buffers_Agroinsumos[[#This Row],[BUFFER ML]],"")</f>
        <v/>
      </c>
      <c r="CE13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33" s="134"/>
      <c r="CG133" s="134"/>
      <c r="CH133" s="134"/>
      <c r="CI133" s="134"/>
      <c r="CJ133" s="134"/>
      <c r="CK133" s="134"/>
      <c r="CL133" s="134"/>
      <c r="CM133" s="134"/>
      <c r="CN133" s="134"/>
      <c r="CO133" s="134" t="str">
        <f t="array" ref="CO133">IFERROR(INDEX(TABLACONSOLIDADA[Buff Act],MATCH("AGROINSUMOSAGROHERMANOSLEON"&amp;Tabla_Buffers_Agroinsumos[[#This Row],[CODIGO ]],TABLACONSOLIDADA[Bodega]&amp;TABLACONSOLIDADA[Codigo],0)),"")</f>
        <v/>
      </c>
      <c r="CP133" s="157" t="str">
        <f t="array" ref="CP133">IFERROR(INDEX(TABLACONSOLIDADA[Inv Fís Act],MATCH("AGROINSUMOSAGROHERMANOSLEON"&amp;Tabla_Buffers_Agroinsumos[[#This Row],[CODIGO ]],TABLACONSOLIDADA[Bodega]&amp;TABLACONSOLIDADA[Codigo],0)),"")</f>
        <v/>
      </c>
      <c r="CQ133" s="157" t="str">
        <f t="array" ref="CQ13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3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33" s="134">
        <f>IFERROR(SUM(Tabla_Buffers_Agroinsumos[[#This Row],[AL-MP]:[AL-VL]]),"")</f>
        <v>0</v>
      </c>
      <c r="CT133" s="92" t="str">
        <f>IFERROR(Tabla_Buffers_Agroinsumos[[#This Row],[INV FIS AL]]-Tabla_Buffers_Agroinsumos[[#This Row],[BUFFER AL]],"")</f>
        <v/>
      </c>
      <c r="CU13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33" s="134"/>
      <c r="CW133" s="134"/>
      <c r="CX133" s="134"/>
      <c r="CY133" s="134"/>
      <c r="CZ133" s="134"/>
      <c r="DA133" s="134"/>
      <c r="DB133" s="134"/>
      <c r="DC133" s="134"/>
      <c r="DD133" s="134"/>
      <c r="DE133" s="134" t="str">
        <f t="array" ref="DE133">IFERROR(INDEX(TABLACONSOLIDADA[Buff Act],MATCH("AGROINSUMOSAGRONUEVO"&amp;Tabla_Buffers_Agroinsumos[[#This Row],[CODIGO ]],TABLACONSOLIDADA[Bodega]&amp;TABLACONSOLIDADA[Codigo],0)),"")</f>
        <v/>
      </c>
      <c r="DF133" s="157" t="str">
        <f t="array" ref="DF133">IFERROR(INDEX(TABLACONSOLIDADA[Inv Fís Act],MATCH("AGROINSUMOSAGRONUEVO"&amp;Tabla_Buffers_Agroinsumos[[#This Row],[CODIGO ]],TABLACONSOLIDADA[Bodega]&amp;TABLACONSOLIDADA[Codigo],0)),"")</f>
        <v/>
      </c>
      <c r="DG133" s="157" t="str">
        <f t="array" ref="DG13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3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33" s="134">
        <f>IFERROR(SUM(Tabla_Buffers_Agroinsumos[[#This Row],[AN-MP]:[AN-VL]]),"")</f>
        <v>0</v>
      </c>
      <c r="DJ133" s="92" t="str">
        <f>IFERROR(Tabla_Buffers_Agroinsumos[[#This Row],[INV FIS AN]]-Tabla_Buffers_Agroinsumos[[#This Row],[BUFFER AN]],"")</f>
        <v/>
      </c>
      <c r="DK13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33" s="134"/>
      <c r="DM133" s="134"/>
      <c r="DN133" s="134"/>
      <c r="DO133" s="134"/>
      <c r="DP133" s="134"/>
      <c r="DQ133" s="134"/>
      <c r="DR133" s="134"/>
      <c r="DS133" s="134"/>
      <c r="DT133" s="134"/>
      <c r="DU133" s="134" t="str">
        <f t="array" ref="DU133">IFERROR(INDEX(TABLACONSOLIDADA[Buff Act],MATCH("AGROINSUMOSAGROQUIMICOSSUR"&amp;Tabla_Buffers_Agroinsumos[[#This Row],[CODIGO ]],TABLACONSOLIDADA[Bodega]&amp;TABLACONSOLIDADA[Codigo],0)),"")</f>
        <v/>
      </c>
      <c r="DV133" s="157" t="str">
        <f t="array" ref="DV133">IFERROR(INDEX(TABLACONSOLIDADA[Inv Fís Act],MATCH("AGROINSUMOSAGROQUIMICOSSUR"&amp;Tabla_Buffers_Agroinsumos[[#This Row],[CODIGO ]],TABLACONSOLIDADA[Bodega]&amp;TABLACONSOLIDADA[Codigo],0)),"")</f>
        <v/>
      </c>
      <c r="DW133" s="157" t="str">
        <f t="array" ref="DW13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3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33" s="134">
        <f>IFERROR(SUM(Tabla_Buffers_Agroinsumos[[#This Row],[AS-MP]:[AS-VL]]),"")</f>
        <v>0</v>
      </c>
      <c r="DZ133" s="92" t="str">
        <f>IFERROR(Tabla_Buffers_Agroinsumos[[#This Row],[INV FIS AS]]-Tabla_Buffers_Agroinsumos[[#This Row],[BUFFER AS]],"")</f>
        <v/>
      </c>
      <c r="EA13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33" s="134"/>
      <c r="EC133" s="134"/>
      <c r="ED133" s="134"/>
      <c r="EE133" s="134"/>
      <c r="EF133" s="134"/>
      <c r="EG133" s="134"/>
      <c r="EH133" s="134"/>
      <c r="EI133" s="134"/>
      <c r="EJ133" s="134"/>
      <c r="EK133" s="134" t="str">
        <f t="array" ref="EK133">IFERROR(INDEX(TABLACONSOLIDADA[Buff Act],MATCH("AGROINSUMOSLAFINCA"&amp;Tabla_Buffers_Agroinsumos[[#This Row],[CODIGO ]],TABLACONSOLIDADA[Bodega]&amp;TABLACONSOLIDADA[Codigo],0)),"")</f>
        <v/>
      </c>
      <c r="EL133" s="157" t="str">
        <f t="array" ref="EL133">IFERROR(INDEX(TABLACONSOLIDADA[Inv Fís Act],MATCH("AGROINSUMOSLAFINCA"&amp;Tabla_Buffers_Agroinsumos[[#This Row],[CODIGO ]],TABLACONSOLIDADA[Bodega]&amp;TABLACONSOLIDADA[Codigo],0)),"")</f>
        <v/>
      </c>
      <c r="EM133" s="157" t="str">
        <f t="array" ref="EM13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3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33" s="134">
        <f>IFERROR(SUM(Tabla_Buffers_Agroinsumos[[#This Row],[LF-MP]:[LF-VL]]),"")</f>
        <v>0</v>
      </c>
      <c r="EP133" s="92" t="str">
        <f>IFERROR(Tabla_Buffers_Agroinsumos[[#This Row],[INV FIS LF]]-Tabla_Buffers_Agroinsumos[[#This Row],[BUFFER LF]],"")</f>
        <v/>
      </c>
      <c r="EQ13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33" s="134"/>
      <c r="ES133" s="134"/>
      <c r="ET133" s="134"/>
      <c r="EU133" s="134"/>
      <c r="EV133" s="134"/>
      <c r="EW133" s="134"/>
      <c r="EX133" s="134"/>
      <c r="EY133" s="134"/>
      <c r="EZ133" s="134"/>
      <c r="FA133" s="134" t="str">
        <f t="array" ref="FA133">IFERROR(INDEX(TABLACONSOLIDADA[Buff Act],MATCH("AGROINSUMOSVERONICALEDESMA"&amp;Tabla_Buffers_Agroinsumos[[#This Row],[CODIGO ]],TABLACONSOLIDADA[Bodega]&amp;TABLACONSOLIDADA[Codigo],0)),"")</f>
        <v/>
      </c>
      <c r="FB133" s="157" t="str">
        <f t="array" ref="FB133">IFERROR(INDEX(TABLACONSOLIDADA[Inv Fís Act],MATCH("AGROINSUMOSVERONICALEDESMA"&amp;Tabla_Buffers_Agroinsumos[[#This Row],[CODIGO ]],TABLACONSOLIDADA[Bodega]&amp;TABLACONSOLIDADA[Codigo],0)),"")</f>
        <v/>
      </c>
      <c r="FC133" s="157" t="str">
        <f t="array" ref="FC13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3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33" s="134">
        <f>IFERROR(SUM(Tabla_Buffers_Agroinsumos[[#This Row],[VL-MP]:[VL-LF]]),"")</f>
        <v>0</v>
      </c>
      <c r="FF133" s="92" t="str">
        <f>IFERROR(Tabla_Buffers_Agroinsumos[[#This Row],[INV FIS VL]]-Tabla_Buffers_Agroinsumos[[#This Row],[BUFFER VL]],"")</f>
        <v/>
      </c>
      <c r="FG13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33" s="134"/>
      <c r="FI133" s="134"/>
      <c r="FJ133" s="134"/>
      <c r="FK133" s="134"/>
      <c r="FL133" s="134"/>
      <c r="FM133" s="134"/>
      <c r="FN133" s="134"/>
      <c r="FO133" s="134"/>
      <c r="FP133" s="134"/>
    </row>
    <row r="134" spans="1:172">
      <c r="A134" s="7" t="s">
        <v>241</v>
      </c>
      <c r="B134" s="7" t="s">
        <v>242</v>
      </c>
      <c r="C134" s="7" t="s">
        <v>710</v>
      </c>
      <c r="D134" s="7" t="s">
        <v>718</v>
      </c>
      <c r="E134" s="7" t="s">
        <v>863</v>
      </c>
      <c r="F134" s="19" t="s">
        <v>810</v>
      </c>
      <c r="G134" s="19" t="s">
        <v>802</v>
      </c>
      <c r="H134" s="19">
        <f>VLOOKUP(Tabla_Buffers_Agroinsumos[[#This Row],[CODIGO ]],TABLACONSOLIDADA[[Codigo]:[PV]],6,0)</f>
        <v>0</v>
      </c>
      <c r="I134" s="19">
        <f>VLOOKUP(Tabla_Buffers_Agroinsumos[[#This Row],[CODIGO ]],TABLACONSOLIDADA[[Codigo]:[PV]],5,0)</f>
        <v>0.39</v>
      </c>
      <c r="J134" s="19">
        <v>4</v>
      </c>
      <c r="K134" s="19">
        <v>4</v>
      </c>
      <c r="L134" s="19">
        <f>IFERROR(Tabla_Buffers_Agroinsumos[[#This Row],[BUFFER CENTRAL]]/((Tabla_Buffers_Agroinsumos[[#This Row],[TIEMPO REPOSICION ]]/Tabla_Buffers_Agroinsumos[[#This Row],[FRECUENCIA]])+1),0)</f>
        <v>0</v>
      </c>
      <c r="M134" s="19">
        <f t="array" ref="M134">IFERROR(INDEX(TABLACONSOLIDADA[Buff Act],MATCH("AGROINSUMOSMATERIAPRIMA"&amp;Tabla_Buffers_Agroinsumos[[#This Row],[CODIGO ]],TABLACONSOLIDADA[Bodega]&amp;TABLACONSOLIDADA[Codigo],0)),"")</f>
        <v>0</v>
      </c>
      <c r="N134" s="157">
        <f t="array" ref="N134">IFERROR(INDEX(TABLACONSOLIDADA[Inv Fís Act],MATCH("AGROINSUMOSMATERIAPRIMA"&amp;Tabla_Buffers_Agroinsumos[[#This Row],[CODIGO ]],TABLACONSOLIDADA[Bodega]&amp;TABLACONSOLIDADA[Codigo],0)),"")</f>
        <v>410</v>
      </c>
      <c r="O134" s="157">
        <f t="array" ref="O13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410</v>
      </c>
      <c r="P13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34" s="19">
        <f>IFERROR(SUM(Tabla_Buffers_Agroinsumos[[#This Row],[MP-C]:[MP-VL]]),"")</f>
        <v>0</v>
      </c>
      <c r="R134" s="92">
        <f>IFERROR(Tabla_Buffers_Agroinsumos[[#This Row],[INV FIS MATERIA PRIMA]]-Tabla_Buffers_Agroinsumos[[#This Row],[BUFFER MATERIA PRIMA]],"")</f>
        <v>410</v>
      </c>
      <c r="S13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410</v>
      </c>
      <c r="T134" s="19"/>
      <c r="U134" s="19"/>
      <c r="V134" s="19"/>
      <c r="W134" s="19"/>
      <c r="X134" s="19"/>
      <c r="Y134" s="19"/>
      <c r="Z134" s="19"/>
      <c r="AA134" s="19"/>
      <c r="AB134" s="19"/>
      <c r="AC134" s="152" t="str">
        <f t="array" ref="AC134">IFERROR(INDEX(TABLACONSOLIDADA[Buff Act],MATCH("AGROINSUMOSCENTRAL"&amp;Tabla_Buffers_Agroinsumos[[#This Row],[CODIGO ]],TABLACONSOLIDADA[Bodega]&amp;TABLACONSOLIDADA[Codigo],0)),"")</f>
        <v/>
      </c>
      <c r="AD134" s="157" t="str">
        <f t="array" ref="AD134">IFERROR(INDEX(TABLACONSOLIDADA[Inv Fís Act],MATCH("AGROINSUMOSCENTRAL"&amp;Tabla_Buffers_Agroinsumos[[#This Row],[CODIGO ]],TABLACONSOLIDADA[Bodega]&amp;TABLACONSOLIDADA[Codigo],0)),"")</f>
        <v/>
      </c>
      <c r="AE134" s="157" t="str">
        <f t="array" ref="AE13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3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34" s="91">
        <f>IFERROR(SUM(Tabla_Buffers_Agroinsumos[[#This Row],[C-MP]:[C-VL]]),"")</f>
        <v>0</v>
      </c>
      <c r="AH134" s="92" t="str">
        <f>IFERROR(Tabla_Buffers_Agroinsumos[[#This Row],[INV FIS CENTRAL]]-Tabla_Buffers_Agroinsumos[[#This Row],[BUFFER CENTRAL]],"")</f>
        <v/>
      </c>
      <c r="AI13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34" s="134"/>
      <c r="AK134" s="134"/>
      <c r="AL134" s="134"/>
      <c r="AM134" s="134"/>
      <c r="AN134" s="134"/>
      <c r="AO134" s="134"/>
      <c r="AP134" s="134"/>
      <c r="AQ134" s="134"/>
      <c r="AR134" s="134"/>
      <c r="AS134" s="134" t="str">
        <f t="array" ref="AS134">IFERROR(INDEX(TABLACONSOLIDADA[Buff Act],MATCH("AGROINSUMOScentralPROPIA"&amp;Tabla_Buffers_Agroinsumos[[#This Row],[CODIGO ]],TABLACONSOLIDADA[Bodega]&amp;TABLACONSOLIDADA[Codigo],0)),"")</f>
        <v/>
      </c>
      <c r="AT134" s="157" t="str">
        <f t="array" ref="AT134">IFERROR(INDEX(TABLACONSOLIDADA[Inv Fís Act],MATCH("AGROINSUMOScentralPROPIA"&amp;Tabla_Buffers_Agroinsumos[[#This Row],[CODIGO ]],TABLACONSOLIDADA[Bodega]&amp;TABLACONSOLIDADA[Codigo],0)),"")</f>
        <v/>
      </c>
      <c r="AU134" s="157" t="str">
        <f t="array" ref="AU13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3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34" s="134">
        <f>IFERROR(SUM(Tabla_Buffers_Agroinsumos[[#This Row],[P-MP]:[P-VL]]),"")</f>
        <v>0</v>
      </c>
      <c r="AX134" s="92" t="str">
        <f>IFERROR(Tabla_Buffers_Agroinsumos[[#This Row],[INV FIS PROPIA]]-Tabla_Buffers_Agroinsumos[[#This Row],[BUFFER PROPIA]],"")</f>
        <v/>
      </c>
      <c r="AY13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34" s="134"/>
      <c r="BA134" s="134"/>
      <c r="BB134" s="134"/>
      <c r="BC134" s="134"/>
      <c r="BD134" s="134"/>
      <c r="BE134" s="134"/>
      <c r="BF134" s="134"/>
      <c r="BG134" s="134"/>
      <c r="BH134" s="134"/>
      <c r="BI134" s="91" t="str">
        <f t="array" ref="BI134">IFERROR(INDEX(TABLACONSOLIDADA[Buff Act],MATCH("AGROINSUMOSSTODOMINGO"&amp;Tabla_Buffers_Agroinsumos[[#This Row],[CODIGO ]],TABLACONSOLIDADA[Bodega]&amp;TABLACONSOLIDADA[Codigo],0)),"")</f>
        <v/>
      </c>
      <c r="BJ134" s="157" t="str">
        <f t="array" ref="BJ134">IFERROR(INDEX(TABLACONSOLIDADA[Inv Fís Act],MATCH("AGROINSUMOSSTODOMINGO"&amp;Tabla_Buffers_Agroinsumos[[#This Row],[CODIGO ]],TABLACONSOLIDADA[Bodega]&amp;TABLACONSOLIDADA[Codigo],0)),"")</f>
        <v/>
      </c>
      <c r="BK134" s="157" t="str">
        <f t="array" ref="BK13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3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34" s="91">
        <f>IFERROR(SUM(Tabla_Buffers_Agroinsumos[[#This Row],[SD-MP]:[SD-VL]]),"")</f>
        <v>0</v>
      </c>
      <c r="BN134" s="92"/>
      <c r="BO134" s="92"/>
      <c r="BP134" s="134"/>
      <c r="BQ134" s="134"/>
      <c r="BR134" s="134"/>
      <c r="BS134" s="134"/>
      <c r="BT134" s="134"/>
      <c r="BU134" s="134"/>
      <c r="BV134" s="134"/>
      <c r="BW134" s="134"/>
      <c r="BX134" s="134"/>
      <c r="BY134" s="134" t="str">
        <f t="array" ref="BY134">IFERROR(INDEX(TABLACONSOLIDADA[Buff Act],MATCH("AGROINSUMOSMONCAYOLOPEZ"&amp;Tabla_Buffers_Agroinsumos[[#This Row],[CODIGO ]],TABLACONSOLIDADA[Bodega]&amp;TABLACONSOLIDADA[Codigo],0)),"")</f>
        <v/>
      </c>
      <c r="BZ134" s="157" t="str">
        <f t="array" ref="BZ134">IFERROR(INDEX(TABLACONSOLIDADA[Inv Fís Act],MATCH("AGROINSUMOSMONCAYOLOPEZ"&amp;Tabla_Buffers_Agroinsumos[[#This Row],[CODIGO ]],TABLACONSOLIDADA[Bodega]&amp;TABLACONSOLIDADA[Codigo],0)),"")</f>
        <v/>
      </c>
      <c r="CA134" s="157" t="str">
        <f t="array" ref="CA13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3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34" s="134">
        <f>IFERROR(SUM(Tabla_Buffers_Agroinsumos[[#This Row],[ML-MP]:[ML-VL]]),"")</f>
        <v>0</v>
      </c>
      <c r="CD134" s="92" t="str">
        <f>IFERROR(Tabla_Buffers_Agroinsumos[[#This Row],[INV FIS ML]]-Tabla_Buffers_Agroinsumos[[#This Row],[BUFFER ML]],"")</f>
        <v/>
      </c>
      <c r="CE13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34" s="134"/>
      <c r="CG134" s="134"/>
      <c r="CH134" s="134"/>
      <c r="CI134" s="134"/>
      <c r="CJ134" s="134"/>
      <c r="CK134" s="134"/>
      <c r="CL134" s="134"/>
      <c r="CM134" s="134"/>
      <c r="CN134" s="134"/>
      <c r="CO134" s="134" t="str">
        <f t="array" ref="CO134">IFERROR(INDEX(TABLACONSOLIDADA[Buff Act],MATCH("AGROINSUMOSAGROHERMANOSLEON"&amp;Tabla_Buffers_Agroinsumos[[#This Row],[CODIGO ]],TABLACONSOLIDADA[Bodega]&amp;TABLACONSOLIDADA[Codigo],0)),"")</f>
        <v/>
      </c>
      <c r="CP134" s="157" t="str">
        <f t="array" ref="CP134">IFERROR(INDEX(TABLACONSOLIDADA[Inv Fís Act],MATCH("AGROINSUMOSAGROHERMANOSLEON"&amp;Tabla_Buffers_Agroinsumos[[#This Row],[CODIGO ]],TABLACONSOLIDADA[Bodega]&amp;TABLACONSOLIDADA[Codigo],0)),"")</f>
        <v/>
      </c>
      <c r="CQ134" s="157" t="str">
        <f t="array" ref="CQ13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3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34" s="134">
        <f>IFERROR(SUM(Tabla_Buffers_Agroinsumos[[#This Row],[AL-MP]:[AL-VL]]),"")</f>
        <v>0</v>
      </c>
      <c r="CT134" s="92" t="str">
        <f>IFERROR(Tabla_Buffers_Agroinsumos[[#This Row],[INV FIS AL]]-Tabla_Buffers_Agroinsumos[[#This Row],[BUFFER AL]],"")</f>
        <v/>
      </c>
      <c r="CU13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34" s="134"/>
      <c r="CW134" s="134"/>
      <c r="CX134" s="134"/>
      <c r="CY134" s="134"/>
      <c r="CZ134" s="134"/>
      <c r="DA134" s="134"/>
      <c r="DB134" s="134"/>
      <c r="DC134" s="134"/>
      <c r="DD134" s="134"/>
      <c r="DE134" s="134" t="str">
        <f t="array" ref="DE134">IFERROR(INDEX(TABLACONSOLIDADA[Buff Act],MATCH("AGROINSUMOSAGRONUEVO"&amp;Tabla_Buffers_Agroinsumos[[#This Row],[CODIGO ]],TABLACONSOLIDADA[Bodega]&amp;TABLACONSOLIDADA[Codigo],0)),"")</f>
        <v/>
      </c>
      <c r="DF134" s="157" t="str">
        <f t="array" ref="DF134">IFERROR(INDEX(TABLACONSOLIDADA[Inv Fís Act],MATCH("AGROINSUMOSAGRONUEVO"&amp;Tabla_Buffers_Agroinsumos[[#This Row],[CODIGO ]],TABLACONSOLIDADA[Bodega]&amp;TABLACONSOLIDADA[Codigo],0)),"")</f>
        <v/>
      </c>
      <c r="DG134" s="157" t="str">
        <f t="array" ref="DG13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3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34" s="134">
        <f>IFERROR(SUM(Tabla_Buffers_Agroinsumos[[#This Row],[AN-MP]:[AN-VL]]),"")</f>
        <v>0</v>
      </c>
      <c r="DJ134" s="92" t="str">
        <f>IFERROR(Tabla_Buffers_Agroinsumos[[#This Row],[INV FIS AN]]-Tabla_Buffers_Agroinsumos[[#This Row],[BUFFER AN]],"")</f>
        <v/>
      </c>
      <c r="DK13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34" s="134"/>
      <c r="DM134" s="134"/>
      <c r="DN134" s="134"/>
      <c r="DO134" s="134"/>
      <c r="DP134" s="134"/>
      <c r="DQ134" s="134"/>
      <c r="DR134" s="134"/>
      <c r="DS134" s="134"/>
      <c r="DT134" s="134"/>
      <c r="DU134" s="134" t="str">
        <f t="array" ref="DU134">IFERROR(INDEX(TABLACONSOLIDADA[Buff Act],MATCH("AGROINSUMOSAGROQUIMICOSSUR"&amp;Tabla_Buffers_Agroinsumos[[#This Row],[CODIGO ]],TABLACONSOLIDADA[Bodega]&amp;TABLACONSOLIDADA[Codigo],0)),"")</f>
        <v/>
      </c>
      <c r="DV134" s="157" t="str">
        <f t="array" ref="DV134">IFERROR(INDEX(TABLACONSOLIDADA[Inv Fís Act],MATCH("AGROINSUMOSAGROQUIMICOSSUR"&amp;Tabla_Buffers_Agroinsumos[[#This Row],[CODIGO ]],TABLACONSOLIDADA[Bodega]&amp;TABLACONSOLIDADA[Codigo],0)),"")</f>
        <v/>
      </c>
      <c r="DW134" s="157" t="str">
        <f t="array" ref="DW13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3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34" s="134">
        <f>IFERROR(SUM(Tabla_Buffers_Agroinsumos[[#This Row],[AS-MP]:[AS-VL]]),"")</f>
        <v>0</v>
      </c>
      <c r="DZ134" s="92" t="str">
        <f>IFERROR(Tabla_Buffers_Agroinsumos[[#This Row],[INV FIS AS]]-Tabla_Buffers_Agroinsumos[[#This Row],[BUFFER AS]],"")</f>
        <v/>
      </c>
      <c r="EA13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34" s="134"/>
      <c r="EC134" s="134"/>
      <c r="ED134" s="134"/>
      <c r="EE134" s="134"/>
      <c r="EF134" s="134"/>
      <c r="EG134" s="134"/>
      <c r="EH134" s="134"/>
      <c r="EI134" s="134"/>
      <c r="EJ134" s="134"/>
      <c r="EK134" s="134" t="str">
        <f t="array" ref="EK134">IFERROR(INDEX(TABLACONSOLIDADA[Buff Act],MATCH("AGROINSUMOSLAFINCA"&amp;Tabla_Buffers_Agroinsumos[[#This Row],[CODIGO ]],TABLACONSOLIDADA[Bodega]&amp;TABLACONSOLIDADA[Codigo],0)),"")</f>
        <v/>
      </c>
      <c r="EL134" s="157" t="str">
        <f t="array" ref="EL134">IFERROR(INDEX(TABLACONSOLIDADA[Inv Fís Act],MATCH("AGROINSUMOSLAFINCA"&amp;Tabla_Buffers_Agroinsumos[[#This Row],[CODIGO ]],TABLACONSOLIDADA[Bodega]&amp;TABLACONSOLIDADA[Codigo],0)),"")</f>
        <v/>
      </c>
      <c r="EM134" s="157" t="str">
        <f t="array" ref="EM13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3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34" s="134">
        <f>IFERROR(SUM(Tabla_Buffers_Agroinsumos[[#This Row],[LF-MP]:[LF-VL]]),"")</f>
        <v>0</v>
      </c>
      <c r="EP134" s="92" t="str">
        <f>IFERROR(Tabla_Buffers_Agroinsumos[[#This Row],[INV FIS LF]]-Tabla_Buffers_Agroinsumos[[#This Row],[BUFFER LF]],"")</f>
        <v/>
      </c>
      <c r="EQ13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34" s="134"/>
      <c r="ES134" s="134"/>
      <c r="ET134" s="134"/>
      <c r="EU134" s="134"/>
      <c r="EV134" s="134"/>
      <c r="EW134" s="134"/>
      <c r="EX134" s="134"/>
      <c r="EY134" s="134"/>
      <c r="EZ134" s="134"/>
      <c r="FA134" s="134" t="str">
        <f t="array" ref="FA134">IFERROR(INDEX(TABLACONSOLIDADA[Buff Act],MATCH("AGROINSUMOSVERONICALEDESMA"&amp;Tabla_Buffers_Agroinsumos[[#This Row],[CODIGO ]],TABLACONSOLIDADA[Bodega]&amp;TABLACONSOLIDADA[Codigo],0)),"")</f>
        <v/>
      </c>
      <c r="FB134" s="157" t="str">
        <f t="array" ref="FB134">IFERROR(INDEX(TABLACONSOLIDADA[Inv Fís Act],MATCH("AGROINSUMOSVERONICALEDESMA"&amp;Tabla_Buffers_Agroinsumos[[#This Row],[CODIGO ]],TABLACONSOLIDADA[Bodega]&amp;TABLACONSOLIDADA[Codigo],0)),"")</f>
        <v/>
      </c>
      <c r="FC134" s="157" t="str">
        <f t="array" ref="FC13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3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34" s="134">
        <f>IFERROR(SUM(Tabla_Buffers_Agroinsumos[[#This Row],[VL-MP]:[VL-LF]]),"")</f>
        <v>0</v>
      </c>
      <c r="FF134" s="92" t="str">
        <f>IFERROR(Tabla_Buffers_Agroinsumos[[#This Row],[INV FIS VL]]-Tabla_Buffers_Agroinsumos[[#This Row],[BUFFER VL]],"")</f>
        <v/>
      </c>
      <c r="FG13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34" s="134"/>
      <c r="FI134" s="134"/>
      <c r="FJ134" s="134"/>
      <c r="FK134" s="134"/>
      <c r="FL134" s="134"/>
      <c r="FM134" s="134"/>
      <c r="FN134" s="134"/>
      <c r="FO134" s="134"/>
      <c r="FP134" s="134"/>
    </row>
    <row r="135" spans="1:172">
      <c r="A135" s="7" t="s">
        <v>243</v>
      </c>
      <c r="B135" s="7" t="s">
        <v>244</v>
      </c>
      <c r="C135" s="7" t="s">
        <v>710</v>
      </c>
      <c r="D135" s="7" t="s">
        <v>718</v>
      </c>
      <c r="E135" s="7" t="s">
        <v>863</v>
      </c>
      <c r="F135" s="19" t="s">
        <v>810</v>
      </c>
      <c r="G135" s="19" t="s">
        <v>802</v>
      </c>
      <c r="H135" s="19">
        <f>VLOOKUP(Tabla_Buffers_Agroinsumos[[#This Row],[CODIGO ]],TABLACONSOLIDADA[[Codigo]:[PV]],6,0)</f>
        <v>0</v>
      </c>
      <c r="I135" s="19">
        <f>VLOOKUP(Tabla_Buffers_Agroinsumos[[#This Row],[CODIGO ]],TABLACONSOLIDADA[[Codigo]:[PV]],5,0)</f>
        <v>0.31</v>
      </c>
      <c r="J135" s="19">
        <v>4</v>
      </c>
      <c r="K135" s="19">
        <v>4</v>
      </c>
      <c r="L135" s="19">
        <f>IFERROR(Tabla_Buffers_Agroinsumos[[#This Row],[BUFFER CENTRAL]]/((Tabla_Buffers_Agroinsumos[[#This Row],[TIEMPO REPOSICION ]]/Tabla_Buffers_Agroinsumos[[#This Row],[FRECUENCIA]])+1),0)</f>
        <v>0</v>
      </c>
      <c r="M135" s="19">
        <f t="array" ref="M135">IFERROR(INDEX(TABLACONSOLIDADA[Buff Act],MATCH("AGROINSUMOSMATERIAPRIMA"&amp;Tabla_Buffers_Agroinsumos[[#This Row],[CODIGO ]],TABLACONSOLIDADA[Bodega]&amp;TABLACONSOLIDADA[Codigo],0)),"")</f>
        <v>0</v>
      </c>
      <c r="N135" s="157">
        <f t="array" ref="N135">IFERROR(INDEX(TABLACONSOLIDADA[Inv Fís Act],MATCH("AGROINSUMOSMATERIAPRIMA"&amp;Tabla_Buffers_Agroinsumos[[#This Row],[CODIGO ]],TABLACONSOLIDADA[Bodega]&amp;TABLACONSOLIDADA[Codigo],0)),"")</f>
        <v>423</v>
      </c>
      <c r="O135" s="157">
        <f t="array" ref="O13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423</v>
      </c>
      <c r="P13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35" s="19">
        <f>IFERROR(SUM(Tabla_Buffers_Agroinsumos[[#This Row],[MP-C]:[MP-VL]]),"")</f>
        <v>0</v>
      </c>
      <c r="R135" s="92">
        <f>IFERROR(Tabla_Buffers_Agroinsumos[[#This Row],[INV FIS MATERIA PRIMA]]-Tabla_Buffers_Agroinsumos[[#This Row],[BUFFER MATERIA PRIMA]],"")</f>
        <v>423</v>
      </c>
      <c r="S13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423</v>
      </c>
      <c r="T135" s="19"/>
      <c r="U135" s="19"/>
      <c r="V135" s="19"/>
      <c r="W135" s="19"/>
      <c r="X135" s="19"/>
      <c r="Y135" s="19"/>
      <c r="Z135" s="19"/>
      <c r="AA135" s="19"/>
      <c r="AB135" s="19"/>
      <c r="AC135" s="152" t="str">
        <f t="array" ref="AC135">IFERROR(INDEX(TABLACONSOLIDADA[Buff Act],MATCH("AGROINSUMOSCENTRAL"&amp;Tabla_Buffers_Agroinsumos[[#This Row],[CODIGO ]],TABLACONSOLIDADA[Bodega]&amp;TABLACONSOLIDADA[Codigo],0)),"")</f>
        <v/>
      </c>
      <c r="AD135" s="157" t="str">
        <f t="array" ref="AD135">IFERROR(INDEX(TABLACONSOLIDADA[Inv Fís Act],MATCH("AGROINSUMOSCENTRAL"&amp;Tabla_Buffers_Agroinsumos[[#This Row],[CODIGO ]],TABLACONSOLIDADA[Bodega]&amp;TABLACONSOLIDADA[Codigo],0)),"")</f>
        <v/>
      </c>
      <c r="AE135" s="157" t="str">
        <f t="array" ref="AE13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3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35" s="91">
        <f>IFERROR(SUM(Tabla_Buffers_Agroinsumos[[#This Row],[C-MP]:[C-VL]]),"")</f>
        <v>0</v>
      </c>
      <c r="AH135" s="92" t="str">
        <f>IFERROR(Tabla_Buffers_Agroinsumos[[#This Row],[INV FIS CENTRAL]]-Tabla_Buffers_Agroinsumos[[#This Row],[BUFFER CENTRAL]],"")</f>
        <v/>
      </c>
      <c r="AI13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35" s="134"/>
      <c r="AK135" s="134"/>
      <c r="AL135" s="134"/>
      <c r="AM135" s="134"/>
      <c r="AN135" s="134"/>
      <c r="AO135" s="134"/>
      <c r="AP135" s="134"/>
      <c r="AQ135" s="134"/>
      <c r="AR135" s="134"/>
      <c r="AS135" s="134" t="str">
        <f t="array" ref="AS135">IFERROR(INDEX(TABLACONSOLIDADA[Buff Act],MATCH("AGROINSUMOScentralPROPIA"&amp;Tabla_Buffers_Agroinsumos[[#This Row],[CODIGO ]],TABLACONSOLIDADA[Bodega]&amp;TABLACONSOLIDADA[Codigo],0)),"")</f>
        <v/>
      </c>
      <c r="AT135" s="157" t="str">
        <f t="array" ref="AT135">IFERROR(INDEX(TABLACONSOLIDADA[Inv Fís Act],MATCH("AGROINSUMOScentralPROPIA"&amp;Tabla_Buffers_Agroinsumos[[#This Row],[CODIGO ]],TABLACONSOLIDADA[Bodega]&amp;TABLACONSOLIDADA[Codigo],0)),"")</f>
        <v/>
      </c>
      <c r="AU135" s="157" t="str">
        <f t="array" ref="AU13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3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35" s="134">
        <f>IFERROR(SUM(Tabla_Buffers_Agroinsumos[[#This Row],[P-MP]:[P-VL]]),"")</f>
        <v>0</v>
      </c>
      <c r="AX135" s="92" t="str">
        <f>IFERROR(Tabla_Buffers_Agroinsumos[[#This Row],[INV FIS PROPIA]]-Tabla_Buffers_Agroinsumos[[#This Row],[BUFFER PROPIA]],"")</f>
        <v/>
      </c>
      <c r="AY13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35" s="134"/>
      <c r="BA135" s="134"/>
      <c r="BB135" s="134"/>
      <c r="BC135" s="134"/>
      <c r="BD135" s="134"/>
      <c r="BE135" s="134"/>
      <c r="BF135" s="134"/>
      <c r="BG135" s="134"/>
      <c r="BH135" s="134"/>
      <c r="BI135" s="91" t="str">
        <f t="array" ref="BI135">IFERROR(INDEX(TABLACONSOLIDADA[Buff Act],MATCH("AGROINSUMOSSTODOMINGO"&amp;Tabla_Buffers_Agroinsumos[[#This Row],[CODIGO ]],TABLACONSOLIDADA[Bodega]&amp;TABLACONSOLIDADA[Codigo],0)),"")</f>
        <v/>
      </c>
      <c r="BJ135" s="157" t="str">
        <f t="array" ref="BJ135">IFERROR(INDEX(TABLACONSOLIDADA[Inv Fís Act],MATCH("AGROINSUMOSSTODOMINGO"&amp;Tabla_Buffers_Agroinsumos[[#This Row],[CODIGO ]],TABLACONSOLIDADA[Bodega]&amp;TABLACONSOLIDADA[Codigo],0)),"")</f>
        <v/>
      </c>
      <c r="BK135" s="157" t="str">
        <f t="array" ref="BK13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3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35" s="91">
        <f>IFERROR(SUM(Tabla_Buffers_Agroinsumos[[#This Row],[SD-MP]:[SD-VL]]),"")</f>
        <v>0</v>
      </c>
      <c r="BN135" s="92"/>
      <c r="BO135" s="92"/>
      <c r="BP135" s="134"/>
      <c r="BQ135" s="134"/>
      <c r="BR135" s="134"/>
      <c r="BS135" s="134"/>
      <c r="BT135" s="134"/>
      <c r="BU135" s="134"/>
      <c r="BV135" s="134"/>
      <c r="BW135" s="134"/>
      <c r="BX135" s="134"/>
      <c r="BY135" s="134" t="str">
        <f t="array" ref="BY135">IFERROR(INDEX(TABLACONSOLIDADA[Buff Act],MATCH("AGROINSUMOSMONCAYOLOPEZ"&amp;Tabla_Buffers_Agroinsumos[[#This Row],[CODIGO ]],TABLACONSOLIDADA[Bodega]&amp;TABLACONSOLIDADA[Codigo],0)),"")</f>
        <v/>
      </c>
      <c r="BZ135" s="157" t="str">
        <f t="array" ref="BZ135">IFERROR(INDEX(TABLACONSOLIDADA[Inv Fís Act],MATCH("AGROINSUMOSMONCAYOLOPEZ"&amp;Tabla_Buffers_Agroinsumos[[#This Row],[CODIGO ]],TABLACONSOLIDADA[Bodega]&amp;TABLACONSOLIDADA[Codigo],0)),"")</f>
        <v/>
      </c>
      <c r="CA135" s="157" t="str">
        <f t="array" ref="CA13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3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35" s="134">
        <f>IFERROR(SUM(Tabla_Buffers_Agroinsumos[[#This Row],[ML-MP]:[ML-VL]]),"")</f>
        <v>0</v>
      </c>
      <c r="CD135" s="92" t="str">
        <f>IFERROR(Tabla_Buffers_Agroinsumos[[#This Row],[INV FIS ML]]-Tabla_Buffers_Agroinsumos[[#This Row],[BUFFER ML]],"")</f>
        <v/>
      </c>
      <c r="CE13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35" s="134"/>
      <c r="CG135" s="134"/>
      <c r="CH135" s="134"/>
      <c r="CI135" s="134"/>
      <c r="CJ135" s="134"/>
      <c r="CK135" s="134"/>
      <c r="CL135" s="134"/>
      <c r="CM135" s="134"/>
      <c r="CN135" s="134"/>
      <c r="CO135" s="134" t="str">
        <f t="array" ref="CO135">IFERROR(INDEX(TABLACONSOLIDADA[Buff Act],MATCH("AGROINSUMOSAGROHERMANOSLEON"&amp;Tabla_Buffers_Agroinsumos[[#This Row],[CODIGO ]],TABLACONSOLIDADA[Bodega]&amp;TABLACONSOLIDADA[Codigo],0)),"")</f>
        <v/>
      </c>
      <c r="CP135" s="157" t="str">
        <f t="array" ref="CP135">IFERROR(INDEX(TABLACONSOLIDADA[Inv Fís Act],MATCH("AGROINSUMOSAGROHERMANOSLEON"&amp;Tabla_Buffers_Agroinsumos[[#This Row],[CODIGO ]],TABLACONSOLIDADA[Bodega]&amp;TABLACONSOLIDADA[Codigo],0)),"")</f>
        <v/>
      </c>
      <c r="CQ135" s="157" t="str">
        <f t="array" ref="CQ13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3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35" s="134">
        <f>IFERROR(SUM(Tabla_Buffers_Agroinsumos[[#This Row],[AL-MP]:[AL-VL]]),"")</f>
        <v>0</v>
      </c>
      <c r="CT135" s="92" t="str">
        <f>IFERROR(Tabla_Buffers_Agroinsumos[[#This Row],[INV FIS AL]]-Tabla_Buffers_Agroinsumos[[#This Row],[BUFFER AL]],"")</f>
        <v/>
      </c>
      <c r="CU13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35" s="134"/>
      <c r="CW135" s="134"/>
      <c r="CX135" s="134"/>
      <c r="CY135" s="134"/>
      <c r="CZ135" s="134"/>
      <c r="DA135" s="134"/>
      <c r="DB135" s="134"/>
      <c r="DC135" s="134"/>
      <c r="DD135" s="134"/>
      <c r="DE135" s="134" t="str">
        <f t="array" ref="DE135">IFERROR(INDEX(TABLACONSOLIDADA[Buff Act],MATCH("AGROINSUMOSAGRONUEVO"&amp;Tabla_Buffers_Agroinsumos[[#This Row],[CODIGO ]],TABLACONSOLIDADA[Bodega]&amp;TABLACONSOLIDADA[Codigo],0)),"")</f>
        <v/>
      </c>
      <c r="DF135" s="157" t="str">
        <f t="array" ref="DF135">IFERROR(INDEX(TABLACONSOLIDADA[Inv Fís Act],MATCH("AGROINSUMOSAGRONUEVO"&amp;Tabla_Buffers_Agroinsumos[[#This Row],[CODIGO ]],TABLACONSOLIDADA[Bodega]&amp;TABLACONSOLIDADA[Codigo],0)),"")</f>
        <v/>
      </c>
      <c r="DG135" s="157" t="str">
        <f t="array" ref="DG13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3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35" s="134">
        <f>IFERROR(SUM(Tabla_Buffers_Agroinsumos[[#This Row],[AN-MP]:[AN-VL]]),"")</f>
        <v>0</v>
      </c>
      <c r="DJ135" s="92" t="str">
        <f>IFERROR(Tabla_Buffers_Agroinsumos[[#This Row],[INV FIS AN]]-Tabla_Buffers_Agroinsumos[[#This Row],[BUFFER AN]],"")</f>
        <v/>
      </c>
      <c r="DK13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35" s="134"/>
      <c r="DM135" s="134"/>
      <c r="DN135" s="134"/>
      <c r="DO135" s="134"/>
      <c r="DP135" s="134"/>
      <c r="DQ135" s="134"/>
      <c r="DR135" s="134"/>
      <c r="DS135" s="134"/>
      <c r="DT135" s="134"/>
      <c r="DU135" s="134" t="str">
        <f t="array" ref="DU135">IFERROR(INDEX(TABLACONSOLIDADA[Buff Act],MATCH("AGROINSUMOSAGROQUIMICOSSUR"&amp;Tabla_Buffers_Agroinsumos[[#This Row],[CODIGO ]],TABLACONSOLIDADA[Bodega]&amp;TABLACONSOLIDADA[Codigo],0)),"")</f>
        <v/>
      </c>
      <c r="DV135" s="157" t="str">
        <f t="array" ref="DV135">IFERROR(INDEX(TABLACONSOLIDADA[Inv Fís Act],MATCH("AGROINSUMOSAGROQUIMICOSSUR"&amp;Tabla_Buffers_Agroinsumos[[#This Row],[CODIGO ]],TABLACONSOLIDADA[Bodega]&amp;TABLACONSOLIDADA[Codigo],0)),"")</f>
        <v/>
      </c>
      <c r="DW135" s="157" t="str">
        <f t="array" ref="DW13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3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35" s="134">
        <f>IFERROR(SUM(Tabla_Buffers_Agroinsumos[[#This Row],[AS-MP]:[AS-VL]]),"")</f>
        <v>0</v>
      </c>
      <c r="DZ135" s="92" t="str">
        <f>IFERROR(Tabla_Buffers_Agroinsumos[[#This Row],[INV FIS AS]]-Tabla_Buffers_Agroinsumos[[#This Row],[BUFFER AS]],"")</f>
        <v/>
      </c>
      <c r="EA13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35" s="134"/>
      <c r="EC135" s="134"/>
      <c r="ED135" s="134"/>
      <c r="EE135" s="134"/>
      <c r="EF135" s="134"/>
      <c r="EG135" s="134"/>
      <c r="EH135" s="134"/>
      <c r="EI135" s="134"/>
      <c r="EJ135" s="134"/>
      <c r="EK135" s="134" t="str">
        <f t="array" ref="EK135">IFERROR(INDEX(TABLACONSOLIDADA[Buff Act],MATCH("AGROINSUMOSLAFINCA"&amp;Tabla_Buffers_Agroinsumos[[#This Row],[CODIGO ]],TABLACONSOLIDADA[Bodega]&amp;TABLACONSOLIDADA[Codigo],0)),"")</f>
        <v/>
      </c>
      <c r="EL135" s="157" t="str">
        <f t="array" ref="EL135">IFERROR(INDEX(TABLACONSOLIDADA[Inv Fís Act],MATCH("AGROINSUMOSLAFINCA"&amp;Tabla_Buffers_Agroinsumos[[#This Row],[CODIGO ]],TABLACONSOLIDADA[Bodega]&amp;TABLACONSOLIDADA[Codigo],0)),"")</f>
        <v/>
      </c>
      <c r="EM135" s="157" t="str">
        <f t="array" ref="EM13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3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35" s="134">
        <f>IFERROR(SUM(Tabla_Buffers_Agroinsumos[[#This Row],[LF-MP]:[LF-VL]]),"")</f>
        <v>0</v>
      </c>
      <c r="EP135" s="92" t="str">
        <f>IFERROR(Tabla_Buffers_Agroinsumos[[#This Row],[INV FIS LF]]-Tabla_Buffers_Agroinsumos[[#This Row],[BUFFER LF]],"")</f>
        <v/>
      </c>
      <c r="EQ13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35" s="134"/>
      <c r="ES135" s="134"/>
      <c r="ET135" s="134"/>
      <c r="EU135" s="134"/>
      <c r="EV135" s="134"/>
      <c r="EW135" s="134"/>
      <c r="EX135" s="134"/>
      <c r="EY135" s="134"/>
      <c r="EZ135" s="134"/>
      <c r="FA135" s="134" t="str">
        <f t="array" ref="FA135">IFERROR(INDEX(TABLACONSOLIDADA[Buff Act],MATCH("AGROINSUMOSVERONICALEDESMA"&amp;Tabla_Buffers_Agroinsumos[[#This Row],[CODIGO ]],TABLACONSOLIDADA[Bodega]&amp;TABLACONSOLIDADA[Codigo],0)),"")</f>
        <v/>
      </c>
      <c r="FB135" s="157" t="str">
        <f t="array" ref="FB135">IFERROR(INDEX(TABLACONSOLIDADA[Inv Fís Act],MATCH("AGROINSUMOSVERONICALEDESMA"&amp;Tabla_Buffers_Agroinsumos[[#This Row],[CODIGO ]],TABLACONSOLIDADA[Bodega]&amp;TABLACONSOLIDADA[Codigo],0)),"")</f>
        <v/>
      </c>
      <c r="FC135" s="157" t="str">
        <f t="array" ref="FC13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3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35" s="134">
        <f>IFERROR(SUM(Tabla_Buffers_Agroinsumos[[#This Row],[VL-MP]:[VL-LF]]),"")</f>
        <v>0</v>
      </c>
      <c r="FF135" s="92" t="str">
        <f>IFERROR(Tabla_Buffers_Agroinsumos[[#This Row],[INV FIS VL]]-Tabla_Buffers_Agroinsumos[[#This Row],[BUFFER VL]],"")</f>
        <v/>
      </c>
      <c r="FG13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35" s="134"/>
      <c r="FI135" s="134"/>
      <c r="FJ135" s="134"/>
      <c r="FK135" s="134"/>
      <c r="FL135" s="134"/>
      <c r="FM135" s="134"/>
      <c r="FN135" s="134"/>
      <c r="FO135" s="134"/>
      <c r="FP135" s="134"/>
    </row>
    <row r="136" spans="1:172">
      <c r="A136" s="7" t="s">
        <v>245</v>
      </c>
      <c r="B136" s="7" t="s">
        <v>246</v>
      </c>
      <c r="C136" s="7" t="s">
        <v>710</v>
      </c>
      <c r="D136" s="7" t="s">
        <v>718</v>
      </c>
      <c r="E136" s="7" t="s">
        <v>863</v>
      </c>
      <c r="F136" s="19" t="s">
        <v>810</v>
      </c>
      <c r="G136" s="19" t="s">
        <v>802</v>
      </c>
      <c r="H136" s="19">
        <f>VLOOKUP(Tabla_Buffers_Agroinsumos[[#This Row],[CODIGO ]],TABLACONSOLIDADA[[Codigo]:[PV]],6,0)</f>
        <v>0</v>
      </c>
      <c r="I136" s="19">
        <f>VLOOKUP(Tabla_Buffers_Agroinsumos[[#This Row],[CODIGO ]],TABLACONSOLIDADA[[Codigo]:[PV]],5,0)</f>
        <v>1.1399999999999999</v>
      </c>
      <c r="J136" s="19">
        <v>4</v>
      </c>
      <c r="K136" s="19">
        <v>4</v>
      </c>
      <c r="L136" s="19">
        <f>IFERROR(Tabla_Buffers_Agroinsumos[[#This Row],[BUFFER CENTRAL]]/((Tabla_Buffers_Agroinsumos[[#This Row],[TIEMPO REPOSICION ]]/Tabla_Buffers_Agroinsumos[[#This Row],[FRECUENCIA]])+1),0)</f>
        <v>0</v>
      </c>
      <c r="M136" s="19">
        <f t="array" ref="M136">IFERROR(INDEX(TABLACONSOLIDADA[Buff Act],MATCH("AGROINSUMOSMATERIAPRIMA"&amp;Tabla_Buffers_Agroinsumos[[#This Row],[CODIGO ]],TABLACONSOLIDADA[Bodega]&amp;TABLACONSOLIDADA[Codigo],0)),"")</f>
        <v>150</v>
      </c>
      <c r="N136" s="157">
        <f t="array" ref="N136">IFERROR(INDEX(TABLACONSOLIDADA[Inv Fís Act],MATCH("AGROINSUMOSMATERIAPRIMA"&amp;Tabla_Buffers_Agroinsumos[[#This Row],[CODIGO ]],TABLACONSOLIDADA[Bodega]&amp;TABLACONSOLIDADA[Codigo],0)),"")</f>
        <v>230</v>
      </c>
      <c r="O136" s="157">
        <f t="array" ref="O13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230</v>
      </c>
      <c r="P13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36" s="19">
        <f>IFERROR(SUM(Tabla_Buffers_Agroinsumos[[#This Row],[MP-C]:[MP-VL]]),"")</f>
        <v>0</v>
      </c>
      <c r="R136" s="92">
        <f>IFERROR(Tabla_Buffers_Agroinsumos[[#This Row],[INV FIS MATERIA PRIMA]]-Tabla_Buffers_Agroinsumos[[#This Row],[BUFFER MATERIA PRIMA]],"")</f>
        <v>80</v>
      </c>
      <c r="S13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80</v>
      </c>
      <c r="T136" s="19"/>
      <c r="U136" s="19"/>
      <c r="V136" s="19"/>
      <c r="W136" s="19"/>
      <c r="X136" s="19"/>
      <c r="Y136" s="19"/>
      <c r="Z136" s="19"/>
      <c r="AA136" s="19"/>
      <c r="AB136" s="19"/>
      <c r="AC136" s="152" t="str">
        <f t="array" ref="AC136">IFERROR(INDEX(TABLACONSOLIDADA[Buff Act],MATCH("AGROINSUMOSCENTRAL"&amp;Tabla_Buffers_Agroinsumos[[#This Row],[CODIGO ]],TABLACONSOLIDADA[Bodega]&amp;TABLACONSOLIDADA[Codigo],0)),"")</f>
        <v/>
      </c>
      <c r="AD136" s="157" t="str">
        <f t="array" ref="AD136">IFERROR(INDEX(TABLACONSOLIDADA[Inv Fís Act],MATCH("AGROINSUMOSCENTRAL"&amp;Tabla_Buffers_Agroinsumos[[#This Row],[CODIGO ]],TABLACONSOLIDADA[Bodega]&amp;TABLACONSOLIDADA[Codigo],0)),"")</f>
        <v/>
      </c>
      <c r="AE136" s="157" t="str">
        <f t="array" ref="AE13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3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36" s="91">
        <f>IFERROR(SUM(Tabla_Buffers_Agroinsumos[[#This Row],[C-MP]:[C-VL]]),"")</f>
        <v>0</v>
      </c>
      <c r="AH136" s="92" t="str">
        <f>IFERROR(Tabla_Buffers_Agroinsumos[[#This Row],[INV FIS CENTRAL]]-Tabla_Buffers_Agroinsumos[[#This Row],[BUFFER CENTRAL]],"")</f>
        <v/>
      </c>
      <c r="AI13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36" s="134"/>
      <c r="AK136" s="134"/>
      <c r="AL136" s="134"/>
      <c r="AM136" s="134"/>
      <c r="AN136" s="134"/>
      <c r="AO136" s="134"/>
      <c r="AP136" s="134"/>
      <c r="AQ136" s="134"/>
      <c r="AR136" s="134"/>
      <c r="AS136" s="134" t="str">
        <f t="array" ref="AS136">IFERROR(INDEX(TABLACONSOLIDADA[Buff Act],MATCH("AGROINSUMOScentralPROPIA"&amp;Tabla_Buffers_Agroinsumos[[#This Row],[CODIGO ]],TABLACONSOLIDADA[Bodega]&amp;TABLACONSOLIDADA[Codigo],0)),"")</f>
        <v/>
      </c>
      <c r="AT136" s="157" t="str">
        <f t="array" ref="AT136">IFERROR(INDEX(TABLACONSOLIDADA[Inv Fís Act],MATCH("AGROINSUMOScentralPROPIA"&amp;Tabla_Buffers_Agroinsumos[[#This Row],[CODIGO ]],TABLACONSOLIDADA[Bodega]&amp;TABLACONSOLIDADA[Codigo],0)),"")</f>
        <v/>
      </c>
      <c r="AU136" s="157" t="str">
        <f t="array" ref="AU13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3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36" s="134">
        <f>IFERROR(SUM(Tabla_Buffers_Agroinsumos[[#This Row],[P-MP]:[P-VL]]),"")</f>
        <v>0</v>
      </c>
      <c r="AX136" s="92" t="str">
        <f>IFERROR(Tabla_Buffers_Agroinsumos[[#This Row],[INV FIS PROPIA]]-Tabla_Buffers_Agroinsumos[[#This Row],[BUFFER PROPIA]],"")</f>
        <v/>
      </c>
      <c r="AY13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36" s="134"/>
      <c r="BA136" s="134"/>
      <c r="BB136" s="134"/>
      <c r="BC136" s="134"/>
      <c r="BD136" s="134"/>
      <c r="BE136" s="134"/>
      <c r="BF136" s="134"/>
      <c r="BG136" s="134"/>
      <c r="BH136" s="134"/>
      <c r="BI136" s="91" t="str">
        <f t="array" ref="BI136">IFERROR(INDEX(TABLACONSOLIDADA[Buff Act],MATCH("AGROINSUMOSSTODOMINGO"&amp;Tabla_Buffers_Agroinsumos[[#This Row],[CODIGO ]],TABLACONSOLIDADA[Bodega]&amp;TABLACONSOLIDADA[Codigo],0)),"")</f>
        <v/>
      </c>
      <c r="BJ136" s="157" t="str">
        <f t="array" ref="BJ136">IFERROR(INDEX(TABLACONSOLIDADA[Inv Fís Act],MATCH("AGROINSUMOSSTODOMINGO"&amp;Tabla_Buffers_Agroinsumos[[#This Row],[CODIGO ]],TABLACONSOLIDADA[Bodega]&amp;TABLACONSOLIDADA[Codigo],0)),"")</f>
        <v/>
      </c>
      <c r="BK136" s="157" t="str">
        <f t="array" ref="BK13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3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36" s="91">
        <f>IFERROR(SUM(Tabla_Buffers_Agroinsumos[[#This Row],[SD-MP]:[SD-VL]]),"")</f>
        <v>0</v>
      </c>
      <c r="BN136" s="92"/>
      <c r="BO136" s="92"/>
      <c r="BP136" s="134"/>
      <c r="BQ136" s="134"/>
      <c r="BR136" s="134"/>
      <c r="BS136" s="134"/>
      <c r="BT136" s="134"/>
      <c r="BU136" s="134"/>
      <c r="BV136" s="134"/>
      <c r="BW136" s="134"/>
      <c r="BX136" s="134"/>
      <c r="BY136" s="134" t="str">
        <f t="array" ref="BY136">IFERROR(INDEX(TABLACONSOLIDADA[Buff Act],MATCH("AGROINSUMOSMONCAYOLOPEZ"&amp;Tabla_Buffers_Agroinsumos[[#This Row],[CODIGO ]],TABLACONSOLIDADA[Bodega]&amp;TABLACONSOLIDADA[Codigo],0)),"")</f>
        <v/>
      </c>
      <c r="BZ136" s="157" t="str">
        <f t="array" ref="BZ136">IFERROR(INDEX(TABLACONSOLIDADA[Inv Fís Act],MATCH("AGROINSUMOSMONCAYOLOPEZ"&amp;Tabla_Buffers_Agroinsumos[[#This Row],[CODIGO ]],TABLACONSOLIDADA[Bodega]&amp;TABLACONSOLIDADA[Codigo],0)),"")</f>
        <v/>
      </c>
      <c r="CA136" s="157" t="str">
        <f t="array" ref="CA13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3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36" s="134">
        <f>IFERROR(SUM(Tabla_Buffers_Agroinsumos[[#This Row],[ML-MP]:[ML-VL]]),"")</f>
        <v>0</v>
      </c>
      <c r="CD136" s="92" t="str">
        <f>IFERROR(Tabla_Buffers_Agroinsumos[[#This Row],[INV FIS ML]]-Tabla_Buffers_Agroinsumos[[#This Row],[BUFFER ML]],"")</f>
        <v/>
      </c>
      <c r="CE13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36" s="134"/>
      <c r="CG136" s="134"/>
      <c r="CH136" s="134"/>
      <c r="CI136" s="134"/>
      <c r="CJ136" s="134"/>
      <c r="CK136" s="134"/>
      <c r="CL136" s="134"/>
      <c r="CM136" s="134"/>
      <c r="CN136" s="134"/>
      <c r="CO136" s="134" t="str">
        <f t="array" ref="CO136">IFERROR(INDEX(TABLACONSOLIDADA[Buff Act],MATCH("AGROINSUMOSAGROHERMANOSLEON"&amp;Tabla_Buffers_Agroinsumos[[#This Row],[CODIGO ]],TABLACONSOLIDADA[Bodega]&amp;TABLACONSOLIDADA[Codigo],0)),"")</f>
        <v/>
      </c>
      <c r="CP136" s="157" t="str">
        <f t="array" ref="CP136">IFERROR(INDEX(TABLACONSOLIDADA[Inv Fís Act],MATCH("AGROINSUMOSAGROHERMANOSLEON"&amp;Tabla_Buffers_Agroinsumos[[#This Row],[CODIGO ]],TABLACONSOLIDADA[Bodega]&amp;TABLACONSOLIDADA[Codigo],0)),"")</f>
        <v/>
      </c>
      <c r="CQ136" s="157" t="str">
        <f t="array" ref="CQ13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3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36" s="134">
        <f>IFERROR(SUM(Tabla_Buffers_Agroinsumos[[#This Row],[AL-MP]:[AL-VL]]),"")</f>
        <v>0</v>
      </c>
      <c r="CT136" s="92" t="str">
        <f>IFERROR(Tabla_Buffers_Agroinsumos[[#This Row],[INV FIS AL]]-Tabla_Buffers_Agroinsumos[[#This Row],[BUFFER AL]],"")</f>
        <v/>
      </c>
      <c r="CU13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36" s="134"/>
      <c r="CW136" s="134"/>
      <c r="CX136" s="134"/>
      <c r="CY136" s="134"/>
      <c r="CZ136" s="134"/>
      <c r="DA136" s="134"/>
      <c r="DB136" s="134"/>
      <c r="DC136" s="134"/>
      <c r="DD136" s="134"/>
      <c r="DE136" s="134" t="str">
        <f t="array" ref="DE136">IFERROR(INDEX(TABLACONSOLIDADA[Buff Act],MATCH("AGROINSUMOSAGRONUEVO"&amp;Tabla_Buffers_Agroinsumos[[#This Row],[CODIGO ]],TABLACONSOLIDADA[Bodega]&amp;TABLACONSOLIDADA[Codigo],0)),"")</f>
        <v/>
      </c>
      <c r="DF136" s="157" t="str">
        <f t="array" ref="DF136">IFERROR(INDEX(TABLACONSOLIDADA[Inv Fís Act],MATCH("AGROINSUMOSAGRONUEVO"&amp;Tabla_Buffers_Agroinsumos[[#This Row],[CODIGO ]],TABLACONSOLIDADA[Bodega]&amp;TABLACONSOLIDADA[Codigo],0)),"")</f>
        <v/>
      </c>
      <c r="DG136" s="157" t="str">
        <f t="array" ref="DG13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3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36" s="134">
        <f>IFERROR(SUM(Tabla_Buffers_Agroinsumos[[#This Row],[AN-MP]:[AN-VL]]),"")</f>
        <v>0</v>
      </c>
      <c r="DJ136" s="92" t="str">
        <f>IFERROR(Tabla_Buffers_Agroinsumos[[#This Row],[INV FIS AN]]-Tabla_Buffers_Agroinsumos[[#This Row],[BUFFER AN]],"")</f>
        <v/>
      </c>
      <c r="DK13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36" s="134"/>
      <c r="DM136" s="134"/>
      <c r="DN136" s="134"/>
      <c r="DO136" s="134"/>
      <c r="DP136" s="134"/>
      <c r="DQ136" s="134"/>
      <c r="DR136" s="134"/>
      <c r="DS136" s="134"/>
      <c r="DT136" s="134"/>
      <c r="DU136" s="134" t="str">
        <f t="array" ref="DU136">IFERROR(INDEX(TABLACONSOLIDADA[Buff Act],MATCH("AGROINSUMOSAGROQUIMICOSSUR"&amp;Tabla_Buffers_Agroinsumos[[#This Row],[CODIGO ]],TABLACONSOLIDADA[Bodega]&amp;TABLACONSOLIDADA[Codigo],0)),"")</f>
        <v/>
      </c>
      <c r="DV136" s="157" t="str">
        <f t="array" ref="DV136">IFERROR(INDEX(TABLACONSOLIDADA[Inv Fís Act],MATCH("AGROINSUMOSAGROQUIMICOSSUR"&amp;Tabla_Buffers_Agroinsumos[[#This Row],[CODIGO ]],TABLACONSOLIDADA[Bodega]&amp;TABLACONSOLIDADA[Codigo],0)),"")</f>
        <v/>
      </c>
      <c r="DW136" s="157" t="str">
        <f t="array" ref="DW13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3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36" s="134">
        <f>IFERROR(SUM(Tabla_Buffers_Agroinsumos[[#This Row],[AS-MP]:[AS-VL]]),"")</f>
        <v>0</v>
      </c>
      <c r="DZ136" s="92" t="str">
        <f>IFERROR(Tabla_Buffers_Agroinsumos[[#This Row],[INV FIS AS]]-Tabla_Buffers_Agroinsumos[[#This Row],[BUFFER AS]],"")</f>
        <v/>
      </c>
      <c r="EA13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36" s="134"/>
      <c r="EC136" s="134"/>
      <c r="ED136" s="134"/>
      <c r="EE136" s="134"/>
      <c r="EF136" s="134"/>
      <c r="EG136" s="134"/>
      <c r="EH136" s="134"/>
      <c r="EI136" s="134"/>
      <c r="EJ136" s="134"/>
      <c r="EK136" s="134" t="str">
        <f t="array" ref="EK136">IFERROR(INDEX(TABLACONSOLIDADA[Buff Act],MATCH("AGROINSUMOSLAFINCA"&amp;Tabla_Buffers_Agroinsumos[[#This Row],[CODIGO ]],TABLACONSOLIDADA[Bodega]&amp;TABLACONSOLIDADA[Codigo],0)),"")</f>
        <v/>
      </c>
      <c r="EL136" s="157" t="str">
        <f t="array" ref="EL136">IFERROR(INDEX(TABLACONSOLIDADA[Inv Fís Act],MATCH("AGROINSUMOSLAFINCA"&amp;Tabla_Buffers_Agroinsumos[[#This Row],[CODIGO ]],TABLACONSOLIDADA[Bodega]&amp;TABLACONSOLIDADA[Codigo],0)),"")</f>
        <v/>
      </c>
      <c r="EM136" s="157" t="str">
        <f t="array" ref="EM13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3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36" s="134">
        <f>IFERROR(SUM(Tabla_Buffers_Agroinsumos[[#This Row],[LF-MP]:[LF-VL]]),"")</f>
        <v>0</v>
      </c>
      <c r="EP136" s="92" t="str">
        <f>IFERROR(Tabla_Buffers_Agroinsumos[[#This Row],[INV FIS LF]]-Tabla_Buffers_Agroinsumos[[#This Row],[BUFFER LF]],"")</f>
        <v/>
      </c>
      <c r="EQ13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36" s="134"/>
      <c r="ES136" s="134"/>
      <c r="ET136" s="134"/>
      <c r="EU136" s="134"/>
      <c r="EV136" s="134"/>
      <c r="EW136" s="134"/>
      <c r="EX136" s="134"/>
      <c r="EY136" s="134"/>
      <c r="EZ136" s="134"/>
      <c r="FA136" s="134" t="str">
        <f t="array" ref="FA136">IFERROR(INDEX(TABLACONSOLIDADA[Buff Act],MATCH("AGROINSUMOSVERONICALEDESMA"&amp;Tabla_Buffers_Agroinsumos[[#This Row],[CODIGO ]],TABLACONSOLIDADA[Bodega]&amp;TABLACONSOLIDADA[Codigo],0)),"")</f>
        <v/>
      </c>
      <c r="FB136" s="157" t="str">
        <f t="array" ref="FB136">IFERROR(INDEX(TABLACONSOLIDADA[Inv Fís Act],MATCH("AGROINSUMOSVERONICALEDESMA"&amp;Tabla_Buffers_Agroinsumos[[#This Row],[CODIGO ]],TABLACONSOLIDADA[Bodega]&amp;TABLACONSOLIDADA[Codigo],0)),"")</f>
        <v/>
      </c>
      <c r="FC136" s="157" t="str">
        <f t="array" ref="FC13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3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36" s="134">
        <f>IFERROR(SUM(Tabla_Buffers_Agroinsumos[[#This Row],[VL-MP]:[VL-LF]]),"")</f>
        <v>0</v>
      </c>
      <c r="FF136" s="92" t="str">
        <f>IFERROR(Tabla_Buffers_Agroinsumos[[#This Row],[INV FIS VL]]-Tabla_Buffers_Agroinsumos[[#This Row],[BUFFER VL]],"")</f>
        <v/>
      </c>
      <c r="FG13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36" s="134"/>
      <c r="FI136" s="134"/>
      <c r="FJ136" s="134"/>
      <c r="FK136" s="134"/>
      <c r="FL136" s="134"/>
      <c r="FM136" s="134"/>
      <c r="FN136" s="134"/>
      <c r="FO136" s="134"/>
      <c r="FP136" s="134"/>
    </row>
    <row r="137" spans="1:172">
      <c r="A137" s="7" t="s">
        <v>247</v>
      </c>
      <c r="B137" s="7" t="s">
        <v>248</v>
      </c>
      <c r="C137" s="7" t="s">
        <v>788</v>
      </c>
      <c r="D137" s="7" t="s">
        <v>718</v>
      </c>
      <c r="E137" s="7" t="s">
        <v>863</v>
      </c>
      <c r="F137" s="19" t="s">
        <v>812</v>
      </c>
      <c r="G137" s="19" t="s">
        <v>873</v>
      </c>
      <c r="H137" s="19">
        <f>VLOOKUP(Tabla_Buffers_Agroinsumos[[#This Row],[CODIGO ]],TABLACONSOLIDADA[[Codigo]:[PV]],6,0)</f>
        <v>0</v>
      </c>
      <c r="I137" s="19">
        <f>VLOOKUP(Tabla_Buffers_Agroinsumos[[#This Row],[CODIGO ]],TABLACONSOLIDADA[[Codigo]:[PV]],5,0)</f>
        <v>0.2</v>
      </c>
      <c r="J137" s="19">
        <v>4</v>
      </c>
      <c r="K137" s="19">
        <v>12</v>
      </c>
      <c r="L137" s="19">
        <f>IFERROR(Tabla_Buffers_Agroinsumos[[#This Row],[BUFFER CENTRAL]]/((Tabla_Buffers_Agroinsumos[[#This Row],[TIEMPO REPOSICION ]]/Tabla_Buffers_Agroinsumos[[#This Row],[FRECUENCIA]])+1),0)</f>
        <v>0</v>
      </c>
      <c r="M137" s="19">
        <f t="array" ref="M137">IFERROR(INDEX(TABLACONSOLIDADA[Buff Act],MATCH("AGROINSUMOSMATERIAPRIMA"&amp;Tabla_Buffers_Agroinsumos[[#This Row],[CODIGO ]],TABLACONSOLIDADA[Bodega]&amp;TABLACONSOLIDADA[Codigo],0)),"")</f>
        <v>5000</v>
      </c>
      <c r="N137" s="157">
        <f t="array" ref="N137">IFERROR(INDEX(TABLACONSOLIDADA[Inv Fís Act],MATCH("AGROINSUMOSMATERIAPRIMA"&amp;Tabla_Buffers_Agroinsumos[[#This Row],[CODIGO ]],TABLACONSOLIDADA[Bodega]&amp;TABLACONSOLIDADA[Codigo],0)),"")</f>
        <v>14892</v>
      </c>
      <c r="O137" s="157">
        <f t="array" ref="O13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14892</v>
      </c>
      <c r="P13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37" s="19">
        <f>IFERROR(SUM(Tabla_Buffers_Agroinsumos[[#This Row],[MP-C]:[MP-VL]]),"")</f>
        <v>0</v>
      </c>
      <c r="R137" s="92">
        <f>IFERROR(Tabla_Buffers_Agroinsumos[[#This Row],[INV FIS MATERIA PRIMA]]-Tabla_Buffers_Agroinsumos[[#This Row],[BUFFER MATERIA PRIMA]],"")</f>
        <v>9892</v>
      </c>
      <c r="S13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9892</v>
      </c>
      <c r="T137" s="19"/>
      <c r="U137" s="19"/>
      <c r="V137" s="19"/>
      <c r="W137" s="19"/>
      <c r="X137" s="19"/>
      <c r="Y137" s="19"/>
      <c r="Z137" s="19"/>
      <c r="AA137" s="19"/>
      <c r="AB137" s="19"/>
      <c r="AC137" s="152" t="str">
        <f t="array" ref="AC137">IFERROR(INDEX(TABLACONSOLIDADA[Buff Act],MATCH("AGROINSUMOSCENTRAL"&amp;Tabla_Buffers_Agroinsumos[[#This Row],[CODIGO ]],TABLACONSOLIDADA[Bodega]&amp;TABLACONSOLIDADA[Codigo],0)),"")</f>
        <v/>
      </c>
      <c r="AD137" s="157" t="str">
        <f t="array" ref="AD137">IFERROR(INDEX(TABLACONSOLIDADA[Inv Fís Act],MATCH("AGROINSUMOSCENTRAL"&amp;Tabla_Buffers_Agroinsumos[[#This Row],[CODIGO ]],TABLACONSOLIDADA[Bodega]&amp;TABLACONSOLIDADA[Codigo],0)),"")</f>
        <v/>
      </c>
      <c r="AE137" s="157" t="str">
        <f t="array" ref="AE13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3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37" s="91">
        <f>IFERROR(SUM(Tabla_Buffers_Agroinsumos[[#This Row],[C-MP]:[C-VL]]),"")</f>
        <v>0</v>
      </c>
      <c r="AH137" s="92" t="str">
        <f>IFERROR(Tabla_Buffers_Agroinsumos[[#This Row],[INV FIS CENTRAL]]-Tabla_Buffers_Agroinsumos[[#This Row],[BUFFER CENTRAL]],"")</f>
        <v/>
      </c>
      <c r="AI13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37" s="134"/>
      <c r="AK137" s="134"/>
      <c r="AL137" s="134"/>
      <c r="AM137" s="134"/>
      <c r="AN137" s="134"/>
      <c r="AO137" s="134"/>
      <c r="AP137" s="134"/>
      <c r="AQ137" s="134"/>
      <c r="AR137" s="134"/>
      <c r="AS137" s="134" t="str">
        <f t="array" ref="AS137">IFERROR(INDEX(TABLACONSOLIDADA[Buff Act],MATCH("AGROINSUMOScentralPROPIA"&amp;Tabla_Buffers_Agroinsumos[[#This Row],[CODIGO ]],TABLACONSOLIDADA[Bodega]&amp;TABLACONSOLIDADA[Codigo],0)),"")</f>
        <v/>
      </c>
      <c r="AT137" s="157" t="str">
        <f t="array" ref="AT137">IFERROR(INDEX(TABLACONSOLIDADA[Inv Fís Act],MATCH("AGROINSUMOScentralPROPIA"&amp;Tabla_Buffers_Agroinsumos[[#This Row],[CODIGO ]],TABLACONSOLIDADA[Bodega]&amp;TABLACONSOLIDADA[Codigo],0)),"")</f>
        <v/>
      </c>
      <c r="AU137" s="157" t="str">
        <f t="array" ref="AU13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3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37" s="134">
        <f>IFERROR(SUM(Tabla_Buffers_Agroinsumos[[#This Row],[P-MP]:[P-VL]]),"")</f>
        <v>0</v>
      </c>
      <c r="AX137" s="92" t="str">
        <f>IFERROR(Tabla_Buffers_Agroinsumos[[#This Row],[INV FIS PROPIA]]-Tabla_Buffers_Agroinsumos[[#This Row],[BUFFER PROPIA]],"")</f>
        <v/>
      </c>
      <c r="AY13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37" s="134"/>
      <c r="BA137" s="134"/>
      <c r="BB137" s="134"/>
      <c r="BC137" s="134"/>
      <c r="BD137" s="134"/>
      <c r="BE137" s="134"/>
      <c r="BF137" s="134"/>
      <c r="BG137" s="134"/>
      <c r="BH137" s="134"/>
      <c r="BI137" s="91" t="str">
        <f t="array" ref="BI137">IFERROR(INDEX(TABLACONSOLIDADA[Buff Act],MATCH("AGROINSUMOSSTODOMINGO"&amp;Tabla_Buffers_Agroinsumos[[#This Row],[CODIGO ]],TABLACONSOLIDADA[Bodega]&amp;TABLACONSOLIDADA[Codigo],0)),"")</f>
        <v/>
      </c>
      <c r="BJ137" s="157" t="str">
        <f t="array" ref="BJ137">IFERROR(INDEX(TABLACONSOLIDADA[Inv Fís Act],MATCH("AGROINSUMOSSTODOMINGO"&amp;Tabla_Buffers_Agroinsumos[[#This Row],[CODIGO ]],TABLACONSOLIDADA[Bodega]&amp;TABLACONSOLIDADA[Codigo],0)),"")</f>
        <v/>
      </c>
      <c r="BK137" s="157" t="str">
        <f t="array" ref="BK13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3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37" s="91">
        <f>IFERROR(SUM(Tabla_Buffers_Agroinsumos[[#This Row],[SD-MP]:[SD-VL]]),"")</f>
        <v>0</v>
      </c>
      <c r="BN137" s="92"/>
      <c r="BO137" s="92"/>
      <c r="BP137" s="134"/>
      <c r="BQ137" s="134"/>
      <c r="BR137" s="134"/>
      <c r="BS137" s="134"/>
      <c r="BT137" s="134"/>
      <c r="BU137" s="134"/>
      <c r="BV137" s="134"/>
      <c r="BW137" s="134"/>
      <c r="BX137" s="134"/>
      <c r="BY137" s="134" t="str">
        <f t="array" ref="BY137">IFERROR(INDEX(TABLACONSOLIDADA[Buff Act],MATCH("AGROINSUMOSMONCAYOLOPEZ"&amp;Tabla_Buffers_Agroinsumos[[#This Row],[CODIGO ]],TABLACONSOLIDADA[Bodega]&amp;TABLACONSOLIDADA[Codigo],0)),"")</f>
        <v/>
      </c>
      <c r="BZ137" s="157" t="str">
        <f t="array" ref="BZ137">IFERROR(INDEX(TABLACONSOLIDADA[Inv Fís Act],MATCH("AGROINSUMOSMONCAYOLOPEZ"&amp;Tabla_Buffers_Agroinsumos[[#This Row],[CODIGO ]],TABLACONSOLIDADA[Bodega]&amp;TABLACONSOLIDADA[Codigo],0)),"")</f>
        <v/>
      </c>
      <c r="CA137" s="157" t="str">
        <f t="array" ref="CA13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3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37" s="134">
        <f>IFERROR(SUM(Tabla_Buffers_Agroinsumos[[#This Row],[ML-MP]:[ML-VL]]),"")</f>
        <v>0</v>
      </c>
      <c r="CD137" s="92" t="str">
        <f>IFERROR(Tabla_Buffers_Agroinsumos[[#This Row],[INV FIS ML]]-Tabla_Buffers_Agroinsumos[[#This Row],[BUFFER ML]],"")</f>
        <v/>
      </c>
      <c r="CE13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37" s="134"/>
      <c r="CG137" s="134"/>
      <c r="CH137" s="134"/>
      <c r="CI137" s="134"/>
      <c r="CJ137" s="134"/>
      <c r="CK137" s="134"/>
      <c r="CL137" s="134"/>
      <c r="CM137" s="134"/>
      <c r="CN137" s="134"/>
      <c r="CO137" s="134" t="str">
        <f t="array" ref="CO137">IFERROR(INDEX(TABLACONSOLIDADA[Buff Act],MATCH("AGROINSUMOSAGROHERMANOSLEON"&amp;Tabla_Buffers_Agroinsumos[[#This Row],[CODIGO ]],TABLACONSOLIDADA[Bodega]&amp;TABLACONSOLIDADA[Codigo],0)),"")</f>
        <v/>
      </c>
      <c r="CP137" s="157" t="str">
        <f t="array" ref="CP137">IFERROR(INDEX(TABLACONSOLIDADA[Inv Fís Act],MATCH("AGROINSUMOSAGROHERMANOSLEON"&amp;Tabla_Buffers_Agroinsumos[[#This Row],[CODIGO ]],TABLACONSOLIDADA[Bodega]&amp;TABLACONSOLIDADA[Codigo],0)),"")</f>
        <v/>
      </c>
      <c r="CQ137" s="157" t="str">
        <f t="array" ref="CQ13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3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37" s="134">
        <f>IFERROR(SUM(Tabla_Buffers_Agroinsumos[[#This Row],[AL-MP]:[AL-VL]]),"")</f>
        <v>0</v>
      </c>
      <c r="CT137" s="92" t="str">
        <f>IFERROR(Tabla_Buffers_Agroinsumos[[#This Row],[INV FIS AL]]-Tabla_Buffers_Agroinsumos[[#This Row],[BUFFER AL]],"")</f>
        <v/>
      </c>
      <c r="CU13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37" s="134"/>
      <c r="CW137" s="134"/>
      <c r="CX137" s="134"/>
      <c r="CY137" s="134"/>
      <c r="CZ137" s="134"/>
      <c r="DA137" s="134"/>
      <c r="DB137" s="134"/>
      <c r="DC137" s="134"/>
      <c r="DD137" s="134"/>
      <c r="DE137" s="134" t="str">
        <f t="array" ref="DE137">IFERROR(INDEX(TABLACONSOLIDADA[Buff Act],MATCH("AGROINSUMOSAGRONUEVO"&amp;Tabla_Buffers_Agroinsumos[[#This Row],[CODIGO ]],TABLACONSOLIDADA[Bodega]&amp;TABLACONSOLIDADA[Codigo],0)),"")</f>
        <v/>
      </c>
      <c r="DF137" s="157" t="str">
        <f t="array" ref="DF137">IFERROR(INDEX(TABLACONSOLIDADA[Inv Fís Act],MATCH("AGROINSUMOSAGRONUEVO"&amp;Tabla_Buffers_Agroinsumos[[#This Row],[CODIGO ]],TABLACONSOLIDADA[Bodega]&amp;TABLACONSOLIDADA[Codigo],0)),"")</f>
        <v/>
      </c>
      <c r="DG137" s="157" t="str">
        <f t="array" ref="DG13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3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37" s="134">
        <f>IFERROR(SUM(Tabla_Buffers_Agroinsumos[[#This Row],[AN-MP]:[AN-VL]]),"")</f>
        <v>0</v>
      </c>
      <c r="DJ137" s="92" t="str">
        <f>IFERROR(Tabla_Buffers_Agroinsumos[[#This Row],[INV FIS AN]]-Tabla_Buffers_Agroinsumos[[#This Row],[BUFFER AN]],"")</f>
        <v/>
      </c>
      <c r="DK13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37" s="134"/>
      <c r="DM137" s="134"/>
      <c r="DN137" s="134"/>
      <c r="DO137" s="134"/>
      <c r="DP137" s="134"/>
      <c r="DQ137" s="134"/>
      <c r="DR137" s="134"/>
      <c r="DS137" s="134"/>
      <c r="DT137" s="134"/>
      <c r="DU137" s="134" t="str">
        <f t="array" ref="DU137">IFERROR(INDEX(TABLACONSOLIDADA[Buff Act],MATCH("AGROINSUMOSAGROQUIMICOSSUR"&amp;Tabla_Buffers_Agroinsumos[[#This Row],[CODIGO ]],TABLACONSOLIDADA[Bodega]&amp;TABLACONSOLIDADA[Codigo],0)),"")</f>
        <v/>
      </c>
      <c r="DV137" s="157" t="str">
        <f t="array" ref="DV137">IFERROR(INDEX(TABLACONSOLIDADA[Inv Fís Act],MATCH("AGROINSUMOSAGROQUIMICOSSUR"&amp;Tabla_Buffers_Agroinsumos[[#This Row],[CODIGO ]],TABLACONSOLIDADA[Bodega]&amp;TABLACONSOLIDADA[Codigo],0)),"")</f>
        <v/>
      </c>
      <c r="DW137" s="157" t="str">
        <f t="array" ref="DW13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3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37" s="134">
        <f>IFERROR(SUM(Tabla_Buffers_Agroinsumos[[#This Row],[AS-MP]:[AS-VL]]),"")</f>
        <v>0</v>
      </c>
      <c r="DZ137" s="92" t="str">
        <f>IFERROR(Tabla_Buffers_Agroinsumos[[#This Row],[INV FIS AS]]-Tabla_Buffers_Agroinsumos[[#This Row],[BUFFER AS]],"")</f>
        <v/>
      </c>
      <c r="EA13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37" s="134"/>
      <c r="EC137" s="134"/>
      <c r="ED137" s="134"/>
      <c r="EE137" s="134"/>
      <c r="EF137" s="134"/>
      <c r="EG137" s="134"/>
      <c r="EH137" s="134"/>
      <c r="EI137" s="134"/>
      <c r="EJ137" s="134"/>
      <c r="EK137" s="134" t="str">
        <f t="array" ref="EK137">IFERROR(INDEX(TABLACONSOLIDADA[Buff Act],MATCH("AGROINSUMOSLAFINCA"&amp;Tabla_Buffers_Agroinsumos[[#This Row],[CODIGO ]],TABLACONSOLIDADA[Bodega]&amp;TABLACONSOLIDADA[Codigo],0)),"")</f>
        <v/>
      </c>
      <c r="EL137" s="157" t="str">
        <f t="array" ref="EL137">IFERROR(INDEX(TABLACONSOLIDADA[Inv Fís Act],MATCH("AGROINSUMOSLAFINCA"&amp;Tabla_Buffers_Agroinsumos[[#This Row],[CODIGO ]],TABLACONSOLIDADA[Bodega]&amp;TABLACONSOLIDADA[Codigo],0)),"")</f>
        <v/>
      </c>
      <c r="EM137" s="157" t="str">
        <f t="array" ref="EM13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3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37" s="134">
        <f>IFERROR(SUM(Tabla_Buffers_Agroinsumos[[#This Row],[LF-MP]:[LF-VL]]),"")</f>
        <v>0</v>
      </c>
      <c r="EP137" s="92" t="str">
        <f>IFERROR(Tabla_Buffers_Agroinsumos[[#This Row],[INV FIS LF]]-Tabla_Buffers_Agroinsumos[[#This Row],[BUFFER LF]],"")</f>
        <v/>
      </c>
      <c r="EQ13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37" s="134"/>
      <c r="ES137" s="134"/>
      <c r="ET137" s="134"/>
      <c r="EU137" s="134"/>
      <c r="EV137" s="134"/>
      <c r="EW137" s="134"/>
      <c r="EX137" s="134"/>
      <c r="EY137" s="134"/>
      <c r="EZ137" s="134"/>
      <c r="FA137" s="134" t="str">
        <f t="array" ref="FA137">IFERROR(INDEX(TABLACONSOLIDADA[Buff Act],MATCH("AGROINSUMOSVERONICALEDESMA"&amp;Tabla_Buffers_Agroinsumos[[#This Row],[CODIGO ]],TABLACONSOLIDADA[Bodega]&amp;TABLACONSOLIDADA[Codigo],0)),"")</f>
        <v/>
      </c>
      <c r="FB137" s="157" t="str">
        <f t="array" ref="FB137">IFERROR(INDEX(TABLACONSOLIDADA[Inv Fís Act],MATCH("AGROINSUMOSVERONICALEDESMA"&amp;Tabla_Buffers_Agroinsumos[[#This Row],[CODIGO ]],TABLACONSOLIDADA[Bodega]&amp;TABLACONSOLIDADA[Codigo],0)),"")</f>
        <v/>
      </c>
      <c r="FC137" s="157" t="str">
        <f t="array" ref="FC13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3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37" s="134">
        <f>IFERROR(SUM(Tabla_Buffers_Agroinsumos[[#This Row],[VL-MP]:[VL-LF]]),"")</f>
        <v>0</v>
      </c>
      <c r="FF137" s="92" t="str">
        <f>IFERROR(Tabla_Buffers_Agroinsumos[[#This Row],[INV FIS VL]]-Tabla_Buffers_Agroinsumos[[#This Row],[BUFFER VL]],"")</f>
        <v/>
      </c>
      <c r="FG13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37" s="134"/>
      <c r="FI137" s="134"/>
      <c r="FJ137" s="134"/>
      <c r="FK137" s="134"/>
      <c r="FL137" s="134"/>
      <c r="FM137" s="134"/>
      <c r="FN137" s="134"/>
      <c r="FO137" s="134"/>
      <c r="FP137" s="134"/>
    </row>
    <row r="138" spans="1:172">
      <c r="A138" s="7" t="s">
        <v>249</v>
      </c>
      <c r="B138" s="7" t="s">
        <v>250</v>
      </c>
      <c r="C138" s="7" t="s">
        <v>788</v>
      </c>
      <c r="D138" s="7" t="s">
        <v>718</v>
      </c>
      <c r="E138" s="7" t="s">
        <v>863</v>
      </c>
      <c r="F138" s="19" t="s">
        <v>812</v>
      </c>
      <c r="G138" s="19" t="s">
        <v>873</v>
      </c>
      <c r="H138" s="19">
        <f>VLOOKUP(Tabla_Buffers_Agroinsumos[[#This Row],[CODIGO ]],TABLACONSOLIDADA[[Codigo]:[PV]],6,0)</f>
        <v>0</v>
      </c>
      <c r="I138" s="19">
        <f>VLOOKUP(Tabla_Buffers_Agroinsumos[[#This Row],[CODIGO ]],TABLACONSOLIDADA[[Codigo]:[PV]],5,0)</f>
        <v>0.19</v>
      </c>
      <c r="J138" s="19">
        <v>4</v>
      </c>
      <c r="K138" s="19">
        <v>12</v>
      </c>
      <c r="L138" s="19">
        <f>IFERROR(Tabla_Buffers_Agroinsumos[[#This Row],[BUFFER CENTRAL]]/((Tabla_Buffers_Agroinsumos[[#This Row],[TIEMPO REPOSICION ]]/Tabla_Buffers_Agroinsumos[[#This Row],[FRECUENCIA]])+1),0)</f>
        <v>0</v>
      </c>
      <c r="M138" s="19">
        <f t="array" ref="M138">IFERROR(INDEX(TABLACONSOLIDADA[Buff Act],MATCH("AGROINSUMOSMATERIAPRIMA"&amp;Tabla_Buffers_Agroinsumos[[#This Row],[CODIGO ]],TABLACONSOLIDADA[Bodega]&amp;TABLACONSOLIDADA[Codigo],0)),"")</f>
        <v>5000</v>
      </c>
      <c r="N138" s="157">
        <f t="array" ref="N138">IFERROR(INDEX(TABLACONSOLIDADA[Inv Fís Act],MATCH("AGROINSUMOSMATERIAPRIMA"&amp;Tabla_Buffers_Agroinsumos[[#This Row],[CODIGO ]],TABLACONSOLIDADA[Bodega]&amp;TABLACONSOLIDADA[Codigo],0)),"")</f>
        <v>14545</v>
      </c>
      <c r="O138" s="157">
        <f t="array" ref="O13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14545</v>
      </c>
      <c r="P13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38" s="19">
        <f>IFERROR(SUM(Tabla_Buffers_Agroinsumos[[#This Row],[MP-C]:[MP-VL]]),"")</f>
        <v>0</v>
      </c>
      <c r="R138" s="92">
        <f>IFERROR(Tabla_Buffers_Agroinsumos[[#This Row],[INV FIS MATERIA PRIMA]]-Tabla_Buffers_Agroinsumos[[#This Row],[BUFFER MATERIA PRIMA]],"")</f>
        <v>9545</v>
      </c>
      <c r="S13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9545</v>
      </c>
      <c r="T138" s="19"/>
      <c r="U138" s="19"/>
      <c r="V138" s="19"/>
      <c r="W138" s="19"/>
      <c r="X138" s="19"/>
      <c r="Y138" s="19"/>
      <c r="Z138" s="19"/>
      <c r="AA138" s="19"/>
      <c r="AB138" s="19"/>
      <c r="AC138" s="152" t="str">
        <f t="array" ref="AC138">IFERROR(INDEX(TABLACONSOLIDADA[Buff Act],MATCH("AGROINSUMOSCENTRAL"&amp;Tabla_Buffers_Agroinsumos[[#This Row],[CODIGO ]],TABLACONSOLIDADA[Bodega]&amp;TABLACONSOLIDADA[Codigo],0)),"")</f>
        <v/>
      </c>
      <c r="AD138" s="157" t="str">
        <f t="array" ref="AD138">IFERROR(INDEX(TABLACONSOLIDADA[Inv Fís Act],MATCH("AGROINSUMOSCENTRAL"&amp;Tabla_Buffers_Agroinsumos[[#This Row],[CODIGO ]],TABLACONSOLIDADA[Bodega]&amp;TABLACONSOLIDADA[Codigo],0)),"")</f>
        <v/>
      </c>
      <c r="AE138" s="157" t="str">
        <f t="array" ref="AE13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3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38" s="91">
        <f>IFERROR(SUM(Tabla_Buffers_Agroinsumos[[#This Row],[C-MP]:[C-VL]]),"")</f>
        <v>0</v>
      </c>
      <c r="AH138" s="92" t="str">
        <f>IFERROR(Tabla_Buffers_Agroinsumos[[#This Row],[INV FIS CENTRAL]]-Tabla_Buffers_Agroinsumos[[#This Row],[BUFFER CENTRAL]],"")</f>
        <v/>
      </c>
      <c r="AI13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38" s="134"/>
      <c r="AK138" s="134"/>
      <c r="AL138" s="134"/>
      <c r="AM138" s="134"/>
      <c r="AN138" s="134"/>
      <c r="AO138" s="134"/>
      <c r="AP138" s="134"/>
      <c r="AQ138" s="134"/>
      <c r="AR138" s="134"/>
      <c r="AS138" s="134" t="str">
        <f t="array" ref="AS138">IFERROR(INDEX(TABLACONSOLIDADA[Buff Act],MATCH("AGROINSUMOScentralPROPIA"&amp;Tabla_Buffers_Agroinsumos[[#This Row],[CODIGO ]],TABLACONSOLIDADA[Bodega]&amp;TABLACONSOLIDADA[Codigo],0)),"")</f>
        <v/>
      </c>
      <c r="AT138" s="157" t="str">
        <f t="array" ref="AT138">IFERROR(INDEX(TABLACONSOLIDADA[Inv Fís Act],MATCH("AGROINSUMOScentralPROPIA"&amp;Tabla_Buffers_Agroinsumos[[#This Row],[CODIGO ]],TABLACONSOLIDADA[Bodega]&amp;TABLACONSOLIDADA[Codigo],0)),"")</f>
        <v/>
      </c>
      <c r="AU138" s="157" t="str">
        <f t="array" ref="AU13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3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38" s="134">
        <f>IFERROR(SUM(Tabla_Buffers_Agroinsumos[[#This Row],[P-MP]:[P-VL]]),"")</f>
        <v>0</v>
      </c>
      <c r="AX138" s="92" t="str">
        <f>IFERROR(Tabla_Buffers_Agroinsumos[[#This Row],[INV FIS PROPIA]]-Tabla_Buffers_Agroinsumos[[#This Row],[BUFFER PROPIA]],"")</f>
        <v/>
      </c>
      <c r="AY13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38" s="134"/>
      <c r="BA138" s="134"/>
      <c r="BB138" s="134"/>
      <c r="BC138" s="134"/>
      <c r="BD138" s="134"/>
      <c r="BE138" s="134"/>
      <c r="BF138" s="134"/>
      <c r="BG138" s="134"/>
      <c r="BH138" s="134"/>
      <c r="BI138" s="91" t="str">
        <f t="array" ref="BI138">IFERROR(INDEX(TABLACONSOLIDADA[Buff Act],MATCH("AGROINSUMOSSTODOMINGO"&amp;Tabla_Buffers_Agroinsumos[[#This Row],[CODIGO ]],TABLACONSOLIDADA[Bodega]&amp;TABLACONSOLIDADA[Codigo],0)),"")</f>
        <v/>
      </c>
      <c r="BJ138" s="157" t="str">
        <f t="array" ref="BJ138">IFERROR(INDEX(TABLACONSOLIDADA[Inv Fís Act],MATCH("AGROINSUMOSSTODOMINGO"&amp;Tabla_Buffers_Agroinsumos[[#This Row],[CODIGO ]],TABLACONSOLIDADA[Bodega]&amp;TABLACONSOLIDADA[Codigo],0)),"")</f>
        <v/>
      </c>
      <c r="BK138" s="157" t="str">
        <f t="array" ref="BK13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3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38" s="91">
        <f>IFERROR(SUM(Tabla_Buffers_Agroinsumos[[#This Row],[SD-MP]:[SD-VL]]),"")</f>
        <v>0</v>
      </c>
      <c r="BN138" s="92"/>
      <c r="BO138" s="92"/>
      <c r="BP138" s="134"/>
      <c r="BQ138" s="134"/>
      <c r="BR138" s="134"/>
      <c r="BS138" s="134"/>
      <c r="BT138" s="134"/>
      <c r="BU138" s="134"/>
      <c r="BV138" s="134"/>
      <c r="BW138" s="134"/>
      <c r="BX138" s="134"/>
      <c r="BY138" s="134" t="str">
        <f t="array" ref="BY138">IFERROR(INDEX(TABLACONSOLIDADA[Buff Act],MATCH("AGROINSUMOSMONCAYOLOPEZ"&amp;Tabla_Buffers_Agroinsumos[[#This Row],[CODIGO ]],TABLACONSOLIDADA[Bodega]&amp;TABLACONSOLIDADA[Codigo],0)),"")</f>
        <v/>
      </c>
      <c r="BZ138" s="157" t="str">
        <f t="array" ref="BZ138">IFERROR(INDEX(TABLACONSOLIDADA[Inv Fís Act],MATCH("AGROINSUMOSMONCAYOLOPEZ"&amp;Tabla_Buffers_Agroinsumos[[#This Row],[CODIGO ]],TABLACONSOLIDADA[Bodega]&amp;TABLACONSOLIDADA[Codigo],0)),"")</f>
        <v/>
      </c>
      <c r="CA138" s="157" t="str">
        <f t="array" ref="CA13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3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38" s="134">
        <f>IFERROR(SUM(Tabla_Buffers_Agroinsumos[[#This Row],[ML-MP]:[ML-VL]]),"")</f>
        <v>0</v>
      </c>
      <c r="CD138" s="92" t="str">
        <f>IFERROR(Tabla_Buffers_Agroinsumos[[#This Row],[INV FIS ML]]-Tabla_Buffers_Agroinsumos[[#This Row],[BUFFER ML]],"")</f>
        <v/>
      </c>
      <c r="CE13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38" s="134"/>
      <c r="CG138" s="134"/>
      <c r="CH138" s="134"/>
      <c r="CI138" s="134"/>
      <c r="CJ138" s="134"/>
      <c r="CK138" s="134"/>
      <c r="CL138" s="134"/>
      <c r="CM138" s="134"/>
      <c r="CN138" s="134"/>
      <c r="CO138" s="134" t="str">
        <f t="array" ref="CO138">IFERROR(INDEX(TABLACONSOLIDADA[Buff Act],MATCH("AGROINSUMOSAGROHERMANOSLEON"&amp;Tabla_Buffers_Agroinsumos[[#This Row],[CODIGO ]],TABLACONSOLIDADA[Bodega]&amp;TABLACONSOLIDADA[Codigo],0)),"")</f>
        <v/>
      </c>
      <c r="CP138" s="157" t="str">
        <f t="array" ref="CP138">IFERROR(INDEX(TABLACONSOLIDADA[Inv Fís Act],MATCH("AGROINSUMOSAGROHERMANOSLEON"&amp;Tabla_Buffers_Agroinsumos[[#This Row],[CODIGO ]],TABLACONSOLIDADA[Bodega]&amp;TABLACONSOLIDADA[Codigo],0)),"")</f>
        <v/>
      </c>
      <c r="CQ138" s="157" t="str">
        <f t="array" ref="CQ13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3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38" s="134">
        <f>IFERROR(SUM(Tabla_Buffers_Agroinsumos[[#This Row],[AL-MP]:[AL-VL]]),"")</f>
        <v>0</v>
      </c>
      <c r="CT138" s="92" t="str">
        <f>IFERROR(Tabla_Buffers_Agroinsumos[[#This Row],[INV FIS AL]]-Tabla_Buffers_Agroinsumos[[#This Row],[BUFFER AL]],"")</f>
        <v/>
      </c>
      <c r="CU13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38" s="134"/>
      <c r="CW138" s="134"/>
      <c r="CX138" s="134"/>
      <c r="CY138" s="134"/>
      <c r="CZ138" s="134"/>
      <c r="DA138" s="134"/>
      <c r="DB138" s="134"/>
      <c r="DC138" s="134"/>
      <c r="DD138" s="134"/>
      <c r="DE138" s="134" t="str">
        <f t="array" ref="DE138">IFERROR(INDEX(TABLACONSOLIDADA[Buff Act],MATCH("AGROINSUMOSAGRONUEVO"&amp;Tabla_Buffers_Agroinsumos[[#This Row],[CODIGO ]],TABLACONSOLIDADA[Bodega]&amp;TABLACONSOLIDADA[Codigo],0)),"")</f>
        <v/>
      </c>
      <c r="DF138" s="157" t="str">
        <f t="array" ref="DF138">IFERROR(INDEX(TABLACONSOLIDADA[Inv Fís Act],MATCH("AGROINSUMOSAGRONUEVO"&amp;Tabla_Buffers_Agroinsumos[[#This Row],[CODIGO ]],TABLACONSOLIDADA[Bodega]&amp;TABLACONSOLIDADA[Codigo],0)),"")</f>
        <v/>
      </c>
      <c r="DG138" s="157" t="str">
        <f t="array" ref="DG13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3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38" s="134">
        <f>IFERROR(SUM(Tabla_Buffers_Agroinsumos[[#This Row],[AN-MP]:[AN-VL]]),"")</f>
        <v>0</v>
      </c>
      <c r="DJ138" s="92" t="str">
        <f>IFERROR(Tabla_Buffers_Agroinsumos[[#This Row],[INV FIS AN]]-Tabla_Buffers_Agroinsumos[[#This Row],[BUFFER AN]],"")</f>
        <v/>
      </c>
      <c r="DK13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38" s="134"/>
      <c r="DM138" s="134"/>
      <c r="DN138" s="134"/>
      <c r="DO138" s="134"/>
      <c r="DP138" s="134"/>
      <c r="DQ138" s="134"/>
      <c r="DR138" s="134"/>
      <c r="DS138" s="134"/>
      <c r="DT138" s="134"/>
      <c r="DU138" s="134" t="str">
        <f t="array" ref="DU138">IFERROR(INDEX(TABLACONSOLIDADA[Buff Act],MATCH("AGROINSUMOSAGROQUIMICOSSUR"&amp;Tabla_Buffers_Agroinsumos[[#This Row],[CODIGO ]],TABLACONSOLIDADA[Bodega]&amp;TABLACONSOLIDADA[Codigo],0)),"")</f>
        <v/>
      </c>
      <c r="DV138" s="157" t="str">
        <f t="array" ref="DV138">IFERROR(INDEX(TABLACONSOLIDADA[Inv Fís Act],MATCH("AGROINSUMOSAGROQUIMICOSSUR"&amp;Tabla_Buffers_Agroinsumos[[#This Row],[CODIGO ]],TABLACONSOLIDADA[Bodega]&amp;TABLACONSOLIDADA[Codigo],0)),"")</f>
        <v/>
      </c>
      <c r="DW138" s="157" t="str">
        <f t="array" ref="DW13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3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38" s="134">
        <f>IFERROR(SUM(Tabla_Buffers_Agroinsumos[[#This Row],[AS-MP]:[AS-VL]]),"")</f>
        <v>0</v>
      </c>
      <c r="DZ138" s="92" t="str">
        <f>IFERROR(Tabla_Buffers_Agroinsumos[[#This Row],[INV FIS AS]]-Tabla_Buffers_Agroinsumos[[#This Row],[BUFFER AS]],"")</f>
        <v/>
      </c>
      <c r="EA13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38" s="134"/>
      <c r="EC138" s="134"/>
      <c r="ED138" s="134"/>
      <c r="EE138" s="134"/>
      <c r="EF138" s="134"/>
      <c r="EG138" s="134"/>
      <c r="EH138" s="134"/>
      <c r="EI138" s="134"/>
      <c r="EJ138" s="134"/>
      <c r="EK138" s="134" t="str">
        <f t="array" ref="EK138">IFERROR(INDEX(TABLACONSOLIDADA[Buff Act],MATCH("AGROINSUMOSLAFINCA"&amp;Tabla_Buffers_Agroinsumos[[#This Row],[CODIGO ]],TABLACONSOLIDADA[Bodega]&amp;TABLACONSOLIDADA[Codigo],0)),"")</f>
        <v/>
      </c>
      <c r="EL138" s="157" t="str">
        <f t="array" ref="EL138">IFERROR(INDEX(TABLACONSOLIDADA[Inv Fís Act],MATCH("AGROINSUMOSLAFINCA"&amp;Tabla_Buffers_Agroinsumos[[#This Row],[CODIGO ]],TABLACONSOLIDADA[Bodega]&amp;TABLACONSOLIDADA[Codigo],0)),"")</f>
        <v/>
      </c>
      <c r="EM138" s="157" t="str">
        <f t="array" ref="EM13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3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38" s="134">
        <f>IFERROR(SUM(Tabla_Buffers_Agroinsumos[[#This Row],[LF-MP]:[LF-VL]]),"")</f>
        <v>0</v>
      </c>
      <c r="EP138" s="92" t="str">
        <f>IFERROR(Tabla_Buffers_Agroinsumos[[#This Row],[INV FIS LF]]-Tabla_Buffers_Agroinsumos[[#This Row],[BUFFER LF]],"")</f>
        <v/>
      </c>
      <c r="EQ13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38" s="134"/>
      <c r="ES138" s="134"/>
      <c r="ET138" s="134"/>
      <c r="EU138" s="134"/>
      <c r="EV138" s="134"/>
      <c r="EW138" s="134"/>
      <c r="EX138" s="134"/>
      <c r="EY138" s="134"/>
      <c r="EZ138" s="134"/>
      <c r="FA138" s="134" t="str">
        <f t="array" ref="FA138">IFERROR(INDEX(TABLACONSOLIDADA[Buff Act],MATCH("AGROINSUMOSVERONICALEDESMA"&amp;Tabla_Buffers_Agroinsumos[[#This Row],[CODIGO ]],TABLACONSOLIDADA[Bodega]&amp;TABLACONSOLIDADA[Codigo],0)),"")</f>
        <v/>
      </c>
      <c r="FB138" s="157" t="str">
        <f t="array" ref="FB138">IFERROR(INDEX(TABLACONSOLIDADA[Inv Fís Act],MATCH("AGROINSUMOSVERONICALEDESMA"&amp;Tabla_Buffers_Agroinsumos[[#This Row],[CODIGO ]],TABLACONSOLIDADA[Bodega]&amp;TABLACONSOLIDADA[Codigo],0)),"")</f>
        <v/>
      </c>
      <c r="FC138" s="157" t="str">
        <f t="array" ref="FC13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3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38" s="134">
        <f>IFERROR(SUM(Tabla_Buffers_Agroinsumos[[#This Row],[VL-MP]:[VL-LF]]),"")</f>
        <v>0</v>
      </c>
      <c r="FF138" s="92" t="str">
        <f>IFERROR(Tabla_Buffers_Agroinsumos[[#This Row],[INV FIS VL]]-Tabla_Buffers_Agroinsumos[[#This Row],[BUFFER VL]],"")</f>
        <v/>
      </c>
      <c r="FG13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38" s="134"/>
      <c r="FI138" s="134"/>
      <c r="FJ138" s="134"/>
      <c r="FK138" s="134"/>
      <c r="FL138" s="134"/>
      <c r="FM138" s="134"/>
      <c r="FN138" s="134"/>
      <c r="FO138" s="134"/>
      <c r="FP138" s="134"/>
    </row>
    <row r="139" spans="1:172">
      <c r="A139" s="7" t="s">
        <v>934</v>
      </c>
      <c r="B139" s="7" t="s">
        <v>935</v>
      </c>
      <c r="C139" s="7" t="s">
        <v>710</v>
      </c>
      <c r="D139" s="7" t="s">
        <v>718</v>
      </c>
      <c r="E139" s="7" t="s">
        <v>863</v>
      </c>
      <c r="F139" s="19"/>
      <c r="G139" s="19" t="s">
        <v>873</v>
      </c>
      <c r="H139" s="19">
        <f>VLOOKUP(Tabla_Buffers_Agroinsumos[[#This Row],[CODIGO ]],TABLACONSOLIDADA[[Codigo]:[PV]],6,0)</f>
        <v>0</v>
      </c>
      <c r="I139" s="19">
        <f>VLOOKUP(Tabla_Buffers_Agroinsumos[[#This Row],[CODIGO ]],TABLACONSOLIDADA[[Codigo]:[PV]],5,0)</f>
        <v>0.56000000000000005</v>
      </c>
      <c r="J139" s="19">
        <v>12</v>
      </c>
      <c r="K139" s="19">
        <v>6</v>
      </c>
      <c r="L139" s="19">
        <f>IFERROR(Tabla_Buffers_Agroinsumos[[#This Row],[BUFFER CENTRAL]]/((Tabla_Buffers_Agroinsumos[[#This Row],[TIEMPO REPOSICION ]]/Tabla_Buffers_Agroinsumos[[#This Row],[FRECUENCIA]])+1),0)</f>
        <v>0</v>
      </c>
      <c r="M139" s="19">
        <f t="array" ref="M139">IFERROR(INDEX(TABLACONSOLIDADA[Buff Act],MATCH("AGROINSUMOSMATERIAPRIMA"&amp;Tabla_Buffers_Agroinsumos[[#This Row],[CODIGO ]],TABLACONSOLIDADA[Bodega]&amp;TABLACONSOLIDADA[Codigo],0)),"")</f>
        <v>3000</v>
      </c>
      <c r="N139" s="157">
        <f t="array" ref="N139">IFERROR(INDEX(TABLACONSOLIDADA[Inv Fís Act],MATCH("AGROINSUMOSMATERIAPRIMA"&amp;Tabla_Buffers_Agroinsumos[[#This Row],[CODIGO ]],TABLACONSOLIDADA[Bodega]&amp;TABLACONSOLIDADA[Codigo],0)),"")</f>
        <v>1703</v>
      </c>
      <c r="O139" s="157">
        <f t="array" ref="O13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1703</v>
      </c>
      <c r="P13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39" s="19">
        <f>IFERROR(SUM(Tabla_Buffers_Agroinsumos[[#This Row],[MP-C]:[MP-VL]]),"")</f>
        <v>0</v>
      </c>
      <c r="R139" s="92">
        <f>IFERROR(Tabla_Buffers_Agroinsumos[[#This Row],[INV FIS MATERIA PRIMA]]-Tabla_Buffers_Agroinsumos[[#This Row],[BUFFER MATERIA PRIMA]],"")</f>
        <v>-1297</v>
      </c>
      <c r="S13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-1297</v>
      </c>
      <c r="T139" s="19"/>
      <c r="U139" s="19"/>
      <c r="V139" s="19"/>
      <c r="W139" s="19"/>
      <c r="X139" s="19"/>
      <c r="Y139" s="19"/>
      <c r="Z139" s="19"/>
      <c r="AA139" s="19"/>
      <c r="AB139" s="19"/>
      <c r="AC139" s="152" t="str">
        <f t="array" ref="AC139">IFERROR(INDEX(TABLACONSOLIDADA[Buff Act],MATCH("AGROINSUMOSCENTRAL"&amp;Tabla_Buffers_Agroinsumos[[#This Row],[CODIGO ]],TABLACONSOLIDADA[Bodega]&amp;TABLACONSOLIDADA[Codigo],0)),"")</f>
        <v/>
      </c>
      <c r="AD139" s="157" t="str">
        <f t="array" ref="AD139">IFERROR(INDEX(TABLACONSOLIDADA[Inv Fís Act],MATCH("AGROINSUMOSCENTRAL"&amp;Tabla_Buffers_Agroinsumos[[#This Row],[CODIGO ]],TABLACONSOLIDADA[Bodega]&amp;TABLACONSOLIDADA[Codigo],0)),"")</f>
        <v/>
      </c>
      <c r="AE139" s="157" t="str">
        <f t="array" ref="AE13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3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39" s="91">
        <f>IFERROR(SUM(Tabla_Buffers_Agroinsumos[[#This Row],[C-MP]:[C-VL]]),"")</f>
        <v>0</v>
      </c>
      <c r="AH139" s="92" t="str">
        <f>IFERROR(Tabla_Buffers_Agroinsumos[[#This Row],[INV FIS CENTRAL]]-Tabla_Buffers_Agroinsumos[[#This Row],[BUFFER CENTRAL]],"")</f>
        <v/>
      </c>
      <c r="AI13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39" s="134"/>
      <c r="AK139" s="134"/>
      <c r="AL139" s="134"/>
      <c r="AM139" s="134"/>
      <c r="AN139" s="134"/>
      <c r="AO139" s="134"/>
      <c r="AP139" s="134"/>
      <c r="AQ139" s="134"/>
      <c r="AR139" s="134"/>
      <c r="AS139" s="134" t="str">
        <f t="array" ref="AS139">IFERROR(INDEX(TABLACONSOLIDADA[Buff Act],MATCH("AGROINSUMOScentralPROPIA"&amp;Tabla_Buffers_Agroinsumos[[#This Row],[CODIGO ]],TABLACONSOLIDADA[Bodega]&amp;TABLACONSOLIDADA[Codigo],0)),"")</f>
        <v/>
      </c>
      <c r="AT139" s="157" t="str">
        <f t="array" ref="AT139">IFERROR(INDEX(TABLACONSOLIDADA[Inv Fís Act],MATCH("AGROINSUMOScentralPROPIA"&amp;Tabla_Buffers_Agroinsumos[[#This Row],[CODIGO ]],TABLACONSOLIDADA[Bodega]&amp;TABLACONSOLIDADA[Codigo],0)),"")</f>
        <v/>
      </c>
      <c r="AU139" s="157" t="str">
        <f t="array" ref="AU13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3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39" s="134">
        <f>IFERROR(SUM(Tabla_Buffers_Agroinsumos[[#This Row],[P-MP]:[P-VL]]),"")</f>
        <v>0</v>
      </c>
      <c r="AX139" s="92" t="str">
        <f>IFERROR(Tabla_Buffers_Agroinsumos[[#This Row],[INV FIS PROPIA]]-Tabla_Buffers_Agroinsumos[[#This Row],[BUFFER PROPIA]],"")</f>
        <v/>
      </c>
      <c r="AY13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39" s="134"/>
      <c r="BA139" s="134"/>
      <c r="BB139" s="134"/>
      <c r="BC139" s="134"/>
      <c r="BD139" s="134"/>
      <c r="BE139" s="134"/>
      <c r="BF139" s="134"/>
      <c r="BG139" s="134"/>
      <c r="BH139" s="134"/>
      <c r="BI139" s="91" t="str">
        <f t="array" ref="BI139">IFERROR(INDEX(TABLACONSOLIDADA[Buff Act],MATCH("AGROINSUMOSSTODOMINGO"&amp;Tabla_Buffers_Agroinsumos[[#This Row],[CODIGO ]],TABLACONSOLIDADA[Bodega]&amp;TABLACONSOLIDADA[Codigo],0)),"")</f>
        <v/>
      </c>
      <c r="BJ139" s="157" t="str">
        <f t="array" ref="BJ139">IFERROR(INDEX(TABLACONSOLIDADA[Inv Fís Act],MATCH("AGROINSUMOSSTODOMINGO"&amp;Tabla_Buffers_Agroinsumos[[#This Row],[CODIGO ]],TABLACONSOLIDADA[Bodega]&amp;TABLACONSOLIDADA[Codigo],0)),"")</f>
        <v/>
      </c>
      <c r="BK139" s="157" t="str">
        <f t="array" ref="BK13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3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39" s="91">
        <f>IFERROR(SUM(Tabla_Buffers_Agroinsumos[[#This Row],[SD-MP]:[SD-VL]]),"")</f>
        <v>0</v>
      </c>
      <c r="BN139" s="92"/>
      <c r="BO139" s="92"/>
      <c r="BP139" s="134"/>
      <c r="BQ139" s="134"/>
      <c r="BR139" s="134"/>
      <c r="BS139" s="134"/>
      <c r="BT139" s="134"/>
      <c r="BU139" s="134"/>
      <c r="BV139" s="134"/>
      <c r="BW139" s="134"/>
      <c r="BX139" s="134"/>
      <c r="BY139" s="134" t="str">
        <f t="array" ref="BY139">IFERROR(INDEX(TABLACONSOLIDADA[Buff Act],MATCH("AGROINSUMOSMONCAYOLOPEZ"&amp;Tabla_Buffers_Agroinsumos[[#This Row],[CODIGO ]],TABLACONSOLIDADA[Bodega]&amp;TABLACONSOLIDADA[Codigo],0)),"")</f>
        <v/>
      </c>
      <c r="BZ139" s="157" t="str">
        <f t="array" ref="BZ139">IFERROR(INDEX(TABLACONSOLIDADA[Inv Fís Act],MATCH("AGROINSUMOSMONCAYOLOPEZ"&amp;Tabla_Buffers_Agroinsumos[[#This Row],[CODIGO ]],TABLACONSOLIDADA[Bodega]&amp;TABLACONSOLIDADA[Codigo],0)),"")</f>
        <v/>
      </c>
      <c r="CA139" s="157" t="str">
        <f t="array" ref="CA13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3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39" s="134">
        <f>IFERROR(SUM(Tabla_Buffers_Agroinsumos[[#This Row],[ML-MP]:[ML-VL]]),"")</f>
        <v>0</v>
      </c>
      <c r="CD139" s="92" t="str">
        <f>IFERROR(Tabla_Buffers_Agroinsumos[[#This Row],[INV FIS ML]]-Tabla_Buffers_Agroinsumos[[#This Row],[BUFFER ML]],"")</f>
        <v/>
      </c>
      <c r="CE13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39" s="134"/>
      <c r="CG139" s="134"/>
      <c r="CH139" s="134"/>
      <c r="CI139" s="134"/>
      <c r="CJ139" s="134"/>
      <c r="CK139" s="134"/>
      <c r="CL139" s="134"/>
      <c r="CM139" s="134"/>
      <c r="CN139" s="134"/>
      <c r="CO139" s="134" t="str">
        <f t="array" ref="CO139">IFERROR(INDEX(TABLACONSOLIDADA[Buff Act],MATCH("AGROINSUMOSAGROHERMANOSLEON"&amp;Tabla_Buffers_Agroinsumos[[#This Row],[CODIGO ]],TABLACONSOLIDADA[Bodega]&amp;TABLACONSOLIDADA[Codigo],0)),"")</f>
        <v/>
      </c>
      <c r="CP139" s="157" t="str">
        <f t="array" ref="CP139">IFERROR(INDEX(TABLACONSOLIDADA[Inv Fís Act],MATCH("AGROINSUMOSAGROHERMANOSLEON"&amp;Tabla_Buffers_Agroinsumos[[#This Row],[CODIGO ]],TABLACONSOLIDADA[Bodega]&amp;TABLACONSOLIDADA[Codigo],0)),"")</f>
        <v/>
      </c>
      <c r="CQ139" s="157" t="str">
        <f t="array" ref="CQ13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3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39" s="134">
        <f>IFERROR(SUM(Tabla_Buffers_Agroinsumos[[#This Row],[AL-MP]:[AL-VL]]),"")</f>
        <v>0</v>
      </c>
      <c r="CT139" s="92" t="str">
        <f>IFERROR(Tabla_Buffers_Agroinsumos[[#This Row],[INV FIS AL]]-Tabla_Buffers_Agroinsumos[[#This Row],[BUFFER AL]],"")</f>
        <v/>
      </c>
      <c r="CU13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39" s="134"/>
      <c r="CW139" s="134"/>
      <c r="CX139" s="134"/>
      <c r="CY139" s="134"/>
      <c r="CZ139" s="134"/>
      <c r="DA139" s="134"/>
      <c r="DB139" s="134"/>
      <c r="DC139" s="134"/>
      <c r="DD139" s="134"/>
      <c r="DE139" s="134" t="str">
        <f t="array" ref="DE139">IFERROR(INDEX(TABLACONSOLIDADA[Buff Act],MATCH("AGROINSUMOSAGRONUEVO"&amp;Tabla_Buffers_Agroinsumos[[#This Row],[CODIGO ]],TABLACONSOLIDADA[Bodega]&amp;TABLACONSOLIDADA[Codigo],0)),"")</f>
        <v/>
      </c>
      <c r="DF139" s="157" t="str">
        <f t="array" ref="DF139">IFERROR(INDEX(TABLACONSOLIDADA[Inv Fís Act],MATCH("AGROINSUMOSAGRONUEVO"&amp;Tabla_Buffers_Agroinsumos[[#This Row],[CODIGO ]],TABLACONSOLIDADA[Bodega]&amp;TABLACONSOLIDADA[Codigo],0)),"")</f>
        <v/>
      </c>
      <c r="DG139" s="157" t="str">
        <f t="array" ref="DG13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3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39" s="134">
        <f>IFERROR(SUM(Tabla_Buffers_Agroinsumos[[#This Row],[AN-MP]:[AN-VL]]),"")</f>
        <v>0</v>
      </c>
      <c r="DJ139" s="92" t="str">
        <f>IFERROR(Tabla_Buffers_Agroinsumos[[#This Row],[INV FIS AN]]-Tabla_Buffers_Agroinsumos[[#This Row],[BUFFER AN]],"")</f>
        <v/>
      </c>
      <c r="DK13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39" s="134"/>
      <c r="DM139" s="134"/>
      <c r="DN139" s="134"/>
      <c r="DO139" s="134"/>
      <c r="DP139" s="134"/>
      <c r="DQ139" s="134"/>
      <c r="DR139" s="134"/>
      <c r="DS139" s="134"/>
      <c r="DT139" s="134"/>
      <c r="DU139" s="134" t="str">
        <f t="array" ref="DU139">IFERROR(INDEX(TABLACONSOLIDADA[Buff Act],MATCH("AGROINSUMOSAGROQUIMICOSSUR"&amp;Tabla_Buffers_Agroinsumos[[#This Row],[CODIGO ]],TABLACONSOLIDADA[Bodega]&amp;TABLACONSOLIDADA[Codigo],0)),"")</f>
        <v/>
      </c>
      <c r="DV139" s="157" t="str">
        <f t="array" ref="DV139">IFERROR(INDEX(TABLACONSOLIDADA[Inv Fís Act],MATCH("AGROINSUMOSAGROQUIMICOSSUR"&amp;Tabla_Buffers_Agroinsumos[[#This Row],[CODIGO ]],TABLACONSOLIDADA[Bodega]&amp;TABLACONSOLIDADA[Codigo],0)),"")</f>
        <v/>
      </c>
      <c r="DW139" s="157" t="str">
        <f t="array" ref="DW13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3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39" s="134">
        <f>IFERROR(SUM(Tabla_Buffers_Agroinsumos[[#This Row],[AS-MP]:[AS-VL]]),"")</f>
        <v>0</v>
      </c>
      <c r="DZ139" s="92" t="str">
        <f>IFERROR(Tabla_Buffers_Agroinsumos[[#This Row],[INV FIS AS]]-Tabla_Buffers_Agroinsumos[[#This Row],[BUFFER AS]],"")</f>
        <v/>
      </c>
      <c r="EA13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39" s="134"/>
      <c r="EC139" s="134"/>
      <c r="ED139" s="134"/>
      <c r="EE139" s="134"/>
      <c r="EF139" s="134"/>
      <c r="EG139" s="134"/>
      <c r="EH139" s="134"/>
      <c r="EI139" s="134"/>
      <c r="EJ139" s="134"/>
      <c r="EK139" s="134" t="str">
        <f t="array" ref="EK139">IFERROR(INDEX(TABLACONSOLIDADA[Buff Act],MATCH("AGROINSUMOSLAFINCA"&amp;Tabla_Buffers_Agroinsumos[[#This Row],[CODIGO ]],TABLACONSOLIDADA[Bodega]&amp;TABLACONSOLIDADA[Codigo],0)),"")</f>
        <v/>
      </c>
      <c r="EL139" s="157" t="str">
        <f t="array" ref="EL139">IFERROR(INDEX(TABLACONSOLIDADA[Inv Fís Act],MATCH("AGROINSUMOSLAFINCA"&amp;Tabla_Buffers_Agroinsumos[[#This Row],[CODIGO ]],TABLACONSOLIDADA[Bodega]&amp;TABLACONSOLIDADA[Codigo],0)),"")</f>
        <v/>
      </c>
      <c r="EM139" s="157" t="str">
        <f t="array" ref="EM13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3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39" s="134">
        <f>IFERROR(SUM(Tabla_Buffers_Agroinsumos[[#This Row],[LF-MP]:[LF-VL]]),"")</f>
        <v>0</v>
      </c>
      <c r="EP139" s="92" t="str">
        <f>IFERROR(Tabla_Buffers_Agroinsumos[[#This Row],[INV FIS LF]]-Tabla_Buffers_Agroinsumos[[#This Row],[BUFFER LF]],"")</f>
        <v/>
      </c>
      <c r="EQ13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39" s="134"/>
      <c r="ES139" s="134"/>
      <c r="ET139" s="134"/>
      <c r="EU139" s="134"/>
      <c r="EV139" s="134"/>
      <c r="EW139" s="134"/>
      <c r="EX139" s="134"/>
      <c r="EY139" s="134"/>
      <c r="EZ139" s="134"/>
      <c r="FA139" s="134" t="str">
        <f t="array" ref="FA139">IFERROR(INDEX(TABLACONSOLIDADA[Buff Act],MATCH("AGROINSUMOSVERONICALEDESMA"&amp;Tabla_Buffers_Agroinsumos[[#This Row],[CODIGO ]],TABLACONSOLIDADA[Bodega]&amp;TABLACONSOLIDADA[Codigo],0)),"")</f>
        <v/>
      </c>
      <c r="FB139" s="157" t="str">
        <f t="array" ref="FB139">IFERROR(INDEX(TABLACONSOLIDADA[Inv Fís Act],MATCH("AGROINSUMOSVERONICALEDESMA"&amp;Tabla_Buffers_Agroinsumos[[#This Row],[CODIGO ]],TABLACONSOLIDADA[Bodega]&amp;TABLACONSOLIDADA[Codigo],0)),"")</f>
        <v/>
      </c>
      <c r="FC139" s="157" t="str">
        <f t="array" ref="FC13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3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39" s="134">
        <f>IFERROR(SUM(Tabla_Buffers_Agroinsumos[[#This Row],[VL-MP]:[VL-LF]]),"")</f>
        <v>0</v>
      </c>
      <c r="FF139" s="92" t="str">
        <f>IFERROR(Tabla_Buffers_Agroinsumos[[#This Row],[INV FIS VL]]-Tabla_Buffers_Agroinsumos[[#This Row],[BUFFER VL]],"")</f>
        <v/>
      </c>
      <c r="FG13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39" s="134"/>
      <c r="FI139" s="134"/>
      <c r="FJ139" s="134"/>
      <c r="FK139" s="134"/>
      <c r="FL139" s="134"/>
      <c r="FM139" s="134"/>
      <c r="FN139" s="134"/>
      <c r="FO139" s="134"/>
      <c r="FP139" s="134"/>
    </row>
    <row r="140" spans="1:172">
      <c r="A140" s="20" t="s">
        <v>1221</v>
      </c>
      <c r="B140" s="20" t="s">
        <v>1222</v>
      </c>
      <c r="C140" s="7" t="s">
        <v>710</v>
      </c>
      <c r="D140" s="7" t="s">
        <v>718</v>
      </c>
      <c r="E140" s="7" t="s">
        <v>863</v>
      </c>
      <c r="F140" s="19" t="s">
        <v>813</v>
      </c>
      <c r="G140" s="19" t="s">
        <v>873</v>
      </c>
      <c r="H140" s="111" t="e">
        <f>VLOOKUP(Tabla_Buffers_Agroinsumos[[#This Row],[CODIGO ]],TABLACONSOLIDADA[[Codigo]:[PV]],6,0)</f>
        <v>#N/A</v>
      </c>
      <c r="I140" s="111" t="e">
        <f>VLOOKUP(Tabla_Buffers_Agroinsumos[[#This Row],[CODIGO ]],TABLACONSOLIDADA[[Codigo]:[PV]],5,0)</f>
        <v>#N/A</v>
      </c>
      <c r="J140" s="111"/>
      <c r="K140" s="111"/>
      <c r="L140" s="111">
        <f>IFERROR(Tabla_Buffers_Agroinsumos[[#This Row],[BUFFER CENTRAL]]/((Tabla_Buffers_Agroinsumos[[#This Row],[TIEMPO REPOSICION ]]/Tabla_Buffers_Agroinsumos[[#This Row],[FRECUENCIA]])+1),0)</f>
        <v>0</v>
      </c>
      <c r="M140" s="111">
        <v>14000</v>
      </c>
      <c r="N140" s="111" t="str">
        <f t="array" ref="N140">IFERROR(INDEX(TABLACONSOLIDADA[Inv Fís Act],MATCH("AGROINSUMOSMATERIAPRIMA"&amp;Tabla_Buffers_Agroinsumos[[#This Row],[CODIGO ]],TABLACONSOLIDADA[Bodega]&amp;TABLACONSOLIDADA[Codigo],0)),"")</f>
        <v/>
      </c>
      <c r="O140" s="178" t="str">
        <f t="array" ref="O14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40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40" s="111">
        <f>IFERROR(SUM(Tabla_Buffers_Agroinsumos[[#This Row],[MP-C]:[MP-VL]]),"")</f>
        <v>0</v>
      </c>
      <c r="R140" s="154" t="str">
        <f>IFERROR(Tabla_Buffers_Agroinsumos[[#This Row],[INV FIS MATERIA PRIMA]]-Tabla_Buffers_Agroinsumos[[#This Row],[BUFFER MATERIA PRIMA]],"")</f>
        <v/>
      </c>
      <c r="S140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40" s="111"/>
      <c r="U140" s="111"/>
      <c r="V140" s="111"/>
      <c r="W140" s="111"/>
      <c r="X140" s="111"/>
      <c r="Y140" s="111"/>
      <c r="Z140" s="111"/>
      <c r="AA140" s="111"/>
      <c r="AB140" s="111"/>
      <c r="AC140" s="152" t="str">
        <f t="array" ref="AC140">IFERROR(INDEX(TABLACONSOLIDADA[Buff Act],MATCH("AGROINSUMOSCENTRAL"&amp;Tabla_Buffers_Agroinsumos[[#This Row],[CODIGO ]],TABLACONSOLIDADA[Bodega]&amp;TABLACONSOLIDADA[Codigo],0)),"")</f>
        <v/>
      </c>
      <c r="AD140" s="111" t="str">
        <f t="array" ref="AD140">IFERROR(INDEX(TABLACONSOLIDADA[Inv Fís Act],MATCH("AGROINSUMOSCENTRAL"&amp;Tabla_Buffers_Agroinsumos[[#This Row],[CODIGO ]],TABLACONSOLIDADA[Bodega]&amp;TABLACONSOLIDADA[Codigo],0)),"")</f>
        <v/>
      </c>
      <c r="AE140" s="178" t="str">
        <f t="array" ref="AE14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40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40" s="153">
        <f>IFERROR(SUM(Tabla_Buffers_Agroinsumos[[#This Row],[C-MP]:[C-VL]]),"")</f>
        <v>0</v>
      </c>
      <c r="AH140" s="154" t="str">
        <f>IFERROR(Tabla_Buffers_Agroinsumos[[#This Row],[INV FIS CENTRAL]]-Tabla_Buffers_Agroinsumos[[#This Row],[BUFFER CENTRAL]],"")</f>
        <v/>
      </c>
      <c r="AI140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40" s="135"/>
      <c r="AK140" s="135"/>
      <c r="AL140" s="135"/>
      <c r="AM140" s="135"/>
      <c r="AN140" s="135"/>
      <c r="AO140" s="135"/>
      <c r="AP140" s="135"/>
      <c r="AQ140" s="135"/>
      <c r="AR140" s="135"/>
      <c r="AS140" s="135" t="str">
        <f t="array" ref="AS140">IFERROR(INDEX(TABLACONSOLIDADA[Buff Act],MATCH("AGROINSUMOScentralPROPIA"&amp;Tabla_Buffers_Agroinsumos[[#This Row],[CODIGO ]],TABLACONSOLIDADA[Bodega]&amp;TABLACONSOLIDADA[Codigo],0)),"")</f>
        <v/>
      </c>
      <c r="AT140" s="111" t="str">
        <f t="array" ref="AT140">IFERROR(INDEX(TABLACONSOLIDADA[Inv Fís Act],MATCH("AGROINSUMOScentralPROPIA"&amp;Tabla_Buffers_Agroinsumos[[#This Row],[CODIGO ]],TABLACONSOLIDADA[Bodega]&amp;TABLACONSOLIDADA[Codigo],0)),"")</f>
        <v/>
      </c>
      <c r="AU140" s="178" t="str">
        <f t="array" ref="AU14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40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40" s="135">
        <f>IFERROR(SUM(Tabla_Buffers_Agroinsumos[[#This Row],[P-MP]:[P-VL]]),"")</f>
        <v>0</v>
      </c>
      <c r="AX140" s="154" t="str">
        <f>IFERROR(Tabla_Buffers_Agroinsumos[[#This Row],[INV FIS PROPIA]]-Tabla_Buffers_Agroinsumos[[#This Row],[BUFFER PROPIA]],"")</f>
        <v/>
      </c>
      <c r="AY140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40" s="135"/>
      <c r="BA140" s="135"/>
      <c r="BB140" s="135"/>
      <c r="BC140" s="135"/>
      <c r="BD140" s="135"/>
      <c r="BE140" s="135"/>
      <c r="BF140" s="135"/>
      <c r="BG140" s="135"/>
      <c r="BH140" s="135"/>
      <c r="BI140" s="153" t="str">
        <f t="array" ref="BI140">IFERROR(INDEX(TABLACONSOLIDADA[Buff Act],MATCH("AGROINSUMOSSTODOMINGO"&amp;Tabla_Buffers_Agroinsumos[[#This Row],[CODIGO ]],TABLACONSOLIDADA[Bodega]&amp;TABLACONSOLIDADA[Codigo],0)),"")</f>
        <v/>
      </c>
      <c r="BJ140" s="111" t="str">
        <f t="array" ref="BJ140">IFERROR(INDEX(TABLACONSOLIDADA[Inv Fís Act],MATCH("AGROINSUMOSSTODOMINGO"&amp;Tabla_Buffers_Agroinsumos[[#This Row],[CODIGO ]],TABLACONSOLIDADA[Bodega]&amp;TABLACONSOLIDADA[Codigo],0)),"")</f>
        <v/>
      </c>
      <c r="BK140" s="178" t="str">
        <f t="array" ref="BK14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40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40" s="153">
        <f>IFERROR(SUM(Tabla_Buffers_Agroinsumos[[#This Row],[SD-MP]:[SD-VL]]),"")</f>
        <v>0</v>
      </c>
      <c r="BN140" s="154"/>
      <c r="BO140" s="154"/>
      <c r="BP140" s="135"/>
      <c r="BQ140" s="135"/>
      <c r="BR140" s="135"/>
      <c r="BS140" s="135"/>
      <c r="BT140" s="135"/>
      <c r="BU140" s="135"/>
      <c r="BV140" s="135"/>
      <c r="BW140" s="135"/>
      <c r="BX140" s="135"/>
      <c r="BY140" s="135" t="str">
        <f t="array" ref="BY140">IFERROR(INDEX(TABLACONSOLIDADA[Buff Act],MATCH("AGROINSUMOSMONCAYOLOPEZ"&amp;Tabla_Buffers_Agroinsumos[[#This Row],[CODIGO ]],TABLACONSOLIDADA[Bodega]&amp;TABLACONSOLIDADA[Codigo],0)),"")</f>
        <v/>
      </c>
      <c r="BZ140" s="111" t="str">
        <f t="array" ref="BZ140">IFERROR(INDEX(TABLACONSOLIDADA[Inv Fís Act],MATCH("AGROINSUMOSMONCAYOLOPEZ"&amp;Tabla_Buffers_Agroinsumos[[#This Row],[CODIGO ]],TABLACONSOLIDADA[Bodega]&amp;TABLACONSOLIDADA[Codigo],0)),"")</f>
        <v/>
      </c>
      <c r="CA140" s="178" t="str">
        <f t="array" ref="CA14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40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40" s="135">
        <f>IFERROR(SUM(Tabla_Buffers_Agroinsumos[[#This Row],[ML-MP]:[ML-VL]]),"")</f>
        <v>0</v>
      </c>
      <c r="CD140" s="154" t="str">
        <f>IFERROR(Tabla_Buffers_Agroinsumos[[#This Row],[INV FIS ML]]-Tabla_Buffers_Agroinsumos[[#This Row],[BUFFER ML]],"")</f>
        <v/>
      </c>
      <c r="CE140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40" s="135"/>
      <c r="CG140" s="135"/>
      <c r="CH140" s="135"/>
      <c r="CI140" s="135"/>
      <c r="CJ140" s="135"/>
      <c r="CK140" s="135"/>
      <c r="CL140" s="135"/>
      <c r="CM140" s="135"/>
      <c r="CN140" s="135"/>
      <c r="CO140" s="135" t="str">
        <f t="array" ref="CO140">IFERROR(INDEX(TABLACONSOLIDADA[Buff Act],MATCH("AGROINSUMOSAGROHERMANOSLEON"&amp;Tabla_Buffers_Agroinsumos[[#This Row],[CODIGO ]],TABLACONSOLIDADA[Bodega]&amp;TABLACONSOLIDADA[Codigo],0)),"")</f>
        <v/>
      </c>
      <c r="CP140" s="111" t="str">
        <f t="array" ref="CP140">IFERROR(INDEX(TABLACONSOLIDADA[Inv Fís Act],MATCH("AGROINSUMOSAGROHERMANOSLEON"&amp;Tabla_Buffers_Agroinsumos[[#This Row],[CODIGO ]],TABLACONSOLIDADA[Bodega]&amp;TABLACONSOLIDADA[Codigo],0)),"")</f>
        <v/>
      </c>
      <c r="CQ140" s="178" t="str">
        <f t="array" ref="CQ14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40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40" s="135">
        <f>IFERROR(SUM(Tabla_Buffers_Agroinsumos[[#This Row],[AL-MP]:[AL-VL]]),"")</f>
        <v>0</v>
      </c>
      <c r="CT140" s="154" t="str">
        <f>IFERROR(Tabla_Buffers_Agroinsumos[[#This Row],[INV FIS AL]]-Tabla_Buffers_Agroinsumos[[#This Row],[BUFFER AL]],"")</f>
        <v/>
      </c>
      <c r="CU140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40" s="135"/>
      <c r="CW140" s="135"/>
      <c r="CX140" s="135"/>
      <c r="CY140" s="135"/>
      <c r="CZ140" s="135"/>
      <c r="DA140" s="135"/>
      <c r="DB140" s="135"/>
      <c r="DC140" s="135"/>
      <c r="DD140" s="135"/>
      <c r="DE140" s="135" t="str">
        <f t="array" ref="DE140">IFERROR(INDEX(TABLACONSOLIDADA[Buff Act],MATCH("AGROINSUMOSAGRONUEVO"&amp;Tabla_Buffers_Agroinsumos[[#This Row],[CODIGO ]],TABLACONSOLIDADA[Bodega]&amp;TABLACONSOLIDADA[Codigo],0)),"")</f>
        <v/>
      </c>
      <c r="DF140" s="111" t="str">
        <f t="array" ref="DF140">IFERROR(INDEX(TABLACONSOLIDADA[Inv Fís Act],MATCH("AGROINSUMOSAGRONUEVO"&amp;Tabla_Buffers_Agroinsumos[[#This Row],[CODIGO ]],TABLACONSOLIDADA[Bodega]&amp;TABLACONSOLIDADA[Codigo],0)),"")</f>
        <v/>
      </c>
      <c r="DG140" s="178" t="str">
        <f t="array" ref="DG14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40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40" s="135">
        <f>IFERROR(SUM(Tabla_Buffers_Agroinsumos[[#This Row],[AN-MP]:[AN-VL]]),"")</f>
        <v>0</v>
      </c>
      <c r="DJ140" s="154" t="str">
        <f>IFERROR(Tabla_Buffers_Agroinsumos[[#This Row],[INV FIS AN]]-Tabla_Buffers_Agroinsumos[[#This Row],[BUFFER AN]],"")</f>
        <v/>
      </c>
      <c r="DK140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40" s="135"/>
      <c r="DM140" s="135"/>
      <c r="DN140" s="135"/>
      <c r="DO140" s="135"/>
      <c r="DP140" s="135"/>
      <c r="DQ140" s="135"/>
      <c r="DR140" s="135"/>
      <c r="DS140" s="135"/>
      <c r="DT140" s="135"/>
      <c r="DU140" s="135" t="str">
        <f t="array" ref="DU140">IFERROR(INDEX(TABLACONSOLIDADA[Buff Act],MATCH("AGROINSUMOSAGROQUIMICOSSUR"&amp;Tabla_Buffers_Agroinsumos[[#This Row],[CODIGO ]],TABLACONSOLIDADA[Bodega]&amp;TABLACONSOLIDADA[Codigo],0)),"")</f>
        <v/>
      </c>
      <c r="DV140" s="111" t="str">
        <f t="array" ref="DV140">IFERROR(INDEX(TABLACONSOLIDADA[Inv Fís Act],MATCH("AGROINSUMOSAGROQUIMICOSSUR"&amp;Tabla_Buffers_Agroinsumos[[#This Row],[CODIGO ]],TABLACONSOLIDADA[Bodega]&amp;TABLACONSOLIDADA[Codigo],0)),"")</f>
        <v/>
      </c>
      <c r="DW140" s="178" t="str">
        <f t="array" ref="DW14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40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40" s="135">
        <f>IFERROR(SUM(Tabla_Buffers_Agroinsumos[[#This Row],[AS-MP]:[AS-VL]]),"")</f>
        <v>0</v>
      </c>
      <c r="DZ140" s="154" t="str">
        <f>IFERROR(Tabla_Buffers_Agroinsumos[[#This Row],[INV FIS AS]]-Tabla_Buffers_Agroinsumos[[#This Row],[BUFFER AS]],"")</f>
        <v/>
      </c>
      <c r="EA140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40" s="135"/>
      <c r="EC140" s="135"/>
      <c r="ED140" s="135"/>
      <c r="EE140" s="135"/>
      <c r="EF140" s="135"/>
      <c r="EG140" s="135"/>
      <c r="EH140" s="135"/>
      <c r="EI140" s="135"/>
      <c r="EJ140" s="135"/>
      <c r="EK140" s="135" t="str">
        <f t="array" ref="EK140">IFERROR(INDEX(TABLACONSOLIDADA[Buff Act],MATCH("AGROINSUMOSLAFINCA"&amp;Tabla_Buffers_Agroinsumos[[#This Row],[CODIGO ]],TABLACONSOLIDADA[Bodega]&amp;TABLACONSOLIDADA[Codigo],0)),"")</f>
        <v/>
      </c>
      <c r="EL140" s="111" t="str">
        <f t="array" ref="EL140">IFERROR(INDEX(TABLACONSOLIDADA[Inv Fís Act],MATCH("AGROINSUMOSLAFINCA"&amp;Tabla_Buffers_Agroinsumos[[#This Row],[CODIGO ]],TABLACONSOLIDADA[Bodega]&amp;TABLACONSOLIDADA[Codigo],0)),"")</f>
        <v/>
      </c>
      <c r="EM140" s="178" t="str">
        <f t="array" ref="EM14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40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40" s="135">
        <f>IFERROR(SUM(Tabla_Buffers_Agroinsumos[[#This Row],[LF-MP]:[LF-VL]]),"")</f>
        <v>0</v>
      </c>
      <c r="EP140" s="154" t="str">
        <f>IFERROR(Tabla_Buffers_Agroinsumos[[#This Row],[INV FIS LF]]-Tabla_Buffers_Agroinsumos[[#This Row],[BUFFER LF]],"")</f>
        <v/>
      </c>
      <c r="EQ140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40" s="135"/>
      <c r="ES140" s="135"/>
      <c r="ET140" s="135"/>
      <c r="EU140" s="135"/>
      <c r="EV140" s="135"/>
      <c r="EW140" s="135"/>
      <c r="EX140" s="135"/>
      <c r="EY140" s="135"/>
      <c r="EZ140" s="135"/>
      <c r="FA140" s="135" t="str">
        <f t="array" ref="FA140">IFERROR(INDEX(TABLACONSOLIDADA[Buff Act],MATCH("AGROINSUMOSVERONICALEDESMA"&amp;Tabla_Buffers_Agroinsumos[[#This Row],[CODIGO ]],TABLACONSOLIDADA[Bodega]&amp;TABLACONSOLIDADA[Codigo],0)),"")</f>
        <v/>
      </c>
      <c r="FB140" s="111" t="str">
        <f t="array" ref="FB140">IFERROR(INDEX(TABLACONSOLIDADA[Inv Fís Act],MATCH("AGROINSUMOSVERONICALEDESMA"&amp;Tabla_Buffers_Agroinsumos[[#This Row],[CODIGO ]],TABLACONSOLIDADA[Bodega]&amp;TABLACONSOLIDADA[Codigo],0)),"")</f>
        <v/>
      </c>
      <c r="FC140" s="178" t="str">
        <f t="array" ref="FC14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40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40" s="135">
        <f>IFERROR(SUM(Tabla_Buffers_Agroinsumos[[#This Row],[VL-MP]:[VL-LF]]),"")</f>
        <v>0</v>
      </c>
      <c r="FF140" s="154" t="str">
        <f>IFERROR(Tabla_Buffers_Agroinsumos[[#This Row],[INV FIS VL]]-Tabla_Buffers_Agroinsumos[[#This Row],[BUFFER VL]],"")</f>
        <v/>
      </c>
      <c r="FG140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40" s="135"/>
      <c r="FI140" s="135"/>
      <c r="FJ140" s="135"/>
      <c r="FK140" s="135"/>
      <c r="FL140" s="135"/>
      <c r="FM140" s="135"/>
      <c r="FN140" s="135"/>
      <c r="FO140" s="135"/>
      <c r="FP140" s="135"/>
    </row>
    <row r="141" spans="1:172">
      <c r="A141" s="7" t="s">
        <v>251</v>
      </c>
      <c r="B141" s="7" t="s">
        <v>1220</v>
      </c>
      <c r="C141" s="7" t="s">
        <v>710</v>
      </c>
      <c r="D141" s="7" t="s">
        <v>718</v>
      </c>
      <c r="E141" s="7" t="s">
        <v>863</v>
      </c>
      <c r="F141" s="19" t="s">
        <v>813</v>
      </c>
      <c r="G141" s="19" t="s">
        <v>873</v>
      </c>
      <c r="H141" s="19">
        <f>VLOOKUP(Tabla_Buffers_Agroinsumos[[#This Row],[CODIGO ]],TABLACONSOLIDADA[[Codigo]:[PV]],6,0)</f>
        <v>0</v>
      </c>
      <c r="I141" s="19">
        <f>VLOOKUP(Tabla_Buffers_Agroinsumos[[#This Row],[CODIGO ]],TABLACONSOLIDADA[[Codigo]:[PV]],5,0)</f>
        <v>1.27</v>
      </c>
      <c r="J141" s="19">
        <v>4</v>
      </c>
      <c r="K141" s="19">
        <v>12</v>
      </c>
      <c r="L141" s="19">
        <f>IFERROR(Tabla_Buffers_Agroinsumos[[#This Row],[BUFFER CENTRAL]]/((Tabla_Buffers_Agroinsumos[[#This Row],[TIEMPO REPOSICION ]]/Tabla_Buffers_Agroinsumos[[#This Row],[FRECUENCIA]])+1),0)</f>
        <v>0</v>
      </c>
      <c r="M141" s="19">
        <f t="array" ref="M141">IFERROR(INDEX(TABLACONSOLIDADA[Buff Act],MATCH("AGROINSUMOSMATERIAPRIMA"&amp;Tabla_Buffers_Agroinsumos[[#This Row],[CODIGO ]],TABLACONSOLIDADA[Bodega]&amp;TABLACONSOLIDADA[Codigo],0)),"")</f>
        <v>12000</v>
      </c>
      <c r="N141" s="157">
        <f t="array" ref="N141">IFERROR(INDEX(TABLACONSOLIDADA[Inv Fís Act],MATCH("AGROINSUMOSMATERIAPRIMA"&amp;Tabla_Buffers_Agroinsumos[[#This Row],[CODIGO ]],TABLACONSOLIDADA[Bodega]&amp;TABLACONSOLIDADA[Codigo],0)),"")</f>
        <v>9182</v>
      </c>
      <c r="O141" s="157">
        <f t="array" ref="O14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9182</v>
      </c>
      <c r="P14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41" s="19">
        <f>IFERROR(SUM(Tabla_Buffers_Agroinsumos[[#This Row],[MP-C]:[MP-VL]]),"")</f>
        <v>0</v>
      </c>
      <c r="R141" s="92">
        <f>IFERROR(Tabla_Buffers_Agroinsumos[[#This Row],[INV FIS MATERIA PRIMA]]-Tabla_Buffers_Agroinsumos[[#This Row],[BUFFER MATERIA PRIMA]],"")</f>
        <v>-2818</v>
      </c>
      <c r="S14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-2818</v>
      </c>
      <c r="T141" s="19"/>
      <c r="U141" s="19"/>
      <c r="V141" s="19"/>
      <c r="W141" s="19"/>
      <c r="X141" s="19"/>
      <c r="Y141" s="19"/>
      <c r="Z141" s="19"/>
      <c r="AA141" s="19"/>
      <c r="AB141" s="19"/>
      <c r="AC141" s="152" t="str">
        <f t="array" ref="AC141">IFERROR(INDEX(TABLACONSOLIDADA[Buff Act],MATCH("AGROINSUMOSCENTRAL"&amp;Tabla_Buffers_Agroinsumos[[#This Row],[CODIGO ]],TABLACONSOLIDADA[Bodega]&amp;TABLACONSOLIDADA[Codigo],0)),"")</f>
        <v/>
      </c>
      <c r="AD141" s="157" t="str">
        <f t="array" ref="AD141">IFERROR(INDEX(TABLACONSOLIDADA[Inv Fís Act],MATCH("AGROINSUMOSCENTRAL"&amp;Tabla_Buffers_Agroinsumos[[#This Row],[CODIGO ]],TABLACONSOLIDADA[Bodega]&amp;TABLACONSOLIDADA[Codigo],0)),"")</f>
        <v/>
      </c>
      <c r="AE141" s="157" t="str">
        <f t="array" ref="AE14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4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41" s="91">
        <f>IFERROR(SUM(Tabla_Buffers_Agroinsumos[[#This Row],[C-MP]:[C-VL]]),"")</f>
        <v>0</v>
      </c>
      <c r="AH141" s="92" t="str">
        <f>IFERROR(Tabla_Buffers_Agroinsumos[[#This Row],[INV FIS CENTRAL]]-Tabla_Buffers_Agroinsumos[[#This Row],[BUFFER CENTRAL]],"")</f>
        <v/>
      </c>
      <c r="AI14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41" s="134"/>
      <c r="AK141" s="134"/>
      <c r="AL141" s="134"/>
      <c r="AM141" s="134"/>
      <c r="AN141" s="134"/>
      <c r="AO141" s="134"/>
      <c r="AP141" s="134"/>
      <c r="AQ141" s="134"/>
      <c r="AR141" s="134"/>
      <c r="AS141" s="134" t="str">
        <f t="array" ref="AS141">IFERROR(INDEX(TABLACONSOLIDADA[Buff Act],MATCH("AGROINSUMOScentralPROPIA"&amp;Tabla_Buffers_Agroinsumos[[#This Row],[CODIGO ]],TABLACONSOLIDADA[Bodega]&amp;TABLACONSOLIDADA[Codigo],0)),"")</f>
        <v/>
      </c>
      <c r="AT141" s="157" t="str">
        <f t="array" ref="AT141">IFERROR(INDEX(TABLACONSOLIDADA[Inv Fís Act],MATCH("AGROINSUMOScentralPROPIA"&amp;Tabla_Buffers_Agroinsumos[[#This Row],[CODIGO ]],TABLACONSOLIDADA[Bodega]&amp;TABLACONSOLIDADA[Codigo],0)),"")</f>
        <v/>
      </c>
      <c r="AU141" s="157" t="str">
        <f t="array" ref="AU14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4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41" s="134">
        <f>IFERROR(SUM(Tabla_Buffers_Agroinsumos[[#This Row],[P-MP]:[P-VL]]),"")</f>
        <v>0</v>
      </c>
      <c r="AX141" s="92" t="str">
        <f>IFERROR(Tabla_Buffers_Agroinsumos[[#This Row],[INV FIS PROPIA]]-Tabla_Buffers_Agroinsumos[[#This Row],[BUFFER PROPIA]],"")</f>
        <v/>
      </c>
      <c r="AY14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41" s="134"/>
      <c r="BA141" s="134"/>
      <c r="BB141" s="134"/>
      <c r="BC141" s="134"/>
      <c r="BD141" s="134"/>
      <c r="BE141" s="134"/>
      <c r="BF141" s="134"/>
      <c r="BG141" s="134"/>
      <c r="BH141" s="134"/>
      <c r="BI141" s="91" t="str">
        <f t="array" ref="BI141">IFERROR(INDEX(TABLACONSOLIDADA[Buff Act],MATCH("AGROINSUMOSSTODOMINGO"&amp;Tabla_Buffers_Agroinsumos[[#This Row],[CODIGO ]],TABLACONSOLIDADA[Bodega]&amp;TABLACONSOLIDADA[Codigo],0)),"")</f>
        <v/>
      </c>
      <c r="BJ141" s="157" t="str">
        <f t="array" ref="BJ141">IFERROR(INDEX(TABLACONSOLIDADA[Inv Fís Act],MATCH("AGROINSUMOSSTODOMINGO"&amp;Tabla_Buffers_Agroinsumos[[#This Row],[CODIGO ]],TABLACONSOLIDADA[Bodega]&amp;TABLACONSOLIDADA[Codigo],0)),"")</f>
        <v/>
      </c>
      <c r="BK141" s="157" t="str">
        <f t="array" ref="BK14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4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41" s="91">
        <f>IFERROR(SUM(Tabla_Buffers_Agroinsumos[[#This Row],[SD-MP]:[SD-VL]]),"")</f>
        <v>0</v>
      </c>
      <c r="BN141" s="92"/>
      <c r="BO141" s="92"/>
      <c r="BP141" s="134"/>
      <c r="BQ141" s="134"/>
      <c r="BR141" s="134"/>
      <c r="BS141" s="134"/>
      <c r="BT141" s="134"/>
      <c r="BU141" s="134"/>
      <c r="BV141" s="134"/>
      <c r="BW141" s="134"/>
      <c r="BX141" s="134"/>
      <c r="BY141" s="134" t="str">
        <f t="array" ref="BY141">IFERROR(INDEX(TABLACONSOLIDADA[Buff Act],MATCH("AGROINSUMOSMONCAYOLOPEZ"&amp;Tabla_Buffers_Agroinsumos[[#This Row],[CODIGO ]],TABLACONSOLIDADA[Bodega]&amp;TABLACONSOLIDADA[Codigo],0)),"")</f>
        <v/>
      </c>
      <c r="BZ141" s="157" t="str">
        <f t="array" ref="BZ141">IFERROR(INDEX(TABLACONSOLIDADA[Inv Fís Act],MATCH("AGROINSUMOSMONCAYOLOPEZ"&amp;Tabla_Buffers_Agroinsumos[[#This Row],[CODIGO ]],TABLACONSOLIDADA[Bodega]&amp;TABLACONSOLIDADA[Codigo],0)),"")</f>
        <v/>
      </c>
      <c r="CA141" s="157" t="str">
        <f t="array" ref="CA14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4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41" s="134">
        <f>IFERROR(SUM(Tabla_Buffers_Agroinsumos[[#This Row],[ML-MP]:[ML-VL]]),"")</f>
        <v>0</v>
      </c>
      <c r="CD141" s="92" t="str">
        <f>IFERROR(Tabla_Buffers_Agroinsumos[[#This Row],[INV FIS ML]]-Tabla_Buffers_Agroinsumos[[#This Row],[BUFFER ML]],"")</f>
        <v/>
      </c>
      <c r="CE14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41" s="134"/>
      <c r="CG141" s="134"/>
      <c r="CH141" s="134"/>
      <c r="CI141" s="134"/>
      <c r="CJ141" s="134"/>
      <c r="CK141" s="134"/>
      <c r="CL141" s="134"/>
      <c r="CM141" s="134"/>
      <c r="CN141" s="134"/>
      <c r="CO141" s="134" t="str">
        <f t="array" ref="CO141">IFERROR(INDEX(TABLACONSOLIDADA[Buff Act],MATCH("AGROINSUMOSAGROHERMANOSLEON"&amp;Tabla_Buffers_Agroinsumos[[#This Row],[CODIGO ]],TABLACONSOLIDADA[Bodega]&amp;TABLACONSOLIDADA[Codigo],0)),"")</f>
        <v/>
      </c>
      <c r="CP141" s="157" t="str">
        <f t="array" ref="CP141">IFERROR(INDEX(TABLACONSOLIDADA[Inv Fís Act],MATCH("AGROINSUMOSAGROHERMANOSLEON"&amp;Tabla_Buffers_Agroinsumos[[#This Row],[CODIGO ]],TABLACONSOLIDADA[Bodega]&amp;TABLACONSOLIDADA[Codigo],0)),"")</f>
        <v/>
      </c>
      <c r="CQ141" s="157" t="str">
        <f t="array" ref="CQ14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4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41" s="134">
        <f>IFERROR(SUM(Tabla_Buffers_Agroinsumos[[#This Row],[AL-MP]:[AL-VL]]),"")</f>
        <v>0</v>
      </c>
      <c r="CT141" s="92" t="str">
        <f>IFERROR(Tabla_Buffers_Agroinsumos[[#This Row],[INV FIS AL]]-Tabla_Buffers_Agroinsumos[[#This Row],[BUFFER AL]],"")</f>
        <v/>
      </c>
      <c r="CU14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41" s="134"/>
      <c r="CW141" s="134"/>
      <c r="CX141" s="134"/>
      <c r="CY141" s="134"/>
      <c r="CZ141" s="134"/>
      <c r="DA141" s="134"/>
      <c r="DB141" s="134"/>
      <c r="DC141" s="134"/>
      <c r="DD141" s="134"/>
      <c r="DE141" s="134" t="str">
        <f t="array" ref="DE141">IFERROR(INDEX(TABLACONSOLIDADA[Buff Act],MATCH("AGROINSUMOSAGRONUEVO"&amp;Tabla_Buffers_Agroinsumos[[#This Row],[CODIGO ]],TABLACONSOLIDADA[Bodega]&amp;TABLACONSOLIDADA[Codigo],0)),"")</f>
        <v/>
      </c>
      <c r="DF141" s="157" t="str">
        <f t="array" ref="DF141">IFERROR(INDEX(TABLACONSOLIDADA[Inv Fís Act],MATCH("AGROINSUMOSAGRONUEVO"&amp;Tabla_Buffers_Agroinsumos[[#This Row],[CODIGO ]],TABLACONSOLIDADA[Bodega]&amp;TABLACONSOLIDADA[Codigo],0)),"")</f>
        <v/>
      </c>
      <c r="DG141" s="157" t="str">
        <f t="array" ref="DG14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4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41" s="134">
        <f>IFERROR(SUM(Tabla_Buffers_Agroinsumos[[#This Row],[AN-MP]:[AN-VL]]),"")</f>
        <v>0</v>
      </c>
      <c r="DJ141" s="92" t="str">
        <f>IFERROR(Tabla_Buffers_Agroinsumos[[#This Row],[INV FIS AN]]-Tabla_Buffers_Agroinsumos[[#This Row],[BUFFER AN]],"")</f>
        <v/>
      </c>
      <c r="DK14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41" s="134"/>
      <c r="DM141" s="134"/>
      <c r="DN141" s="134"/>
      <c r="DO141" s="134"/>
      <c r="DP141" s="134"/>
      <c r="DQ141" s="134"/>
      <c r="DR141" s="134"/>
      <c r="DS141" s="134"/>
      <c r="DT141" s="134"/>
      <c r="DU141" s="134" t="str">
        <f t="array" ref="DU141">IFERROR(INDEX(TABLACONSOLIDADA[Buff Act],MATCH("AGROINSUMOSAGROQUIMICOSSUR"&amp;Tabla_Buffers_Agroinsumos[[#This Row],[CODIGO ]],TABLACONSOLIDADA[Bodega]&amp;TABLACONSOLIDADA[Codigo],0)),"")</f>
        <v/>
      </c>
      <c r="DV141" s="157" t="str">
        <f t="array" ref="DV141">IFERROR(INDEX(TABLACONSOLIDADA[Inv Fís Act],MATCH("AGROINSUMOSAGROQUIMICOSSUR"&amp;Tabla_Buffers_Agroinsumos[[#This Row],[CODIGO ]],TABLACONSOLIDADA[Bodega]&amp;TABLACONSOLIDADA[Codigo],0)),"")</f>
        <v/>
      </c>
      <c r="DW141" s="157" t="str">
        <f t="array" ref="DW14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4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41" s="134">
        <f>IFERROR(SUM(Tabla_Buffers_Agroinsumos[[#This Row],[AS-MP]:[AS-VL]]),"")</f>
        <v>0</v>
      </c>
      <c r="DZ141" s="92" t="str">
        <f>IFERROR(Tabla_Buffers_Agroinsumos[[#This Row],[INV FIS AS]]-Tabla_Buffers_Agroinsumos[[#This Row],[BUFFER AS]],"")</f>
        <v/>
      </c>
      <c r="EA14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41" s="134"/>
      <c r="EC141" s="134"/>
      <c r="ED141" s="134"/>
      <c r="EE141" s="134"/>
      <c r="EF141" s="134"/>
      <c r="EG141" s="134"/>
      <c r="EH141" s="134"/>
      <c r="EI141" s="134"/>
      <c r="EJ141" s="134"/>
      <c r="EK141" s="134" t="str">
        <f t="array" ref="EK141">IFERROR(INDEX(TABLACONSOLIDADA[Buff Act],MATCH("AGROINSUMOSLAFINCA"&amp;Tabla_Buffers_Agroinsumos[[#This Row],[CODIGO ]],TABLACONSOLIDADA[Bodega]&amp;TABLACONSOLIDADA[Codigo],0)),"")</f>
        <v/>
      </c>
      <c r="EL141" s="157" t="str">
        <f t="array" ref="EL141">IFERROR(INDEX(TABLACONSOLIDADA[Inv Fís Act],MATCH("AGROINSUMOSLAFINCA"&amp;Tabla_Buffers_Agroinsumos[[#This Row],[CODIGO ]],TABLACONSOLIDADA[Bodega]&amp;TABLACONSOLIDADA[Codigo],0)),"")</f>
        <v/>
      </c>
      <c r="EM141" s="157" t="str">
        <f t="array" ref="EM14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4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41" s="134">
        <f>IFERROR(SUM(Tabla_Buffers_Agroinsumos[[#This Row],[LF-MP]:[LF-VL]]),"")</f>
        <v>0</v>
      </c>
      <c r="EP141" s="92" t="str">
        <f>IFERROR(Tabla_Buffers_Agroinsumos[[#This Row],[INV FIS LF]]-Tabla_Buffers_Agroinsumos[[#This Row],[BUFFER LF]],"")</f>
        <v/>
      </c>
      <c r="EQ14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41" s="134"/>
      <c r="ES141" s="134"/>
      <c r="ET141" s="134"/>
      <c r="EU141" s="134"/>
      <c r="EV141" s="134"/>
      <c r="EW141" s="134"/>
      <c r="EX141" s="134"/>
      <c r="EY141" s="134"/>
      <c r="EZ141" s="134"/>
      <c r="FA141" s="134" t="str">
        <f t="array" ref="FA141">IFERROR(INDEX(TABLACONSOLIDADA[Buff Act],MATCH("AGROINSUMOSVERONICALEDESMA"&amp;Tabla_Buffers_Agroinsumos[[#This Row],[CODIGO ]],TABLACONSOLIDADA[Bodega]&amp;TABLACONSOLIDADA[Codigo],0)),"")</f>
        <v/>
      </c>
      <c r="FB141" s="157" t="str">
        <f t="array" ref="FB141">IFERROR(INDEX(TABLACONSOLIDADA[Inv Fís Act],MATCH("AGROINSUMOSVERONICALEDESMA"&amp;Tabla_Buffers_Agroinsumos[[#This Row],[CODIGO ]],TABLACONSOLIDADA[Bodega]&amp;TABLACONSOLIDADA[Codigo],0)),"")</f>
        <v/>
      </c>
      <c r="FC141" s="157" t="str">
        <f t="array" ref="FC14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4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41" s="134">
        <f>IFERROR(SUM(Tabla_Buffers_Agroinsumos[[#This Row],[VL-MP]:[VL-LF]]),"")</f>
        <v>0</v>
      </c>
      <c r="FF141" s="92" t="str">
        <f>IFERROR(Tabla_Buffers_Agroinsumos[[#This Row],[INV FIS VL]]-Tabla_Buffers_Agroinsumos[[#This Row],[BUFFER VL]],"")</f>
        <v/>
      </c>
      <c r="FG14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41" s="134"/>
      <c r="FI141" s="134"/>
      <c r="FJ141" s="134"/>
      <c r="FK141" s="134"/>
      <c r="FL141" s="134"/>
      <c r="FM141" s="134"/>
      <c r="FN141" s="134"/>
      <c r="FO141" s="134"/>
      <c r="FP141" s="134"/>
    </row>
    <row r="142" spans="1:172">
      <c r="A142" s="20" t="s">
        <v>1223</v>
      </c>
      <c r="B142" s="20" t="s">
        <v>1224</v>
      </c>
      <c r="C142" s="20" t="s">
        <v>710</v>
      </c>
      <c r="D142" s="20" t="s">
        <v>718</v>
      </c>
      <c r="E142" s="20" t="s">
        <v>863</v>
      </c>
      <c r="F142" s="111" t="s">
        <v>813</v>
      </c>
      <c r="G142" s="111" t="s">
        <v>873</v>
      </c>
      <c r="H142" s="111" t="e">
        <f>VLOOKUP(Tabla_Buffers_Agroinsumos[[#This Row],[CODIGO ]],TABLACONSOLIDADA[[Codigo]:[PV]],6,0)</f>
        <v>#N/A</v>
      </c>
      <c r="I142" s="111" t="e">
        <f>VLOOKUP(Tabla_Buffers_Agroinsumos[[#This Row],[CODIGO ]],TABLACONSOLIDADA[[Codigo]:[PV]],5,0)</f>
        <v>#N/A</v>
      </c>
      <c r="J142" s="111"/>
      <c r="K142" s="111"/>
      <c r="L142" s="111">
        <f>IFERROR(Tabla_Buffers_Agroinsumos[[#This Row],[BUFFER CENTRAL]]/((Tabla_Buffers_Agroinsumos[[#This Row],[TIEMPO REPOSICION ]]/Tabla_Buffers_Agroinsumos[[#This Row],[FRECUENCIA]])+1),0)</f>
        <v>0</v>
      </c>
      <c r="M142" s="111">
        <v>10000</v>
      </c>
      <c r="N142" s="111" t="str">
        <f t="array" ref="N142">IFERROR(INDEX(TABLACONSOLIDADA[Inv Fís Act],MATCH("AGROINSUMOSMATERIAPRIMA"&amp;Tabla_Buffers_Agroinsumos[[#This Row],[CODIGO ]],TABLACONSOLIDADA[Bodega]&amp;TABLACONSOLIDADA[Codigo],0)),"")</f>
        <v/>
      </c>
      <c r="O142" s="178" t="str">
        <f t="array" ref="O14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42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42" s="111">
        <f>IFERROR(SUM(Tabla_Buffers_Agroinsumos[[#This Row],[MP-C]:[MP-VL]]),"")</f>
        <v>0</v>
      </c>
      <c r="R142" s="154" t="str">
        <f>IFERROR(Tabla_Buffers_Agroinsumos[[#This Row],[INV FIS MATERIA PRIMA]]-Tabla_Buffers_Agroinsumos[[#This Row],[BUFFER MATERIA PRIMA]],"")</f>
        <v/>
      </c>
      <c r="S142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42" s="111"/>
      <c r="U142" s="111"/>
      <c r="V142" s="111"/>
      <c r="W142" s="111"/>
      <c r="X142" s="111"/>
      <c r="Y142" s="111"/>
      <c r="Z142" s="111"/>
      <c r="AA142" s="111"/>
      <c r="AB142" s="111"/>
      <c r="AC142" s="152" t="str">
        <f t="array" ref="AC142">IFERROR(INDEX(TABLACONSOLIDADA[Buff Act],MATCH("AGROINSUMOSCENTRAL"&amp;Tabla_Buffers_Agroinsumos[[#This Row],[CODIGO ]],TABLACONSOLIDADA[Bodega]&amp;TABLACONSOLIDADA[Codigo],0)),"")</f>
        <v/>
      </c>
      <c r="AD142" s="111" t="str">
        <f t="array" ref="AD142">IFERROR(INDEX(TABLACONSOLIDADA[Inv Fís Act],MATCH("AGROINSUMOSCENTRAL"&amp;Tabla_Buffers_Agroinsumos[[#This Row],[CODIGO ]],TABLACONSOLIDADA[Bodega]&amp;TABLACONSOLIDADA[Codigo],0)),"")</f>
        <v/>
      </c>
      <c r="AE142" s="178" t="str">
        <f t="array" ref="AE14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42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42" s="153">
        <f>IFERROR(SUM(Tabla_Buffers_Agroinsumos[[#This Row],[C-MP]:[C-VL]]),"")</f>
        <v>0</v>
      </c>
      <c r="AH142" s="154" t="str">
        <f>IFERROR(Tabla_Buffers_Agroinsumos[[#This Row],[INV FIS CENTRAL]]-Tabla_Buffers_Agroinsumos[[#This Row],[BUFFER CENTRAL]],"")</f>
        <v/>
      </c>
      <c r="AI142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 t="str">
        <f t="array" ref="AS142">IFERROR(INDEX(TABLACONSOLIDADA[Buff Act],MATCH("AGROINSUMOScentralPROPIA"&amp;Tabla_Buffers_Agroinsumos[[#This Row],[CODIGO ]],TABLACONSOLIDADA[Bodega]&amp;TABLACONSOLIDADA[Codigo],0)),"")</f>
        <v/>
      </c>
      <c r="AT142" s="111" t="str">
        <f t="array" ref="AT142">IFERROR(INDEX(TABLACONSOLIDADA[Inv Fís Act],MATCH("AGROINSUMOScentralPROPIA"&amp;Tabla_Buffers_Agroinsumos[[#This Row],[CODIGO ]],TABLACONSOLIDADA[Bodega]&amp;TABLACONSOLIDADA[Codigo],0)),"")</f>
        <v/>
      </c>
      <c r="AU142" s="178" t="str">
        <f t="array" ref="AU14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42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42" s="135">
        <f>IFERROR(SUM(Tabla_Buffers_Agroinsumos[[#This Row],[P-MP]:[P-VL]]),"")</f>
        <v>0</v>
      </c>
      <c r="AX142" s="154" t="str">
        <f>IFERROR(Tabla_Buffers_Agroinsumos[[#This Row],[INV FIS PROPIA]]-Tabla_Buffers_Agroinsumos[[#This Row],[BUFFER PROPIA]],"")</f>
        <v/>
      </c>
      <c r="AY142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53" t="str">
        <f t="array" ref="BI142">IFERROR(INDEX(TABLACONSOLIDADA[Buff Act],MATCH("AGROINSUMOSSTODOMINGO"&amp;Tabla_Buffers_Agroinsumos[[#This Row],[CODIGO ]],TABLACONSOLIDADA[Bodega]&amp;TABLACONSOLIDADA[Codigo],0)),"")</f>
        <v/>
      </c>
      <c r="BJ142" s="111" t="str">
        <f t="array" ref="BJ142">IFERROR(INDEX(TABLACONSOLIDADA[Inv Fís Act],MATCH("AGROINSUMOSSTODOMINGO"&amp;Tabla_Buffers_Agroinsumos[[#This Row],[CODIGO ]],TABLACONSOLIDADA[Bodega]&amp;TABLACONSOLIDADA[Codigo],0)),"")</f>
        <v/>
      </c>
      <c r="BK142" s="178" t="str">
        <f t="array" ref="BK14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42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42" s="153">
        <f>IFERROR(SUM(Tabla_Buffers_Agroinsumos[[#This Row],[SD-MP]:[SD-VL]]),"")</f>
        <v>0</v>
      </c>
      <c r="BN142" s="154"/>
      <c r="BO142" s="154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 t="str">
        <f t="array" ref="BY142">IFERROR(INDEX(TABLACONSOLIDADA[Buff Act],MATCH("AGROINSUMOSMONCAYOLOPEZ"&amp;Tabla_Buffers_Agroinsumos[[#This Row],[CODIGO ]],TABLACONSOLIDADA[Bodega]&amp;TABLACONSOLIDADA[Codigo],0)),"")</f>
        <v/>
      </c>
      <c r="BZ142" s="111" t="str">
        <f t="array" ref="BZ142">IFERROR(INDEX(TABLACONSOLIDADA[Inv Fís Act],MATCH("AGROINSUMOSMONCAYOLOPEZ"&amp;Tabla_Buffers_Agroinsumos[[#This Row],[CODIGO ]],TABLACONSOLIDADA[Bodega]&amp;TABLACONSOLIDADA[Codigo],0)),"")</f>
        <v/>
      </c>
      <c r="CA142" s="178" t="str">
        <f t="array" ref="CA14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42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42" s="135">
        <f>IFERROR(SUM(Tabla_Buffers_Agroinsumos[[#This Row],[ML-MP]:[ML-VL]]),"")</f>
        <v>0</v>
      </c>
      <c r="CD142" s="154" t="str">
        <f>IFERROR(Tabla_Buffers_Agroinsumos[[#This Row],[INV FIS ML]]-Tabla_Buffers_Agroinsumos[[#This Row],[BUFFER ML]],"")</f>
        <v/>
      </c>
      <c r="CE142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 t="str">
        <f t="array" ref="CO142">IFERROR(INDEX(TABLACONSOLIDADA[Buff Act],MATCH("AGROINSUMOSAGROHERMANOSLEON"&amp;Tabla_Buffers_Agroinsumos[[#This Row],[CODIGO ]],TABLACONSOLIDADA[Bodega]&amp;TABLACONSOLIDADA[Codigo],0)),"")</f>
        <v/>
      </c>
      <c r="CP142" s="111" t="str">
        <f t="array" ref="CP142">IFERROR(INDEX(TABLACONSOLIDADA[Inv Fís Act],MATCH("AGROINSUMOSAGROHERMANOSLEON"&amp;Tabla_Buffers_Agroinsumos[[#This Row],[CODIGO ]],TABLACONSOLIDADA[Bodega]&amp;TABLACONSOLIDADA[Codigo],0)),"")</f>
        <v/>
      </c>
      <c r="CQ142" s="178" t="str">
        <f t="array" ref="CQ14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42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42" s="135">
        <f>IFERROR(SUM(Tabla_Buffers_Agroinsumos[[#This Row],[AL-MP]:[AL-VL]]),"")</f>
        <v>0</v>
      </c>
      <c r="CT142" s="154" t="str">
        <f>IFERROR(Tabla_Buffers_Agroinsumos[[#This Row],[INV FIS AL]]-Tabla_Buffers_Agroinsumos[[#This Row],[BUFFER AL]],"")</f>
        <v/>
      </c>
      <c r="CU142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 t="str">
        <f t="array" ref="DE142">IFERROR(INDEX(TABLACONSOLIDADA[Buff Act],MATCH("AGROINSUMOSAGRONUEVO"&amp;Tabla_Buffers_Agroinsumos[[#This Row],[CODIGO ]],TABLACONSOLIDADA[Bodega]&amp;TABLACONSOLIDADA[Codigo],0)),"")</f>
        <v/>
      </c>
      <c r="DF142" s="111" t="str">
        <f t="array" ref="DF142">IFERROR(INDEX(TABLACONSOLIDADA[Inv Fís Act],MATCH("AGROINSUMOSAGRONUEVO"&amp;Tabla_Buffers_Agroinsumos[[#This Row],[CODIGO ]],TABLACONSOLIDADA[Bodega]&amp;TABLACONSOLIDADA[Codigo],0)),"")</f>
        <v/>
      </c>
      <c r="DG142" s="178" t="str">
        <f t="array" ref="DG14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42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42" s="135">
        <f>IFERROR(SUM(Tabla_Buffers_Agroinsumos[[#This Row],[AN-MP]:[AN-VL]]),"")</f>
        <v>0</v>
      </c>
      <c r="DJ142" s="154" t="str">
        <f>IFERROR(Tabla_Buffers_Agroinsumos[[#This Row],[INV FIS AN]]-Tabla_Buffers_Agroinsumos[[#This Row],[BUFFER AN]],"")</f>
        <v/>
      </c>
      <c r="DK142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 t="str">
        <f t="array" ref="DU142">IFERROR(INDEX(TABLACONSOLIDADA[Buff Act],MATCH("AGROINSUMOSAGROQUIMICOSSUR"&amp;Tabla_Buffers_Agroinsumos[[#This Row],[CODIGO ]],TABLACONSOLIDADA[Bodega]&amp;TABLACONSOLIDADA[Codigo],0)),"")</f>
        <v/>
      </c>
      <c r="DV142" s="111" t="str">
        <f t="array" ref="DV142">IFERROR(INDEX(TABLACONSOLIDADA[Inv Fís Act],MATCH("AGROINSUMOSAGROQUIMICOSSUR"&amp;Tabla_Buffers_Agroinsumos[[#This Row],[CODIGO ]],TABLACONSOLIDADA[Bodega]&amp;TABLACONSOLIDADA[Codigo],0)),"")</f>
        <v/>
      </c>
      <c r="DW142" s="178" t="str">
        <f t="array" ref="DW14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42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42" s="135">
        <f>IFERROR(SUM(Tabla_Buffers_Agroinsumos[[#This Row],[AS-MP]:[AS-VL]]),"")</f>
        <v>0</v>
      </c>
      <c r="DZ142" s="154" t="str">
        <f>IFERROR(Tabla_Buffers_Agroinsumos[[#This Row],[INV FIS AS]]-Tabla_Buffers_Agroinsumos[[#This Row],[BUFFER AS]],"")</f>
        <v/>
      </c>
      <c r="EA142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 t="str">
        <f t="array" ref="EK142">IFERROR(INDEX(TABLACONSOLIDADA[Buff Act],MATCH("AGROINSUMOSLAFINCA"&amp;Tabla_Buffers_Agroinsumos[[#This Row],[CODIGO ]],TABLACONSOLIDADA[Bodega]&amp;TABLACONSOLIDADA[Codigo],0)),"")</f>
        <v/>
      </c>
      <c r="EL142" s="111" t="str">
        <f t="array" ref="EL142">IFERROR(INDEX(TABLACONSOLIDADA[Inv Fís Act],MATCH("AGROINSUMOSLAFINCA"&amp;Tabla_Buffers_Agroinsumos[[#This Row],[CODIGO ]],TABLACONSOLIDADA[Bodega]&amp;TABLACONSOLIDADA[Codigo],0)),"")</f>
        <v/>
      </c>
      <c r="EM142" s="178" t="str">
        <f t="array" ref="EM14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42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42" s="135">
        <f>IFERROR(SUM(Tabla_Buffers_Agroinsumos[[#This Row],[LF-MP]:[LF-VL]]),"")</f>
        <v>0</v>
      </c>
      <c r="EP142" s="154" t="str">
        <f>IFERROR(Tabla_Buffers_Agroinsumos[[#This Row],[INV FIS LF]]-Tabla_Buffers_Agroinsumos[[#This Row],[BUFFER LF]],"")</f>
        <v/>
      </c>
      <c r="EQ142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 t="str">
        <f t="array" ref="FA142">IFERROR(INDEX(TABLACONSOLIDADA[Buff Act],MATCH("AGROINSUMOSVERONICALEDESMA"&amp;Tabla_Buffers_Agroinsumos[[#This Row],[CODIGO ]],TABLACONSOLIDADA[Bodega]&amp;TABLACONSOLIDADA[Codigo],0)),"")</f>
        <v/>
      </c>
      <c r="FB142" s="111" t="str">
        <f t="array" ref="FB142">IFERROR(INDEX(TABLACONSOLIDADA[Inv Fís Act],MATCH("AGROINSUMOSVERONICALEDESMA"&amp;Tabla_Buffers_Agroinsumos[[#This Row],[CODIGO ]],TABLACONSOLIDADA[Bodega]&amp;TABLACONSOLIDADA[Codigo],0)),"")</f>
        <v/>
      </c>
      <c r="FC142" s="178" t="str">
        <f t="array" ref="FC14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42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42" s="135">
        <f>IFERROR(SUM(Tabla_Buffers_Agroinsumos[[#This Row],[VL-MP]:[VL-LF]]),"")</f>
        <v>0</v>
      </c>
      <c r="FF142" s="154" t="str">
        <f>IFERROR(Tabla_Buffers_Agroinsumos[[#This Row],[INV FIS VL]]-Tabla_Buffers_Agroinsumos[[#This Row],[BUFFER VL]],"")</f>
        <v/>
      </c>
      <c r="FG142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42" s="135"/>
      <c r="FI142" s="135"/>
      <c r="FJ142" s="135"/>
      <c r="FK142" s="135"/>
      <c r="FL142" s="135"/>
      <c r="FM142" s="135"/>
      <c r="FN142" s="135"/>
      <c r="FO142" s="135"/>
      <c r="FP142" s="135"/>
    </row>
    <row r="143" spans="1:172">
      <c r="A143" s="20" t="s">
        <v>1225</v>
      </c>
      <c r="B143" s="20" t="s">
        <v>1227</v>
      </c>
      <c r="C143" s="20" t="s">
        <v>710</v>
      </c>
      <c r="D143" s="20" t="s">
        <v>718</v>
      </c>
      <c r="E143" s="20" t="s">
        <v>863</v>
      </c>
      <c r="F143" s="111" t="s">
        <v>813</v>
      </c>
      <c r="G143" s="111" t="s">
        <v>873</v>
      </c>
      <c r="H143" s="111" t="e">
        <f>VLOOKUP(Tabla_Buffers_Agroinsumos[[#This Row],[CODIGO ]],TABLACONSOLIDADA[[Codigo]:[PV]],6,0)</f>
        <v>#N/A</v>
      </c>
      <c r="I143" s="111" t="e">
        <f>VLOOKUP(Tabla_Buffers_Agroinsumos[[#This Row],[CODIGO ]],TABLACONSOLIDADA[[Codigo]:[PV]],5,0)</f>
        <v>#N/A</v>
      </c>
      <c r="J143" s="111"/>
      <c r="K143" s="111"/>
      <c r="L143" s="111">
        <f>IFERROR(Tabla_Buffers_Agroinsumos[[#This Row],[BUFFER CENTRAL]]/((Tabla_Buffers_Agroinsumos[[#This Row],[TIEMPO REPOSICION ]]/Tabla_Buffers_Agroinsumos[[#This Row],[FRECUENCIA]])+1),0)</f>
        <v>0</v>
      </c>
      <c r="M143" s="111">
        <v>10000</v>
      </c>
      <c r="N143" s="111" t="str">
        <f t="array" ref="N143">IFERROR(INDEX(TABLACONSOLIDADA[Inv Fís Act],MATCH("AGROINSUMOSMATERIAPRIMA"&amp;Tabla_Buffers_Agroinsumos[[#This Row],[CODIGO ]],TABLACONSOLIDADA[Bodega]&amp;TABLACONSOLIDADA[Codigo],0)),"")</f>
        <v/>
      </c>
      <c r="O143" s="178" t="str">
        <f t="array" ref="O14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43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43" s="111">
        <f>IFERROR(SUM(Tabla_Buffers_Agroinsumos[[#This Row],[MP-C]:[MP-VL]]),"")</f>
        <v>0</v>
      </c>
      <c r="R143" s="154" t="str">
        <f>IFERROR(Tabla_Buffers_Agroinsumos[[#This Row],[INV FIS MATERIA PRIMA]]-Tabla_Buffers_Agroinsumos[[#This Row],[BUFFER MATERIA PRIMA]],"")</f>
        <v/>
      </c>
      <c r="S143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43" s="111"/>
      <c r="U143" s="111"/>
      <c r="V143" s="111"/>
      <c r="W143" s="111"/>
      <c r="X143" s="111"/>
      <c r="Y143" s="111"/>
      <c r="Z143" s="111"/>
      <c r="AA143" s="111"/>
      <c r="AB143" s="111"/>
      <c r="AC143" s="152" t="str">
        <f t="array" ref="AC143">IFERROR(INDEX(TABLACONSOLIDADA[Buff Act],MATCH("AGROINSUMOSCENTRAL"&amp;Tabla_Buffers_Agroinsumos[[#This Row],[CODIGO ]],TABLACONSOLIDADA[Bodega]&amp;TABLACONSOLIDADA[Codigo],0)),"")</f>
        <v/>
      </c>
      <c r="AD143" s="111" t="str">
        <f t="array" ref="AD143">IFERROR(INDEX(TABLACONSOLIDADA[Inv Fís Act],MATCH("AGROINSUMOSCENTRAL"&amp;Tabla_Buffers_Agroinsumos[[#This Row],[CODIGO ]],TABLACONSOLIDADA[Bodega]&amp;TABLACONSOLIDADA[Codigo],0)),"")</f>
        <v/>
      </c>
      <c r="AE143" s="178" t="str">
        <f t="array" ref="AE14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43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43" s="153">
        <f>IFERROR(SUM(Tabla_Buffers_Agroinsumos[[#This Row],[C-MP]:[C-VL]]),"")</f>
        <v>0</v>
      </c>
      <c r="AH143" s="154" t="str">
        <f>IFERROR(Tabla_Buffers_Agroinsumos[[#This Row],[INV FIS CENTRAL]]-Tabla_Buffers_Agroinsumos[[#This Row],[BUFFER CENTRAL]],"")</f>
        <v/>
      </c>
      <c r="AI143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 t="str">
        <f t="array" ref="AS143">IFERROR(INDEX(TABLACONSOLIDADA[Buff Act],MATCH("AGROINSUMOScentralPROPIA"&amp;Tabla_Buffers_Agroinsumos[[#This Row],[CODIGO ]],TABLACONSOLIDADA[Bodega]&amp;TABLACONSOLIDADA[Codigo],0)),"")</f>
        <v/>
      </c>
      <c r="AT143" s="111" t="str">
        <f t="array" ref="AT143">IFERROR(INDEX(TABLACONSOLIDADA[Inv Fís Act],MATCH("AGROINSUMOScentralPROPIA"&amp;Tabla_Buffers_Agroinsumos[[#This Row],[CODIGO ]],TABLACONSOLIDADA[Bodega]&amp;TABLACONSOLIDADA[Codigo],0)),"")</f>
        <v/>
      </c>
      <c r="AU143" s="178" t="str">
        <f t="array" ref="AU14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43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43" s="135">
        <f>IFERROR(SUM(Tabla_Buffers_Agroinsumos[[#This Row],[P-MP]:[P-VL]]),"")</f>
        <v>0</v>
      </c>
      <c r="AX143" s="154" t="str">
        <f>IFERROR(Tabla_Buffers_Agroinsumos[[#This Row],[INV FIS PROPIA]]-Tabla_Buffers_Agroinsumos[[#This Row],[BUFFER PROPIA]],"")</f>
        <v/>
      </c>
      <c r="AY143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53" t="str">
        <f t="array" ref="BI143">IFERROR(INDEX(TABLACONSOLIDADA[Buff Act],MATCH("AGROINSUMOSSTODOMINGO"&amp;Tabla_Buffers_Agroinsumos[[#This Row],[CODIGO ]],TABLACONSOLIDADA[Bodega]&amp;TABLACONSOLIDADA[Codigo],0)),"")</f>
        <v/>
      </c>
      <c r="BJ143" s="111" t="str">
        <f t="array" ref="BJ143">IFERROR(INDEX(TABLACONSOLIDADA[Inv Fís Act],MATCH("AGROINSUMOSSTODOMINGO"&amp;Tabla_Buffers_Agroinsumos[[#This Row],[CODIGO ]],TABLACONSOLIDADA[Bodega]&amp;TABLACONSOLIDADA[Codigo],0)),"")</f>
        <v/>
      </c>
      <c r="BK143" s="178" t="str">
        <f t="array" ref="BK14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43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43" s="153">
        <f>IFERROR(SUM(Tabla_Buffers_Agroinsumos[[#This Row],[SD-MP]:[SD-VL]]),"")</f>
        <v>0</v>
      </c>
      <c r="BN143" s="154"/>
      <c r="BO143" s="154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 t="str">
        <f t="array" ref="BY143">IFERROR(INDEX(TABLACONSOLIDADA[Buff Act],MATCH("AGROINSUMOSMONCAYOLOPEZ"&amp;Tabla_Buffers_Agroinsumos[[#This Row],[CODIGO ]],TABLACONSOLIDADA[Bodega]&amp;TABLACONSOLIDADA[Codigo],0)),"")</f>
        <v/>
      </c>
      <c r="BZ143" s="111" t="str">
        <f t="array" ref="BZ143">IFERROR(INDEX(TABLACONSOLIDADA[Inv Fís Act],MATCH("AGROINSUMOSMONCAYOLOPEZ"&amp;Tabla_Buffers_Agroinsumos[[#This Row],[CODIGO ]],TABLACONSOLIDADA[Bodega]&amp;TABLACONSOLIDADA[Codigo],0)),"")</f>
        <v/>
      </c>
      <c r="CA143" s="178" t="str">
        <f t="array" ref="CA14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43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43" s="135">
        <f>IFERROR(SUM(Tabla_Buffers_Agroinsumos[[#This Row],[ML-MP]:[ML-VL]]),"")</f>
        <v>0</v>
      </c>
      <c r="CD143" s="154" t="str">
        <f>IFERROR(Tabla_Buffers_Agroinsumos[[#This Row],[INV FIS ML]]-Tabla_Buffers_Agroinsumos[[#This Row],[BUFFER ML]],"")</f>
        <v/>
      </c>
      <c r="CE143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 t="str">
        <f t="array" ref="CO143">IFERROR(INDEX(TABLACONSOLIDADA[Buff Act],MATCH("AGROINSUMOSAGROHERMANOSLEON"&amp;Tabla_Buffers_Agroinsumos[[#This Row],[CODIGO ]],TABLACONSOLIDADA[Bodega]&amp;TABLACONSOLIDADA[Codigo],0)),"")</f>
        <v/>
      </c>
      <c r="CP143" s="111" t="str">
        <f t="array" ref="CP143">IFERROR(INDEX(TABLACONSOLIDADA[Inv Fís Act],MATCH("AGROINSUMOSAGROHERMANOSLEON"&amp;Tabla_Buffers_Agroinsumos[[#This Row],[CODIGO ]],TABLACONSOLIDADA[Bodega]&amp;TABLACONSOLIDADA[Codigo],0)),"")</f>
        <v/>
      </c>
      <c r="CQ143" s="178" t="str">
        <f t="array" ref="CQ14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43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43" s="135">
        <f>IFERROR(SUM(Tabla_Buffers_Agroinsumos[[#This Row],[AL-MP]:[AL-VL]]),"")</f>
        <v>0</v>
      </c>
      <c r="CT143" s="154" t="str">
        <f>IFERROR(Tabla_Buffers_Agroinsumos[[#This Row],[INV FIS AL]]-Tabla_Buffers_Agroinsumos[[#This Row],[BUFFER AL]],"")</f>
        <v/>
      </c>
      <c r="CU143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 t="str">
        <f t="array" ref="DE143">IFERROR(INDEX(TABLACONSOLIDADA[Buff Act],MATCH("AGROINSUMOSAGRONUEVO"&amp;Tabla_Buffers_Agroinsumos[[#This Row],[CODIGO ]],TABLACONSOLIDADA[Bodega]&amp;TABLACONSOLIDADA[Codigo],0)),"")</f>
        <v/>
      </c>
      <c r="DF143" s="111" t="str">
        <f t="array" ref="DF143">IFERROR(INDEX(TABLACONSOLIDADA[Inv Fís Act],MATCH("AGROINSUMOSAGRONUEVO"&amp;Tabla_Buffers_Agroinsumos[[#This Row],[CODIGO ]],TABLACONSOLIDADA[Bodega]&amp;TABLACONSOLIDADA[Codigo],0)),"")</f>
        <v/>
      </c>
      <c r="DG143" s="178" t="str">
        <f t="array" ref="DG14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43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43" s="135">
        <f>IFERROR(SUM(Tabla_Buffers_Agroinsumos[[#This Row],[AN-MP]:[AN-VL]]),"")</f>
        <v>0</v>
      </c>
      <c r="DJ143" s="154" t="str">
        <f>IFERROR(Tabla_Buffers_Agroinsumos[[#This Row],[INV FIS AN]]-Tabla_Buffers_Agroinsumos[[#This Row],[BUFFER AN]],"")</f>
        <v/>
      </c>
      <c r="DK143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 t="str">
        <f t="array" ref="DU143">IFERROR(INDEX(TABLACONSOLIDADA[Buff Act],MATCH("AGROINSUMOSAGROQUIMICOSSUR"&amp;Tabla_Buffers_Agroinsumos[[#This Row],[CODIGO ]],TABLACONSOLIDADA[Bodega]&amp;TABLACONSOLIDADA[Codigo],0)),"")</f>
        <v/>
      </c>
      <c r="DV143" s="111" t="str">
        <f t="array" ref="DV143">IFERROR(INDEX(TABLACONSOLIDADA[Inv Fís Act],MATCH("AGROINSUMOSAGROQUIMICOSSUR"&amp;Tabla_Buffers_Agroinsumos[[#This Row],[CODIGO ]],TABLACONSOLIDADA[Bodega]&amp;TABLACONSOLIDADA[Codigo],0)),"")</f>
        <v/>
      </c>
      <c r="DW143" s="178" t="str">
        <f t="array" ref="DW14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43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43" s="135">
        <f>IFERROR(SUM(Tabla_Buffers_Agroinsumos[[#This Row],[AS-MP]:[AS-VL]]),"")</f>
        <v>0</v>
      </c>
      <c r="DZ143" s="154" t="str">
        <f>IFERROR(Tabla_Buffers_Agroinsumos[[#This Row],[INV FIS AS]]-Tabla_Buffers_Agroinsumos[[#This Row],[BUFFER AS]],"")</f>
        <v/>
      </c>
      <c r="EA143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 t="str">
        <f t="array" ref="EK143">IFERROR(INDEX(TABLACONSOLIDADA[Buff Act],MATCH("AGROINSUMOSLAFINCA"&amp;Tabla_Buffers_Agroinsumos[[#This Row],[CODIGO ]],TABLACONSOLIDADA[Bodega]&amp;TABLACONSOLIDADA[Codigo],0)),"")</f>
        <v/>
      </c>
      <c r="EL143" s="111" t="str">
        <f t="array" ref="EL143">IFERROR(INDEX(TABLACONSOLIDADA[Inv Fís Act],MATCH("AGROINSUMOSLAFINCA"&amp;Tabla_Buffers_Agroinsumos[[#This Row],[CODIGO ]],TABLACONSOLIDADA[Bodega]&amp;TABLACONSOLIDADA[Codigo],0)),"")</f>
        <v/>
      </c>
      <c r="EM143" s="178" t="str">
        <f t="array" ref="EM14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43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43" s="135">
        <f>IFERROR(SUM(Tabla_Buffers_Agroinsumos[[#This Row],[LF-MP]:[LF-VL]]),"")</f>
        <v>0</v>
      </c>
      <c r="EP143" s="154" t="str">
        <f>IFERROR(Tabla_Buffers_Agroinsumos[[#This Row],[INV FIS LF]]-Tabla_Buffers_Agroinsumos[[#This Row],[BUFFER LF]],"")</f>
        <v/>
      </c>
      <c r="EQ143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 t="str">
        <f t="array" ref="FA143">IFERROR(INDEX(TABLACONSOLIDADA[Buff Act],MATCH("AGROINSUMOSVERONICALEDESMA"&amp;Tabla_Buffers_Agroinsumos[[#This Row],[CODIGO ]],TABLACONSOLIDADA[Bodega]&amp;TABLACONSOLIDADA[Codigo],0)),"")</f>
        <v/>
      </c>
      <c r="FB143" s="111" t="str">
        <f t="array" ref="FB143">IFERROR(INDEX(TABLACONSOLIDADA[Inv Fís Act],MATCH("AGROINSUMOSVERONICALEDESMA"&amp;Tabla_Buffers_Agroinsumos[[#This Row],[CODIGO ]],TABLACONSOLIDADA[Bodega]&amp;TABLACONSOLIDADA[Codigo],0)),"")</f>
        <v/>
      </c>
      <c r="FC143" s="178" t="str">
        <f t="array" ref="FC14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43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43" s="135">
        <f>IFERROR(SUM(Tabla_Buffers_Agroinsumos[[#This Row],[VL-MP]:[VL-LF]]),"")</f>
        <v>0</v>
      </c>
      <c r="FF143" s="154" t="str">
        <f>IFERROR(Tabla_Buffers_Agroinsumos[[#This Row],[INV FIS VL]]-Tabla_Buffers_Agroinsumos[[#This Row],[BUFFER VL]],"")</f>
        <v/>
      </c>
      <c r="FG143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43" s="135"/>
      <c r="FI143" s="135"/>
      <c r="FJ143" s="135"/>
      <c r="FK143" s="135"/>
      <c r="FL143" s="135"/>
      <c r="FM143" s="135"/>
      <c r="FN143" s="135"/>
      <c r="FO143" s="135"/>
      <c r="FP143" s="135"/>
    </row>
    <row r="144" spans="1:172">
      <c r="A144" s="20" t="s">
        <v>1226</v>
      </c>
      <c r="B144" s="20" t="s">
        <v>1228</v>
      </c>
      <c r="C144" s="20" t="s">
        <v>710</v>
      </c>
      <c r="D144" s="20" t="s">
        <v>718</v>
      </c>
      <c r="E144" s="20" t="s">
        <v>863</v>
      </c>
      <c r="F144" s="111" t="s">
        <v>813</v>
      </c>
      <c r="G144" s="111" t="s">
        <v>873</v>
      </c>
      <c r="H144" s="111" t="e">
        <f>VLOOKUP(Tabla_Buffers_Agroinsumos[[#This Row],[CODIGO ]],TABLACONSOLIDADA[[Codigo]:[PV]],6,0)</f>
        <v>#N/A</v>
      </c>
      <c r="I144" s="111" t="e">
        <f>VLOOKUP(Tabla_Buffers_Agroinsumos[[#This Row],[CODIGO ]],TABLACONSOLIDADA[[Codigo]:[PV]],5,0)</f>
        <v>#N/A</v>
      </c>
      <c r="J144" s="111"/>
      <c r="K144" s="111"/>
      <c r="L144" s="111">
        <f>IFERROR(Tabla_Buffers_Agroinsumos[[#This Row],[BUFFER CENTRAL]]/((Tabla_Buffers_Agroinsumos[[#This Row],[TIEMPO REPOSICION ]]/Tabla_Buffers_Agroinsumos[[#This Row],[FRECUENCIA]])+1),0)</f>
        <v>0</v>
      </c>
      <c r="M144" s="111">
        <v>10000</v>
      </c>
      <c r="N144" s="111" t="str">
        <f t="array" ref="N144">IFERROR(INDEX(TABLACONSOLIDADA[Inv Fís Act],MATCH("AGROINSUMOSMATERIAPRIMA"&amp;Tabla_Buffers_Agroinsumos[[#This Row],[CODIGO ]],TABLACONSOLIDADA[Bodega]&amp;TABLACONSOLIDADA[Codigo],0)),"")</f>
        <v/>
      </c>
      <c r="O144" s="178" t="str">
        <f t="array" ref="O14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44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44" s="111">
        <f>IFERROR(SUM(Tabla_Buffers_Agroinsumos[[#This Row],[MP-C]:[MP-VL]]),"")</f>
        <v>0</v>
      </c>
      <c r="R144" s="154" t="str">
        <f>IFERROR(Tabla_Buffers_Agroinsumos[[#This Row],[INV FIS MATERIA PRIMA]]-Tabla_Buffers_Agroinsumos[[#This Row],[BUFFER MATERIA PRIMA]],"")</f>
        <v/>
      </c>
      <c r="S144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44" s="111"/>
      <c r="U144" s="111"/>
      <c r="V144" s="111"/>
      <c r="W144" s="111"/>
      <c r="X144" s="111"/>
      <c r="Y144" s="111"/>
      <c r="Z144" s="111"/>
      <c r="AA144" s="111"/>
      <c r="AB144" s="111"/>
      <c r="AC144" s="152" t="str">
        <f t="array" ref="AC144">IFERROR(INDEX(TABLACONSOLIDADA[Buff Act],MATCH("AGROINSUMOSCENTRAL"&amp;Tabla_Buffers_Agroinsumos[[#This Row],[CODIGO ]],TABLACONSOLIDADA[Bodega]&amp;TABLACONSOLIDADA[Codigo],0)),"")</f>
        <v/>
      </c>
      <c r="AD144" s="111" t="str">
        <f t="array" ref="AD144">IFERROR(INDEX(TABLACONSOLIDADA[Inv Fís Act],MATCH("AGROINSUMOSCENTRAL"&amp;Tabla_Buffers_Agroinsumos[[#This Row],[CODIGO ]],TABLACONSOLIDADA[Bodega]&amp;TABLACONSOLIDADA[Codigo],0)),"")</f>
        <v/>
      </c>
      <c r="AE144" s="178" t="str">
        <f t="array" ref="AE14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44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44" s="153">
        <f>IFERROR(SUM(Tabla_Buffers_Agroinsumos[[#This Row],[C-MP]:[C-VL]]),"")</f>
        <v>0</v>
      </c>
      <c r="AH144" s="154" t="str">
        <f>IFERROR(Tabla_Buffers_Agroinsumos[[#This Row],[INV FIS CENTRAL]]-Tabla_Buffers_Agroinsumos[[#This Row],[BUFFER CENTRAL]],"")</f>
        <v/>
      </c>
      <c r="AI144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 t="str">
        <f t="array" ref="AS144">IFERROR(INDEX(TABLACONSOLIDADA[Buff Act],MATCH("AGROINSUMOScentralPROPIA"&amp;Tabla_Buffers_Agroinsumos[[#This Row],[CODIGO ]],TABLACONSOLIDADA[Bodega]&amp;TABLACONSOLIDADA[Codigo],0)),"")</f>
        <v/>
      </c>
      <c r="AT144" s="111" t="str">
        <f t="array" ref="AT144">IFERROR(INDEX(TABLACONSOLIDADA[Inv Fís Act],MATCH("AGROINSUMOScentralPROPIA"&amp;Tabla_Buffers_Agroinsumos[[#This Row],[CODIGO ]],TABLACONSOLIDADA[Bodega]&amp;TABLACONSOLIDADA[Codigo],0)),"")</f>
        <v/>
      </c>
      <c r="AU144" s="178" t="str">
        <f t="array" ref="AU14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44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44" s="135">
        <f>IFERROR(SUM(Tabla_Buffers_Agroinsumos[[#This Row],[P-MP]:[P-VL]]),"")</f>
        <v>0</v>
      </c>
      <c r="AX144" s="154" t="str">
        <f>IFERROR(Tabla_Buffers_Agroinsumos[[#This Row],[INV FIS PROPIA]]-Tabla_Buffers_Agroinsumos[[#This Row],[BUFFER PROPIA]],"")</f>
        <v/>
      </c>
      <c r="AY144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53" t="str">
        <f t="array" ref="BI144">IFERROR(INDEX(TABLACONSOLIDADA[Buff Act],MATCH("AGROINSUMOSSTODOMINGO"&amp;Tabla_Buffers_Agroinsumos[[#This Row],[CODIGO ]],TABLACONSOLIDADA[Bodega]&amp;TABLACONSOLIDADA[Codigo],0)),"")</f>
        <v/>
      </c>
      <c r="BJ144" s="111" t="str">
        <f t="array" ref="BJ144">IFERROR(INDEX(TABLACONSOLIDADA[Inv Fís Act],MATCH("AGROINSUMOSSTODOMINGO"&amp;Tabla_Buffers_Agroinsumos[[#This Row],[CODIGO ]],TABLACONSOLIDADA[Bodega]&amp;TABLACONSOLIDADA[Codigo],0)),"")</f>
        <v/>
      </c>
      <c r="BK144" s="178" t="str">
        <f t="array" ref="BK14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44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44" s="153">
        <f>IFERROR(SUM(Tabla_Buffers_Agroinsumos[[#This Row],[SD-MP]:[SD-VL]]),"")</f>
        <v>0</v>
      </c>
      <c r="BN144" s="154"/>
      <c r="BO144" s="154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 t="str">
        <f t="array" ref="BY144">IFERROR(INDEX(TABLACONSOLIDADA[Buff Act],MATCH("AGROINSUMOSMONCAYOLOPEZ"&amp;Tabla_Buffers_Agroinsumos[[#This Row],[CODIGO ]],TABLACONSOLIDADA[Bodega]&amp;TABLACONSOLIDADA[Codigo],0)),"")</f>
        <v/>
      </c>
      <c r="BZ144" s="111" t="str">
        <f t="array" ref="BZ144">IFERROR(INDEX(TABLACONSOLIDADA[Inv Fís Act],MATCH("AGROINSUMOSMONCAYOLOPEZ"&amp;Tabla_Buffers_Agroinsumos[[#This Row],[CODIGO ]],TABLACONSOLIDADA[Bodega]&amp;TABLACONSOLIDADA[Codigo],0)),"")</f>
        <v/>
      </c>
      <c r="CA144" s="178" t="str">
        <f t="array" ref="CA14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44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44" s="135">
        <f>IFERROR(SUM(Tabla_Buffers_Agroinsumos[[#This Row],[ML-MP]:[ML-VL]]),"")</f>
        <v>0</v>
      </c>
      <c r="CD144" s="154" t="str">
        <f>IFERROR(Tabla_Buffers_Agroinsumos[[#This Row],[INV FIS ML]]-Tabla_Buffers_Agroinsumos[[#This Row],[BUFFER ML]],"")</f>
        <v/>
      </c>
      <c r="CE144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 t="str">
        <f t="array" ref="CO144">IFERROR(INDEX(TABLACONSOLIDADA[Buff Act],MATCH("AGROINSUMOSAGROHERMANOSLEON"&amp;Tabla_Buffers_Agroinsumos[[#This Row],[CODIGO ]],TABLACONSOLIDADA[Bodega]&amp;TABLACONSOLIDADA[Codigo],0)),"")</f>
        <v/>
      </c>
      <c r="CP144" s="111" t="str">
        <f t="array" ref="CP144">IFERROR(INDEX(TABLACONSOLIDADA[Inv Fís Act],MATCH("AGROINSUMOSAGROHERMANOSLEON"&amp;Tabla_Buffers_Agroinsumos[[#This Row],[CODIGO ]],TABLACONSOLIDADA[Bodega]&amp;TABLACONSOLIDADA[Codigo],0)),"")</f>
        <v/>
      </c>
      <c r="CQ144" s="178" t="str">
        <f t="array" ref="CQ14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44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44" s="135">
        <f>IFERROR(SUM(Tabla_Buffers_Agroinsumos[[#This Row],[AL-MP]:[AL-VL]]),"")</f>
        <v>0</v>
      </c>
      <c r="CT144" s="154" t="str">
        <f>IFERROR(Tabla_Buffers_Agroinsumos[[#This Row],[INV FIS AL]]-Tabla_Buffers_Agroinsumos[[#This Row],[BUFFER AL]],"")</f>
        <v/>
      </c>
      <c r="CU144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 t="str">
        <f t="array" ref="DE144">IFERROR(INDEX(TABLACONSOLIDADA[Buff Act],MATCH("AGROINSUMOSAGRONUEVO"&amp;Tabla_Buffers_Agroinsumos[[#This Row],[CODIGO ]],TABLACONSOLIDADA[Bodega]&amp;TABLACONSOLIDADA[Codigo],0)),"")</f>
        <v/>
      </c>
      <c r="DF144" s="111" t="str">
        <f t="array" ref="DF144">IFERROR(INDEX(TABLACONSOLIDADA[Inv Fís Act],MATCH("AGROINSUMOSAGRONUEVO"&amp;Tabla_Buffers_Agroinsumos[[#This Row],[CODIGO ]],TABLACONSOLIDADA[Bodega]&amp;TABLACONSOLIDADA[Codigo],0)),"")</f>
        <v/>
      </c>
      <c r="DG144" s="178" t="str">
        <f t="array" ref="DG14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44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44" s="135">
        <f>IFERROR(SUM(Tabla_Buffers_Agroinsumos[[#This Row],[AN-MP]:[AN-VL]]),"")</f>
        <v>0</v>
      </c>
      <c r="DJ144" s="154" t="str">
        <f>IFERROR(Tabla_Buffers_Agroinsumos[[#This Row],[INV FIS AN]]-Tabla_Buffers_Agroinsumos[[#This Row],[BUFFER AN]],"")</f>
        <v/>
      </c>
      <c r="DK144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 t="str">
        <f t="array" ref="DU144">IFERROR(INDEX(TABLACONSOLIDADA[Buff Act],MATCH("AGROINSUMOSAGROQUIMICOSSUR"&amp;Tabla_Buffers_Agroinsumos[[#This Row],[CODIGO ]],TABLACONSOLIDADA[Bodega]&amp;TABLACONSOLIDADA[Codigo],0)),"")</f>
        <v/>
      </c>
      <c r="DV144" s="111" t="str">
        <f t="array" ref="DV144">IFERROR(INDEX(TABLACONSOLIDADA[Inv Fís Act],MATCH("AGROINSUMOSAGROQUIMICOSSUR"&amp;Tabla_Buffers_Agroinsumos[[#This Row],[CODIGO ]],TABLACONSOLIDADA[Bodega]&amp;TABLACONSOLIDADA[Codigo],0)),"")</f>
        <v/>
      </c>
      <c r="DW144" s="178" t="str">
        <f t="array" ref="DW14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44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44" s="135">
        <f>IFERROR(SUM(Tabla_Buffers_Agroinsumos[[#This Row],[AS-MP]:[AS-VL]]),"")</f>
        <v>0</v>
      </c>
      <c r="DZ144" s="154" t="str">
        <f>IFERROR(Tabla_Buffers_Agroinsumos[[#This Row],[INV FIS AS]]-Tabla_Buffers_Agroinsumos[[#This Row],[BUFFER AS]],"")</f>
        <v/>
      </c>
      <c r="EA144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 t="str">
        <f t="array" ref="EK144">IFERROR(INDEX(TABLACONSOLIDADA[Buff Act],MATCH("AGROINSUMOSLAFINCA"&amp;Tabla_Buffers_Agroinsumos[[#This Row],[CODIGO ]],TABLACONSOLIDADA[Bodega]&amp;TABLACONSOLIDADA[Codigo],0)),"")</f>
        <v/>
      </c>
      <c r="EL144" s="111" t="str">
        <f t="array" ref="EL144">IFERROR(INDEX(TABLACONSOLIDADA[Inv Fís Act],MATCH("AGROINSUMOSLAFINCA"&amp;Tabla_Buffers_Agroinsumos[[#This Row],[CODIGO ]],TABLACONSOLIDADA[Bodega]&amp;TABLACONSOLIDADA[Codigo],0)),"")</f>
        <v/>
      </c>
      <c r="EM144" s="178" t="str">
        <f t="array" ref="EM14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44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44" s="135">
        <f>IFERROR(SUM(Tabla_Buffers_Agroinsumos[[#This Row],[LF-MP]:[LF-VL]]),"")</f>
        <v>0</v>
      </c>
      <c r="EP144" s="154" t="str">
        <f>IFERROR(Tabla_Buffers_Agroinsumos[[#This Row],[INV FIS LF]]-Tabla_Buffers_Agroinsumos[[#This Row],[BUFFER LF]],"")</f>
        <v/>
      </c>
      <c r="EQ144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 t="str">
        <f t="array" ref="FA144">IFERROR(INDEX(TABLACONSOLIDADA[Buff Act],MATCH("AGROINSUMOSVERONICALEDESMA"&amp;Tabla_Buffers_Agroinsumos[[#This Row],[CODIGO ]],TABLACONSOLIDADA[Bodega]&amp;TABLACONSOLIDADA[Codigo],0)),"")</f>
        <v/>
      </c>
      <c r="FB144" s="111" t="str">
        <f t="array" ref="FB144">IFERROR(INDEX(TABLACONSOLIDADA[Inv Fís Act],MATCH("AGROINSUMOSVERONICALEDESMA"&amp;Tabla_Buffers_Agroinsumos[[#This Row],[CODIGO ]],TABLACONSOLIDADA[Bodega]&amp;TABLACONSOLIDADA[Codigo],0)),"")</f>
        <v/>
      </c>
      <c r="FC144" s="178" t="str">
        <f t="array" ref="FC14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44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44" s="135">
        <f>IFERROR(SUM(Tabla_Buffers_Agroinsumos[[#This Row],[VL-MP]:[VL-LF]]),"")</f>
        <v>0</v>
      </c>
      <c r="FF144" s="154" t="str">
        <f>IFERROR(Tabla_Buffers_Agroinsumos[[#This Row],[INV FIS VL]]-Tabla_Buffers_Agroinsumos[[#This Row],[BUFFER VL]],"")</f>
        <v/>
      </c>
      <c r="FG144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44" s="135"/>
      <c r="FI144" s="135"/>
      <c r="FJ144" s="135"/>
      <c r="FK144" s="135"/>
      <c r="FL144" s="135"/>
      <c r="FM144" s="135"/>
      <c r="FN144" s="135"/>
      <c r="FO144" s="135"/>
      <c r="FP144" s="135"/>
    </row>
    <row r="145" spans="1:172">
      <c r="A145" s="7" t="s">
        <v>253</v>
      </c>
      <c r="B145" s="7" t="s">
        <v>254</v>
      </c>
      <c r="C145" s="7" t="s">
        <v>710</v>
      </c>
      <c r="D145" s="7" t="s">
        <v>718</v>
      </c>
      <c r="E145" s="7" t="s">
        <v>863</v>
      </c>
      <c r="F145" s="19" t="s">
        <v>809</v>
      </c>
      <c r="G145" s="19" t="s">
        <v>802</v>
      </c>
      <c r="H145" s="19">
        <f>VLOOKUP(Tabla_Buffers_Agroinsumos[[#This Row],[CODIGO ]],TABLACONSOLIDADA[[Codigo]:[PV]],6,0)</f>
        <v>0</v>
      </c>
      <c r="I145" s="19">
        <f>VLOOKUP(Tabla_Buffers_Agroinsumos[[#This Row],[CODIGO ]],TABLACONSOLIDADA[[Codigo]:[PV]],5,0)</f>
        <v>0.18</v>
      </c>
      <c r="J145" s="19">
        <v>4</v>
      </c>
      <c r="K145" s="19">
        <v>4</v>
      </c>
      <c r="L145" s="19">
        <f>IFERROR(Tabla_Buffers_Agroinsumos[[#This Row],[BUFFER CENTRAL]]/((Tabla_Buffers_Agroinsumos[[#This Row],[TIEMPO REPOSICION ]]/Tabla_Buffers_Agroinsumos[[#This Row],[FRECUENCIA]])+1),0)</f>
        <v>0</v>
      </c>
      <c r="M145" s="19">
        <f t="array" ref="M145">IFERROR(INDEX(TABLACONSOLIDADA[Buff Act],MATCH("AGROINSUMOSMATERIAPRIMA"&amp;Tabla_Buffers_Agroinsumos[[#This Row],[CODIGO ]],TABLACONSOLIDADA[Bodega]&amp;TABLACONSOLIDADA[Codigo],0)),"")</f>
        <v>10000</v>
      </c>
      <c r="N145" s="157">
        <f t="array" ref="N145">IFERROR(INDEX(TABLACONSOLIDADA[Inv Fís Act],MATCH("AGROINSUMOSMATERIAPRIMA"&amp;Tabla_Buffers_Agroinsumos[[#This Row],[CODIGO ]],TABLACONSOLIDADA[Bodega]&amp;TABLACONSOLIDADA[Codigo],0)),"")</f>
        <v>5343</v>
      </c>
      <c r="O145" s="157">
        <f t="array" ref="O14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8943</v>
      </c>
      <c r="P14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45" s="19">
        <f>IFERROR(SUM(Tabla_Buffers_Agroinsumos[[#This Row],[MP-C]:[MP-VL]]),"")</f>
        <v>0</v>
      </c>
      <c r="R145" s="92">
        <f>IFERROR(Tabla_Buffers_Agroinsumos[[#This Row],[INV FIS MATERIA PRIMA]]-Tabla_Buffers_Agroinsumos[[#This Row],[BUFFER MATERIA PRIMA]],"")</f>
        <v>-4657</v>
      </c>
      <c r="S14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-4657</v>
      </c>
      <c r="T145" s="19"/>
      <c r="U145" s="19"/>
      <c r="V145" s="19"/>
      <c r="W145" s="19"/>
      <c r="X145" s="19"/>
      <c r="Y145" s="19"/>
      <c r="Z145" s="19"/>
      <c r="AA145" s="19"/>
      <c r="AB145" s="19"/>
      <c r="AC145" s="152" t="str">
        <f t="array" ref="AC145">IFERROR(INDEX(TABLACONSOLIDADA[Buff Act],MATCH("AGROINSUMOSCENTRAL"&amp;Tabla_Buffers_Agroinsumos[[#This Row],[CODIGO ]],TABLACONSOLIDADA[Bodega]&amp;TABLACONSOLIDADA[Codigo],0)),"")</f>
        <v/>
      </c>
      <c r="AD145" s="157" t="str">
        <f t="array" ref="AD145">IFERROR(INDEX(TABLACONSOLIDADA[Inv Fís Act],MATCH("AGROINSUMOSCENTRAL"&amp;Tabla_Buffers_Agroinsumos[[#This Row],[CODIGO ]],TABLACONSOLIDADA[Bodega]&amp;TABLACONSOLIDADA[Codigo],0)),"")</f>
        <v/>
      </c>
      <c r="AE145" s="157" t="str">
        <f t="array" ref="AE14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4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45" s="91">
        <f>IFERROR(SUM(Tabla_Buffers_Agroinsumos[[#This Row],[C-MP]:[C-VL]]),"")</f>
        <v>0</v>
      </c>
      <c r="AH145" s="92" t="str">
        <f>IFERROR(Tabla_Buffers_Agroinsumos[[#This Row],[INV FIS CENTRAL]]-Tabla_Buffers_Agroinsumos[[#This Row],[BUFFER CENTRAL]],"")</f>
        <v/>
      </c>
      <c r="AI14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45" s="134"/>
      <c r="AK145" s="134"/>
      <c r="AL145" s="134"/>
      <c r="AM145" s="134"/>
      <c r="AN145" s="134"/>
      <c r="AO145" s="134"/>
      <c r="AP145" s="134"/>
      <c r="AQ145" s="134"/>
      <c r="AR145" s="134"/>
      <c r="AS145" s="134" t="str">
        <f t="array" ref="AS145">IFERROR(INDEX(TABLACONSOLIDADA[Buff Act],MATCH("AGROINSUMOScentralPROPIA"&amp;Tabla_Buffers_Agroinsumos[[#This Row],[CODIGO ]],TABLACONSOLIDADA[Bodega]&amp;TABLACONSOLIDADA[Codigo],0)),"")</f>
        <v/>
      </c>
      <c r="AT145" s="157" t="str">
        <f t="array" ref="AT145">IFERROR(INDEX(TABLACONSOLIDADA[Inv Fís Act],MATCH("AGROINSUMOScentralPROPIA"&amp;Tabla_Buffers_Agroinsumos[[#This Row],[CODIGO ]],TABLACONSOLIDADA[Bodega]&amp;TABLACONSOLIDADA[Codigo],0)),"")</f>
        <v/>
      </c>
      <c r="AU145" s="157" t="str">
        <f t="array" ref="AU14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4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45" s="134">
        <f>IFERROR(SUM(Tabla_Buffers_Agroinsumos[[#This Row],[P-MP]:[P-VL]]),"")</f>
        <v>0</v>
      </c>
      <c r="AX145" s="92" t="str">
        <f>IFERROR(Tabla_Buffers_Agroinsumos[[#This Row],[INV FIS PROPIA]]-Tabla_Buffers_Agroinsumos[[#This Row],[BUFFER PROPIA]],"")</f>
        <v/>
      </c>
      <c r="AY14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45" s="134"/>
      <c r="BA145" s="134"/>
      <c r="BB145" s="134"/>
      <c r="BC145" s="134"/>
      <c r="BD145" s="134"/>
      <c r="BE145" s="134"/>
      <c r="BF145" s="134"/>
      <c r="BG145" s="134"/>
      <c r="BH145" s="134"/>
      <c r="BI145" s="91" t="str">
        <f t="array" ref="BI145">IFERROR(INDEX(TABLACONSOLIDADA[Buff Act],MATCH("AGROINSUMOSSTODOMINGO"&amp;Tabla_Buffers_Agroinsumos[[#This Row],[CODIGO ]],TABLACONSOLIDADA[Bodega]&amp;TABLACONSOLIDADA[Codigo],0)),"")</f>
        <v/>
      </c>
      <c r="BJ145" s="157" t="str">
        <f t="array" ref="BJ145">IFERROR(INDEX(TABLACONSOLIDADA[Inv Fís Act],MATCH("AGROINSUMOSSTODOMINGO"&amp;Tabla_Buffers_Agroinsumos[[#This Row],[CODIGO ]],TABLACONSOLIDADA[Bodega]&amp;TABLACONSOLIDADA[Codigo],0)),"")</f>
        <v/>
      </c>
      <c r="BK145" s="157" t="str">
        <f t="array" ref="BK14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4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45" s="91">
        <f>IFERROR(SUM(Tabla_Buffers_Agroinsumos[[#This Row],[SD-MP]:[SD-VL]]),"")</f>
        <v>0</v>
      </c>
      <c r="BN145" s="92"/>
      <c r="BO145" s="92"/>
      <c r="BP145" s="134"/>
      <c r="BQ145" s="134"/>
      <c r="BR145" s="134"/>
      <c r="BS145" s="134"/>
      <c r="BT145" s="134"/>
      <c r="BU145" s="134"/>
      <c r="BV145" s="134"/>
      <c r="BW145" s="134"/>
      <c r="BX145" s="134"/>
      <c r="BY145" s="134" t="str">
        <f t="array" ref="BY145">IFERROR(INDEX(TABLACONSOLIDADA[Buff Act],MATCH("AGROINSUMOSMONCAYOLOPEZ"&amp;Tabla_Buffers_Agroinsumos[[#This Row],[CODIGO ]],TABLACONSOLIDADA[Bodega]&amp;TABLACONSOLIDADA[Codigo],0)),"")</f>
        <v/>
      </c>
      <c r="BZ145" s="157" t="str">
        <f t="array" ref="BZ145">IFERROR(INDEX(TABLACONSOLIDADA[Inv Fís Act],MATCH("AGROINSUMOSMONCAYOLOPEZ"&amp;Tabla_Buffers_Agroinsumos[[#This Row],[CODIGO ]],TABLACONSOLIDADA[Bodega]&amp;TABLACONSOLIDADA[Codigo],0)),"")</f>
        <v/>
      </c>
      <c r="CA145" s="157" t="str">
        <f t="array" ref="CA14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4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45" s="134">
        <f>IFERROR(SUM(Tabla_Buffers_Agroinsumos[[#This Row],[ML-MP]:[ML-VL]]),"")</f>
        <v>0</v>
      </c>
      <c r="CD145" s="92" t="str">
        <f>IFERROR(Tabla_Buffers_Agroinsumos[[#This Row],[INV FIS ML]]-Tabla_Buffers_Agroinsumos[[#This Row],[BUFFER ML]],"")</f>
        <v/>
      </c>
      <c r="CE14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45" s="134"/>
      <c r="CG145" s="134"/>
      <c r="CH145" s="134"/>
      <c r="CI145" s="134"/>
      <c r="CJ145" s="134"/>
      <c r="CK145" s="134"/>
      <c r="CL145" s="134"/>
      <c r="CM145" s="134"/>
      <c r="CN145" s="134"/>
      <c r="CO145" s="134" t="str">
        <f t="array" ref="CO145">IFERROR(INDEX(TABLACONSOLIDADA[Buff Act],MATCH("AGROINSUMOSAGROHERMANOSLEON"&amp;Tabla_Buffers_Agroinsumos[[#This Row],[CODIGO ]],TABLACONSOLIDADA[Bodega]&amp;TABLACONSOLIDADA[Codigo],0)),"")</f>
        <v/>
      </c>
      <c r="CP145" s="157" t="str">
        <f t="array" ref="CP145">IFERROR(INDEX(TABLACONSOLIDADA[Inv Fís Act],MATCH("AGROINSUMOSAGROHERMANOSLEON"&amp;Tabla_Buffers_Agroinsumos[[#This Row],[CODIGO ]],TABLACONSOLIDADA[Bodega]&amp;TABLACONSOLIDADA[Codigo],0)),"")</f>
        <v/>
      </c>
      <c r="CQ145" s="157" t="str">
        <f t="array" ref="CQ14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4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45" s="134">
        <f>IFERROR(SUM(Tabla_Buffers_Agroinsumos[[#This Row],[AL-MP]:[AL-VL]]),"")</f>
        <v>0</v>
      </c>
      <c r="CT145" s="92" t="str">
        <f>IFERROR(Tabla_Buffers_Agroinsumos[[#This Row],[INV FIS AL]]-Tabla_Buffers_Agroinsumos[[#This Row],[BUFFER AL]],"")</f>
        <v/>
      </c>
      <c r="CU14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45" s="134"/>
      <c r="CW145" s="134"/>
      <c r="CX145" s="134"/>
      <c r="CY145" s="134"/>
      <c r="CZ145" s="134"/>
      <c r="DA145" s="134"/>
      <c r="DB145" s="134"/>
      <c r="DC145" s="134"/>
      <c r="DD145" s="134"/>
      <c r="DE145" s="134" t="str">
        <f t="array" ref="DE145">IFERROR(INDEX(TABLACONSOLIDADA[Buff Act],MATCH("AGROINSUMOSAGRONUEVO"&amp;Tabla_Buffers_Agroinsumos[[#This Row],[CODIGO ]],TABLACONSOLIDADA[Bodega]&amp;TABLACONSOLIDADA[Codigo],0)),"")</f>
        <v/>
      </c>
      <c r="DF145" s="157" t="str">
        <f t="array" ref="DF145">IFERROR(INDEX(TABLACONSOLIDADA[Inv Fís Act],MATCH("AGROINSUMOSAGRONUEVO"&amp;Tabla_Buffers_Agroinsumos[[#This Row],[CODIGO ]],TABLACONSOLIDADA[Bodega]&amp;TABLACONSOLIDADA[Codigo],0)),"")</f>
        <v/>
      </c>
      <c r="DG145" s="157" t="str">
        <f t="array" ref="DG14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4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45" s="134">
        <f>IFERROR(SUM(Tabla_Buffers_Agroinsumos[[#This Row],[AN-MP]:[AN-VL]]),"")</f>
        <v>0</v>
      </c>
      <c r="DJ145" s="92" t="str">
        <f>IFERROR(Tabla_Buffers_Agroinsumos[[#This Row],[INV FIS AN]]-Tabla_Buffers_Agroinsumos[[#This Row],[BUFFER AN]],"")</f>
        <v/>
      </c>
      <c r="DK14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45" s="134"/>
      <c r="DM145" s="134"/>
      <c r="DN145" s="134"/>
      <c r="DO145" s="134"/>
      <c r="DP145" s="134"/>
      <c r="DQ145" s="134"/>
      <c r="DR145" s="134"/>
      <c r="DS145" s="134"/>
      <c r="DT145" s="134"/>
      <c r="DU145" s="134" t="str">
        <f t="array" ref="DU145">IFERROR(INDEX(TABLACONSOLIDADA[Buff Act],MATCH("AGROINSUMOSAGROQUIMICOSSUR"&amp;Tabla_Buffers_Agroinsumos[[#This Row],[CODIGO ]],TABLACONSOLIDADA[Bodega]&amp;TABLACONSOLIDADA[Codigo],0)),"")</f>
        <v/>
      </c>
      <c r="DV145" s="157" t="str">
        <f t="array" ref="DV145">IFERROR(INDEX(TABLACONSOLIDADA[Inv Fís Act],MATCH("AGROINSUMOSAGROQUIMICOSSUR"&amp;Tabla_Buffers_Agroinsumos[[#This Row],[CODIGO ]],TABLACONSOLIDADA[Bodega]&amp;TABLACONSOLIDADA[Codigo],0)),"")</f>
        <v/>
      </c>
      <c r="DW145" s="157" t="str">
        <f t="array" ref="DW14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4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45" s="134">
        <f>IFERROR(SUM(Tabla_Buffers_Agroinsumos[[#This Row],[AS-MP]:[AS-VL]]),"")</f>
        <v>0</v>
      </c>
      <c r="DZ145" s="92" t="str">
        <f>IFERROR(Tabla_Buffers_Agroinsumos[[#This Row],[INV FIS AS]]-Tabla_Buffers_Agroinsumos[[#This Row],[BUFFER AS]],"")</f>
        <v/>
      </c>
      <c r="EA14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45" s="134"/>
      <c r="EC145" s="134"/>
      <c r="ED145" s="134"/>
      <c r="EE145" s="134"/>
      <c r="EF145" s="134"/>
      <c r="EG145" s="134"/>
      <c r="EH145" s="134"/>
      <c r="EI145" s="134"/>
      <c r="EJ145" s="134"/>
      <c r="EK145" s="134" t="str">
        <f t="array" ref="EK145">IFERROR(INDEX(TABLACONSOLIDADA[Buff Act],MATCH("AGROINSUMOSLAFINCA"&amp;Tabla_Buffers_Agroinsumos[[#This Row],[CODIGO ]],TABLACONSOLIDADA[Bodega]&amp;TABLACONSOLIDADA[Codigo],0)),"")</f>
        <v/>
      </c>
      <c r="EL145" s="157" t="str">
        <f t="array" ref="EL145">IFERROR(INDEX(TABLACONSOLIDADA[Inv Fís Act],MATCH("AGROINSUMOSLAFINCA"&amp;Tabla_Buffers_Agroinsumos[[#This Row],[CODIGO ]],TABLACONSOLIDADA[Bodega]&amp;TABLACONSOLIDADA[Codigo],0)),"")</f>
        <v/>
      </c>
      <c r="EM145" s="157" t="str">
        <f t="array" ref="EM14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4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45" s="134">
        <f>IFERROR(SUM(Tabla_Buffers_Agroinsumos[[#This Row],[LF-MP]:[LF-VL]]),"")</f>
        <v>0</v>
      </c>
      <c r="EP145" s="92" t="str">
        <f>IFERROR(Tabla_Buffers_Agroinsumos[[#This Row],[INV FIS LF]]-Tabla_Buffers_Agroinsumos[[#This Row],[BUFFER LF]],"")</f>
        <v/>
      </c>
      <c r="EQ14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45" s="134"/>
      <c r="ES145" s="134"/>
      <c r="ET145" s="134"/>
      <c r="EU145" s="134"/>
      <c r="EV145" s="134"/>
      <c r="EW145" s="134"/>
      <c r="EX145" s="134"/>
      <c r="EY145" s="134"/>
      <c r="EZ145" s="134"/>
      <c r="FA145" s="134" t="str">
        <f t="array" ref="FA145">IFERROR(INDEX(TABLACONSOLIDADA[Buff Act],MATCH("AGROINSUMOSVERONICALEDESMA"&amp;Tabla_Buffers_Agroinsumos[[#This Row],[CODIGO ]],TABLACONSOLIDADA[Bodega]&amp;TABLACONSOLIDADA[Codigo],0)),"")</f>
        <v/>
      </c>
      <c r="FB145" s="157" t="str">
        <f t="array" ref="FB145">IFERROR(INDEX(TABLACONSOLIDADA[Inv Fís Act],MATCH("AGROINSUMOSVERONICALEDESMA"&amp;Tabla_Buffers_Agroinsumos[[#This Row],[CODIGO ]],TABLACONSOLIDADA[Bodega]&amp;TABLACONSOLIDADA[Codigo],0)),"")</f>
        <v/>
      </c>
      <c r="FC145" s="157" t="str">
        <f t="array" ref="FC14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4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45" s="134">
        <f>IFERROR(SUM(Tabla_Buffers_Agroinsumos[[#This Row],[VL-MP]:[VL-LF]]),"")</f>
        <v>0</v>
      </c>
      <c r="FF145" s="92" t="str">
        <f>IFERROR(Tabla_Buffers_Agroinsumos[[#This Row],[INV FIS VL]]-Tabla_Buffers_Agroinsumos[[#This Row],[BUFFER VL]],"")</f>
        <v/>
      </c>
      <c r="FG14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45" s="134"/>
      <c r="FI145" s="134"/>
      <c r="FJ145" s="134"/>
      <c r="FK145" s="134"/>
      <c r="FL145" s="134"/>
      <c r="FM145" s="134"/>
      <c r="FN145" s="134"/>
      <c r="FO145" s="134"/>
      <c r="FP145" s="134"/>
    </row>
    <row r="146" spans="1:172">
      <c r="A146" s="7" t="s">
        <v>255</v>
      </c>
      <c r="B146" s="7" t="s">
        <v>256</v>
      </c>
      <c r="C146" s="7" t="s">
        <v>710</v>
      </c>
      <c r="D146" s="7" t="s">
        <v>718</v>
      </c>
      <c r="E146" s="7" t="s">
        <v>863</v>
      </c>
      <c r="F146" s="19"/>
      <c r="G146" s="19" t="s">
        <v>802</v>
      </c>
      <c r="H146" s="19">
        <f>VLOOKUP(Tabla_Buffers_Agroinsumos[[#This Row],[CODIGO ]],TABLACONSOLIDADA[[Codigo]:[PV]],6,0)</f>
        <v>0</v>
      </c>
      <c r="I146" s="19">
        <f>VLOOKUP(Tabla_Buffers_Agroinsumos[[#This Row],[CODIGO ]],TABLACONSOLIDADA[[Codigo]:[PV]],5,0)</f>
        <v>0.08</v>
      </c>
      <c r="J146" s="19">
        <v>4</v>
      </c>
      <c r="K146" s="19">
        <v>4</v>
      </c>
      <c r="L146" s="19">
        <f>IFERROR(Tabla_Buffers_Agroinsumos[[#This Row],[BUFFER CENTRAL]]/((Tabla_Buffers_Agroinsumos[[#This Row],[TIEMPO REPOSICION ]]/Tabla_Buffers_Agroinsumos[[#This Row],[FRECUENCIA]])+1),0)</f>
        <v>0</v>
      </c>
      <c r="M146" s="19">
        <f t="array" ref="M146">IFERROR(INDEX(TABLACONSOLIDADA[Buff Act],MATCH("AGROINSUMOSMATERIAPRIMA"&amp;Tabla_Buffers_Agroinsumos[[#This Row],[CODIGO ]],TABLACONSOLIDADA[Bodega]&amp;TABLACONSOLIDADA[Codigo],0)),"")</f>
        <v>1000</v>
      </c>
      <c r="N146" s="157">
        <f t="array" ref="N146">IFERROR(INDEX(TABLACONSOLIDADA[Inv Fís Act],MATCH("AGROINSUMOSMATERIAPRIMA"&amp;Tabla_Buffers_Agroinsumos[[#This Row],[CODIGO ]],TABLACONSOLIDADA[Bodega]&amp;TABLACONSOLIDADA[Codigo],0)),"")</f>
        <v>2834</v>
      </c>
      <c r="O146" s="157">
        <f t="array" ref="O14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2834</v>
      </c>
      <c r="P14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46" s="19">
        <f>IFERROR(SUM(Tabla_Buffers_Agroinsumos[[#This Row],[MP-C]:[MP-VL]]),"")</f>
        <v>0</v>
      </c>
      <c r="R146" s="92">
        <f>IFERROR(Tabla_Buffers_Agroinsumos[[#This Row],[INV FIS MATERIA PRIMA]]-Tabla_Buffers_Agroinsumos[[#This Row],[BUFFER MATERIA PRIMA]],"")</f>
        <v>1834</v>
      </c>
      <c r="S14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1834</v>
      </c>
      <c r="T146" s="19"/>
      <c r="U146" s="19"/>
      <c r="V146" s="19"/>
      <c r="W146" s="19"/>
      <c r="X146" s="19"/>
      <c r="Y146" s="19"/>
      <c r="Z146" s="19"/>
      <c r="AA146" s="19"/>
      <c r="AB146" s="19"/>
      <c r="AC146" s="152" t="str">
        <f t="array" ref="AC146">IFERROR(INDEX(TABLACONSOLIDADA[Buff Act],MATCH("AGROINSUMOSCENTRAL"&amp;Tabla_Buffers_Agroinsumos[[#This Row],[CODIGO ]],TABLACONSOLIDADA[Bodega]&amp;TABLACONSOLIDADA[Codigo],0)),"")</f>
        <v/>
      </c>
      <c r="AD146" s="157" t="str">
        <f t="array" ref="AD146">IFERROR(INDEX(TABLACONSOLIDADA[Inv Fís Act],MATCH("AGROINSUMOSCENTRAL"&amp;Tabla_Buffers_Agroinsumos[[#This Row],[CODIGO ]],TABLACONSOLIDADA[Bodega]&amp;TABLACONSOLIDADA[Codigo],0)),"")</f>
        <v/>
      </c>
      <c r="AE146" s="157" t="str">
        <f t="array" ref="AE14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4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46" s="91">
        <f>IFERROR(SUM(Tabla_Buffers_Agroinsumos[[#This Row],[C-MP]:[C-VL]]),"")</f>
        <v>0</v>
      </c>
      <c r="AH146" s="92" t="str">
        <f>IFERROR(Tabla_Buffers_Agroinsumos[[#This Row],[INV FIS CENTRAL]]-Tabla_Buffers_Agroinsumos[[#This Row],[BUFFER CENTRAL]],"")</f>
        <v/>
      </c>
      <c r="AI14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46" s="134"/>
      <c r="AK146" s="134"/>
      <c r="AL146" s="134"/>
      <c r="AM146" s="134"/>
      <c r="AN146" s="134"/>
      <c r="AO146" s="134"/>
      <c r="AP146" s="134"/>
      <c r="AQ146" s="134"/>
      <c r="AR146" s="134"/>
      <c r="AS146" s="134" t="str">
        <f t="array" ref="AS146">IFERROR(INDEX(TABLACONSOLIDADA[Buff Act],MATCH("AGROINSUMOScentralPROPIA"&amp;Tabla_Buffers_Agroinsumos[[#This Row],[CODIGO ]],TABLACONSOLIDADA[Bodega]&amp;TABLACONSOLIDADA[Codigo],0)),"")</f>
        <v/>
      </c>
      <c r="AT146" s="157" t="str">
        <f t="array" ref="AT146">IFERROR(INDEX(TABLACONSOLIDADA[Inv Fís Act],MATCH("AGROINSUMOScentralPROPIA"&amp;Tabla_Buffers_Agroinsumos[[#This Row],[CODIGO ]],TABLACONSOLIDADA[Bodega]&amp;TABLACONSOLIDADA[Codigo],0)),"")</f>
        <v/>
      </c>
      <c r="AU146" s="157" t="str">
        <f t="array" ref="AU14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4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46" s="134">
        <f>IFERROR(SUM(Tabla_Buffers_Agroinsumos[[#This Row],[P-MP]:[P-VL]]),"")</f>
        <v>0</v>
      </c>
      <c r="AX146" s="92" t="str">
        <f>IFERROR(Tabla_Buffers_Agroinsumos[[#This Row],[INV FIS PROPIA]]-Tabla_Buffers_Agroinsumos[[#This Row],[BUFFER PROPIA]],"")</f>
        <v/>
      </c>
      <c r="AY14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46" s="134"/>
      <c r="BA146" s="134"/>
      <c r="BB146" s="134"/>
      <c r="BC146" s="134"/>
      <c r="BD146" s="134"/>
      <c r="BE146" s="134"/>
      <c r="BF146" s="134"/>
      <c r="BG146" s="134"/>
      <c r="BH146" s="134"/>
      <c r="BI146" s="91" t="str">
        <f t="array" ref="BI146">IFERROR(INDEX(TABLACONSOLIDADA[Buff Act],MATCH("AGROINSUMOSSTODOMINGO"&amp;Tabla_Buffers_Agroinsumos[[#This Row],[CODIGO ]],TABLACONSOLIDADA[Bodega]&amp;TABLACONSOLIDADA[Codigo],0)),"")</f>
        <v/>
      </c>
      <c r="BJ146" s="157" t="str">
        <f t="array" ref="BJ146">IFERROR(INDEX(TABLACONSOLIDADA[Inv Fís Act],MATCH("AGROINSUMOSSTODOMINGO"&amp;Tabla_Buffers_Agroinsumos[[#This Row],[CODIGO ]],TABLACONSOLIDADA[Bodega]&amp;TABLACONSOLIDADA[Codigo],0)),"")</f>
        <v/>
      </c>
      <c r="BK146" s="157" t="str">
        <f t="array" ref="BK14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4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46" s="91">
        <f>IFERROR(SUM(Tabla_Buffers_Agroinsumos[[#This Row],[SD-MP]:[SD-VL]]),"")</f>
        <v>0</v>
      </c>
      <c r="BN146" s="92"/>
      <c r="BO146" s="92"/>
      <c r="BP146" s="134"/>
      <c r="BQ146" s="134"/>
      <c r="BR146" s="134"/>
      <c r="BS146" s="134"/>
      <c r="BT146" s="134"/>
      <c r="BU146" s="134"/>
      <c r="BV146" s="134"/>
      <c r="BW146" s="134"/>
      <c r="BX146" s="134"/>
      <c r="BY146" s="134" t="str">
        <f t="array" ref="BY146">IFERROR(INDEX(TABLACONSOLIDADA[Buff Act],MATCH("AGROINSUMOSMONCAYOLOPEZ"&amp;Tabla_Buffers_Agroinsumos[[#This Row],[CODIGO ]],TABLACONSOLIDADA[Bodega]&amp;TABLACONSOLIDADA[Codigo],0)),"")</f>
        <v/>
      </c>
      <c r="BZ146" s="157" t="str">
        <f t="array" ref="BZ146">IFERROR(INDEX(TABLACONSOLIDADA[Inv Fís Act],MATCH("AGROINSUMOSMONCAYOLOPEZ"&amp;Tabla_Buffers_Agroinsumos[[#This Row],[CODIGO ]],TABLACONSOLIDADA[Bodega]&amp;TABLACONSOLIDADA[Codigo],0)),"")</f>
        <v/>
      </c>
      <c r="CA146" s="157" t="str">
        <f t="array" ref="CA14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4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46" s="134">
        <f>IFERROR(SUM(Tabla_Buffers_Agroinsumos[[#This Row],[ML-MP]:[ML-VL]]),"")</f>
        <v>0</v>
      </c>
      <c r="CD146" s="92" t="str">
        <f>IFERROR(Tabla_Buffers_Agroinsumos[[#This Row],[INV FIS ML]]-Tabla_Buffers_Agroinsumos[[#This Row],[BUFFER ML]],"")</f>
        <v/>
      </c>
      <c r="CE14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46" s="134"/>
      <c r="CG146" s="134"/>
      <c r="CH146" s="134"/>
      <c r="CI146" s="134"/>
      <c r="CJ146" s="134"/>
      <c r="CK146" s="134"/>
      <c r="CL146" s="134"/>
      <c r="CM146" s="134"/>
      <c r="CN146" s="134"/>
      <c r="CO146" s="134" t="str">
        <f t="array" ref="CO146">IFERROR(INDEX(TABLACONSOLIDADA[Buff Act],MATCH("AGROINSUMOSAGROHERMANOSLEON"&amp;Tabla_Buffers_Agroinsumos[[#This Row],[CODIGO ]],TABLACONSOLIDADA[Bodega]&amp;TABLACONSOLIDADA[Codigo],0)),"")</f>
        <v/>
      </c>
      <c r="CP146" s="157" t="str">
        <f t="array" ref="CP146">IFERROR(INDEX(TABLACONSOLIDADA[Inv Fís Act],MATCH("AGROINSUMOSAGROHERMANOSLEON"&amp;Tabla_Buffers_Agroinsumos[[#This Row],[CODIGO ]],TABLACONSOLIDADA[Bodega]&amp;TABLACONSOLIDADA[Codigo],0)),"")</f>
        <v/>
      </c>
      <c r="CQ146" s="157" t="str">
        <f t="array" ref="CQ14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4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46" s="134">
        <f>IFERROR(SUM(Tabla_Buffers_Agroinsumos[[#This Row],[AL-MP]:[AL-VL]]),"")</f>
        <v>0</v>
      </c>
      <c r="CT146" s="92" t="str">
        <f>IFERROR(Tabla_Buffers_Agroinsumos[[#This Row],[INV FIS AL]]-Tabla_Buffers_Agroinsumos[[#This Row],[BUFFER AL]],"")</f>
        <v/>
      </c>
      <c r="CU14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46" s="134"/>
      <c r="CW146" s="134"/>
      <c r="CX146" s="134"/>
      <c r="CY146" s="134"/>
      <c r="CZ146" s="134"/>
      <c r="DA146" s="134"/>
      <c r="DB146" s="134"/>
      <c r="DC146" s="134"/>
      <c r="DD146" s="134"/>
      <c r="DE146" s="134" t="str">
        <f t="array" ref="DE146">IFERROR(INDEX(TABLACONSOLIDADA[Buff Act],MATCH("AGROINSUMOSAGRONUEVO"&amp;Tabla_Buffers_Agroinsumos[[#This Row],[CODIGO ]],TABLACONSOLIDADA[Bodega]&amp;TABLACONSOLIDADA[Codigo],0)),"")</f>
        <v/>
      </c>
      <c r="DF146" s="157" t="str">
        <f t="array" ref="DF146">IFERROR(INDEX(TABLACONSOLIDADA[Inv Fís Act],MATCH("AGROINSUMOSAGRONUEVO"&amp;Tabla_Buffers_Agroinsumos[[#This Row],[CODIGO ]],TABLACONSOLIDADA[Bodega]&amp;TABLACONSOLIDADA[Codigo],0)),"")</f>
        <v/>
      </c>
      <c r="DG146" s="157" t="str">
        <f t="array" ref="DG14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4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46" s="134">
        <f>IFERROR(SUM(Tabla_Buffers_Agroinsumos[[#This Row],[AN-MP]:[AN-VL]]),"")</f>
        <v>0</v>
      </c>
      <c r="DJ146" s="92" t="str">
        <f>IFERROR(Tabla_Buffers_Agroinsumos[[#This Row],[INV FIS AN]]-Tabla_Buffers_Agroinsumos[[#This Row],[BUFFER AN]],"")</f>
        <v/>
      </c>
      <c r="DK14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46" s="134"/>
      <c r="DM146" s="134"/>
      <c r="DN146" s="134"/>
      <c r="DO146" s="134"/>
      <c r="DP146" s="134"/>
      <c r="DQ146" s="134"/>
      <c r="DR146" s="134"/>
      <c r="DS146" s="134"/>
      <c r="DT146" s="134"/>
      <c r="DU146" s="134" t="str">
        <f t="array" ref="DU146">IFERROR(INDEX(TABLACONSOLIDADA[Buff Act],MATCH("AGROINSUMOSAGROQUIMICOSSUR"&amp;Tabla_Buffers_Agroinsumos[[#This Row],[CODIGO ]],TABLACONSOLIDADA[Bodega]&amp;TABLACONSOLIDADA[Codigo],0)),"")</f>
        <v/>
      </c>
      <c r="DV146" s="157" t="str">
        <f t="array" ref="DV146">IFERROR(INDEX(TABLACONSOLIDADA[Inv Fís Act],MATCH("AGROINSUMOSAGROQUIMICOSSUR"&amp;Tabla_Buffers_Agroinsumos[[#This Row],[CODIGO ]],TABLACONSOLIDADA[Bodega]&amp;TABLACONSOLIDADA[Codigo],0)),"")</f>
        <v/>
      </c>
      <c r="DW146" s="157" t="str">
        <f t="array" ref="DW14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4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46" s="134">
        <f>IFERROR(SUM(Tabla_Buffers_Agroinsumos[[#This Row],[AS-MP]:[AS-VL]]),"")</f>
        <v>0</v>
      </c>
      <c r="DZ146" s="92" t="str">
        <f>IFERROR(Tabla_Buffers_Agroinsumos[[#This Row],[INV FIS AS]]-Tabla_Buffers_Agroinsumos[[#This Row],[BUFFER AS]],"")</f>
        <v/>
      </c>
      <c r="EA14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46" s="134"/>
      <c r="EC146" s="134"/>
      <c r="ED146" s="134"/>
      <c r="EE146" s="134"/>
      <c r="EF146" s="134"/>
      <c r="EG146" s="134"/>
      <c r="EH146" s="134"/>
      <c r="EI146" s="134"/>
      <c r="EJ146" s="134"/>
      <c r="EK146" s="134" t="str">
        <f t="array" ref="EK146">IFERROR(INDEX(TABLACONSOLIDADA[Buff Act],MATCH("AGROINSUMOSLAFINCA"&amp;Tabla_Buffers_Agroinsumos[[#This Row],[CODIGO ]],TABLACONSOLIDADA[Bodega]&amp;TABLACONSOLIDADA[Codigo],0)),"")</f>
        <v/>
      </c>
      <c r="EL146" s="157" t="str">
        <f t="array" ref="EL146">IFERROR(INDEX(TABLACONSOLIDADA[Inv Fís Act],MATCH("AGROINSUMOSLAFINCA"&amp;Tabla_Buffers_Agroinsumos[[#This Row],[CODIGO ]],TABLACONSOLIDADA[Bodega]&amp;TABLACONSOLIDADA[Codigo],0)),"")</f>
        <v/>
      </c>
      <c r="EM146" s="157" t="str">
        <f t="array" ref="EM14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4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46" s="134">
        <f>IFERROR(SUM(Tabla_Buffers_Agroinsumos[[#This Row],[LF-MP]:[LF-VL]]),"")</f>
        <v>0</v>
      </c>
      <c r="EP146" s="92" t="str">
        <f>IFERROR(Tabla_Buffers_Agroinsumos[[#This Row],[INV FIS LF]]-Tabla_Buffers_Agroinsumos[[#This Row],[BUFFER LF]],"")</f>
        <v/>
      </c>
      <c r="EQ14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46" s="134"/>
      <c r="ES146" s="134"/>
      <c r="ET146" s="134"/>
      <c r="EU146" s="134"/>
      <c r="EV146" s="134"/>
      <c r="EW146" s="134"/>
      <c r="EX146" s="134"/>
      <c r="EY146" s="134"/>
      <c r="EZ146" s="134"/>
      <c r="FA146" s="134" t="str">
        <f t="array" ref="FA146">IFERROR(INDEX(TABLACONSOLIDADA[Buff Act],MATCH("AGROINSUMOSVERONICALEDESMA"&amp;Tabla_Buffers_Agroinsumos[[#This Row],[CODIGO ]],TABLACONSOLIDADA[Bodega]&amp;TABLACONSOLIDADA[Codigo],0)),"")</f>
        <v/>
      </c>
      <c r="FB146" s="157" t="str">
        <f t="array" ref="FB146">IFERROR(INDEX(TABLACONSOLIDADA[Inv Fís Act],MATCH("AGROINSUMOSVERONICALEDESMA"&amp;Tabla_Buffers_Agroinsumos[[#This Row],[CODIGO ]],TABLACONSOLIDADA[Bodega]&amp;TABLACONSOLIDADA[Codigo],0)),"")</f>
        <v/>
      </c>
      <c r="FC146" s="157" t="str">
        <f t="array" ref="FC14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4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46" s="134">
        <f>IFERROR(SUM(Tabla_Buffers_Agroinsumos[[#This Row],[VL-MP]:[VL-LF]]),"")</f>
        <v>0</v>
      </c>
      <c r="FF146" s="92" t="str">
        <f>IFERROR(Tabla_Buffers_Agroinsumos[[#This Row],[INV FIS VL]]-Tabla_Buffers_Agroinsumos[[#This Row],[BUFFER VL]],"")</f>
        <v/>
      </c>
      <c r="FG14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46" s="134"/>
      <c r="FI146" s="134"/>
      <c r="FJ146" s="134"/>
      <c r="FK146" s="134"/>
      <c r="FL146" s="134"/>
      <c r="FM146" s="134"/>
      <c r="FN146" s="134"/>
      <c r="FO146" s="134"/>
      <c r="FP146" s="134"/>
    </row>
    <row r="147" spans="1:172">
      <c r="A147" s="7" t="s">
        <v>257</v>
      </c>
      <c r="B147" s="7" t="s">
        <v>258</v>
      </c>
      <c r="C147" s="7" t="s">
        <v>788</v>
      </c>
      <c r="D147" s="7" t="s">
        <v>718</v>
      </c>
      <c r="E147" s="7" t="s">
        <v>863</v>
      </c>
      <c r="F147" s="19" t="s">
        <v>812</v>
      </c>
      <c r="G147" s="19" t="s">
        <v>873</v>
      </c>
      <c r="H147" s="19">
        <f>VLOOKUP(Tabla_Buffers_Agroinsumos[[#This Row],[CODIGO ]],TABLACONSOLIDADA[[Codigo]:[PV]],6,0)</f>
        <v>0</v>
      </c>
      <c r="I147" s="19">
        <f>VLOOKUP(Tabla_Buffers_Agroinsumos[[#This Row],[CODIGO ]],TABLACONSOLIDADA[[Codigo]:[PV]],5,0)</f>
        <v>0.18</v>
      </c>
      <c r="J147" s="19">
        <v>4</v>
      </c>
      <c r="K147" s="19">
        <v>12</v>
      </c>
      <c r="L147" s="19">
        <f>IFERROR(Tabla_Buffers_Agroinsumos[[#This Row],[BUFFER CENTRAL]]/((Tabla_Buffers_Agroinsumos[[#This Row],[TIEMPO REPOSICION ]]/Tabla_Buffers_Agroinsumos[[#This Row],[FRECUENCIA]])+1),0)</f>
        <v>0</v>
      </c>
      <c r="M147" s="19">
        <f t="array" ref="M147">IFERROR(INDEX(TABLACONSOLIDADA[Buff Act],MATCH("AGROINSUMOSMATERIAPRIMA"&amp;Tabla_Buffers_Agroinsumos[[#This Row],[CODIGO ]],TABLACONSOLIDADA[Bodega]&amp;TABLACONSOLIDADA[Codigo],0)),"")</f>
        <v>0</v>
      </c>
      <c r="N147" s="157">
        <f t="array" ref="N147">IFERROR(INDEX(TABLACONSOLIDADA[Inv Fís Act],MATCH("AGROINSUMOSMATERIAPRIMA"&amp;Tabla_Buffers_Agroinsumos[[#This Row],[CODIGO ]],TABLACONSOLIDADA[Bodega]&amp;TABLACONSOLIDADA[Codigo],0)),"")</f>
        <v>7985</v>
      </c>
      <c r="O147" s="157">
        <f t="array" ref="O14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7985</v>
      </c>
      <c r="P14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47" s="19">
        <f>IFERROR(SUM(Tabla_Buffers_Agroinsumos[[#This Row],[MP-C]:[MP-VL]]),"")</f>
        <v>0</v>
      </c>
      <c r="R147" s="92">
        <f>IFERROR(Tabla_Buffers_Agroinsumos[[#This Row],[INV FIS MATERIA PRIMA]]-Tabla_Buffers_Agroinsumos[[#This Row],[BUFFER MATERIA PRIMA]],"")</f>
        <v>7985</v>
      </c>
      <c r="S14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7985</v>
      </c>
      <c r="T147" s="19"/>
      <c r="U147" s="19"/>
      <c r="V147" s="19"/>
      <c r="W147" s="19"/>
      <c r="X147" s="19"/>
      <c r="Y147" s="19"/>
      <c r="Z147" s="19"/>
      <c r="AA147" s="19"/>
      <c r="AB147" s="19"/>
      <c r="AC147" s="152" t="str">
        <f t="array" ref="AC147">IFERROR(INDEX(TABLACONSOLIDADA[Buff Act],MATCH("AGROINSUMOSCENTRAL"&amp;Tabla_Buffers_Agroinsumos[[#This Row],[CODIGO ]],TABLACONSOLIDADA[Bodega]&amp;TABLACONSOLIDADA[Codigo],0)),"")</f>
        <v/>
      </c>
      <c r="AD147" s="157" t="str">
        <f t="array" ref="AD147">IFERROR(INDEX(TABLACONSOLIDADA[Inv Fís Act],MATCH("AGROINSUMOSCENTRAL"&amp;Tabla_Buffers_Agroinsumos[[#This Row],[CODIGO ]],TABLACONSOLIDADA[Bodega]&amp;TABLACONSOLIDADA[Codigo],0)),"")</f>
        <v/>
      </c>
      <c r="AE147" s="157" t="str">
        <f t="array" ref="AE14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4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47" s="91">
        <f>IFERROR(SUM(Tabla_Buffers_Agroinsumos[[#This Row],[C-MP]:[C-VL]]),"")</f>
        <v>0</v>
      </c>
      <c r="AH147" s="92" t="str">
        <f>IFERROR(Tabla_Buffers_Agroinsumos[[#This Row],[INV FIS CENTRAL]]-Tabla_Buffers_Agroinsumos[[#This Row],[BUFFER CENTRAL]],"")</f>
        <v/>
      </c>
      <c r="AI14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47" s="134"/>
      <c r="AK147" s="134"/>
      <c r="AL147" s="134"/>
      <c r="AM147" s="134"/>
      <c r="AN147" s="134"/>
      <c r="AO147" s="134"/>
      <c r="AP147" s="134"/>
      <c r="AQ147" s="134"/>
      <c r="AR147" s="134"/>
      <c r="AS147" s="134" t="str">
        <f t="array" ref="AS147">IFERROR(INDEX(TABLACONSOLIDADA[Buff Act],MATCH("AGROINSUMOScentralPROPIA"&amp;Tabla_Buffers_Agroinsumos[[#This Row],[CODIGO ]],TABLACONSOLIDADA[Bodega]&amp;TABLACONSOLIDADA[Codigo],0)),"")</f>
        <v/>
      </c>
      <c r="AT147" s="157" t="str">
        <f t="array" ref="AT147">IFERROR(INDEX(TABLACONSOLIDADA[Inv Fís Act],MATCH("AGROINSUMOScentralPROPIA"&amp;Tabla_Buffers_Agroinsumos[[#This Row],[CODIGO ]],TABLACONSOLIDADA[Bodega]&amp;TABLACONSOLIDADA[Codigo],0)),"")</f>
        <v/>
      </c>
      <c r="AU147" s="157" t="str">
        <f t="array" ref="AU14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4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47" s="134">
        <f>IFERROR(SUM(Tabla_Buffers_Agroinsumos[[#This Row],[P-MP]:[P-VL]]),"")</f>
        <v>0</v>
      </c>
      <c r="AX147" s="92" t="str">
        <f>IFERROR(Tabla_Buffers_Agroinsumos[[#This Row],[INV FIS PROPIA]]-Tabla_Buffers_Agroinsumos[[#This Row],[BUFFER PROPIA]],"")</f>
        <v/>
      </c>
      <c r="AY14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47" s="134"/>
      <c r="BA147" s="134"/>
      <c r="BB147" s="134"/>
      <c r="BC147" s="134"/>
      <c r="BD147" s="134"/>
      <c r="BE147" s="134"/>
      <c r="BF147" s="134"/>
      <c r="BG147" s="134"/>
      <c r="BH147" s="134"/>
      <c r="BI147" s="91" t="str">
        <f t="array" ref="BI147">IFERROR(INDEX(TABLACONSOLIDADA[Buff Act],MATCH("AGROINSUMOSSTODOMINGO"&amp;Tabla_Buffers_Agroinsumos[[#This Row],[CODIGO ]],TABLACONSOLIDADA[Bodega]&amp;TABLACONSOLIDADA[Codigo],0)),"")</f>
        <v/>
      </c>
      <c r="BJ147" s="157" t="str">
        <f t="array" ref="BJ147">IFERROR(INDEX(TABLACONSOLIDADA[Inv Fís Act],MATCH("AGROINSUMOSSTODOMINGO"&amp;Tabla_Buffers_Agroinsumos[[#This Row],[CODIGO ]],TABLACONSOLIDADA[Bodega]&amp;TABLACONSOLIDADA[Codigo],0)),"")</f>
        <v/>
      </c>
      <c r="BK147" s="157" t="str">
        <f t="array" ref="BK14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4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47" s="91">
        <f>IFERROR(SUM(Tabla_Buffers_Agroinsumos[[#This Row],[SD-MP]:[SD-VL]]),"")</f>
        <v>0</v>
      </c>
      <c r="BN147" s="92"/>
      <c r="BO147" s="92"/>
      <c r="BP147" s="134"/>
      <c r="BQ147" s="134"/>
      <c r="BR147" s="134"/>
      <c r="BS147" s="134"/>
      <c r="BT147" s="134"/>
      <c r="BU147" s="134"/>
      <c r="BV147" s="134"/>
      <c r="BW147" s="134"/>
      <c r="BX147" s="134"/>
      <c r="BY147" s="134" t="str">
        <f t="array" ref="BY147">IFERROR(INDEX(TABLACONSOLIDADA[Buff Act],MATCH("AGROINSUMOSMONCAYOLOPEZ"&amp;Tabla_Buffers_Agroinsumos[[#This Row],[CODIGO ]],TABLACONSOLIDADA[Bodega]&amp;TABLACONSOLIDADA[Codigo],0)),"")</f>
        <v/>
      </c>
      <c r="BZ147" s="157" t="str">
        <f t="array" ref="BZ147">IFERROR(INDEX(TABLACONSOLIDADA[Inv Fís Act],MATCH("AGROINSUMOSMONCAYOLOPEZ"&amp;Tabla_Buffers_Agroinsumos[[#This Row],[CODIGO ]],TABLACONSOLIDADA[Bodega]&amp;TABLACONSOLIDADA[Codigo],0)),"")</f>
        <v/>
      </c>
      <c r="CA147" s="157" t="str">
        <f t="array" ref="CA14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4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47" s="134">
        <f>IFERROR(SUM(Tabla_Buffers_Agroinsumos[[#This Row],[ML-MP]:[ML-VL]]),"")</f>
        <v>0</v>
      </c>
      <c r="CD147" s="92" t="str">
        <f>IFERROR(Tabla_Buffers_Agroinsumos[[#This Row],[INV FIS ML]]-Tabla_Buffers_Agroinsumos[[#This Row],[BUFFER ML]],"")</f>
        <v/>
      </c>
      <c r="CE14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47" s="134"/>
      <c r="CG147" s="134"/>
      <c r="CH147" s="134"/>
      <c r="CI147" s="134"/>
      <c r="CJ147" s="134"/>
      <c r="CK147" s="134"/>
      <c r="CL147" s="134"/>
      <c r="CM147" s="134"/>
      <c r="CN147" s="134"/>
      <c r="CO147" s="134" t="str">
        <f t="array" ref="CO147">IFERROR(INDEX(TABLACONSOLIDADA[Buff Act],MATCH("AGROINSUMOSAGROHERMANOSLEON"&amp;Tabla_Buffers_Agroinsumos[[#This Row],[CODIGO ]],TABLACONSOLIDADA[Bodega]&amp;TABLACONSOLIDADA[Codigo],0)),"")</f>
        <v/>
      </c>
      <c r="CP147" s="157" t="str">
        <f t="array" ref="CP147">IFERROR(INDEX(TABLACONSOLIDADA[Inv Fís Act],MATCH("AGROINSUMOSAGROHERMANOSLEON"&amp;Tabla_Buffers_Agroinsumos[[#This Row],[CODIGO ]],TABLACONSOLIDADA[Bodega]&amp;TABLACONSOLIDADA[Codigo],0)),"")</f>
        <v/>
      </c>
      <c r="CQ147" s="157" t="str">
        <f t="array" ref="CQ14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4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47" s="134">
        <f>IFERROR(SUM(Tabla_Buffers_Agroinsumos[[#This Row],[AL-MP]:[AL-VL]]),"")</f>
        <v>0</v>
      </c>
      <c r="CT147" s="92" t="str">
        <f>IFERROR(Tabla_Buffers_Agroinsumos[[#This Row],[INV FIS AL]]-Tabla_Buffers_Agroinsumos[[#This Row],[BUFFER AL]],"")</f>
        <v/>
      </c>
      <c r="CU14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47" s="134"/>
      <c r="CW147" s="134"/>
      <c r="CX147" s="134"/>
      <c r="CY147" s="134"/>
      <c r="CZ147" s="134"/>
      <c r="DA147" s="134"/>
      <c r="DB147" s="134"/>
      <c r="DC147" s="134"/>
      <c r="DD147" s="134"/>
      <c r="DE147" s="134" t="str">
        <f t="array" ref="DE147">IFERROR(INDEX(TABLACONSOLIDADA[Buff Act],MATCH("AGROINSUMOSAGRONUEVO"&amp;Tabla_Buffers_Agroinsumos[[#This Row],[CODIGO ]],TABLACONSOLIDADA[Bodega]&amp;TABLACONSOLIDADA[Codigo],0)),"")</f>
        <v/>
      </c>
      <c r="DF147" s="157" t="str">
        <f t="array" ref="DF147">IFERROR(INDEX(TABLACONSOLIDADA[Inv Fís Act],MATCH("AGROINSUMOSAGRONUEVO"&amp;Tabla_Buffers_Agroinsumos[[#This Row],[CODIGO ]],TABLACONSOLIDADA[Bodega]&amp;TABLACONSOLIDADA[Codigo],0)),"")</f>
        <v/>
      </c>
      <c r="DG147" s="157" t="str">
        <f t="array" ref="DG14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4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47" s="134">
        <f>IFERROR(SUM(Tabla_Buffers_Agroinsumos[[#This Row],[AN-MP]:[AN-VL]]),"")</f>
        <v>0</v>
      </c>
      <c r="DJ147" s="92" t="str">
        <f>IFERROR(Tabla_Buffers_Agroinsumos[[#This Row],[INV FIS AN]]-Tabla_Buffers_Agroinsumos[[#This Row],[BUFFER AN]],"")</f>
        <v/>
      </c>
      <c r="DK14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47" s="134"/>
      <c r="DM147" s="134"/>
      <c r="DN147" s="134"/>
      <c r="DO147" s="134"/>
      <c r="DP147" s="134"/>
      <c r="DQ147" s="134"/>
      <c r="DR147" s="134"/>
      <c r="DS147" s="134"/>
      <c r="DT147" s="134"/>
      <c r="DU147" s="134" t="str">
        <f t="array" ref="DU147">IFERROR(INDEX(TABLACONSOLIDADA[Buff Act],MATCH("AGROINSUMOSAGROQUIMICOSSUR"&amp;Tabla_Buffers_Agroinsumos[[#This Row],[CODIGO ]],TABLACONSOLIDADA[Bodega]&amp;TABLACONSOLIDADA[Codigo],0)),"")</f>
        <v/>
      </c>
      <c r="DV147" s="157" t="str">
        <f t="array" ref="DV147">IFERROR(INDEX(TABLACONSOLIDADA[Inv Fís Act],MATCH("AGROINSUMOSAGROQUIMICOSSUR"&amp;Tabla_Buffers_Agroinsumos[[#This Row],[CODIGO ]],TABLACONSOLIDADA[Bodega]&amp;TABLACONSOLIDADA[Codigo],0)),"")</f>
        <v/>
      </c>
      <c r="DW147" s="157" t="str">
        <f t="array" ref="DW14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4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47" s="134">
        <f>IFERROR(SUM(Tabla_Buffers_Agroinsumos[[#This Row],[AS-MP]:[AS-VL]]),"")</f>
        <v>0</v>
      </c>
      <c r="DZ147" s="92" t="str">
        <f>IFERROR(Tabla_Buffers_Agroinsumos[[#This Row],[INV FIS AS]]-Tabla_Buffers_Agroinsumos[[#This Row],[BUFFER AS]],"")</f>
        <v/>
      </c>
      <c r="EA14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47" s="134"/>
      <c r="EC147" s="134"/>
      <c r="ED147" s="134"/>
      <c r="EE147" s="134"/>
      <c r="EF147" s="134"/>
      <c r="EG147" s="134"/>
      <c r="EH147" s="134"/>
      <c r="EI147" s="134"/>
      <c r="EJ147" s="134"/>
      <c r="EK147" s="134" t="str">
        <f t="array" ref="EK147">IFERROR(INDEX(TABLACONSOLIDADA[Buff Act],MATCH("AGROINSUMOSLAFINCA"&amp;Tabla_Buffers_Agroinsumos[[#This Row],[CODIGO ]],TABLACONSOLIDADA[Bodega]&amp;TABLACONSOLIDADA[Codigo],0)),"")</f>
        <v/>
      </c>
      <c r="EL147" s="157" t="str">
        <f t="array" ref="EL147">IFERROR(INDEX(TABLACONSOLIDADA[Inv Fís Act],MATCH("AGROINSUMOSLAFINCA"&amp;Tabla_Buffers_Agroinsumos[[#This Row],[CODIGO ]],TABLACONSOLIDADA[Bodega]&amp;TABLACONSOLIDADA[Codigo],0)),"")</f>
        <v/>
      </c>
      <c r="EM147" s="157" t="str">
        <f t="array" ref="EM14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4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47" s="134">
        <f>IFERROR(SUM(Tabla_Buffers_Agroinsumos[[#This Row],[LF-MP]:[LF-VL]]),"")</f>
        <v>0</v>
      </c>
      <c r="EP147" s="92" t="str">
        <f>IFERROR(Tabla_Buffers_Agroinsumos[[#This Row],[INV FIS LF]]-Tabla_Buffers_Agroinsumos[[#This Row],[BUFFER LF]],"")</f>
        <v/>
      </c>
      <c r="EQ14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47" s="134"/>
      <c r="ES147" s="134"/>
      <c r="ET147" s="134"/>
      <c r="EU147" s="134"/>
      <c r="EV147" s="134"/>
      <c r="EW147" s="134"/>
      <c r="EX147" s="134"/>
      <c r="EY147" s="134"/>
      <c r="EZ147" s="134"/>
      <c r="FA147" s="134" t="str">
        <f t="array" ref="FA147">IFERROR(INDEX(TABLACONSOLIDADA[Buff Act],MATCH("AGROINSUMOSVERONICALEDESMA"&amp;Tabla_Buffers_Agroinsumos[[#This Row],[CODIGO ]],TABLACONSOLIDADA[Bodega]&amp;TABLACONSOLIDADA[Codigo],0)),"")</f>
        <v/>
      </c>
      <c r="FB147" s="157" t="str">
        <f t="array" ref="FB147">IFERROR(INDEX(TABLACONSOLIDADA[Inv Fís Act],MATCH("AGROINSUMOSVERONICALEDESMA"&amp;Tabla_Buffers_Agroinsumos[[#This Row],[CODIGO ]],TABLACONSOLIDADA[Bodega]&amp;TABLACONSOLIDADA[Codigo],0)),"")</f>
        <v/>
      </c>
      <c r="FC147" s="157" t="str">
        <f t="array" ref="FC14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4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47" s="134">
        <f>IFERROR(SUM(Tabla_Buffers_Agroinsumos[[#This Row],[VL-MP]:[VL-LF]]),"")</f>
        <v>0</v>
      </c>
      <c r="FF147" s="92" t="str">
        <f>IFERROR(Tabla_Buffers_Agroinsumos[[#This Row],[INV FIS VL]]-Tabla_Buffers_Agroinsumos[[#This Row],[BUFFER VL]],"")</f>
        <v/>
      </c>
      <c r="FG14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47" s="134"/>
      <c r="FI147" s="134"/>
      <c r="FJ147" s="134"/>
      <c r="FK147" s="134"/>
      <c r="FL147" s="134"/>
      <c r="FM147" s="134"/>
      <c r="FN147" s="134"/>
      <c r="FO147" s="134"/>
      <c r="FP147" s="134"/>
    </row>
    <row r="148" spans="1:172">
      <c r="A148" s="7" t="s">
        <v>259</v>
      </c>
      <c r="B148" s="7" t="s">
        <v>260</v>
      </c>
      <c r="C148" s="7" t="s">
        <v>710</v>
      </c>
      <c r="D148" s="7" t="s">
        <v>718</v>
      </c>
      <c r="E148" s="7" t="s">
        <v>863</v>
      </c>
      <c r="F148" s="19" t="s">
        <v>810</v>
      </c>
      <c r="G148" s="19" t="s">
        <v>802</v>
      </c>
      <c r="H148" s="19">
        <f>VLOOKUP(Tabla_Buffers_Agroinsumos[[#This Row],[CODIGO ]],TABLACONSOLIDADA[[Codigo]:[PV]],6,0)</f>
        <v>0</v>
      </c>
      <c r="I148" s="19">
        <f>VLOOKUP(Tabla_Buffers_Agroinsumos[[#This Row],[CODIGO ]],TABLACONSOLIDADA[[Codigo]:[PV]],5,0)</f>
        <v>0.2</v>
      </c>
      <c r="J148" s="19">
        <v>4</v>
      </c>
      <c r="K148" s="19">
        <v>4</v>
      </c>
      <c r="L148" s="19">
        <f>IFERROR(Tabla_Buffers_Agroinsumos[[#This Row],[BUFFER CENTRAL]]/((Tabla_Buffers_Agroinsumos[[#This Row],[TIEMPO REPOSICION ]]/Tabla_Buffers_Agroinsumos[[#This Row],[FRECUENCIA]])+1),0)</f>
        <v>0</v>
      </c>
      <c r="M148" s="19">
        <f t="array" ref="M148">IFERROR(INDEX(TABLACONSOLIDADA[Buff Act],MATCH("AGROINSUMOSMATERIAPRIMA"&amp;Tabla_Buffers_Agroinsumos[[#This Row],[CODIGO ]],TABLACONSOLIDADA[Bodega]&amp;TABLACONSOLIDADA[Codigo],0)),"")</f>
        <v>10000</v>
      </c>
      <c r="N148" s="157">
        <f t="array" ref="N148">IFERROR(INDEX(TABLACONSOLIDADA[Inv Fís Act],MATCH("AGROINSUMOSMATERIAPRIMA"&amp;Tabla_Buffers_Agroinsumos[[#This Row],[CODIGO ]],TABLACONSOLIDADA[Bodega]&amp;TABLACONSOLIDADA[Codigo],0)),"")</f>
        <v>553</v>
      </c>
      <c r="O148" s="157">
        <f t="array" ref="O14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6753</v>
      </c>
      <c r="P14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48" s="19">
        <f>IFERROR(SUM(Tabla_Buffers_Agroinsumos[[#This Row],[MP-C]:[MP-VL]]),"")</f>
        <v>0</v>
      </c>
      <c r="R148" s="92">
        <f>IFERROR(Tabla_Buffers_Agroinsumos[[#This Row],[INV FIS MATERIA PRIMA]]-Tabla_Buffers_Agroinsumos[[#This Row],[BUFFER MATERIA PRIMA]],"")</f>
        <v>-9447</v>
      </c>
      <c r="S14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-9447</v>
      </c>
      <c r="T148" s="19"/>
      <c r="U148" s="19"/>
      <c r="V148" s="19"/>
      <c r="W148" s="19"/>
      <c r="X148" s="19"/>
      <c r="Y148" s="19"/>
      <c r="Z148" s="19"/>
      <c r="AA148" s="19"/>
      <c r="AB148" s="19"/>
      <c r="AC148" s="152" t="str">
        <f t="array" ref="AC148">IFERROR(INDEX(TABLACONSOLIDADA[Buff Act],MATCH("AGROINSUMOSCENTRAL"&amp;Tabla_Buffers_Agroinsumos[[#This Row],[CODIGO ]],TABLACONSOLIDADA[Bodega]&amp;TABLACONSOLIDADA[Codigo],0)),"")</f>
        <v/>
      </c>
      <c r="AD148" s="157" t="str">
        <f t="array" ref="AD148">IFERROR(INDEX(TABLACONSOLIDADA[Inv Fís Act],MATCH("AGROINSUMOSCENTRAL"&amp;Tabla_Buffers_Agroinsumos[[#This Row],[CODIGO ]],TABLACONSOLIDADA[Bodega]&amp;TABLACONSOLIDADA[Codigo],0)),"")</f>
        <v/>
      </c>
      <c r="AE148" s="157" t="str">
        <f t="array" ref="AE14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4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48" s="91">
        <f>IFERROR(SUM(Tabla_Buffers_Agroinsumos[[#This Row],[C-MP]:[C-VL]]),"")</f>
        <v>0</v>
      </c>
      <c r="AH148" s="92" t="str">
        <f>IFERROR(Tabla_Buffers_Agroinsumos[[#This Row],[INV FIS CENTRAL]]-Tabla_Buffers_Agroinsumos[[#This Row],[BUFFER CENTRAL]],"")</f>
        <v/>
      </c>
      <c r="AI14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48" s="134"/>
      <c r="AK148" s="134"/>
      <c r="AL148" s="134"/>
      <c r="AM148" s="134"/>
      <c r="AN148" s="134"/>
      <c r="AO148" s="134"/>
      <c r="AP148" s="134"/>
      <c r="AQ148" s="134"/>
      <c r="AR148" s="134"/>
      <c r="AS148" s="134" t="str">
        <f t="array" ref="AS148">IFERROR(INDEX(TABLACONSOLIDADA[Buff Act],MATCH("AGROINSUMOScentralPROPIA"&amp;Tabla_Buffers_Agroinsumos[[#This Row],[CODIGO ]],TABLACONSOLIDADA[Bodega]&amp;TABLACONSOLIDADA[Codigo],0)),"")</f>
        <v/>
      </c>
      <c r="AT148" s="157" t="str">
        <f t="array" ref="AT148">IFERROR(INDEX(TABLACONSOLIDADA[Inv Fís Act],MATCH("AGROINSUMOScentralPROPIA"&amp;Tabla_Buffers_Agroinsumos[[#This Row],[CODIGO ]],TABLACONSOLIDADA[Bodega]&amp;TABLACONSOLIDADA[Codigo],0)),"")</f>
        <v/>
      </c>
      <c r="AU148" s="157" t="str">
        <f t="array" ref="AU14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4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48" s="134">
        <f>IFERROR(SUM(Tabla_Buffers_Agroinsumos[[#This Row],[P-MP]:[P-VL]]),"")</f>
        <v>0</v>
      </c>
      <c r="AX148" s="92" t="str">
        <f>IFERROR(Tabla_Buffers_Agroinsumos[[#This Row],[INV FIS PROPIA]]-Tabla_Buffers_Agroinsumos[[#This Row],[BUFFER PROPIA]],"")</f>
        <v/>
      </c>
      <c r="AY14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48" s="134"/>
      <c r="BA148" s="134"/>
      <c r="BB148" s="134"/>
      <c r="BC148" s="134"/>
      <c r="BD148" s="134"/>
      <c r="BE148" s="134"/>
      <c r="BF148" s="134"/>
      <c r="BG148" s="134"/>
      <c r="BH148" s="134"/>
      <c r="BI148" s="91" t="str">
        <f t="array" ref="BI148">IFERROR(INDEX(TABLACONSOLIDADA[Buff Act],MATCH("AGROINSUMOSSTODOMINGO"&amp;Tabla_Buffers_Agroinsumos[[#This Row],[CODIGO ]],TABLACONSOLIDADA[Bodega]&amp;TABLACONSOLIDADA[Codigo],0)),"")</f>
        <v/>
      </c>
      <c r="BJ148" s="157" t="str">
        <f t="array" ref="BJ148">IFERROR(INDEX(TABLACONSOLIDADA[Inv Fís Act],MATCH("AGROINSUMOSSTODOMINGO"&amp;Tabla_Buffers_Agroinsumos[[#This Row],[CODIGO ]],TABLACONSOLIDADA[Bodega]&amp;TABLACONSOLIDADA[Codigo],0)),"")</f>
        <v/>
      </c>
      <c r="BK148" s="157" t="str">
        <f t="array" ref="BK14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4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48" s="91">
        <f>IFERROR(SUM(Tabla_Buffers_Agroinsumos[[#This Row],[SD-MP]:[SD-VL]]),"")</f>
        <v>0</v>
      </c>
      <c r="BN148" s="92"/>
      <c r="BO148" s="92"/>
      <c r="BP148" s="134"/>
      <c r="BQ148" s="134"/>
      <c r="BR148" s="134"/>
      <c r="BS148" s="134"/>
      <c r="BT148" s="134"/>
      <c r="BU148" s="134"/>
      <c r="BV148" s="134"/>
      <c r="BW148" s="134"/>
      <c r="BX148" s="134"/>
      <c r="BY148" s="134" t="str">
        <f t="array" ref="BY148">IFERROR(INDEX(TABLACONSOLIDADA[Buff Act],MATCH("AGROINSUMOSMONCAYOLOPEZ"&amp;Tabla_Buffers_Agroinsumos[[#This Row],[CODIGO ]],TABLACONSOLIDADA[Bodega]&amp;TABLACONSOLIDADA[Codigo],0)),"")</f>
        <v/>
      </c>
      <c r="BZ148" s="157" t="str">
        <f t="array" ref="BZ148">IFERROR(INDEX(TABLACONSOLIDADA[Inv Fís Act],MATCH("AGROINSUMOSMONCAYOLOPEZ"&amp;Tabla_Buffers_Agroinsumos[[#This Row],[CODIGO ]],TABLACONSOLIDADA[Bodega]&amp;TABLACONSOLIDADA[Codigo],0)),"")</f>
        <v/>
      </c>
      <c r="CA148" s="157" t="str">
        <f t="array" ref="CA14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4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48" s="134">
        <f>IFERROR(SUM(Tabla_Buffers_Agroinsumos[[#This Row],[ML-MP]:[ML-VL]]),"")</f>
        <v>0</v>
      </c>
      <c r="CD148" s="92" t="str">
        <f>IFERROR(Tabla_Buffers_Agroinsumos[[#This Row],[INV FIS ML]]-Tabla_Buffers_Agroinsumos[[#This Row],[BUFFER ML]],"")</f>
        <v/>
      </c>
      <c r="CE14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48" s="134"/>
      <c r="CG148" s="134"/>
      <c r="CH148" s="134"/>
      <c r="CI148" s="134"/>
      <c r="CJ148" s="134"/>
      <c r="CK148" s="134"/>
      <c r="CL148" s="134"/>
      <c r="CM148" s="134"/>
      <c r="CN148" s="134"/>
      <c r="CO148" s="134" t="str">
        <f t="array" ref="CO148">IFERROR(INDEX(TABLACONSOLIDADA[Buff Act],MATCH("AGROINSUMOSAGROHERMANOSLEON"&amp;Tabla_Buffers_Agroinsumos[[#This Row],[CODIGO ]],TABLACONSOLIDADA[Bodega]&amp;TABLACONSOLIDADA[Codigo],0)),"")</f>
        <v/>
      </c>
      <c r="CP148" s="157" t="str">
        <f t="array" ref="CP148">IFERROR(INDEX(TABLACONSOLIDADA[Inv Fís Act],MATCH("AGROINSUMOSAGROHERMANOSLEON"&amp;Tabla_Buffers_Agroinsumos[[#This Row],[CODIGO ]],TABLACONSOLIDADA[Bodega]&amp;TABLACONSOLIDADA[Codigo],0)),"")</f>
        <v/>
      </c>
      <c r="CQ148" s="157" t="str">
        <f t="array" ref="CQ14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4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48" s="134">
        <f>IFERROR(SUM(Tabla_Buffers_Agroinsumos[[#This Row],[AL-MP]:[AL-VL]]),"")</f>
        <v>0</v>
      </c>
      <c r="CT148" s="92" t="str">
        <f>IFERROR(Tabla_Buffers_Agroinsumos[[#This Row],[INV FIS AL]]-Tabla_Buffers_Agroinsumos[[#This Row],[BUFFER AL]],"")</f>
        <v/>
      </c>
      <c r="CU14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48" s="134"/>
      <c r="CW148" s="134"/>
      <c r="CX148" s="134"/>
      <c r="CY148" s="134"/>
      <c r="CZ148" s="134"/>
      <c r="DA148" s="134"/>
      <c r="DB148" s="134"/>
      <c r="DC148" s="134"/>
      <c r="DD148" s="134"/>
      <c r="DE148" s="134" t="str">
        <f t="array" ref="DE148">IFERROR(INDEX(TABLACONSOLIDADA[Buff Act],MATCH("AGROINSUMOSAGRONUEVO"&amp;Tabla_Buffers_Agroinsumos[[#This Row],[CODIGO ]],TABLACONSOLIDADA[Bodega]&amp;TABLACONSOLIDADA[Codigo],0)),"")</f>
        <v/>
      </c>
      <c r="DF148" s="157" t="str">
        <f t="array" ref="DF148">IFERROR(INDEX(TABLACONSOLIDADA[Inv Fís Act],MATCH("AGROINSUMOSAGRONUEVO"&amp;Tabla_Buffers_Agroinsumos[[#This Row],[CODIGO ]],TABLACONSOLIDADA[Bodega]&amp;TABLACONSOLIDADA[Codigo],0)),"")</f>
        <v/>
      </c>
      <c r="DG148" s="157" t="str">
        <f t="array" ref="DG14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4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48" s="134">
        <f>IFERROR(SUM(Tabla_Buffers_Agroinsumos[[#This Row],[AN-MP]:[AN-VL]]),"")</f>
        <v>0</v>
      </c>
      <c r="DJ148" s="92" t="str">
        <f>IFERROR(Tabla_Buffers_Agroinsumos[[#This Row],[INV FIS AN]]-Tabla_Buffers_Agroinsumos[[#This Row],[BUFFER AN]],"")</f>
        <v/>
      </c>
      <c r="DK14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48" s="134"/>
      <c r="DM148" s="134"/>
      <c r="DN148" s="134"/>
      <c r="DO148" s="134"/>
      <c r="DP148" s="134"/>
      <c r="DQ148" s="134"/>
      <c r="DR148" s="134"/>
      <c r="DS148" s="134"/>
      <c r="DT148" s="134"/>
      <c r="DU148" s="134" t="str">
        <f t="array" ref="DU148">IFERROR(INDEX(TABLACONSOLIDADA[Buff Act],MATCH("AGROINSUMOSAGROQUIMICOSSUR"&amp;Tabla_Buffers_Agroinsumos[[#This Row],[CODIGO ]],TABLACONSOLIDADA[Bodega]&amp;TABLACONSOLIDADA[Codigo],0)),"")</f>
        <v/>
      </c>
      <c r="DV148" s="157" t="str">
        <f t="array" ref="DV148">IFERROR(INDEX(TABLACONSOLIDADA[Inv Fís Act],MATCH("AGROINSUMOSAGROQUIMICOSSUR"&amp;Tabla_Buffers_Agroinsumos[[#This Row],[CODIGO ]],TABLACONSOLIDADA[Bodega]&amp;TABLACONSOLIDADA[Codigo],0)),"")</f>
        <v/>
      </c>
      <c r="DW148" s="157" t="str">
        <f t="array" ref="DW14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4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48" s="134">
        <f>IFERROR(SUM(Tabla_Buffers_Agroinsumos[[#This Row],[AS-MP]:[AS-VL]]),"")</f>
        <v>0</v>
      </c>
      <c r="DZ148" s="92" t="str">
        <f>IFERROR(Tabla_Buffers_Agroinsumos[[#This Row],[INV FIS AS]]-Tabla_Buffers_Agroinsumos[[#This Row],[BUFFER AS]],"")</f>
        <v/>
      </c>
      <c r="EA14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48" s="134"/>
      <c r="EC148" s="134"/>
      <c r="ED148" s="134"/>
      <c r="EE148" s="134"/>
      <c r="EF148" s="134"/>
      <c r="EG148" s="134"/>
      <c r="EH148" s="134"/>
      <c r="EI148" s="134"/>
      <c r="EJ148" s="134"/>
      <c r="EK148" s="134" t="str">
        <f t="array" ref="EK148">IFERROR(INDEX(TABLACONSOLIDADA[Buff Act],MATCH("AGROINSUMOSLAFINCA"&amp;Tabla_Buffers_Agroinsumos[[#This Row],[CODIGO ]],TABLACONSOLIDADA[Bodega]&amp;TABLACONSOLIDADA[Codigo],0)),"")</f>
        <v/>
      </c>
      <c r="EL148" s="157" t="str">
        <f t="array" ref="EL148">IFERROR(INDEX(TABLACONSOLIDADA[Inv Fís Act],MATCH("AGROINSUMOSLAFINCA"&amp;Tabla_Buffers_Agroinsumos[[#This Row],[CODIGO ]],TABLACONSOLIDADA[Bodega]&amp;TABLACONSOLIDADA[Codigo],0)),"")</f>
        <v/>
      </c>
      <c r="EM148" s="157" t="str">
        <f t="array" ref="EM14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4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48" s="134">
        <f>IFERROR(SUM(Tabla_Buffers_Agroinsumos[[#This Row],[LF-MP]:[LF-VL]]),"")</f>
        <v>0</v>
      </c>
      <c r="EP148" s="92" t="str">
        <f>IFERROR(Tabla_Buffers_Agroinsumos[[#This Row],[INV FIS LF]]-Tabla_Buffers_Agroinsumos[[#This Row],[BUFFER LF]],"")</f>
        <v/>
      </c>
      <c r="EQ14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48" s="134"/>
      <c r="ES148" s="134"/>
      <c r="ET148" s="134"/>
      <c r="EU148" s="134"/>
      <c r="EV148" s="134"/>
      <c r="EW148" s="134"/>
      <c r="EX148" s="134"/>
      <c r="EY148" s="134"/>
      <c r="EZ148" s="134"/>
      <c r="FA148" s="134" t="str">
        <f t="array" ref="FA148">IFERROR(INDEX(TABLACONSOLIDADA[Buff Act],MATCH("AGROINSUMOSVERONICALEDESMA"&amp;Tabla_Buffers_Agroinsumos[[#This Row],[CODIGO ]],TABLACONSOLIDADA[Bodega]&amp;TABLACONSOLIDADA[Codigo],0)),"")</f>
        <v/>
      </c>
      <c r="FB148" s="157" t="str">
        <f t="array" ref="FB148">IFERROR(INDEX(TABLACONSOLIDADA[Inv Fís Act],MATCH("AGROINSUMOSVERONICALEDESMA"&amp;Tabla_Buffers_Agroinsumos[[#This Row],[CODIGO ]],TABLACONSOLIDADA[Bodega]&amp;TABLACONSOLIDADA[Codigo],0)),"")</f>
        <v/>
      </c>
      <c r="FC148" s="157" t="str">
        <f t="array" ref="FC14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4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48" s="134">
        <f>IFERROR(SUM(Tabla_Buffers_Agroinsumos[[#This Row],[VL-MP]:[VL-LF]]),"")</f>
        <v>0</v>
      </c>
      <c r="FF148" s="92" t="str">
        <f>IFERROR(Tabla_Buffers_Agroinsumos[[#This Row],[INV FIS VL]]-Tabla_Buffers_Agroinsumos[[#This Row],[BUFFER VL]],"")</f>
        <v/>
      </c>
      <c r="FG14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48" s="134"/>
      <c r="FI148" s="134"/>
      <c r="FJ148" s="134"/>
      <c r="FK148" s="134"/>
      <c r="FL148" s="134"/>
      <c r="FM148" s="134"/>
      <c r="FN148" s="134"/>
      <c r="FO148" s="134"/>
      <c r="FP148" s="134"/>
    </row>
    <row r="149" spans="1:172">
      <c r="A149" s="7" t="s">
        <v>261</v>
      </c>
      <c r="B149" s="7" t="s">
        <v>262</v>
      </c>
      <c r="C149" s="7" t="s">
        <v>710</v>
      </c>
      <c r="D149" s="7" t="s">
        <v>718</v>
      </c>
      <c r="E149" s="7" t="s">
        <v>863</v>
      </c>
      <c r="F149" s="19" t="s">
        <v>810</v>
      </c>
      <c r="G149" s="19" t="s">
        <v>802</v>
      </c>
      <c r="H149" s="19">
        <f>VLOOKUP(Tabla_Buffers_Agroinsumos[[#This Row],[CODIGO ]],TABLACONSOLIDADA[[Codigo]:[PV]],6,0)</f>
        <v>0</v>
      </c>
      <c r="I149" s="19">
        <f>VLOOKUP(Tabla_Buffers_Agroinsumos[[#This Row],[CODIGO ]],TABLACONSOLIDADA[[Codigo]:[PV]],5,0)</f>
        <v>0.26</v>
      </c>
      <c r="J149" s="19">
        <v>4</v>
      </c>
      <c r="K149" s="19">
        <v>4</v>
      </c>
      <c r="L149" s="19">
        <f>IFERROR(Tabla_Buffers_Agroinsumos[[#This Row],[BUFFER CENTRAL]]/((Tabla_Buffers_Agroinsumos[[#This Row],[TIEMPO REPOSICION ]]/Tabla_Buffers_Agroinsumos[[#This Row],[FRECUENCIA]])+1),0)</f>
        <v>0</v>
      </c>
      <c r="M149" s="19">
        <f t="array" ref="M149">IFERROR(INDEX(TABLACONSOLIDADA[Buff Act],MATCH("AGROINSUMOSMATERIAPRIMA"&amp;Tabla_Buffers_Agroinsumos[[#This Row],[CODIGO ]],TABLACONSOLIDADA[Bodega]&amp;TABLACONSOLIDADA[Codigo],0)),"")</f>
        <v>4000</v>
      </c>
      <c r="N149" s="157">
        <f t="array" ref="N149">IFERROR(INDEX(TABLACONSOLIDADA[Inv Fís Act],MATCH("AGROINSUMOSMATERIAPRIMA"&amp;Tabla_Buffers_Agroinsumos[[#This Row],[CODIGO ]],TABLACONSOLIDADA[Bodega]&amp;TABLACONSOLIDADA[Codigo],0)),"")</f>
        <v>3969</v>
      </c>
      <c r="O149" s="157">
        <f t="array" ref="O14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4469</v>
      </c>
      <c r="P14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49" s="19">
        <f>IFERROR(SUM(Tabla_Buffers_Agroinsumos[[#This Row],[MP-C]:[MP-VL]]),"")</f>
        <v>0</v>
      </c>
      <c r="R149" s="92">
        <f>IFERROR(Tabla_Buffers_Agroinsumos[[#This Row],[INV FIS MATERIA PRIMA]]-Tabla_Buffers_Agroinsumos[[#This Row],[BUFFER MATERIA PRIMA]],"")</f>
        <v>-31</v>
      </c>
      <c r="S14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-31</v>
      </c>
      <c r="T149" s="19"/>
      <c r="U149" s="19"/>
      <c r="V149" s="19"/>
      <c r="W149" s="19"/>
      <c r="X149" s="19"/>
      <c r="Y149" s="19"/>
      <c r="Z149" s="19"/>
      <c r="AA149" s="19"/>
      <c r="AB149" s="19"/>
      <c r="AC149" s="152" t="str">
        <f t="array" ref="AC149">IFERROR(INDEX(TABLACONSOLIDADA[Buff Act],MATCH("AGROINSUMOSCENTRAL"&amp;Tabla_Buffers_Agroinsumos[[#This Row],[CODIGO ]],TABLACONSOLIDADA[Bodega]&amp;TABLACONSOLIDADA[Codigo],0)),"")</f>
        <v/>
      </c>
      <c r="AD149" s="157" t="str">
        <f t="array" ref="AD149">IFERROR(INDEX(TABLACONSOLIDADA[Inv Fís Act],MATCH("AGROINSUMOSCENTRAL"&amp;Tabla_Buffers_Agroinsumos[[#This Row],[CODIGO ]],TABLACONSOLIDADA[Bodega]&amp;TABLACONSOLIDADA[Codigo],0)),"")</f>
        <v/>
      </c>
      <c r="AE149" s="157" t="str">
        <f t="array" ref="AE14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4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49" s="91">
        <f>IFERROR(SUM(Tabla_Buffers_Agroinsumos[[#This Row],[C-MP]:[C-VL]]),"")</f>
        <v>0</v>
      </c>
      <c r="AH149" s="92" t="str">
        <f>IFERROR(Tabla_Buffers_Agroinsumos[[#This Row],[INV FIS CENTRAL]]-Tabla_Buffers_Agroinsumos[[#This Row],[BUFFER CENTRAL]],"")</f>
        <v/>
      </c>
      <c r="AI14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49" s="134"/>
      <c r="AK149" s="134"/>
      <c r="AL149" s="134"/>
      <c r="AM149" s="134"/>
      <c r="AN149" s="134"/>
      <c r="AO149" s="134"/>
      <c r="AP149" s="134"/>
      <c r="AQ149" s="134"/>
      <c r="AR149" s="134"/>
      <c r="AS149" s="134" t="str">
        <f t="array" ref="AS149">IFERROR(INDEX(TABLACONSOLIDADA[Buff Act],MATCH("AGROINSUMOScentralPROPIA"&amp;Tabla_Buffers_Agroinsumos[[#This Row],[CODIGO ]],TABLACONSOLIDADA[Bodega]&amp;TABLACONSOLIDADA[Codigo],0)),"")</f>
        <v/>
      </c>
      <c r="AT149" s="157" t="str">
        <f t="array" ref="AT149">IFERROR(INDEX(TABLACONSOLIDADA[Inv Fís Act],MATCH("AGROINSUMOScentralPROPIA"&amp;Tabla_Buffers_Agroinsumos[[#This Row],[CODIGO ]],TABLACONSOLIDADA[Bodega]&amp;TABLACONSOLIDADA[Codigo],0)),"")</f>
        <v/>
      </c>
      <c r="AU149" s="157" t="str">
        <f t="array" ref="AU14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4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49" s="134">
        <f>IFERROR(SUM(Tabla_Buffers_Agroinsumos[[#This Row],[P-MP]:[P-VL]]),"")</f>
        <v>0</v>
      </c>
      <c r="AX149" s="92" t="str">
        <f>IFERROR(Tabla_Buffers_Agroinsumos[[#This Row],[INV FIS PROPIA]]-Tabla_Buffers_Agroinsumos[[#This Row],[BUFFER PROPIA]],"")</f>
        <v/>
      </c>
      <c r="AY14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49" s="134"/>
      <c r="BA149" s="134"/>
      <c r="BB149" s="134"/>
      <c r="BC149" s="134"/>
      <c r="BD149" s="134"/>
      <c r="BE149" s="134"/>
      <c r="BF149" s="134"/>
      <c r="BG149" s="134"/>
      <c r="BH149" s="134"/>
      <c r="BI149" s="91" t="str">
        <f t="array" ref="BI149">IFERROR(INDEX(TABLACONSOLIDADA[Buff Act],MATCH("AGROINSUMOSSTODOMINGO"&amp;Tabla_Buffers_Agroinsumos[[#This Row],[CODIGO ]],TABLACONSOLIDADA[Bodega]&amp;TABLACONSOLIDADA[Codigo],0)),"")</f>
        <v/>
      </c>
      <c r="BJ149" s="157" t="str">
        <f t="array" ref="BJ149">IFERROR(INDEX(TABLACONSOLIDADA[Inv Fís Act],MATCH("AGROINSUMOSSTODOMINGO"&amp;Tabla_Buffers_Agroinsumos[[#This Row],[CODIGO ]],TABLACONSOLIDADA[Bodega]&amp;TABLACONSOLIDADA[Codigo],0)),"")</f>
        <v/>
      </c>
      <c r="BK149" s="157" t="str">
        <f t="array" ref="BK14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4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49" s="91">
        <f>IFERROR(SUM(Tabla_Buffers_Agroinsumos[[#This Row],[SD-MP]:[SD-VL]]),"")</f>
        <v>0</v>
      </c>
      <c r="BN149" s="92"/>
      <c r="BO149" s="92"/>
      <c r="BP149" s="134"/>
      <c r="BQ149" s="134"/>
      <c r="BR149" s="134"/>
      <c r="BS149" s="134"/>
      <c r="BT149" s="134"/>
      <c r="BU149" s="134"/>
      <c r="BV149" s="134"/>
      <c r="BW149" s="134"/>
      <c r="BX149" s="134"/>
      <c r="BY149" s="134" t="str">
        <f t="array" ref="BY149">IFERROR(INDEX(TABLACONSOLIDADA[Buff Act],MATCH("AGROINSUMOSMONCAYOLOPEZ"&amp;Tabla_Buffers_Agroinsumos[[#This Row],[CODIGO ]],TABLACONSOLIDADA[Bodega]&amp;TABLACONSOLIDADA[Codigo],0)),"")</f>
        <v/>
      </c>
      <c r="BZ149" s="157" t="str">
        <f t="array" ref="BZ149">IFERROR(INDEX(TABLACONSOLIDADA[Inv Fís Act],MATCH("AGROINSUMOSMONCAYOLOPEZ"&amp;Tabla_Buffers_Agroinsumos[[#This Row],[CODIGO ]],TABLACONSOLIDADA[Bodega]&amp;TABLACONSOLIDADA[Codigo],0)),"")</f>
        <v/>
      </c>
      <c r="CA149" s="157" t="str">
        <f t="array" ref="CA14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4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49" s="134">
        <f>IFERROR(SUM(Tabla_Buffers_Agroinsumos[[#This Row],[ML-MP]:[ML-VL]]),"")</f>
        <v>0</v>
      </c>
      <c r="CD149" s="92" t="str">
        <f>IFERROR(Tabla_Buffers_Agroinsumos[[#This Row],[INV FIS ML]]-Tabla_Buffers_Agroinsumos[[#This Row],[BUFFER ML]],"")</f>
        <v/>
      </c>
      <c r="CE14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49" s="134"/>
      <c r="CG149" s="134"/>
      <c r="CH149" s="134"/>
      <c r="CI149" s="134"/>
      <c r="CJ149" s="134"/>
      <c r="CK149" s="134"/>
      <c r="CL149" s="134"/>
      <c r="CM149" s="134"/>
      <c r="CN149" s="134"/>
      <c r="CO149" s="134" t="str">
        <f t="array" ref="CO149">IFERROR(INDEX(TABLACONSOLIDADA[Buff Act],MATCH("AGROINSUMOSAGROHERMANOSLEON"&amp;Tabla_Buffers_Agroinsumos[[#This Row],[CODIGO ]],TABLACONSOLIDADA[Bodega]&amp;TABLACONSOLIDADA[Codigo],0)),"")</f>
        <v/>
      </c>
      <c r="CP149" s="157" t="str">
        <f t="array" ref="CP149">IFERROR(INDEX(TABLACONSOLIDADA[Inv Fís Act],MATCH("AGROINSUMOSAGROHERMANOSLEON"&amp;Tabla_Buffers_Agroinsumos[[#This Row],[CODIGO ]],TABLACONSOLIDADA[Bodega]&amp;TABLACONSOLIDADA[Codigo],0)),"")</f>
        <v/>
      </c>
      <c r="CQ149" s="157" t="str">
        <f t="array" ref="CQ14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4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49" s="134">
        <f>IFERROR(SUM(Tabla_Buffers_Agroinsumos[[#This Row],[AL-MP]:[AL-VL]]),"")</f>
        <v>0</v>
      </c>
      <c r="CT149" s="92" t="str">
        <f>IFERROR(Tabla_Buffers_Agroinsumos[[#This Row],[INV FIS AL]]-Tabla_Buffers_Agroinsumos[[#This Row],[BUFFER AL]],"")</f>
        <v/>
      </c>
      <c r="CU14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49" s="134"/>
      <c r="CW149" s="134"/>
      <c r="CX149" s="134"/>
      <c r="CY149" s="134"/>
      <c r="CZ149" s="134"/>
      <c r="DA149" s="134"/>
      <c r="DB149" s="134"/>
      <c r="DC149" s="134"/>
      <c r="DD149" s="134"/>
      <c r="DE149" s="134" t="str">
        <f t="array" ref="DE149">IFERROR(INDEX(TABLACONSOLIDADA[Buff Act],MATCH("AGROINSUMOSAGRONUEVO"&amp;Tabla_Buffers_Agroinsumos[[#This Row],[CODIGO ]],TABLACONSOLIDADA[Bodega]&amp;TABLACONSOLIDADA[Codigo],0)),"")</f>
        <v/>
      </c>
      <c r="DF149" s="157" t="str">
        <f t="array" ref="DF149">IFERROR(INDEX(TABLACONSOLIDADA[Inv Fís Act],MATCH("AGROINSUMOSAGRONUEVO"&amp;Tabla_Buffers_Agroinsumos[[#This Row],[CODIGO ]],TABLACONSOLIDADA[Bodega]&amp;TABLACONSOLIDADA[Codigo],0)),"")</f>
        <v/>
      </c>
      <c r="DG149" s="157" t="str">
        <f t="array" ref="DG14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4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49" s="134">
        <f>IFERROR(SUM(Tabla_Buffers_Agroinsumos[[#This Row],[AN-MP]:[AN-VL]]),"")</f>
        <v>0</v>
      </c>
      <c r="DJ149" s="92" t="str">
        <f>IFERROR(Tabla_Buffers_Agroinsumos[[#This Row],[INV FIS AN]]-Tabla_Buffers_Agroinsumos[[#This Row],[BUFFER AN]],"")</f>
        <v/>
      </c>
      <c r="DK14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49" s="134"/>
      <c r="DM149" s="134"/>
      <c r="DN149" s="134"/>
      <c r="DO149" s="134"/>
      <c r="DP149" s="134"/>
      <c r="DQ149" s="134"/>
      <c r="DR149" s="134"/>
      <c r="DS149" s="134"/>
      <c r="DT149" s="134"/>
      <c r="DU149" s="134" t="str">
        <f t="array" ref="DU149">IFERROR(INDEX(TABLACONSOLIDADA[Buff Act],MATCH("AGROINSUMOSAGROQUIMICOSSUR"&amp;Tabla_Buffers_Agroinsumos[[#This Row],[CODIGO ]],TABLACONSOLIDADA[Bodega]&amp;TABLACONSOLIDADA[Codigo],0)),"")</f>
        <v/>
      </c>
      <c r="DV149" s="157" t="str">
        <f t="array" ref="DV149">IFERROR(INDEX(TABLACONSOLIDADA[Inv Fís Act],MATCH("AGROINSUMOSAGROQUIMICOSSUR"&amp;Tabla_Buffers_Agroinsumos[[#This Row],[CODIGO ]],TABLACONSOLIDADA[Bodega]&amp;TABLACONSOLIDADA[Codigo],0)),"")</f>
        <v/>
      </c>
      <c r="DW149" s="157" t="str">
        <f t="array" ref="DW14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4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49" s="134">
        <f>IFERROR(SUM(Tabla_Buffers_Agroinsumos[[#This Row],[AS-MP]:[AS-VL]]),"")</f>
        <v>0</v>
      </c>
      <c r="DZ149" s="92" t="str">
        <f>IFERROR(Tabla_Buffers_Agroinsumos[[#This Row],[INV FIS AS]]-Tabla_Buffers_Agroinsumos[[#This Row],[BUFFER AS]],"")</f>
        <v/>
      </c>
      <c r="EA14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49" s="134"/>
      <c r="EC149" s="134"/>
      <c r="ED149" s="134"/>
      <c r="EE149" s="134"/>
      <c r="EF149" s="134"/>
      <c r="EG149" s="134"/>
      <c r="EH149" s="134"/>
      <c r="EI149" s="134"/>
      <c r="EJ149" s="134"/>
      <c r="EK149" s="134" t="str">
        <f t="array" ref="EK149">IFERROR(INDEX(TABLACONSOLIDADA[Buff Act],MATCH("AGROINSUMOSLAFINCA"&amp;Tabla_Buffers_Agroinsumos[[#This Row],[CODIGO ]],TABLACONSOLIDADA[Bodega]&amp;TABLACONSOLIDADA[Codigo],0)),"")</f>
        <v/>
      </c>
      <c r="EL149" s="157" t="str">
        <f t="array" ref="EL149">IFERROR(INDEX(TABLACONSOLIDADA[Inv Fís Act],MATCH("AGROINSUMOSLAFINCA"&amp;Tabla_Buffers_Agroinsumos[[#This Row],[CODIGO ]],TABLACONSOLIDADA[Bodega]&amp;TABLACONSOLIDADA[Codigo],0)),"")</f>
        <v/>
      </c>
      <c r="EM149" s="157" t="str">
        <f t="array" ref="EM14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4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49" s="134">
        <f>IFERROR(SUM(Tabla_Buffers_Agroinsumos[[#This Row],[LF-MP]:[LF-VL]]),"")</f>
        <v>0</v>
      </c>
      <c r="EP149" s="92" t="str">
        <f>IFERROR(Tabla_Buffers_Agroinsumos[[#This Row],[INV FIS LF]]-Tabla_Buffers_Agroinsumos[[#This Row],[BUFFER LF]],"")</f>
        <v/>
      </c>
      <c r="EQ14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49" s="134"/>
      <c r="ES149" s="134"/>
      <c r="ET149" s="134"/>
      <c r="EU149" s="134"/>
      <c r="EV149" s="134"/>
      <c r="EW149" s="134"/>
      <c r="EX149" s="134"/>
      <c r="EY149" s="134"/>
      <c r="EZ149" s="134"/>
      <c r="FA149" s="134" t="str">
        <f t="array" ref="FA149">IFERROR(INDEX(TABLACONSOLIDADA[Buff Act],MATCH("AGROINSUMOSVERONICALEDESMA"&amp;Tabla_Buffers_Agroinsumos[[#This Row],[CODIGO ]],TABLACONSOLIDADA[Bodega]&amp;TABLACONSOLIDADA[Codigo],0)),"")</f>
        <v/>
      </c>
      <c r="FB149" s="157" t="str">
        <f t="array" ref="FB149">IFERROR(INDEX(TABLACONSOLIDADA[Inv Fís Act],MATCH("AGROINSUMOSVERONICALEDESMA"&amp;Tabla_Buffers_Agroinsumos[[#This Row],[CODIGO ]],TABLACONSOLIDADA[Bodega]&amp;TABLACONSOLIDADA[Codigo],0)),"")</f>
        <v/>
      </c>
      <c r="FC149" s="157" t="str">
        <f t="array" ref="FC14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4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49" s="134">
        <f>IFERROR(SUM(Tabla_Buffers_Agroinsumos[[#This Row],[VL-MP]:[VL-LF]]),"")</f>
        <v>0</v>
      </c>
      <c r="FF149" s="92" t="str">
        <f>IFERROR(Tabla_Buffers_Agroinsumos[[#This Row],[INV FIS VL]]-Tabla_Buffers_Agroinsumos[[#This Row],[BUFFER VL]],"")</f>
        <v/>
      </c>
      <c r="FG14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49" s="134"/>
      <c r="FI149" s="134"/>
      <c r="FJ149" s="134"/>
      <c r="FK149" s="134"/>
      <c r="FL149" s="134"/>
      <c r="FM149" s="134"/>
      <c r="FN149" s="134"/>
      <c r="FO149" s="134"/>
      <c r="FP149" s="134"/>
    </row>
    <row r="150" spans="1:172">
      <c r="A150" s="7" t="s">
        <v>263</v>
      </c>
      <c r="B150" s="7" t="s">
        <v>264</v>
      </c>
      <c r="C150" s="7" t="s">
        <v>710</v>
      </c>
      <c r="D150" s="7" t="s">
        <v>718</v>
      </c>
      <c r="E150" s="7" t="s">
        <v>863</v>
      </c>
      <c r="F150" s="19" t="s">
        <v>810</v>
      </c>
      <c r="G150" s="19" t="s">
        <v>802</v>
      </c>
      <c r="H150" s="19">
        <f>VLOOKUP(Tabla_Buffers_Agroinsumos[[#This Row],[CODIGO ]],TABLACONSOLIDADA[[Codigo]:[PV]],6,0)</f>
        <v>0</v>
      </c>
      <c r="I150" s="19">
        <f>VLOOKUP(Tabla_Buffers_Agroinsumos[[#This Row],[CODIGO ]],TABLACONSOLIDADA[[Codigo]:[PV]],5,0)</f>
        <v>0.34</v>
      </c>
      <c r="J150" s="19">
        <v>4</v>
      </c>
      <c r="K150" s="19">
        <v>4</v>
      </c>
      <c r="L150" s="19">
        <f>IFERROR(Tabla_Buffers_Agroinsumos[[#This Row],[BUFFER CENTRAL]]/((Tabla_Buffers_Agroinsumos[[#This Row],[TIEMPO REPOSICION ]]/Tabla_Buffers_Agroinsumos[[#This Row],[FRECUENCIA]])+1),0)</f>
        <v>0</v>
      </c>
      <c r="M150" s="19">
        <f t="array" ref="M150">IFERROR(INDEX(TABLACONSOLIDADA[Buff Act],MATCH("AGROINSUMOSMATERIAPRIMA"&amp;Tabla_Buffers_Agroinsumos[[#This Row],[CODIGO ]],TABLACONSOLIDADA[Bodega]&amp;TABLACONSOLIDADA[Codigo],0)),"")</f>
        <v>5000</v>
      </c>
      <c r="N150" s="157">
        <f t="array" ref="N150">IFERROR(INDEX(TABLACONSOLIDADA[Inv Fís Act],MATCH("AGROINSUMOSMATERIAPRIMA"&amp;Tabla_Buffers_Agroinsumos[[#This Row],[CODIGO ]],TABLACONSOLIDADA[Bodega]&amp;TABLACONSOLIDADA[Codigo],0)),"")</f>
        <v>4392</v>
      </c>
      <c r="O150" s="157">
        <f t="array" ref="O15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5892</v>
      </c>
      <c r="P15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50" s="19">
        <f>IFERROR(SUM(Tabla_Buffers_Agroinsumos[[#This Row],[MP-C]:[MP-VL]]),"")</f>
        <v>0</v>
      </c>
      <c r="R150" s="92">
        <f>IFERROR(Tabla_Buffers_Agroinsumos[[#This Row],[INV FIS MATERIA PRIMA]]-Tabla_Buffers_Agroinsumos[[#This Row],[BUFFER MATERIA PRIMA]],"")</f>
        <v>-608</v>
      </c>
      <c r="S15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-608</v>
      </c>
      <c r="T150" s="19"/>
      <c r="U150" s="19"/>
      <c r="V150" s="19"/>
      <c r="W150" s="19"/>
      <c r="X150" s="19"/>
      <c r="Y150" s="19"/>
      <c r="Z150" s="19"/>
      <c r="AA150" s="19"/>
      <c r="AB150" s="19"/>
      <c r="AC150" s="152" t="str">
        <f t="array" ref="AC150">IFERROR(INDEX(TABLACONSOLIDADA[Buff Act],MATCH("AGROINSUMOSCENTRAL"&amp;Tabla_Buffers_Agroinsumos[[#This Row],[CODIGO ]],TABLACONSOLIDADA[Bodega]&amp;TABLACONSOLIDADA[Codigo],0)),"")</f>
        <v/>
      </c>
      <c r="AD150" s="157" t="str">
        <f t="array" ref="AD150">IFERROR(INDEX(TABLACONSOLIDADA[Inv Fís Act],MATCH("AGROINSUMOSCENTRAL"&amp;Tabla_Buffers_Agroinsumos[[#This Row],[CODIGO ]],TABLACONSOLIDADA[Bodega]&amp;TABLACONSOLIDADA[Codigo],0)),"")</f>
        <v/>
      </c>
      <c r="AE150" s="157" t="str">
        <f t="array" ref="AE15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5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50" s="91">
        <f>IFERROR(SUM(Tabla_Buffers_Agroinsumos[[#This Row],[C-MP]:[C-VL]]),"")</f>
        <v>0</v>
      </c>
      <c r="AH150" s="92" t="str">
        <f>IFERROR(Tabla_Buffers_Agroinsumos[[#This Row],[INV FIS CENTRAL]]-Tabla_Buffers_Agroinsumos[[#This Row],[BUFFER CENTRAL]],"")</f>
        <v/>
      </c>
      <c r="AI15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50" s="134"/>
      <c r="AK150" s="134"/>
      <c r="AL150" s="134"/>
      <c r="AM150" s="134"/>
      <c r="AN150" s="134"/>
      <c r="AO150" s="134"/>
      <c r="AP150" s="134"/>
      <c r="AQ150" s="134"/>
      <c r="AR150" s="134"/>
      <c r="AS150" s="134" t="str">
        <f t="array" ref="AS150">IFERROR(INDEX(TABLACONSOLIDADA[Buff Act],MATCH("AGROINSUMOScentralPROPIA"&amp;Tabla_Buffers_Agroinsumos[[#This Row],[CODIGO ]],TABLACONSOLIDADA[Bodega]&amp;TABLACONSOLIDADA[Codigo],0)),"")</f>
        <v/>
      </c>
      <c r="AT150" s="157" t="str">
        <f t="array" ref="AT150">IFERROR(INDEX(TABLACONSOLIDADA[Inv Fís Act],MATCH("AGROINSUMOScentralPROPIA"&amp;Tabla_Buffers_Agroinsumos[[#This Row],[CODIGO ]],TABLACONSOLIDADA[Bodega]&amp;TABLACONSOLIDADA[Codigo],0)),"")</f>
        <v/>
      </c>
      <c r="AU150" s="157" t="str">
        <f t="array" ref="AU15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5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50" s="134">
        <f>IFERROR(SUM(Tabla_Buffers_Agroinsumos[[#This Row],[P-MP]:[P-VL]]),"")</f>
        <v>0</v>
      </c>
      <c r="AX150" s="92" t="str">
        <f>IFERROR(Tabla_Buffers_Agroinsumos[[#This Row],[INV FIS PROPIA]]-Tabla_Buffers_Agroinsumos[[#This Row],[BUFFER PROPIA]],"")</f>
        <v/>
      </c>
      <c r="AY15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50" s="134"/>
      <c r="BA150" s="134"/>
      <c r="BB150" s="134"/>
      <c r="BC150" s="134"/>
      <c r="BD150" s="134"/>
      <c r="BE150" s="134"/>
      <c r="BF150" s="134"/>
      <c r="BG150" s="134"/>
      <c r="BH150" s="134"/>
      <c r="BI150" s="91" t="str">
        <f t="array" ref="BI150">IFERROR(INDEX(TABLACONSOLIDADA[Buff Act],MATCH("AGROINSUMOSSTODOMINGO"&amp;Tabla_Buffers_Agroinsumos[[#This Row],[CODIGO ]],TABLACONSOLIDADA[Bodega]&amp;TABLACONSOLIDADA[Codigo],0)),"")</f>
        <v/>
      </c>
      <c r="BJ150" s="157" t="str">
        <f t="array" ref="BJ150">IFERROR(INDEX(TABLACONSOLIDADA[Inv Fís Act],MATCH("AGROINSUMOSSTODOMINGO"&amp;Tabla_Buffers_Agroinsumos[[#This Row],[CODIGO ]],TABLACONSOLIDADA[Bodega]&amp;TABLACONSOLIDADA[Codigo],0)),"")</f>
        <v/>
      </c>
      <c r="BK150" s="157" t="str">
        <f t="array" ref="BK15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5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50" s="91">
        <f>IFERROR(SUM(Tabla_Buffers_Agroinsumos[[#This Row],[SD-MP]:[SD-VL]]),"")</f>
        <v>0</v>
      </c>
      <c r="BN150" s="92"/>
      <c r="BO150" s="92"/>
      <c r="BP150" s="134"/>
      <c r="BQ150" s="134"/>
      <c r="BR150" s="134"/>
      <c r="BS150" s="134"/>
      <c r="BT150" s="134"/>
      <c r="BU150" s="134"/>
      <c r="BV150" s="134"/>
      <c r="BW150" s="134"/>
      <c r="BX150" s="134"/>
      <c r="BY150" s="134" t="str">
        <f t="array" ref="BY150">IFERROR(INDEX(TABLACONSOLIDADA[Buff Act],MATCH("AGROINSUMOSMONCAYOLOPEZ"&amp;Tabla_Buffers_Agroinsumos[[#This Row],[CODIGO ]],TABLACONSOLIDADA[Bodega]&amp;TABLACONSOLIDADA[Codigo],0)),"")</f>
        <v/>
      </c>
      <c r="BZ150" s="157" t="str">
        <f t="array" ref="BZ150">IFERROR(INDEX(TABLACONSOLIDADA[Inv Fís Act],MATCH("AGROINSUMOSMONCAYOLOPEZ"&amp;Tabla_Buffers_Agroinsumos[[#This Row],[CODIGO ]],TABLACONSOLIDADA[Bodega]&amp;TABLACONSOLIDADA[Codigo],0)),"")</f>
        <v/>
      </c>
      <c r="CA150" s="157" t="str">
        <f t="array" ref="CA15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5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50" s="134">
        <f>IFERROR(SUM(Tabla_Buffers_Agroinsumos[[#This Row],[ML-MP]:[ML-VL]]),"")</f>
        <v>0</v>
      </c>
      <c r="CD150" s="92" t="str">
        <f>IFERROR(Tabla_Buffers_Agroinsumos[[#This Row],[INV FIS ML]]-Tabla_Buffers_Agroinsumos[[#This Row],[BUFFER ML]],"")</f>
        <v/>
      </c>
      <c r="CE15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50" s="134"/>
      <c r="CG150" s="134"/>
      <c r="CH150" s="134"/>
      <c r="CI150" s="134"/>
      <c r="CJ150" s="134"/>
      <c r="CK150" s="134"/>
      <c r="CL150" s="134"/>
      <c r="CM150" s="134"/>
      <c r="CN150" s="134"/>
      <c r="CO150" s="134" t="str">
        <f t="array" ref="CO150">IFERROR(INDEX(TABLACONSOLIDADA[Buff Act],MATCH("AGROINSUMOSAGROHERMANOSLEON"&amp;Tabla_Buffers_Agroinsumos[[#This Row],[CODIGO ]],TABLACONSOLIDADA[Bodega]&amp;TABLACONSOLIDADA[Codigo],0)),"")</f>
        <v/>
      </c>
      <c r="CP150" s="157" t="str">
        <f t="array" ref="CP150">IFERROR(INDEX(TABLACONSOLIDADA[Inv Fís Act],MATCH("AGROINSUMOSAGROHERMANOSLEON"&amp;Tabla_Buffers_Agroinsumos[[#This Row],[CODIGO ]],TABLACONSOLIDADA[Bodega]&amp;TABLACONSOLIDADA[Codigo],0)),"")</f>
        <v/>
      </c>
      <c r="CQ150" s="157" t="str">
        <f t="array" ref="CQ15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5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50" s="134">
        <f>IFERROR(SUM(Tabla_Buffers_Agroinsumos[[#This Row],[AL-MP]:[AL-VL]]),"")</f>
        <v>0</v>
      </c>
      <c r="CT150" s="92" t="str">
        <f>IFERROR(Tabla_Buffers_Agroinsumos[[#This Row],[INV FIS AL]]-Tabla_Buffers_Agroinsumos[[#This Row],[BUFFER AL]],"")</f>
        <v/>
      </c>
      <c r="CU15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50" s="134"/>
      <c r="CW150" s="134"/>
      <c r="CX150" s="134"/>
      <c r="CY150" s="134"/>
      <c r="CZ150" s="134"/>
      <c r="DA150" s="134"/>
      <c r="DB150" s="134"/>
      <c r="DC150" s="134"/>
      <c r="DD150" s="134"/>
      <c r="DE150" s="134" t="str">
        <f t="array" ref="DE150">IFERROR(INDEX(TABLACONSOLIDADA[Buff Act],MATCH("AGROINSUMOSAGRONUEVO"&amp;Tabla_Buffers_Agroinsumos[[#This Row],[CODIGO ]],TABLACONSOLIDADA[Bodega]&amp;TABLACONSOLIDADA[Codigo],0)),"")</f>
        <v/>
      </c>
      <c r="DF150" s="157" t="str">
        <f t="array" ref="DF150">IFERROR(INDEX(TABLACONSOLIDADA[Inv Fís Act],MATCH("AGROINSUMOSAGRONUEVO"&amp;Tabla_Buffers_Agroinsumos[[#This Row],[CODIGO ]],TABLACONSOLIDADA[Bodega]&amp;TABLACONSOLIDADA[Codigo],0)),"")</f>
        <v/>
      </c>
      <c r="DG150" s="157" t="str">
        <f t="array" ref="DG15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5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50" s="134">
        <f>IFERROR(SUM(Tabla_Buffers_Agroinsumos[[#This Row],[AN-MP]:[AN-VL]]),"")</f>
        <v>0</v>
      </c>
      <c r="DJ150" s="92" t="str">
        <f>IFERROR(Tabla_Buffers_Agroinsumos[[#This Row],[INV FIS AN]]-Tabla_Buffers_Agroinsumos[[#This Row],[BUFFER AN]],"")</f>
        <v/>
      </c>
      <c r="DK15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50" s="134"/>
      <c r="DM150" s="134"/>
      <c r="DN150" s="134"/>
      <c r="DO150" s="134"/>
      <c r="DP150" s="134"/>
      <c r="DQ150" s="134"/>
      <c r="DR150" s="134"/>
      <c r="DS150" s="134"/>
      <c r="DT150" s="134"/>
      <c r="DU150" s="134" t="str">
        <f t="array" ref="DU150">IFERROR(INDEX(TABLACONSOLIDADA[Buff Act],MATCH("AGROINSUMOSAGROQUIMICOSSUR"&amp;Tabla_Buffers_Agroinsumos[[#This Row],[CODIGO ]],TABLACONSOLIDADA[Bodega]&amp;TABLACONSOLIDADA[Codigo],0)),"")</f>
        <v/>
      </c>
      <c r="DV150" s="157" t="str">
        <f t="array" ref="DV150">IFERROR(INDEX(TABLACONSOLIDADA[Inv Fís Act],MATCH("AGROINSUMOSAGROQUIMICOSSUR"&amp;Tabla_Buffers_Agroinsumos[[#This Row],[CODIGO ]],TABLACONSOLIDADA[Bodega]&amp;TABLACONSOLIDADA[Codigo],0)),"")</f>
        <v/>
      </c>
      <c r="DW150" s="157" t="str">
        <f t="array" ref="DW15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5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50" s="134">
        <f>IFERROR(SUM(Tabla_Buffers_Agroinsumos[[#This Row],[AS-MP]:[AS-VL]]),"")</f>
        <v>0</v>
      </c>
      <c r="DZ150" s="92" t="str">
        <f>IFERROR(Tabla_Buffers_Agroinsumos[[#This Row],[INV FIS AS]]-Tabla_Buffers_Agroinsumos[[#This Row],[BUFFER AS]],"")</f>
        <v/>
      </c>
      <c r="EA15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50" s="134"/>
      <c r="EC150" s="134"/>
      <c r="ED150" s="134"/>
      <c r="EE150" s="134"/>
      <c r="EF150" s="134"/>
      <c r="EG150" s="134"/>
      <c r="EH150" s="134"/>
      <c r="EI150" s="134"/>
      <c r="EJ150" s="134"/>
      <c r="EK150" s="134" t="str">
        <f t="array" ref="EK150">IFERROR(INDEX(TABLACONSOLIDADA[Buff Act],MATCH("AGROINSUMOSLAFINCA"&amp;Tabla_Buffers_Agroinsumos[[#This Row],[CODIGO ]],TABLACONSOLIDADA[Bodega]&amp;TABLACONSOLIDADA[Codigo],0)),"")</f>
        <v/>
      </c>
      <c r="EL150" s="157" t="str">
        <f t="array" ref="EL150">IFERROR(INDEX(TABLACONSOLIDADA[Inv Fís Act],MATCH("AGROINSUMOSLAFINCA"&amp;Tabla_Buffers_Agroinsumos[[#This Row],[CODIGO ]],TABLACONSOLIDADA[Bodega]&amp;TABLACONSOLIDADA[Codigo],0)),"")</f>
        <v/>
      </c>
      <c r="EM150" s="157" t="str">
        <f t="array" ref="EM15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5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50" s="134">
        <f>IFERROR(SUM(Tabla_Buffers_Agroinsumos[[#This Row],[LF-MP]:[LF-VL]]),"")</f>
        <v>0</v>
      </c>
      <c r="EP150" s="92" t="str">
        <f>IFERROR(Tabla_Buffers_Agroinsumos[[#This Row],[INV FIS LF]]-Tabla_Buffers_Agroinsumos[[#This Row],[BUFFER LF]],"")</f>
        <v/>
      </c>
      <c r="EQ15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50" s="134"/>
      <c r="ES150" s="134"/>
      <c r="ET150" s="134"/>
      <c r="EU150" s="134"/>
      <c r="EV150" s="134"/>
      <c r="EW150" s="134"/>
      <c r="EX150" s="134"/>
      <c r="EY150" s="134"/>
      <c r="EZ150" s="134"/>
      <c r="FA150" s="134" t="str">
        <f t="array" ref="FA150">IFERROR(INDEX(TABLACONSOLIDADA[Buff Act],MATCH("AGROINSUMOSVERONICALEDESMA"&amp;Tabla_Buffers_Agroinsumos[[#This Row],[CODIGO ]],TABLACONSOLIDADA[Bodega]&amp;TABLACONSOLIDADA[Codigo],0)),"")</f>
        <v/>
      </c>
      <c r="FB150" s="157" t="str">
        <f t="array" ref="FB150">IFERROR(INDEX(TABLACONSOLIDADA[Inv Fís Act],MATCH("AGROINSUMOSVERONICALEDESMA"&amp;Tabla_Buffers_Agroinsumos[[#This Row],[CODIGO ]],TABLACONSOLIDADA[Bodega]&amp;TABLACONSOLIDADA[Codigo],0)),"")</f>
        <v/>
      </c>
      <c r="FC150" s="157" t="str">
        <f t="array" ref="FC15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5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50" s="134">
        <f>IFERROR(SUM(Tabla_Buffers_Agroinsumos[[#This Row],[VL-MP]:[VL-LF]]),"")</f>
        <v>0</v>
      </c>
      <c r="FF150" s="92" t="str">
        <f>IFERROR(Tabla_Buffers_Agroinsumos[[#This Row],[INV FIS VL]]-Tabla_Buffers_Agroinsumos[[#This Row],[BUFFER VL]],"")</f>
        <v/>
      </c>
      <c r="FG15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50" s="134"/>
      <c r="FI150" s="134"/>
      <c r="FJ150" s="134"/>
      <c r="FK150" s="134"/>
      <c r="FL150" s="134"/>
      <c r="FM150" s="134"/>
      <c r="FN150" s="134"/>
      <c r="FO150" s="134"/>
      <c r="FP150" s="134"/>
    </row>
    <row r="151" spans="1:172">
      <c r="A151" s="7" t="s">
        <v>265</v>
      </c>
      <c r="B151" s="7" t="s">
        <v>266</v>
      </c>
      <c r="C151" s="7" t="s">
        <v>788</v>
      </c>
      <c r="D151" s="7" t="s">
        <v>718</v>
      </c>
      <c r="E151" s="7" t="s">
        <v>863</v>
      </c>
      <c r="F151" s="19" t="s">
        <v>812</v>
      </c>
      <c r="G151" s="19" t="s">
        <v>873</v>
      </c>
      <c r="H151" s="19">
        <f>VLOOKUP(Tabla_Buffers_Agroinsumos[[#This Row],[CODIGO ]],TABLACONSOLIDADA[[Codigo]:[PV]],6,0)</f>
        <v>0</v>
      </c>
      <c r="I151" s="19">
        <f>VLOOKUP(Tabla_Buffers_Agroinsumos[[#This Row],[CODIGO ]],TABLACONSOLIDADA[[Codigo]:[PV]],5,0)</f>
        <v>0.11</v>
      </c>
      <c r="J151" s="19">
        <v>4</v>
      </c>
      <c r="K151" s="19">
        <v>12</v>
      </c>
      <c r="L151" s="19">
        <f>IFERROR(Tabla_Buffers_Agroinsumos[[#This Row],[BUFFER CENTRAL]]/((Tabla_Buffers_Agroinsumos[[#This Row],[TIEMPO REPOSICION ]]/Tabla_Buffers_Agroinsumos[[#This Row],[FRECUENCIA]])+1),0)</f>
        <v>0</v>
      </c>
      <c r="M151" s="19">
        <f t="array" ref="M151">IFERROR(INDEX(TABLACONSOLIDADA[Buff Act],MATCH("AGROINSUMOSMATERIAPRIMA"&amp;Tabla_Buffers_Agroinsumos[[#This Row],[CODIGO ]],TABLACONSOLIDADA[Bodega]&amp;TABLACONSOLIDADA[Codigo],0)),"")</f>
        <v>5000</v>
      </c>
      <c r="N151" s="157">
        <f t="array" ref="N151">IFERROR(INDEX(TABLACONSOLIDADA[Inv Fís Act],MATCH("AGROINSUMOSMATERIAPRIMA"&amp;Tabla_Buffers_Agroinsumos[[#This Row],[CODIGO ]],TABLACONSOLIDADA[Bodega]&amp;TABLACONSOLIDADA[Codigo],0)),"")</f>
        <v>17446</v>
      </c>
      <c r="O151" s="157">
        <f t="array" ref="O15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17446</v>
      </c>
      <c r="P15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51" s="19">
        <f>IFERROR(SUM(Tabla_Buffers_Agroinsumos[[#This Row],[MP-C]:[MP-VL]]),"")</f>
        <v>0</v>
      </c>
      <c r="R151" s="92">
        <f>IFERROR(Tabla_Buffers_Agroinsumos[[#This Row],[INV FIS MATERIA PRIMA]]-Tabla_Buffers_Agroinsumos[[#This Row],[BUFFER MATERIA PRIMA]],"")</f>
        <v>12446</v>
      </c>
      <c r="S15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12446</v>
      </c>
      <c r="T151" s="19"/>
      <c r="U151" s="19"/>
      <c r="V151" s="19"/>
      <c r="W151" s="19"/>
      <c r="X151" s="19"/>
      <c r="Y151" s="19"/>
      <c r="Z151" s="19"/>
      <c r="AA151" s="19"/>
      <c r="AB151" s="19"/>
      <c r="AC151" s="152" t="str">
        <f t="array" ref="AC151">IFERROR(INDEX(TABLACONSOLIDADA[Buff Act],MATCH("AGROINSUMOSCENTRAL"&amp;Tabla_Buffers_Agroinsumos[[#This Row],[CODIGO ]],TABLACONSOLIDADA[Bodega]&amp;TABLACONSOLIDADA[Codigo],0)),"")</f>
        <v/>
      </c>
      <c r="AD151" s="157" t="str">
        <f t="array" ref="AD151">IFERROR(INDEX(TABLACONSOLIDADA[Inv Fís Act],MATCH("AGROINSUMOSCENTRAL"&amp;Tabla_Buffers_Agroinsumos[[#This Row],[CODIGO ]],TABLACONSOLIDADA[Bodega]&amp;TABLACONSOLIDADA[Codigo],0)),"")</f>
        <v/>
      </c>
      <c r="AE151" s="157" t="str">
        <f t="array" ref="AE15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5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51" s="91">
        <f>IFERROR(SUM(Tabla_Buffers_Agroinsumos[[#This Row],[C-MP]:[C-VL]]),"")</f>
        <v>0</v>
      </c>
      <c r="AH151" s="92" t="str">
        <f>IFERROR(Tabla_Buffers_Agroinsumos[[#This Row],[INV FIS CENTRAL]]-Tabla_Buffers_Agroinsumos[[#This Row],[BUFFER CENTRAL]],"")</f>
        <v/>
      </c>
      <c r="AI15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51" s="134"/>
      <c r="AK151" s="134"/>
      <c r="AL151" s="134"/>
      <c r="AM151" s="134"/>
      <c r="AN151" s="134"/>
      <c r="AO151" s="134"/>
      <c r="AP151" s="134"/>
      <c r="AQ151" s="134"/>
      <c r="AR151" s="134"/>
      <c r="AS151" s="134" t="str">
        <f t="array" ref="AS151">IFERROR(INDEX(TABLACONSOLIDADA[Buff Act],MATCH("AGROINSUMOScentralPROPIA"&amp;Tabla_Buffers_Agroinsumos[[#This Row],[CODIGO ]],TABLACONSOLIDADA[Bodega]&amp;TABLACONSOLIDADA[Codigo],0)),"")</f>
        <v/>
      </c>
      <c r="AT151" s="157" t="str">
        <f t="array" ref="AT151">IFERROR(INDEX(TABLACONSOLIDADA[Inv Fís Act],MATCH("AGROINSUMOScentralPROPIA"&amp;Tabla_Buffers_Agroinsumos[[#This Row],[CODIGO ]],TABLACONSOLIDADA[Bodega]&amp;TABLACONSOLIDADA[Codigo],0)),"")</f>
        <v/>
      </c>
      <c r="AU151" s="157" t="str">
        <f t="array" ref="AU15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5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51" s="134">
        <f>IFERROR(SUM(Tabla_Buffers_Agroinsumos[[#This Row],[P-MP]:[P-VL]]),"")</f>
        <v>0</v>
      </c>
      <c r="AX151" s="92" t="str">
        <f>IFERROR(Tabla_Buffers_Agroinsumos[[#This Row],[INV FIS PROPIA]]-Tabla_Buffers_Agroinsumos[[#This Row],[BUFFER PROPIA]],"")</f>
        <v/>
      </c>
      <c r="AY15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51" s="134"/>
      <c r="BA151" s="134"/>
      <c r="BB151" s="134"/>
      <c r="BC151" s="134"/>
      <c r="BD151" s="134"/>
      <c r="BE151" s="134"/>
      <c r="BF151" s="134"/>
      <c r="BG151" s="134"/>
      <c r="BH151" s="134"/>
      <c r="BI151" s="91" t="str">
        <f t="array" ref="BI151">IFERROR(INDEX(TABLACONSOLIDADA[Buff Act],MATCH("AGROINSUMOSSTODOMINGO"&amp;Tabla_Buffers_Agroinsumos[[#This Row],[CODIGO ]],TABLACONSOLIDADA[Bodega]&amp;TABLACONSOLIDADA[Codigo],0)),"")</f>
        <v/>
      </c>
      <c r="BJ151" s="157" t="str">
        <f t="array" ref="BJ151">IFERROR(INDEX(TABLACONSOLIDADA[Inv Fís Act],MATCH("AGROINSUMOSSTODOMINGO"&amp;Tabla_Buffers_Agroinsumos[[#This Row],[CODIGO ]],TABLACONSOLIDADA[Bodega]&amp;TABLACONSOLIDADA[Codigo],0)),"")</f>
        <v/>
      </c>
      <c r="BK151" s="157" t="str">
        <f t="array" ref="BK15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5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51" s="91">
        <f>IFERROR(SUM(Tabla_Buffers_Agroinsumos[[#This Row],[SD-MP]:[SD-VL]]),"")</f>
        <v>0</v>
      </c>
      <c r="BN151" s="92"/>
      <c r="BO151" s="92"/>
      <c r="BP151" s="134"/>
      <c r="BQ151" s="134"/>
      <c r="BR151" s="134"/>
      <c r="BS151" s="134"/>
      <c r="BT151" s="134"/>
      <c r="BU151" s="134"/>
      <c r="BV151" s="134"/>
      <c r="BW151" s="134"/>
      <c r="BX151" s="134"/>
      <c r="BY151" s="134" t="str">
        <f t="array" ref="BY151">IFERROR(INDEX(TABLACONSOLIDADA[Buff Act],MATCH("AGROINSUMOSMONCAYOLOPEZ"&amp;Tabla_Buffers_Agroinsumos[[#This Row],[CODIGO ]],TABLACONSOLIDADA[Bodega]&amp;TABLACONSOLIDADA[Codigo],0)),"")</f>
        <v/>
      </c>
      <c r="BZ151" s="157" t="str">
        <f t="array" ref="BZ151">IFERROR(INDEX(TABLACONSOLIDADA[Inv Fís Act],MATCH("AGROINSUMOSMONCAYOLOPEZ"&amp;Tabla_Buffers_Agroinsumos[[#This Row],[CODIGO ]],TABLACONSOLIDADA[Bodega]&amp;TABLACONSOLIDADA[Codigo],0)),"")</f>
        <v/>
      </c>
      <c r="CA151" s="157" t="str">
        <f t="array" ref="CA15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5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51" s="134">
        <f>IFERROR(SUM(Tabla_Buffers_Agroinsumos[[#This Row],[ML-MP]:[ML-VL]]),"")</f>
        <v>0</v>
      </c>
      <c r="CD151" s="92" t="str">
        <f>IFERROR(Tabla_Buffers_Agroinsumos[[#This Row],[INV FIS ML]]-Tabla_Buffers_Agroinsumos[[#This Row],[BUFFER ML]],"")</f>
        <v/>
      </c>
      <c r="CE15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51" s="134"/>
      <c r="CG151" s="134"/>
      <c r="CH151" s="134"/>
      <c r="CI151" s="134"/>
      <c r="CJ151" s="134"/>
      <c r="CK151" s="134"/>
      <c r="CL151" s="134"/>
      <c r="CM151" s="134"/>
      <c r="CN151" s="134"/>
      <c r="CO151" s="134" t="str">
        <f t="array" ref="CO151">IFERROR(INDEX(TABLACONSOLIDADA[Buff Act],MATCH("AGROINSUMOSAGROHERMANOSLEON"&amp;Tabla_Buffers_Agroinsumos[[#This Row],[CODIGO ]],TABLACONSOLIDADA[Bodega]&amp;TABLACONSOLIDADA[Codigo],0)),"")</f>
        <v/>
      </c>
      <c r="CP151" s="157" t="str">
        <f t="array" ref="CP151">IFERROR(INDEX(TABLACONSOLIDADA[Inv Fís Act],MATCH("AGROINSUMOSAGROHERMANOSLEON"&amp;Tabla_Buffers_Agroinsumos[[#This Row],[CODIGO ]],TABLACONSOLIDADA[Bodega]&amp;TABLACONSOLIDADA[Codigo],0)),"")</f>
        <v/>
      </c>
      <c r="CQ151" s="157" t="str">
        <f t="array" ref="CQ15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5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51" s="134">
        <f>IFERROR(SUM(Tabla_Buffers_Agroinsumos[[#This Row],[AL-MP]:[AL-VL]]),"")</f>
        <v>0</v>
      </c>
      <c r="CT151" s="92" t="str">
        <f>IFERROR(Tabla_Buffers_Agroinsumos[[#This Row],[INV FIS AL]]-Tabla_Buffers_Agroinsumos[[#This Row],[BUFFER AL]],"")</f>
        <v/>
      </c>
      <c r="CU15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51" s="134"/>
      <c r="CW151" s="134"/>
      <c r="CX151" s="134"/>
      <c r="CY151" s="134"/>
      <c r="CZ151" s="134"/>
      <c r="DA151" s="134"/>
      <c r="DB151" s="134"/>
      <c r="DC151" s="134"/>
      <c r="DD151" s="134"/>
      <c r="DE151" s="134" t="str">
        <f t="array" ref="DE151">IFERROR(INDEX(TABLACONSOLIDADA[Buff Act],MATCH("AGROINSUMOSAGRONUEVO"&amp;Tabla_Buffers_Agroinsumos[[#This Row],[CODIGO ]],TABLACONSOLIDADA[Bodega]&amp;TABLACONSOLIDADA[Codigo],0)),"")</f>
        <v/>
      </c>
      <c r="DF151" s="157" t="str">
        <f t="array" ref="DF151">IFERROR(INDEX(TABLACONSOLIDADA[Inv Fís Act],MATCH("AGROINSUMOSAGRONUEVO"&amp;Tabla_Buffers_Agroinsumos[[#This Row],[CODIGO ]],TABLACONSOLIDADA[Bodega]&amp;TABLACONSOLIDADA[Codigo],0)),"")</f>
        <v/>
      </c>
      <c r="DG151" s="157" t="str">
        <f t="array" ref="DG15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5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51" s="134">
        <f>IFERROR(SUM(Tabla_Buffers_Agroinsumos[[#This Row],[AN-MP]:[AN-VL]]),"")</f>
        <v>0</v>
      </c>
      <c r="DJ151" s="92" t="str">
        <f>IFERROR(Tabla_Buffers_Agroinsumos[[#This Row],[INV FIS AN]]-Tabla_Buffers_Agroinsumos[[#This Row],[BUFFER AN]],"")</f>
        <v/>
      </c>
      <c r="DK15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51" s="134"/>
      <c r="DM151" s="134"/>
      <c r="DN151" s="134"/>
      <c r="DO151" s="134"/>
      <c r="DP151" s="134"/>
      <c r="DQ151" s="134"/>
      <c r="DR151" s="134"/>
      <c r="DS151" s="134"/>
      <c r="DT151" s="134"/>
      <c r="DU151" s="134" t="str">
        <f t="array" ref="DU151">IFERROR(INDEX(TABLACONSOLIDADA[Buff Act],MATCH("AGROINSUMOSAGROQUIMICOSSUR"&amp;Tabla_Buffers_Agroinsumos[[#This Row],[CODIGO ]],TABLACONSOLIDADA[Bodega]&amp;TABLACONSOLIDADA[Codigo],0)),"")</f>
        <v/>
      </c>
      <c r="DV151" s="157" t="str">
        <f t="array" ref="DV151">IFERROR(INDEX(TABLACONSOLIDADA[Inv Fís Act],MATCH("AGROINSUMOSAGROQUIMICOSSUR"&amp;Tabla_Buffers_Agroinsumos[[#This Row],[CODIGO ]],TABLACONSOLIDADA[Bodega]&amp;TABLACONSOLIDADA[Codigo],0)),"")</f>
        <v/>
      </c>
      <c r="DW151" s="157" t="str">
        <f t="array" ref="DW15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5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51" s="134">
        <f>IFERROR(SUM(Tabla_Buffers_Agroinsumos[[#This Row],[AS-MP]:[AS-VL]]),"")</f>
        <v>0</v>
      </c>
      <c r="DZ151" s="92" t="str">
        <f>IFERROR(Tabla_Buffers_Agroinsumos[[#This Row],[INV FIS AS]]-Tabla_Buffers_Agroinsumos[[#This Row],[BUFFER AS]],"")</f>
        <v/>
      </c>
      <c r="EA15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51" s="134"/>
      <c r="EC151" s="134"/>
      <c r="ED151" s="134"/>
      <c r="EE151" s="134"/>
      <c r="EF151" s="134"/>
      <c r="EG151" s="134"/>
      <c r="EH151" s="134"/>
      <c r="EI151" s="134"/>
      <c r="EJ151" s="134"/>
      <c r="EK151" s="134" t="str">
        <f t="array" ref="EK151">IFERROR(INDEX(TABLACONSOLIDADA[Buff Act],MATCH("AGROINSUMOSLAFINCA"&amp;Tabla_Buffers_Agroinsumos[[#This Row],[CODIGO ]],TABLACONSOLIDADA[Bodega]&amp;TABLACONSOLIDADA[Codigo],0)),"")</f>
        <v/>
      </c>
      <c r="EL151" s="157" t="str">
        <f t="array" ref="EL151">IFERROR(INDEX(TABLACONSOLIDADA[Inv Fís Act],MATCH("AGROINSUMOSLAFINCA"&amp;Tabla_Buffers_Agroinsumos[[#This Row],[CODIGO ]],TABLACONSOLIDADA[Bodega]&amp;TABLACONSOLIDADA[Codigo],0)),"")</f>
        <v/>
      </c>
      <c r="EM151" s="157" t="str">
        <f t="array" ref="EM15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5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51" s="134">
        <f>IFERROR(SUM(Tabla_Buffers_Agroinsumos[[#This Row],[LF-MP]:[LF-VL]]),"")</f>
        <v>0</v>
      </c>
      <c r="EP151" s="92" t="str">
        <f>IFERROR(Tabla_Buffers_Agroinsumos[[#This Row],[INV FIS LF]]-Tabla_Buffers_Agroinsumos[[#This Row],[BUFFER LF]],"")</f>
        <v/>
      </c>
      <c r="EQ15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51" s="134"/>
      <c r="ES151" s="134"/>
      <c r="ET151" s="134"/>
      <c r="EU151" s="134"/>
      <c r="EV151" s="134"/>
      <c r="EW151" s="134"/>
      <c r="EX151" s="134"/>
      <c r="EY151" s="134"/>
      <c r="EZ151" s="134"/>
      <c r="FA151" s="134" t="str">
        <f t="array" ref="FA151">IFERROR(INDEX(TABLACONSOLIDADA[Buff Act],MATCH("AGROINSUMOSVERONICALEDESMA"&amp;Tabla_Buffers_Agroinsumos[[#This Row],[CODIGO ]],TABLACONSOLIDADA[Bodega]&amp;TABLACONSOLIDADA[Codigo],0)),"")</f>
        <v/>
      </c>
      <c r="FB151" s="157" t="str">
        <f t="array" ref="FB151">IFERROR(INDEX(TABLACONSOLIDADA[Inv Fís Act],MATCH("AGROINSUMOSVERONICALEDESMA"&amp;Tabla_Buffers_Agroinsumos[[#This Row],[CODIGO ]],TABLACONSOLIDADA[Bodega]&amp;TABLACONSOLIDADA[Codigo],0)),"")</f>
        <v/>
      </c>
      <c r="FC151" s="157" t="str">
        <f t="array" ref="FC15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5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51" s="134">
        <f>IFERROR(SUM(Tabla_Buffers_Agroinsumos[[#This Row],[VL-MP]:[VL-LF]]),"")</f>
        <v>0</v>
      </c>
      <c r="FF151" s="92" t="str">
        <f>IFERROR(Tabla_Buffers_Agroinsumos[[#This Row],[INV FIS VL]]-Tabla_Buffers_Agroinsumos[[#This Row],[BUFFER VL]],"")</f>
        <v/>
      </c>
      <c r="FG15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51" s="134"/>
      <c r="FI151" s="134"/>
      <c r="FJ151" s="134"/>
      <c r="FK151" s="134"/>
      <c r="FL151" s="134"/>
      <c r="FM151" s="134"/>
      <c r="FN151" s="134"/>
      <c r="FO151" s="134"/>
      <c r="FP151" s="134"/>
    </row>
    <row r="152" spans="1:172">
      <c r="A152" s="7" t="s">
        <v>267</v>
      </c>
      <c r="B152" s="7" t="s">
        <v>268</v>
      </c>
      <c r="C152" s="7" t="s">
        <v>788</v>
      </c>
      <c r="D152" s="7" t="s">
        <v>718</v>
      </c>
      <c r="E152" s="7" t="s">
        <v>863</v>
      </c>
      <c r="F152" s="19" t="s">
        <v>812</v>
      </c>
      <c r="G152" s="19" t="s">
        <v>873</v>
      </c>
      <c r="H152" s="19">
        <f>VLOOKUP(Tabla_Buffers_Agroinsumos[[#This Row],[CODIGO ]],TABLACONSOLIDADA[[Codigo]:[PV]],6,0)</f>
        <v>0</v>
      </c>
      <c r="I152" s="19">
        <f>VLOOKUP(Tabla_Buffers_Agroinsumos[[#This Row],[CODIGO ]],TABLACONSOLIDADA[[Codigo]:[PV]],5,0)</f>
        <v>0.22</v>
      </c>
      <c r="J152" s="19">
        <v>4</v>
      </c>
      <c r="K152" s="19">
        <v>12</v>
      </c>
      <c r="L152" s="19">
        <f>IFERROR(Tabla_Buffers_Agroinsumos[[#This Row],[BUFFER CENTRAL]]/((Tabla_Buffers_Agroinsumos[[#This Row],[TIEMPO REPOSICION ]]/Tabla_Buffers_Agroinsumos[[#This Row],[FRECUENCIA]])+1),0)</f>
        <v>0</v>
      </c>
      <c r="M152" s="19">
        <f t="array" ref="M152">IFERROR(INDEX(TABLACONSOLIDADA[Buff Act],MATCH("AGROINSUMOSMATERIAPRIMA"&amp;Tabla_Buffers_Agroinsumos[[#This Row],[CODIGO ]],TABLACONSOLIDADA[Bodega]&amp;TABLACONSOLIDADA[Codigo],0)),"")</f>
        <v>0</v>
      </c>
      <c r="N152" s="157">
        <f t="array" ref="N152">IFERROR(INDEX(TABLACONSOLIDADA[Inv Fís Act],MATCH("AGROINSUMOSMATERIAPRIMA"&amp;Tabla_Buffers_Agroinsumos[[#This Row],[CODIGO ]],TABLACONSOLIDADA[Bodega]&amp;TABLACONSOLIDADA[Codigo],0)),"")</f>
        <v>5587</v>
      </c>
      <c r="O152" s="157">
        <f t="array" ref="O15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5587</v>
      </c>
      <c r="P15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52" s="19">
        <f>IFERROR(SUM(Tabla_Buffers_Agroinsumos[[#This Row],[MP-C]:[MP-VL]]),"")</f>
        <v>0</v>
      </c>
      <c r="R152" s="92">
        <f>IFERROR(Tabla_Buffers_Agroinsumos[[#This Row],[INV FIS MATERIA PRIMA]]-Tabla_Buffers_Agroinsumos[[#This Row],[BUFFER MATERIA PRIMA]],"")</f>
        <v>5587</v>
      </c>
      <c r="S15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5587</v>
      </c>
      <c r="T152" s="19"/>
      <c r="U152" s="19"/>
      <c r="V152" s="19"/>
      <c r="W152" s="19"/>
      <c r="X152" s="19"/>
      <c r="Y152" s="19"/>
      <c r="Z152" s="19"/>
      <c r="AA152" s="19"/>
      <c r="AB152" s="19"/>
      <c r="AC152" s="152" t="str">
        <f t="array" ref="AC152">IFERROR(INDEX(TABLACONSOLIDADA[Buff Act],MATCH("AGROINSUMOSCENTRAL"&amp;Tabla_Buffers_Agroinsumos[[#This Row],[CODIGO ]],TABLACONSOLIDADA[Bodega]&amp;TABLACONSOLIDADA[Codigo],0)),"")</f>
        <v/>
      </c>
      <c r="AD152" s="157" t="str">
        <f t="array" ref="AD152">IFERROR(INDEX(TABLACONSOLIDADA[Inv Fís Act],MATCH("AGROINSUMOSCENTRAL"&amp;Tabla_Buffers_Agroinsumos[[#This Row],[CODIGO ]],TABLACONSOLIDADA[Bodega]&amp;TABLACONSOLIDADA[Codigo],0)),"")</f>
        <v/>
      </c>
      <c r="AE152" s="157" t="str">
        <f t="array" ref="AE15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5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52" s="91">
        <f>IFERROR(SUM(Tabla_Buffers_Agroinsumos[[#This Row],[C-MP]:[C-VL]]),"")</f>
        <v>0</v>
      </c>
      <c r="AH152" s="92" t="str">
        <f>IFERROR(Tabla_Buffers_Agroinsumos[[#This Row],[INV FIS CENTRAL]]-Tabla_Buffers_Agroinsumos[[#This Row],[BUFFER CENTRAL]],"")</f>
        <v/>
      </c>
      <c r="AI15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52" s="134"/>
      <c r="AK152" s="134"/>
      <c r="AL152" s="134"/>
      <c r="AM152" s="134"/>
      <c r="AN152" s="134"/>
      <c r="AO152" s="134"/>
      <c r="AP152" s="134"/>
      <c r="AQ152" s="134"/>
      <c r="AR152" s="134"/>
      <c r="AS152" s="134" t="str">
        <f t="array" ref="AS152">IFERROR(INDEX(TABLACONSOLIDADA[Buff Act],MATCH("AGROINSUMOScentralPROPIA"&amp;Tabla_Buffers_Agroinsumos[[#This Row],[CODIGO ]],TABLACONSOLIDADA[Bodega]&amp;TABLACONSOLIDADA[Codigo],0)),"")</f>
        <v/>
      </c>
      <c r="AT152" s="157" t="str">
        <f t="array" ref="AT152">IFERROR(INDEX(TABLACONSOLIDADA[Inv Fís Act],MATCH("AGROINSUMOScentralPROPIA"&amp;Tabla_Buffers_Agroinsumos[[#This Row],[CODIGO ]],TABLACONSOLIDADA[Bodega]&amp;TABLACONSOLIDADA[Codigo],0)),"")</f>
        <v/>
      </c>
      <c r="AU152" s="157" t="str">
        <f t="array" ref="AU15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5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52" s="134">
        <f>IFERROR(SUM(Tabla_Buffers_Agroinsumos[[#This Row],[P-MP]:[P-VL]]),"")</f>
        <v>0</v>
      </c>
      <c r="AX152" s="92" t="str">
        <f>IFERROR(Tabla_Buffers_Agroinsumos[[#This Row],[INV FIS PROPIA]]-Tabla_Buffers_Agroinsumos[[#This Row],[BUFFER PROPIA]],"")</f>
        <v/>
      </c>
      <c r="AY15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52" s="134"/>
      <c r="BA152" s="134"/>
      <c r="BB152" s="134"/>
      <c r="BC152" s="134"/>
      <c r="BD152" s="134"/>
      <c r="BE152" s="134"/>
      <c r="BF152" s="134"/>
      <c r="BG152" s="134"/>
      <c r="BH152" s="134"/>
      <c r="BI152" s="91" t="str">
        <f t="array" ref="BI152">IFERROR(INDEX(TABLACONSOLIDADA[Buff Act],MATCH("AGROINSUMOSSTODOMINGO"&amp;Tabla_Buffers_Agroinsumos[[#This Row],[CODIGO ]],TABLACONSOLIDADA[Bodega]&amp;TABLACONSOLIDADA[Codigo],0)),"")</f>
        <v/>
      </c>
      <c r="BJ152" s="157" t="str">
        <f t="array" ref="BJ152">IFERROR(INDEX(TABLACONSOLIDADA[Inv Fís Act],MATCH("AGROINSUMOSSTODOMINGO"&amp;Tabla_Buffers_Agroinsumos[[#This Row],[CODIGO ]],TABLACONSOLIDADA[Bodega]&amp;TABLACONSOLIDADA[Codigo],0)),"")</f>
        <v/>
      </c>
      <c r="BK152" s="157" t="str">
        <f t="array" ref="BK15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5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52" s="91">
        <f>IFERROR(SUM(Tabla_Buffers_Agroinsumos[[#This Row],[SD-MP]:[SD-VL]]),"")</f>
        <v>0</v>
      </c>
      <c r="BN152" s="92"/>
      <c r="BO152" s="92"/>
      <c r="BP152" s="134"/>
      <c r="BQ152" s="134"/>
      <c r="BR152" s="134"/>
      <c r="BS152" s="134"/>
      <c r="BT152" s="134"/>
      <c r="BU152" s="134"/>
      <c r="BV152" s="134"/>
      <c r="BW152" s="134"/>
      <c r="BX152" s="134"/>
      <c r="BY152" s="134" t="str">
        <f t="array" ref="BY152">IFERROR(INDEX(TABLACONSOLIDADA[Buff Act],MATCH("AGROINSUMOSMONCAYOLOPEZ"&amp;Tabla_Buffers_Agroinsumos[[#This Row],[CODIGO ]],TABLACONSOLIDADA[Bodega]&amp;TABLACONSOLIDADA[Codigo],0)),"")</f>
        <v/>
      </c>
      <c r="BZ152" s="157" t="str">
        <f t="array" ref="BZ152">IFERROR(INDEX(TABLACONSOLIDADA[Inv Fís Act],MATCH("AGROINSUMOSMONCAYOLOPEZ"&amp;Tabla_Buffers_Agroinsumos[[#This Row],[CODIGO ]],TABLACONSOLIDADA[Bodega]&amp;TABLACONSOLIDADA[Codigo],0)),"")</f>
        <v/>
      </c>
      <c r="CA152" s="157" t="str">
        <f t="array" ref="CA15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5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52" s="134">
        <f>IFERROR(SUM(Tabla_Buffers_Agroinsumos[[#This Row],[ML-MP]:[ML-VL]]),"")</f>
        <v>0</v>
      </c>
      <c r="CD152" s="92" t="str">
        <f>IFERROR(Tabla_Buffers_Agroinsumos[[#This Row],[INV FIS ML]]-Tabla_Buffers_Agroinsumos[[#This Row],[BUFFER ML]],"")</f>
        <v/>
      </c>
      <c r="CE15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52" s="134"/>
      <c r="CG152" s="134"/>
      <c r="CH152" s="134"/>
      <c r="CI152" s="134"/>
      <c r="CJ152" s="134"/>
      <c r="CK152" s="134"/>
      <c r="CL152" s="134"/>
      <c r="CM152" s="134"/>
      <c r="CN152" s="134"/>
      <c r="CO152" s="134" t="str">
        <f t="array" ref="CO152">IFERROR(INDEX(TABLACONSOLIDADA[Buff Act],MATCH("AGROINSUMOSAGROHERMANOSLEON"&amp;Tabla_Buffers_Agroinsumos[[#This Row],[CODIGO ]],TABLACONSOLIDADA[Bodega]&amp;TABLACONSOLIDADA[Codigo],0)),"")</f>
        <v/>
      </c>
      <c r="CP152" s="157" t="str">
        <f t="array" ref="CP152">IFERROR(INDEX(TABLACONSOLIDADA[Inv Fís Act],MATCH("AGROINSUMOSAGROHERMANOSLEON"&amp;Tabla_Buffers_Agroinsumos[[#This Row],[CODIGO ]],TABLACONSOLIDADA[Bodega]&amp;TABLACONSOLIDADA[Codigo],0)),"")</f>
        <v/>
      </c>
      <c r="CQ152" s="157" t="str">
        <f t="array" ref="CQ15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5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52" s="134">
        <f>IFERROR(SUM(Tabla_Buffers_Agroinsumos[[#This Row],[AL-MP]:[AL-VL]]),"")</f>
        <v>0</v>
      </c>
      <c r="CT152" s="92" t="str">
        <f>IFERROR(Tabla_Buffers_Agroinsumos[[#This Row],[INV FIS AL]]-Tabla_Buffers_Agroinsumos[[#This Row],[BUFFER AL]],"")</f>
        <v/>
      </c>
      <c r="CU15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52" s="134"/>
      <c r="CW152" s="134"/>
      <c r="CX152" s="134"/>
      <c r="CY152" s="134"/>
      <c r="CZ152" s="134"/>
      <c r="DA152" s="134"/>
      <c r="DB152" s="134"/>
      <c r="DC152" s="134"/>
      <c r="DD152" s="134"/>
      <c r="DE152" s="134" t="str">
        <f t="array" ref="DE152">IFERROR(INDEX(TABLACONSOLIDADA[Buff Act],MATCH("AGROINSUMOSAGRONUEVO"&amp;Tabla_Buffers_Agroinsumos[[#This Row],[CODIGO ]],TABLACONSOLIDADA[Bodega]&amp;TABLACONSOLIDADA[Codigo],0)),"")</f>
        <v/>
      </c>
      <c r="DF152" s="157" t="str">
        <f t="array" ref="DF152">IFERROR(INDEX(TABLACONSOLIDADA[Inv Fís Act],MATCH("AGROINSUMOSAGRONUEVO"&amp;Tabla_Buffers_Agroinsumos[[#This Row],[CODIGO ]],TABLACONSOLIDADA[Bodega]&amp;TABLACONSOLIDADA[Codigo],0)),"")</f>
        <v/>
      </c>
      <c r="DG152" s="157" t="str">
        <f t="array" ref="DG15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5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52" s="134">
        <f>IFERROR(SUM(Tabla_Buffers_Agroinsumos[[#This Row],[AN-MP]:[AN-VL]]),"")</f>
        <v>0</v>
      </c>
      <c r="DJ152" s="92" t="str">
        <f>IFERROR(Tabla_Buffers_Agroinsumos[[#This Row],[INV FIS AN]]-Tabla_Buffers_Agroinsumos[[#This Row],[BUFFER AN]],"")</f>
        <v/>
      </c>
      <c r="DK15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52" s="134"/>
      <c r="DM152" s="134"/>
      <c r="DN152" s="134"/>
      <c r="DO152" s="134"/>
      <c r="DP152" s="134"/>
      <c r="DQ152" s="134"/>
      <c r="DR152" s="134"/>
      <c r="DS152" s="134"/>
      <c r="DT152" s="134"/>
      <c r="DU152" s="134" t="str">
        <f t="array" ref="DU152">IFERROR(INDEX(TABLACONSOLIDADA[Buff Act],MATCH("AGROINSUMOSAGROQUIMICOSSUR"&amp;Tabla_Buffers_Agroinsumos[[#This Row],[CODIGO ]],TABLACONSOLIDADA[Bodega]&amp;TABLACONSOLIDADA[Codigo],0)),"")</f>
        <v/>
      </c>
      <c r="DV152" s="157" t="str">
        <f t="array" ref="DV152">IFERROR(INDEX(TABLACONSOLIDADA[Inv Fís Act],MATCH("AGROINSUMOSAGROQUIMICOSSUR"&amp;Tabla_Buffers_Agroinsumos[[#This Row],[CODIGO ]],TABLACONSOLIDADA[Bodega]&amp;TABLACONSOLIDADA[Codigo],0)),"")</f>
        <v/>
      </c>
      <c r="DW152" s="157" t="str">
        <f t="array" ref="DW15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5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52" s="134">
        <f>IFERROR(SUM(Tabla_Buffers_Agroinsumos[[#This Row],[AS-MP]:[AS-VL]]),"")</f>
        <v>0</v>
      </c>
      <c r="DZ152" s="92" t="str">
        <f>IFERROR(Tabla_Buffers_Agroinsumos[[#This Row],[INV FIS AS]]-Tabla_Buffers_Agroinsumos[[#This Row],[BUFFER AS]],"")</f>
        <v/>
      </c>
      <c r="EA15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52" s="134"/>
      <c r="EC152" s="134"/>
      <c r="ED152" s="134"/>
      <c r="EE152" s="134"/>
      <c r="EF152" s="134"/>
      <c r="EG152" s="134"/>
      <c r="EH152" s="134"/>
      <c r="EI152" s="134"/>
      <c r="EJ152" s="134"/>
      <c r="EK152" s="134" t="str">
        <f t="array" ref="EK152">IFERROR(INDEX(TABLACONSOLIDADA[Buff Act],MATCH("AGROINSUMOSLAFINCA"&amp;Tabla_Buffers_Agroinsumos[[#This Row],[CODIGO ]],TABLACONSOLIDADA[Bodega]&amp;TABLACONSOLIDADA[Codigo],0)),"")</f>
        <v/>
      </c>
      <c r="EL152" s="157" t="str">
        <f t="array" ref="EL152">IFERROR(INDEX(TABLACONSOLIDADA[Inv Fís Act],MATCH("AGROINSUMOSLAFINCA"&amp;Tabla_Buffers_Agroinsumos[[#This Row],[CODIGO ]],TABLACONSOLIDADA[Bodega]&amp;TABLACONSOLIDADA[Codigo],0)),"")</f>
        <v/>
      </c>
      <c r="EM152" s="157" t="str">
        <f t="array" ref="EM15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5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52" s="134">
        <f>IFERROR(SUM(Tabla_Buffers_Agroinsumos[[#This Row],[LF-MP]:[LF-VL]]),"")</f>
        <v>0</v>
      </c>
      <c r="EP152" s="92" t="str">
        <f>IFERROR(Tabla_Buffers_Agroinsumos[[#This Row],[INV FIS LF]]-Tabla_Buffers_Agroinsumos[[#This Row],[BUFFER LF]],"")</f>
        <v/>
      </c>
      <c r="EQ15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52" s="134"/>
      <c r="ES152" s="134"/>
      <c r="ET152" s="134"/>
      <c r="EU152" s="134"/>
      <c r="EV152" s="134"/>
      <c r="EW152" s="134"/>
      <c r="EX152" s="134"/>
      <c r="EY152" s="134"/>
      <c r="EZ152" s="134"/>
      <c r="FA152" s="134" t="str">
        <f t="array" ref="FA152">IFERROR(INDEX(TABLACONSOLIDADA[Buff Act],MATCH("AGROINSUMOSVERONICALEDESMA"&amp;Tabla_Buffers_Agroinsumos[[#This Row],[CODIGO ]],TABLACONSOLIDADA[Bodega]&amp;TABLACONSOLIDADA[Codigo],0)),"")</f>
        <v/>
      </c>
      <c r="FB152" s="157" t="str">
        <f t="array" ref="FB152">IFERROR(INDEX(TABLACONSOLIDADA[Inv Fís Act],MATCH("AGROINSUMOSVERONICALEDESMA"&amp;Tabla_Buffers_Agroinsumos[[#This Row],[CODIGO ]],TABLACONSOLIDADA[Bodega]&amp;TABLACONSOLIDADA[Codigo],0)),"")</f>
        <v/>
      </c>
      <c r="FC152" s="157" t="str">
        <f t="array" ref="FC15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5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52" s="134">
        <f>IFERROR(SUM(Tabla_Buffers_Agroinsumos[[#This Row],[VL-MP]:[VL-LF]]),"")</f>
        <v>0</v>
      </c>
      <c r="FF152" s="92" t="str">
        <f>IFERROR(Tabla_Buffers_Agroinsumos[[#This Row],[INV FIS VL]]-Tabla_Buffers_Agroinsumos[[#This Row],[BUFFER VL]],"")</f>
        <v/>
      </c>
      <c r="FG15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52" s="134"/>
      <c r="FI152" s="134"/>
      <c r="FJ152" s="134"/>
      <c r="FK152" s="134"/>
      <c r="FL152" s="134"/>
      <c r="FM152" s="134"/>
      <c r="FN152" s="134"/>
      <c r="FO152" s="134"/>
      <c r="FP152" s="134"/>
    </row>
    <row r="153" spans="1:172">
      <c r="A153" s="7" t="s">
        <v>269</v>
      </c>
      <c r="B153" s="7" t="s">
        <v>270</v>
      </c>
      <c r="C153" s="7" t="s">
        <v>788</v>
      </c>
      <c r="D153" s="7" t="s">
        <v>718</v>
      </c>
      <c r="E153" s="7" t="s">
        <v>863</v>
      </c>
      <c r="F153" s="19" t="s">
        <v>812</v>
      </c>
      <c r="G153" s="19" t="s">
        <v>873</v>
      </c>
      <c r="H153" s="19">
        <f>VLOOKUP(Tabla_Buffers_Agroinsumos[[#This Row],[CODIGO ]],TABLACONSOLIDADA[[Codigo]:[PV]],6,0)</f>
        <v>0</v>
      </c>
      <c r="I153" s="19">
        <f>VLOOKUP(Tabla_Buffers_Agroinsumos[[#This Row],[CODIGO ]],TABLACONSOLIDADA[[Codigo]:[PV]],5,0)</f>
        <v>0.12</v>
      </c>
      <c r="J153" s="19">
        <v>4</v>
      </c>
      <c r="K153" s="19">
        <v>12</v>
      </c>
      <c r="L153" s="19">
        <f>IFERROR(Tabla_Buffers_Agroinsumos[[#This Row],[BUFFER CENTRAL]]/((Tabla_Buffers_Agroinsumos[[#This Row],[TIEMPO REPOSICION ]]/Tabla_Buffers_Agroinsumos[[#This Row],[FRECUENCIA]])+1),0)</f>
        <v>0</v>
      </c>
      <c r="M153" s="19">
        <f t="array" ref="M153">IFERROR(INDEX(TABLACONSOLIDADA[Buff Act],MATCH("AGROINSUMOSMATERIAPRIMA"&amp;Tabla_Buffers_Agroinsumos[[#This Row],[CODIGO ]],TABLACONSOLIDADA[Bodega]&amp;TABLACONSOLIDADA[Codigo],0)),"")</f>
        <v>0</v>
      </c>
      <c r="N153" s="157">
        <f t="array" ref="N153">IFERROR(INDEX(TABLACONSOLIDADA[Inv Fís Act],MATCH("AGROINSUMOSMATERIAPRIMA"&amp;Tabla_Buffers_Agroinsumos[[#This Row],[CODIGO ]],TABLACONSOLIDADA[Bodega]&amp;TABLACONSOLIDADA[Codigo],0)),"")</f>
        <v>12660</v>
      </c>
      <c r="O153" s="157">
        <f t="array" ref="O15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12660</v>
      </c>
      <c r="P15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53" s="19">
        <f>IFERROR(SUM(Tabla_Buffers_Agroinsumos[[#This Row],[MP-C]:[MP-VL]]),"")</f>
        <v>0</v>
      </c>
      <c r="R153" s="92">
        <f>IFERROR(Tabla_Buffers_Agroinsumos[[#This Row],[INV FIS MATERIA PRIMA]]-Tabla_Buffers_Agroinsumos[[#This Row],[BUFFER MATERIA PRIMA]],"")</f>
        <v>12660</v>
      </c>
      <c r="S15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12660</v>
      </c>
      <c r="T153" s="19"/>
      <c r="U153" s="19"/>
      <c r="V153" s="19"/>
      <c r="W153" s="19"/>
      <c r="X153" s="19"/>
      <c r="Y153" s="19"/>
      <c r="Z153" s="19"/>
      <c r="AA153" s="19"/>
      <c r="AB153" s="19"/>
      <c r="AC153" s="152" t="str">
        <f t="array" ref="AC153">IFERROR(INDEX(TABLACONSOLIDADA[Buff Act],MATCH("AGROINSUMOSCENTRAL"&amp;Tabla_Buffers_Agroinsumos[[#This Row],[CODIGO ]],TABLACONSOLIDADA[Bodega]&amp;TABLACONSOLIDADA[Codigo],0)),"")</f>
        <v/>
      </c>
      <c r="AD153" s="157" t="str">
        <f t="array" ref="AD153">IFERROR(INDEX(TABLACONSOLIDADA[Inv Fís Act],MATCH("AGROINSUMOSCENTRAL"&amp;Tabla_Buffers_Agroinsumos[[#This Row],[CODIGO ]],TABLACONSOLIDADA[Bodega]&amp;TABLACONSOLIDADA[Codigo],0)),"")</f>
        <v/>
      </c>
      <c r="AE153" s="157" t="str">
        <f t="array" ref="AE15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5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53" s="91">
        <f>IFERROR(SUM(Tabla_Buffers_Agroinsumos[[#This Row],[C-MP]:[C-VL]]),"")</f>
        <v>0</v>
      </c>
      <c r="AH153" s="92" t="str">
        <f>IFERROR(Tabla_Buffers_Agroinsumos[[#This Row],[INV FIS CENTRAL]]-Tabla_Buffers_Agroinsumos[[#This Row],[BUFFER CENTRAL]],"")</f>
        <v/>
      </c>
      <c r="AI15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53" s="134"/>
      <c r="AK153" s="134"/>
      <c r="AL153" s="134"/>
      <c r="AM153" s="134"/>
      <c r="AN153" s="134"/>
      <c r="AO153" s="134"/>
      <c r="AP153" s="134"/>
      <c r="AQ153" s="134"/>
      <c r="AR153" s="134"/>
      <c r="AS153" s="134" t="str">
        <f t="array" ref="AS153">IFERROR(INDEX(TABLACONSOLIDADA[Buff Act],MATCH("AGROINSUMOScentralPROPIA"&amp;Tabla_Buffers_Agroinsumos[[#This Row],[CODIGO ]],TABLACONSOLIDADA[Bodega]&amp;TABLACONSOLIDADA[Codigo],0)),"")</f>
        <v/>
      </c>
      <c r="AT153" s="157" t="str">
        <f t="array" ref="AT153">IFERROR(INDEX(TABLACONSOLIDADA[Inv Fís Act],MATCH("AGROINSUMOScentralPROPIA"&amp;Tabla_Buffers_Agroinsumos[[#This Row],[CODIGO ]],TABLACONSOLIDADA[Bodega]&amp;TABLACONSOLIDADA[Codigo],0)),"")</f>
        <v/>
      </c>
      <c r="AU153" s="157" t="str">
        <f t="array" ref="AU15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5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53" s="134">
        <f>IFERROR(SUM(Tabla_Buffers_Agroinsumos[[#This Row],[P-MP]:[P-VL]]),"")</f>
        <v>0</v>
      </c>
      <c r="AX153" s="92" t="str">
        <f>IFERROR(Tabla_Buffers_Agroinsumos[[#This Row],[INV FIS PROPIA]]-Tabla_Buffers_Agroinsumos[[#This Row],[BUFFER PROPIA]],"")</f>
        <v/>
      </c>
      <c r="AY15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53" s="134"/>
      <c r="BA153" s="134"/>
      <c r="BB153" s="134"/>
      <c r="BC153" s="134"/>
      <c r="BD153" s="134"/>
      <c r="BE153" s="134"/>
      <c r="BF153" s="134"/>
      <c r="BG153" s="134"/>
      <c r="BH153" s="134"/>
      <c r="BI153" s="91" t="str">
        <f t="array" ref="BI153">IFERROR(INDEX(TABLACONSOLIDADA[Buff Act],MATCH("AGROINSUMOSSTODOMINGO"&amp;Tabla_Buffers_Agroinsumos[[#This Row],[CODIGO ]],TABLACONSOLIDADA[Bodega]&amp;TABLACONSOLIDADA[Codigo],0)),"")</f>
        <v/>
      </c>
      <c r="BJ153" s="157" t="str">
        <f t="array" ref="BJ153">IFERROR(INDEX(TABLACONSOLIDADA[Inv Fís Act],MATCH("AGROINSUMOSSTODOMINGO"&amp;Tabla_Buffers_Agroinsumos[[#This Row],[CODIGO ]],TABLACONSOLIDADA[Bodega]&amp;TABLACONSOLIDADA[Codigo],0)),"")</f>
        <v/>
      </c>
      <c r="BK153" s="157" t="str">
        <f t="array" ref="BK15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5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53" s="91">
        <f>IFERROR(SUM(Tabla_Buffers_Agroinsumos[[#This Row],[SD-MP]:[SD-VL]]),"")</f>
        <v>0</v>
      </c>
      <c r="BN153" s="92"/>
      <c r="BO153" s="92"/>
      <c r="BP153" s="134"/>
      <c r="BQ153" s="134"/>
      <c r="BR153" s="134"/>
      <c r="BS153" s="134"/>
      <c r="BT153" s="134"/>
      <c r="BU153" s="134"/>
      <c r="BV153" s="134"/>
      <c r="BW153" s="134"/>
      <c r="BX153" s="134"/>
      <c r="BY153" s="134" t="str">
        <f t="array" ref="BY153">IFERROR(INDEX(TABLACONSOLIDADA[Buff Act],MATCH("AGROINSUMOSMONCAYOLOPEZ"&amp;Tabla_Buffers_Agroinsumos[[#This Row],[CODIGO ]],TABLACONSOLIDADA[Bodega]&amp;TABLACONSOLIDADA[Codigo],0)),"")</f>
        <v/>
      </c>
      <c r="BZ153" s="157" t="str">
        <f t="array" ref="BZ153">IFERROR(INDEX(TABLACONSOLIDADA[Inv Fís Act],MATCH("AGROINSUMOSMONCAYOLOPEZ"&amp;Tabla_Buffers_Agroinsumos[[#This Row],[CODIGO ]],TABLACONSOLIDADA[Bodega]&amp;TABLACONSOLIDADA[Codigo],0)),"")</f>
        <v/>
      </c>
      <c r="CA153" s="157" t="str">
        <f t="array" ref="CA15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5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53" s="134">
        <f>IFERROR(SUM(Tabla_Buffers_Agroinsumos[[#This Row],[ML-MP]:[ML-VL]]),"")</f>
        <v>0</v>
      </c>
      <c r="CD153" s="92" t="str">
        <f>IFERROR(Tabla_Buffers_Agroinsumos[[#This Row],[INV FIS ML]]-Tabla_Buffers_Agroinsumos[[#This Row],[BUFFER ML]],"")</f>
        <v/>
      </c>
      <c r="CE15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53" s="134"/>
      <c r="CG153" s="134"/>
      <c r="CH153" s="134"/>
      <c r="CI153" s="134"/>
      <c r="CJ153" s="134"/>
      <c r="CK153" s="134"/>
      <c r="CL153" s="134"/>
      <c r="CM153" s="134"/>
      <c r="CN153" s="134"/>
      <c r="CO153" s="134" t="str">
        <f t="array" ref="CO153">IFERROR(INDEX(TABLACONSOLIDADA[Buff Act],MATCH("AGROINSUMOSAGROHERMANOSLEON"&amp;Tabla_Buffers_Agroinsumos[[#This Row],[CODIGO ]],TABLACONSOLIDADA[Bodega]&amp;TABLACONSOLIDADA[Codigo],0)),"")</f>
        <v/>
      </c>
      <c r="CP153" s="157" t="str">
        <f t="array" ref="CP153">IFERROR(INDEX(TABLACONSOLIDADA[Inv Fís Act],MATCH("AGROINSUMOSAGROHERMANOSLEON"&amp;Tabla_Buffers_Agroinsumos[[#This Row],[CODIGO ]],TABLACONSOLIDADA[Bodega]&amp;TABLACONSOLIDADA[Codigo],0)),"")</f>
        <v/>
      </c>
      <c r="CQ153" s="157" t="str">
        <f t="array" ref="CQ15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5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53" s="134">
        <f>IFERROR(SUM(Tabla_Buffers_Agroinsumos[[#This Row],[AL-MP]:[AL-VL]]),"")</f>
        <v>0</v>
      </c>
      <c r="CT153" s="92" t="str">
        <f>IFERROR(Tabla_Buffers_Agroinsumos[[#This Row],[INV FIS AL]]-Tabla_Buffers_Agroinsumos[[#This Row],[BUFFER AL]],"")</f>
        <v/>
      </c>
      <c r="CU15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53" s="134"/>
      <c r="CW153" s="134"/>
      <c r="CX153" s="134"/>
      <c r="CY153" s="134"/>
      <c r="CZ153" s="134"/>
      <c r="DA153" s="134"/>
      <c r="DB153" s="134"/>
      <c r="DC153" s="134"/>
      <c r="DD153" s="134"/>
      <c r="DE153" s="134" t="str">
        <f t="array" ref="DE153">IFERROR(INDEX(TABLACONSOLIDADA[Buff Act],MATCH("AGROINSUMOSAGRONUEVO"&amp;Tabla_Buffers_Agroinsumos[[#This Row],[CODIGO ]],TABLACONSOLIDADA[Bodega]&amp;TABLACONSOLIDADA[Codigo],0)),"")</f>
        <v/>
      </c>
      <c r="DF153" s="157" t="str">
        <f t="array" ref="DF153">IFERROR(INDEX(TABLACONSOLIDADA[Inv Fís Act],MATCH("AGROINSUMOSAGRONUEVO"&amp;Tabla_Buffers_Agroinsumos[[#This Row],[CODIGO ]],TABLACONSOLIDADA[Bodega]&amp;TABLACONSOLIDADA[Codigo],0)),"")</f>
        <v/>
      </c>
      <c r="DG153" s="157" t="str">
        <f t="array" ref="DG15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5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53" s="134">
        <f>IFERROR(SUM(Tabla_Buffers_Agroinsumos[[#This Row],[AN-MP]:[AN-VL]]),"")</f>
        <v>0</v>
      </c>
      <c r="DJ153" s="92" t="str">
        <f>IFERROR(Tabla_Buffers_Agroinsumos[[#This Row],[INV FIS AN]]-Tabla_Buffers_Agroinsumos[[#This Row],[BUFFER AN]],"")</f>
        <v/>
      </c>
      <c r="DK15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53" s="134"/>
      <c r="DM153" s="134"/>
      <c r="DN153" s="134"/>
      <c r="DO153" s="134"/>
      <c r="DP153" s="134"/>
      <c r="DQ153" s="134"/>
      <c r="DR153" s="134"/>
      <c r="DS153" s="134"/>
      <c r="DT153" s="134"/>
      <c r="DU153" s="134" t="str">
        <f t="array" ref="DU153">IFERROR(INDEX(TABLACONSOLIDADA[Buff Act],MATCH("AGROINSUMOSAGROQUIMICOSSUR"&amp;Tabla_Buffers_Agroinsumos[[#This Row],[CODIGO ]],TABLACONSOLIDADA[Bodega]&amp;TABLACONSOLIDADA[Codigo],0)),"")</f>
        <v/>
      </c>
      <c r="DV153" s="157" t="str">
        <f t="array" ref="DV153">IFERROR(INDEX(TABLACONSOLIDADA[Inv Fís Act],MATCH("AGROINSUMOSAGROQUIMICOSSUR"&amp;Tabla_Buffers_Agroinsumos[[#This Row],[CODIGO ]],TABLACONSOLIDADA[Bodega]&amp;TABLACONSOLIDADA[Codigo],0)),"")</f>
        <v/>
      </c>
      <c r="DW153" s="157" t="str">
        <f t="array" ref="DW15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5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53" s="134">
        <f>IFERROR(SUM(Tabla_Buffers_Agroinsumos[[#This Row],[AS-MP]:[AS-VL]]),"")</f>
        <v>0</v>
      </c>
      <c r="DZ153" s="92" t="str">
        <f>IFERROR(Tabla_Buffers_Agroinsumos[[#This Row],[INV FIS AS]]-Tabla_Buffers_Agroinsumos[[#This Row],[BUFFER AS]],"")</f>
        <v/>
      </c>
      <c r="EA15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53" s="134"/>
      <c r="EC153" s="134"/>
      <c r="ED153" s="134"/>
      <c r="EE153" s="134"/>
      <c r="EF153" s="134"/>
      <c r="EG153" s="134"/>
      <c r="EH153" s="134"/>
      <c r="EI153" s="134"/>
      <c r="EJ153" s="134"/>
      <c r="EK153" s="134" t="str">
        <f t="array" ref="EK153">IFERROR(INDEX(TABLACONSOLIDADA[Buff Act],MATCH("AGROINSUMOSLAFINCA"&amp;Tabla_Buffers_Agroinsumos[[#This Row],[CODIGO ]],TABLACONSOLIDADA[Bodega]&amp;TABLACONSOLIDADA[Codigo],0)),"")</f>
        <v/>
      </c>
      <c r="EL153" s="157" t="str">
        <f t="array" ref="EL153">IFERROR(INDEX(TABLACONSOLIDADA[Inv Fís Act],MATCH("AGROINSUMOSLAFINCA"&amp;Tabla_Buffers_Agroinsumos[[#This Row],[CODIGO ]],TABLACONSOLIDADA[Bodega]&amp;TABLACONSOLIDADA[Codigo],0)),"")</f>
        <v/>
      </c>
      <c r="EM153" s="157" t="str">
        <f t="array" ref="EM15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5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53" s="134">
        <f>IFERROR(SUM(Tabla_Buffers_Agroinsumos[[#This Row],[LF-MP]:[LF-VL]]),"")</f>
        <v>0</v>
      </c>
      <c r="EP153" s="92" t="str">
        <f>IFERROR(Tabla_Buffers_Agroinsumos[[#This Row],[INV FIS LF]]-Tabla_Buffers_Agroinsumos[[#This Row],[BUFFER LF]],"")</f>
        <v/>
      </c>
      <c r="EQ15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53" s="134"/>
      <c r="ES153" s="134"/>
      <c r="ET153" s="134"/>
      <c r="EU153" s="134"/>
      <c r="EV153" s="134"/>
      <c r="EW153" s="134"/>
      <c r="EX153" s="134"/>
      <c r="EY153" s="134"/>
      <c r="EZ153" s="134"/>
      <c r="FA153" s="134" t="str">
        <f t="array" ref="FA153">IFERROR(INDEX(TABLACONSOLIDADA[Buff Act],MATCH("AGROINSUMOSVERONICALEDESMA"&amp;Tabla_Buffers_Agroinsumos[[#This Row],[CODIGO ]],TABLACONSOLIDADA[Bodega]&amp;TABLACONSOLIDADA[Codigo],0)),"")</f>
        <v/>
      </c>
      <c r="FB153" s="157" t="str">
        <f t="array" ref="FB153">IFERROR(INDEX(TABLACONSOLIDADA[Inv Fís Act],MATCH("AGROINSUMOSVERONICALEDESMA"&amp;Tabla_Buffers_Agroinsumos[[#This Row],[CODIGO ]],TABLACONSOLIDADA[Bodega]&amp;TABLACONSOLIDADA[Codigo],0)),"")</f>
        <v/>
      </c>
      <c r="FC153" s="157" t="str">
        <f t="array" ref="FC15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5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53" s="134">
        <f>IFERROR(SUM(Tabla_Buffers_Agroinsumos[[#This Row],[VL-MP]:[VL-LF]]),"")</f>
        <v>0</v>
      </c>
      <c r="FF153" s="92" t="str">
        <f>IFERROR(Tabla_Buffers_Agroinsumos[[#This Row],[INV FIS VL]]-Tabla_Buffers_Agroinsumos[[#This Row],[BUFFER VL]],"")</f>
        <v/>
      </c>
      <c r="FG15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53" s="134"/>
      <c r="FI153" s="134"/>
      <c r="FJ153" s="134"/>
      <c r="FK153" s="134"/>
      <c r="FL153" s="134"/>
      <c r="FM153" s="134"/>
      <c r="FN153" s="134"/>
      <c r="FO153" s="134"/>
      <c r="FP153" s="134"/>
    </row>
    <row r="154" spans="1:172">
      <c r="A154" s="7" t="s">
        <v>271</v>
      </c>
      <c r="B154" s="7" t="s">
        <v>272</v>
      </c>
      <c r="C154" s="7" t="s">
        <v>788</v>
      </c>
      <c r="D154" s="7" t="s">
        <v>718</v>
      </c>
      <c r="E154" s="7" t="s">
        <v>863</v>
      </c>
      <c r="F154" s="19" t="s">
        <v>812</v>
      </c>
      <c r="G154" s="19" t="s">
        <v>873</v>
      </c>
      <c r="H154" s="19">
        <f>VLOOKUP(Tabla_Buffers_Agroinsumos[[#This Row],[CODIGO ]],TABLACONSOLIDADA[[Codigo]:[PV]],6,0)</f>
        <v>0</v>
      </c>
      <c r="I154" s="19">
        <f>VLOOKUP(Tabla_Buffers_Agroinsumos[[#This Row],[CODIGO ]],TABLACONSOLIDADA[[Codigo]:[PV]],5,0)</f>
        <v>0.14000000000000001</v>
      </c>
      <c r="J154" s="19">
        <v>4</v>
      </c>
      <c r="K154" s="19">
        <v>12</v>
      </c>
      <c r="L154" s="19">
        <f>IFERROR(Tabla_Buffers_Agroinsumos[[#This Row],[BUFFER CENTRAL]]/((Tabla_Buffers_Agroinsumos[[#This Row],[TIEMPO REPOSICION ]]/Tabla_Buffers_Agroinsumos[[#This Row],[FRECUENCIA]])+1),0)</f>
        <v>0</v>
      </c>
      <c r="M154" s="19">
        <f t="array" ref="M154">IFERROR(INDEX(TABLACONSOLIDADA[Buff Act],MATCH("AGROINSUMOSMATERIAPRIMA"&amp;Tabla_Buffers_Agroinsumos[[#This Row],[CODIGO ]],TABLACONSOLIDADA[Bodega]&amp;TABLACONSOLIDADA[Codigo],0)),"")</f>
        <v>0</v>
      </c>
      <c r="N154" s="157">
        <f t="array" ref="N154">IFERROR(INDEX(TABLACONSOLIDADA[Inv Fís Act],MATCH("AGROINSUMOSMATERIAPRIMA"&amp;Tabla_Buffers_Agroinsumos[[#This Row],[CODIGO ]],TABLACONSOLIDADA[Bodega]&amp;TABLACONSOLIDADA[Codigo],0)),"")</f>
        <v>595</v>
      </c>
      <c r="O154" s="157">
        <f t="array" ref="O15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595</v>
      </c>
      <c r="P15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54" s="19">
        <f>IFERROR(SUM(Tabla_Buffers_Agroinsumos[[#This Row],[MP-C]:[MP-VL]]),"")</f>
        <v>0</v>
      </c>
      <c r="R154" s="92">
        <f>IFERROR(Tabla_Buffers_Agroinsumos[[#This Row],[INV FIS MATERIA PRIMA]]-Tabla_Buffers_Agroinsumos[[#This Row],[BUFFER MATERIA PRIMA]],"")</f>
        <v>595</v>
      </c>
      <c r="S15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595</v>
      </c>
      <c r="T154" s="19"/>
      <c r="U154" s="19"/>
      <c r="V154" s="19"/>
      <c r="W154" s="19"/>
      <c r="X154" s="19"/>
      <c r="Y154" s="19"/>
      <c r="Z154" s="19"/>
      <c r="AA154" s="19"/>
      <c r="AB154" s="19"/>
      <c r="AC154" s="152" t="str">
        <f t="array" ref="AC154">IFERROR(INDEX(TABLACONSOLIDADA[Buff Act],MATCH("AGROINSUMOSCENTRAL"&amp;Tabla_Buffers_Agroinsumos[[#This Row],[CODIGO ]],TABLACONSOLIDADA[Bodega]&amp;TABLACONSOLIDADA[Codigo],0)),"")</f>
        <v/>
      </c>
      <c r="AD154" s="157" t="str">
        <f t="array" ref="AD154">IFERROR(INDEX(TABLACONSOLIDADA[Inv Fís Act],MATCH("AGROINSUMOSCENTRAL"&amp;Tabla_Buffers_Agroinsumos[[#This Row],[CODIGO ]],TABLACONSOLIDADA[Bodega]&amp;TABLACONSOLIDADA[Codigo],0)),"")</f>
        <v/>
      </c>
      <c r="AE154" s="157" t="str">
        <f t="array" ref="AE15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5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54" s="91">
        <f>IFERROR(SUM(Tabla_Buffers_Agroinsumos[[#This Row],[C-MP]:[C-VL]]),"")</f>
        <v>0</v>
      </c>
      <c r="AH154" s="92" t="str">
        <f>IFERROR(Tabla_Buffers_Agroinsumos[[#This Row],[INV FIS CENTRAL]]-Tabla_Buffers_Agroinsumos[[#This Row],[BUFFER CENTRAL]],"")</f>
        <v/>
      </c>
      <c r="AI15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54" s="134"/>
      <c r="AK154" s="134"/>
      <c r="AL154" s="134"/>
      <c r="AM154" s="134"/>
      <c r="AN154" s="134"/>
      <c r="AO154" s="134"/>
      <c r="AP154" s="134"/>
      <c r="AQ154" s="134"/>
      <c r="AR154" s="134"/>
      <c r="AS154" s="134" t="str">
        <f t="array" ref="AS154">IFERROR(INDEX(TABLACONSOLIDADA[Buff Act],MATCH("AGROINSUMOScentralPROPIA"&amp;Tabla_Buffers_Agroinsumos[[#This Row],[CODIGO ]],TABLACONSOLIDADA[Bodega]&amp;TABLACONSOLIDADA[Codigo],0)),"")</f>
        <v/>
      </c>
      <c r="AT154" s="157" t="str">
        <f t="array" ref="AT154">IFERROR(INDEX(TABLACONSOLIDADA[Inv Fís Act],MATCH("AGROINSUMOScentralPROPIA"&amp;Tabla_Buffers_Agroinsumos[[#This Row],[CODIGO ]],TABLACONSOLIDADA[Bodega]&amp;TABLACONSOLIDADA[Codigo],0)),"")</f>
        <v/>
      </c>
      <c r="AU154" s="157" t="str">
        <f t="array" ref="AU15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5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54" s="134">
        <f>IFERROR(SUM(Tabla_Buffers_Agroinsumos[[#This Row],[P-MP]:[P-VL]]),"")</f>
        <v>0</v>
      </c>
      <c r="AX154" s="92" t="str">
        <f>IFERROR(Tabla_Buffers_Agroinsumos[[#This Row],[INV FIS PROPIA]]-Tabla_Buffers_Agroinsumos[[#This Row],[BUFFER PROPIA]],"")</f>
        <v/>
      </c>
      <c r="AY15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54" s="134"/>
      <c r="BA154" s="134"/>
      <c r="BB154" s="134"/>
      <c r="BC154" s="134"/>
      <c r="BD154" s="134"/>
      <c r="BE154" s="134"/>
      <c r="BF154" s="134"/>
      <c r="BG154" s="134"/>
      <c r="BH154" s="134"/>
      <c r="BI154" s="91" t="str">
        <f t="array" ref="BI154">IFERROR(INDEX(TABLACONSOLIDADA[Buff Act],MATCH("AGROINSUMOSSTODOMINGO"&amp;Tabla_Buffers_Agroinsumos[[#This Row],[CODIGO ]],TABLACONSOLIDADA[Bodega]&amp;TABLACONSOLIDADA[Codigo],0)),"")</f>
        <v/>
      </c>
      <c r="BJ154" s="157" t="str">
        <f t="array" ref="BJ154">IFERROR(INDEX(TABLACONSOLIDADA[Inv Fís Act],MATCH("AGROINSUMOSSTODOMINGO"&amp;Tabla_Buffers_Agroinsumos[[#This Row],[CODIGO ]],TABLACONSOLIDADA[Bodega]&amp;TABLACONSOLIDADA[Codigo],0)),"")</f>
        <v/>
      </c>
      <c r="BK154" s="157" t="str">
        <f t="array" ref="BK15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5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54" s="91">
        <f>IFERROR(SUM(Tabla_Buffers_Agroinsumos[[#This Row],[SD-MP]:[SD-VL]]),"")</f>
        <v>0</v>
      </c>
      <c r="BN154" s="92"/>
      <c r="BO154" s="92"/>
      <c r="BP154" s="134"/>
      <c r="BQ154" s="134"/>
      <c r="BR154" s="134"/>
      <c r="BS154" s="134"/>
      <c r="BT154" s="134"/>
      <c r="BU154" s="134"/>
      <c r="BV154" s="134"/>
      <c r="BW154" s="134"/>
      <c r="BX154" s="134"/>
      <c r="BY154" s="134" t="str">
        <f t="array" ref="BY154">IFERROR(INDEX(TABLACONSOLIDADA[Buff Act],MATCH("AGROINSUMOSMONCAYOLOPEZ"&amp;Tabla_Buffers_Agroinsumos[[#This Row],[CODIGO ]],TABLACONSOLIDADA[Bodega]&amp;TABLACONSOLIDADA[Codigo],0)),"")</f>
        <v/>
      </c>
      <c r="BZ154" s="157" t="str">
        <f t="array" ref="BZ154">IFERROR(INDEX(TABLACONSOLIDADA[Inv Fís Act],MATCH("AGROINSUMOSMONCAYOLOPEZ"&amp;Tabla_Buffers_Agroinsumos[[#This Row],[CODIGO ]],TABLACONSOLIDADA[Bodega]&amp;TABLACONSOLIDADA[Codigo],0)),"")</f>
        <v/>
      </c>
      <c r="CA154" s="157" t="str">
        <f t="array" ref="CA15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5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54" s="134">
        <f>IFERROR(SUM(Tabla_Buffers_Agroinsumos[[#This Row],[ML-MP]:[ML-VL]]),"")</f>
        <v>0</v>
      </c>
      <c r="CD154" s="92" t="str">
        <f>IFERROR(Tabla_Buffers_Agroinsumos[[#This Row],[INV FIS ML]]-Tabla_Buffers_Agroinsumos[[#This Row],[BUFFER ML]],"")</f>
        <v/>
      </c>
      <c r="CE15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54" s="134"/>
      <c r="CG154" s="134"/>
      <c r="CH154" s="134"/>
      <c r="CI154" s="134"/>
      <c r="CJ154" s="134"/>
      <c r="CK154" s="134"/>
      <c r="CL154" s="134"/>
      <c r="CM154" s="134"/>
      <c r="CN154" s="134"/>
      <c r="CO154" s="134" t="str">
        <f t="array" ref="CO154">IFERROR(INDEX(TABLACONSOLIDADA[Buff Act],MATCH("AGROINSUMOSAGROHERMANOSLEON"&amp;Tabla_Buffers_Agroinsumos[[#This Row],[CODIGO ]],TABLACONSOLIDADA[Bodega]&amp;TABLACONSOLIDADA[Codigo],0)),"")</f>
        <v/>
      </c>
      <c r="CP154" s="157" t="str">
        <f t="array" ref="CP154">IFERROR(INDEX(TABLACONSOLIDADA[Inv Fís Act],MATCH("AGROINSUMOSAGROHERMANOSLEON"&amp;Tabla_Buffers_Agroinsumos[[#This Row],[CODIGO ]],TABLACONSOLIDADA[Bodega]&amp;TABLACONSOLIDADA[Codigo],0)),"")</f>
        <v/>
      </c>
      <c r="CQ154" s="157" t="str">
        <f t="array" ref="CQ15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5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54" s="134">
        <f>IFERROR(SUM(Tabla_Buffers_Agroinsumos[[#This Row],[AL-MP]:[AL-VL]]),"")</f>
        <v>0</v>
      </c>
      <c r="CT154" s="92" t="str">
        <f>IFERROR(Tabla_Buffers_Agroinsumos[[#This Row],[INV FIS AL]]-Tabla_Buffers_Agroinsumos[[#This Row],[BUFFER AL]],"")</f>
        <v/>
      </c>
      <c r="CU15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54" s="134"/>
      <c r="CW154" s="134"/>
      <c r="CX154" s="134"/>
      <c r="CY154" s="134"/>
      <c r="CZ154" s="134"/>
      <c r="DA154" s="134"/>
      <c r="DB154" s="134"/>
      <c r="DC154" s="134"/>
      <c r="DD154" s="134"/>
      <c r="DE154" s="134" t="str">
        <f t="array" ref="DE154">IFERROR(INDEX(TABLACONSOLIDADA[Buff Act],MATCH("AGROINSUMOSAGRONUEVO"&amp;Tabla_Buffers_Agroinsumos[[#This Row],[CODIGO ]],TABLACONSOLIDADA[Bodega]&amp;TABLACONSOLIDADA[Codigo],0)),"")</f>
        <v/>
      </c>
      <c r="DF154" s="157" t="str">
        <f t="array" ref="DF154">IFERROR(INDEX(TABLACONSOLIDADA[Inv Fís Act],MATCH("AGROINSUMOSAGRONUEVO"&amp;Tabla_Buffers_Agroinsumos[[#This Row],[CODIGO ]],TABLACONSOLIDADA[Bodega]&amp;TABLACONSOLIDADA[Codigo],0)),"")</f>
        <v/>
      </c>
      <c r="DG154" s="157" t="str">
        <f t="array" ref="DG15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5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54" s="134">
        <f>IFERROR(SUM(Tabla_Buffers_Agroinsumos[[#This Row],[AN-MP]:[AN-VL]]),"")</f>
        <v>0</v>
      </c>
      <c r="DJ154" s="92" t="str">
        <f>IFERROR(Tabla_Buffers_Agroinsumos[[#This Row],[INV FIS AN]]-Tabla_Buffers_Agroinsumos[[#This Row],[BUFFER AN]],"")</f>
        <v/>
      </c>
      <c r="DK15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54" s="134"/>
      <c r="DM154" s="134"/>
      <c r="DN154" s="134"/>
      <c r="DO154" s="134"/>
      <c r="DP154" s="134"/>
      <c r="DQ154" s="134"/>
      <c r="DR154" s="134"/>
      <c r="DS154" s="134"/>
      <c r="DT154" s="134"/>
      <c r="DU154" s="134" t="str">
        <f t="array" ref="DU154">IFERROR(INDEX(TABLACONSOLIDADA[Buff Act],MATCH("AGROINSUMOSAGROQUIMICOSSUR"&amp;Tabla_Buffers_Agroinsumos[[#This Row],[CODIGO ]],TABLACONSOLIDADA[Bodega]&amp;TABLACONSOLIDADA[Codigo],0)),"")</f>
        <v/>
      </c>
      <c r="DV154" s="157" t="str">
        <f t="array" ref="DV154">IFERROR(INDEX(TABLACONSOLIDADA[Inv Fís Act],MATCH("AGROINSUMOSAGROQUIMICOSSUR"&amp;Tabla_Buffers_Agroinsumos[[#This Row],[CODIGO ]],TABLACONSOLIDADA[Bodega]&amp;TABLACONSOLIDADA[Codigo],0)),"")</f>
        <v/>
      </c>
      <c r="DW154" s="157" t="str">
        <f t="array" ref="DW15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5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54" s="134">
        <f>IFERROR(SUM(Tabla_Buffers_Agroinsumos[[#This Row],[AS-MP]:[AS-VL]]),"")</f>
        <v>0</v>
      </c>
      <c r="DZ154" s="92" t="str">
        <f>IFERROR(Tabla_Buffers_Agroinsumos[[#This Row],[INV FIS AS]]-Tabla_Buffers_Agroinsumos[[#This Row],[BUFFER AS]],"")</f>
        <v/>
      </c>
      <c r="EA15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54" s="134"/>
      <c r="EC154" s="134"/>
      <c r="ED154" s="134"/>
      <c r="EE154" s="134"/>
      <c r="EF154" s="134"/>
      <c r="EG154" s="134"/>
      <c r="EH154" s="134"/>
      <c r="EI154" s="134"/>
      <c r="EJ154" s="134"/>
      <c r="EK154" s="134" t="str">
        <f t="array" ref="EK154">IFERROR(INDEX(TABLACONSOLIDADA[Buff Act],MATCH("AGROINSUMOSLAFINCA"&amp;Tabla_Buffers_Agroinsumos[[#This Row],[CODIGO ]],TABLACONSOLIDADA[Bodega]&amp;TABLACONSOLIDADA[Codigo],0)),"")</f>
        <v/>
      </c>
      <c r="EL154" s="157" t="str">
        <f t="array" ref="EL154">IFERROR(INDEX(TABLACONSOLIDADA[Inv Fís Act],MATCH("AGROINSUMOSLAFINCA"&amp;Tabla_Buffers_Agroinsumos[[#This Row],[CODIGO ]],TABLACONSOLIDADA[Bodega]&amp;TABLACONSOLIDADA[Codigo],0)),"")</f>
        <v/>
      </c>
      <c r="EM154" s="157" t="str">
        <f t="array" ref="EM15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5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54" s="134">
        <f>IFERROR(SUM(Tabla_Buffers_Agroinsumos[[#This Row],[LF-MP]:[LF-VL]]),"")</f>
        <v>0</v>
      </c>
      <c r="EP154" s="92" t="str">
        <f>IFERROR(Tabla_Buffers_Agroinsumos[[#This Row],[INV FIS LF]]-Tabla_Buffers_Agroinsumos[[#This Row],[BUFFER LF]],"")</f>
        <v/>
      </c>
      <c r="EQ15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54" s="134"/>
      <c r="ES154" s="134"/>
      <c r="ET154" s="134"/>
      <c r="EU154" s="134"/>
      <c r="EV154" s="134"/>
      <c r="EW154" s="134"/>
      <c r="EX154" s="134"/>
      <c r="EY154" s="134"/>
      <c r="EZ154" s="134"/>
      <c r="FA154" s="134" t="str">
        <f t="array" ref="FA154">IFERROR(INDEX(TABLACONSOLIDADA[Buff Act],MATCH("AGROINSUMOSVERONICALEDESMA"&amp;Tabla_Buffers_Agroinsumos[[#This Row],[CODIGO ]],TABLACONSOLIDADA[Bodega]&amp;TABLACONSOLIDADA[Codigo],0)),"")</f>
        <v/>
      </c>
      <c r="FB154" s="157" t="str">
        <f t="array" ref="FB154">IFERROR(INDEX(TABLACONSOLIDADA[Inv Fís Act],MATCH("AGROINSUMOSVERONICALEDESMA"&amp;Tabla_Buffers_Agroinsumos[[#This Row],[CODIGO ]],TABLACONSOLIDADA[Bodega]&amp;TABLACONSOLIDADA[Codigo],0)),"")</f>
        <v/>
      </c>
      <c r="FC154" s="157" t="str">
        <f t="array" ref="FC15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5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54" s="134">
        <f>IFERROR(SUM(Tabla_Buffers_Agroinsumos[[#This Row],[VL-MP]:[VL-LF]]),"")</f>
        <v>0</v>
      </c>
      <c r="FF154" s="92" t="str">
        <f>IFERROR(Tabla_Buffers_Agroinsumos[[#This Row],[INV FIS VL]]-Tabla_Buffers_Agroinsumos[[#This Row],[BUFFER VL]],"")</f>
        <v/>
      </c>
      <c r="FG15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54" s="134"/>
      <c r="FI154" s="134"/>
      <c r="FJ154" s="134"/>
      <c r="FK154" s="134"/>
      <c r="FL154" s="134"/>
      <c r="FM154" s="134"/>
      <c r="FN154" s="134"/>
      <c r="FO154" s="134"/>
      <c r="FP154" s="134"/>
    </row>
    <row r="155" spans="1:172">
      <c r="A155" s="7" t="s">
        <v>273</v>
      </c>
      <c r="B155" s="7" t="s">
        <v>274</v>
      </c>
      <c r="C155" s="7" t="s">
        <v>788</v>
      </c>
      <c r="D155" s="7" t="s">
        <v>718</v>
      </c>
      <c r="E155" s="7" t="s">
        <v>863</v>
      </c>
      <c r="F155" s="19" t="s">
        <v>812</v>
      </c>
      <c r="G155" s="19" t="s">
        <v>873</v>
      </c>
      <c r="H155" s="19">
        <f>VLOOKUP(Tabla_Buffers_Agroinsumos[[#This Row],[CODIGO ]],TABLACONSOLIDADA[[Codigo]:[PV]],6,0)</f>
        <v>0</v>
      </c>
      <c r="I155" s="19">
        <f>VLOOKUP(Tabla_Buffers_Agroinsumos[[#This Row],[CODIGO ]],TABLACONSOLIDADA[[Codigo]:[PV]],5,0)</f>
        <v>0.14000000000000001</v>
      </c>
      <c r="J155" s="19">
        <v>4</v>
      </c>
      <c r="K155" s="19">
        <v>12</v>
      </c>
      <c r="L155" s="19">
        <f>IFERROR(Tabla_Buffers_Agroinsumos[[#This Row],[BUFFER CENTRAL]]/((Tabla_Buffers_Agroinsumos[[#This Row],[TIEMPO REPOSICION ]]/Tabla_Buffers_Agroinsumos[[#This Row],[FRECUENCIA]])+1),0)</f>
        <v>0</v>
      </c>
      <c r="M155" s="19">
        <f t="array" ref="M155">IFERROR(INDEX(TABLACONSOLIDADA[Buff Act],MATCH("AGROINSUMOSMATERIAPRIMA"&amp;Tabla_Buffers_Agroinsumos[[#This Row],[CODIGO ]],TABLACONSOLIDADA[Bodega]&amp;TABLACONSOLIDADA[Codigo],0)),"")</f>
        <v>0</v>
      </c>
      <c r="N155" s="157">
        <f t="array" ref="N155">IFERROR(INDEX(TABLACONSOLIDADA[Inv Fís Act],MATCH("AGROINSUMOSMATERIAPRIMA"&amp;Tabla_Buffers_Agroinsumos[[#This Row],[CODIGO ]],TABLACONSOLIDADA[Bodega]&amp;TABLACONSOLIDADA[Codigo],0)),"")</f>
        <v>13237</v>
      </c>
      <c r="O155" s="157">
        <f t="array" ref="O15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13237</v>
      </c>
      <c r="P15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55" s="19">
        <f>IFERROR(SUM(Tabla_Buffers_Agroinsumos[[#This Row],[MP-C]:[MP-VL]]),"")</f>
        <v>0</v>
      </c>
      <c r="R155" s="92">
        <f>IFERROR(Tabla_Buffers_Agroinsumos[[#This Row],[INV FIS MATERIA PRIMA]]-Tabla_Buffers_Agroinsumos[[#This Row],[BUFFER MATERIA PRIMA]],"")</f>
        <v>13237</v>
      </c>
      <c r="S15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13237</v>
      </c>
      <c r="T155" s="19"/>
      <c r="U155" s="19"/>
      <c r="V155" s="19"/>
      <c r="W155" s="19"/>
      <c r="X155" s="19"/>
      <c r="Y155" s="19"/>
      <c r="Z155" s="19"/>
      <c r="AA155" s="19"/>
      <c r="AB155" s="19"/>
      <c r="AC155" s="152" t="str">
        <f t="array" ref="AC155">IFERROR(INDEX(TABLACONSOLIDADA[Buff Act],MATCH("AGROINSUMOSCENTRAL"&amp;Tabla_Buffers_Agroinsumos[[#This Row],[CODIGO ]],TABLACONSOLIDADA[Bodega]&amp;TABLACONSOLIDADA[Codigo],0)),"")</f>
        <v/>
      </c>
      <c r="AD155" s="157" t="str">
        <f t="array" ref="AD155">IFERROR(INDEX(TABLACONSOLIDADA[Inv Fís Act],MATCH("AGROINSUMOSCENTRAL"&amp;Tabla_Buffers_Agroinsumos[[#This Row],[CODIGO ]],TABLACONSOLIDADA[Bodega]&amp;TABLACONSOLIDADA[Codigo],0)),"")</f>
        <v/>
      </c>
      <c r="AE155" s="157" t="str">
        <f t="array" ref="AE15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5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55" s="91">
        <f>IFERROR(SUM(Tabla_Buffers_Agroinsumos[[#This Row],[C-MP]:[C-VL]]),"")</f>
        <v>0</v>
      </c>
      <c r="AH155" s="92" t="str">
        <f>IFERROR(Tabla_Buffers_Agroinsumos[[#This Row],[INV FIS CENTRAL]]-Tabla_Buffers_Agroinsumos[[#This Row],[BUFFER CENTRAL]],"")</f>
        <v/>
      </c>
      <c r="AI15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55" s="134"/>
      <c r="AK155" s="134"/>
      <c r="AL155" s="134"/>
      <c r="AM155" s="134"/>
      <c r="AN155" s="134"/>
      <c r="AO155" s="134"/>
      <c r="AP155" s="134"/>
      <c r="AQ155" s="134"/>
      <c r="AR155" s="134"/>
      <c r="AS155" s="134" t="str">
        <f t="array" ref="AS155">IFERROR(INDEX(TABLACONSOLIDADA[Buff Act],MATCH("AGROINSUMOScentralPROPIA"&amp;Tabla_Buffers_Agroinsumos[[#This Row],[CODIGO ]],TABLACONSOLIDADA[Bodega]&amp;TABLACONSOLIDADA[Codigo],0)),"")</f>
        <v/>
      </c>
      <c r="AT155" s="157" t="str">
        <f t="array" ref="AT155">IFERROR(INDEX(TABLACONSOLIDADA[Inv Fís Act],MATCH("AGROINSUMOScentralPROPIA"&amp;Tabla_Buffers_Agroinsumos[[#This Row],[CODIGO ]],TABLACONSOLIDADA[Bodega]&amp;TABLACONSOLIDADA[Codigo],0)),"")</f>
        <v/>
      </c>
      <c r="AU155" s="157" t="str">
        <f t="array" ref="AU15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5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55" s="134">
        <f>IFERROR(SUM(Tabla_Buffers_Agroinsumos[[#This Row],[P-MP]:[P-VL]]),"")</f>
        <v>0</v>
      </c>
      <c r="AX155" s="92" t="str">
        <f>IFERROR(Tabla_Buffers_Agroinsumos[[#This Row],[INV FIS PROPIA]]-Tabla_Buffers_Agroinsumos[[#This Row],[BUFFER PROPIA]],"")</f>
        <v/>
      </c>
      <c r="AY15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55" s="134"/>
      <c r="BA155" s="134"/>
      <c r="BB155" s="134"/>
      <c r="BC155" s="134"/>
      <c r="BD155" s="134"/>
      <c r="BE155" s="134"/>
      <c r="BF155" s="134"/>
      <c r="BG155" s="134"/>
      <c r="BH155" s="134"/>
      <c r="BI155" s="91" t="str">
        <f t="array" ref="BI155">IFERROR(INDEX(TABLACONSOLIDADA[Buff Act],MATCH("AGROINSUMOSSTODOMINGO"&amp;Tabla_Buffers_Agroinsumos[[#This Row],[CODIGO ]],TABLACONSOLIDADA[Bodega]&amp;TABLACONSOLIDADA[Codigo],0)),"")</f>
        <v/>
      </c>
      <c r="BJ155" s="157" t="str">
        <f t="array" ref="BJ155">IFERROR(INDEX(TABLACONSOLIDADA[Inv Fís Act],MATCH("AGROINSUMOSSTODOMINGO"&amp;Tabla_Buffers_Agroinsumos[[#This Row],[CODIGO ]],TABLACONSOLIDADA[Bodega]&amp;TABLACONSOLIDADA[Codigo],0)),"")</f>
        <v/>
      </c>
      <c r="BK155" s="157" t="str">
        <f t="array" ref="BK15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5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55" s="91">
        <f>IFERROR(SUM(Tabla_Buffers_Agroinsumos[[#This Row],[SD-MP]:[SD-VL]]),"")</f>
        <v>0</v>
      </c>
      <c r="BN155" s="92"/>
      <c r="BO155" s="92"/>
      <c r="BP155" s="134"/>
      <c r="BQ155" s="134"/>
      <c r="BR155" s="134"/>
      <c r="BS155" s="134"/>
      <c r="BT155" s="134"/>
      <c r="BU155" s="134"/>
      <c r="BV155" s="134"/>
      <c r="BW155" s="134"/>
      <c r="BX155" s="134"/>
      <c r="BY155" s="134" t="str">
        <f t="array" ref="BY155">IFERROR(INDEX(TABLACONSOLIDADA[Buff Act],MATCH("AGROINSUMOSMONCAYOLOPEZ"&amp;Tabla_Buffers_Agroinsumos[[#This Row],[CODIGO ]],TABLACONSOLIDADA[Bodega]&amp;TABLACONSOLIDADA[Codigo],0)),"")</f>
        <v/>
      </c>
      <c r="BZ155" s="157" t="str">
        <f t="array" ref="BZ155">IFERROR(INDEX(TABLACONSOLIDADA[Inv Fís Act],MATCH("AGROINSUMOSMONCAYOLOPEZ"&amp;Tabla_Buffers_Agroinsumos[[#This Row],[CODIGO ]],TABLACONSOLIDADA[Bodega]&amp;TABLACONSOLIDADA[Codigo],0)),"")</f>
        <v/>
      </c>
      <c r="CA155" s="157" t="str">
        <f t="array" ref="CA15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5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55" s="134">
        <f>IFERROR(SUM(Tabla_Buffers_Agroinsumos[[#This Row],[ML-MP]:[ML-VL]]),"")</f>
        <v>0</v>
      </c>
      <c r="CD155" s="92" t="str">
        <f>IFERROR(Tabla_Buffers_Agroinsumos[[#This Row],[INV FIS ML]]-Tabla_Buffers_Agroinsumos[[#This Row],[BUFFER ML]],"")</f>
        <v/>
      </c>
      <c r="CE15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55" s="134"/>
      <c r="CG155" s="134"/>
      <c r="CH155" s="134"/>
      <c r="CI155" s="134"/>
      <c r="CJ155" s="134"/>
      <c r="CK155" s="134"/>
      <c r="CL155" s="134"/>
      <c r="CM155" s="134"/>
      <c r="CN155" s="134"/>
      <c r="CO155" s="134" t="str">
        <f t="array" ref="CO155">IFERROR(INDEX(TABLACONSOLIDADA[Buff Act],MATCH("AGROINSUMOSAGROHERMANOSLEON"&amp;Tabla_Buffers_Agroinsumos[[#This Row],[CODIGO ]],TABLACONSOLIDADA[Bodega]&amp;TABLACONSOLIDADA[Codigo],0)),"")</f>
        <v/>
      </c>
      <c r="CP155" s="157" t="str">
        <f t="array" ref="CP155">IFERROR(INDEX(TABLACONSOLIDADA[Inv Fís Act],MATCH("AGROINSUMOSAGROHERMANOSLEON"&amp;Tabla_Buffers_Agroinsumos[[#This Row],[CODIGO ]],TABLACONSOLIDADA[Bodega]&amp;TABLACONSOLIDADA[Codigo],0)),"")</f>
        <v/>
      </c>
      <c r="CQ155" s="157" t="str">
        <f t="array" ref="CQ15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5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55" s="134">
        <f>IFERROR(SUM(Tabla_Buffers_Agroinsumos[[#This Row],[AL-MP]:[AL-VL]]),"")</f>
        <v>0</v>
      </c>
      <c r="CT155" s="92" t="str">
        <f>IFERROR(Tabla_Buffers_Agroinsumos[[#This Row],[INV FIS AL]]-Tabla_Buffers_Agroinsumos[[#This Row],[BUFFER AL]],"")</f>
        <v/>
      </c>
      <c r="CU15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55" s="134"/>
      <c r="CW155" s="134"/>
      <c r="CX155" s="134"/>
      <c r="CY155" s="134"/>
      <c r="CZ155" s="134"/>
      <c r="DA155" s="134"/>
      <c r="DB155" s="134"/>
      <c r="DC155" s="134"/>
      <c r="DD155" s="134"/>
      <c r="DE155" s="134" t="str">
        <f t="array" ref="DE155">IFERROR(INDEX(TABLACONSOLIDADA[Buff Act],MATCH("AGROINSUMOSAGRONUEVO"&amp;Tabla_Buffers_Agroinsumos[[#This Row],[CODIGO ]],TABLACONSOLIDADA[Bodega]&amp;TABLACONSOLIDADA[Codigo],0)),"")</f>
        <v/>
      </c>
      <c r="DF155" s="157" t="str">
        <f t="array" ref="DF155">IFERROR(INDEX(TABLACONSOLIDADA[Inv Fís Act],MATCH("AGROINSUMOSAGRONUEVO"&amp;Tabla_Buffers_Agroinsumos[[#This Row],[CODIGO ]],TABLACONSOLIDADA[Bodega]&amp;TABLACONSOLIDADA[Codigo],0)),"")</f>
        <v/>
      </c>
      <c r="DG155" s="157" t="str">
        <f t="array" ref="DG15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5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55" s="134">
        <f>IFERROR(SUM(Tabla_Buffers_Agroinsumos[[#This Row],[AN-MP]:[AN-VL]]),"")</f>
        <v>0</v>
      </c>
      <c r="DJ155" s="92" t="str">
        <f>IFERROR(Tabla_Buffers_Agroinsumos[[#This Row],[INV FIS AN]]-Tabla_Buffers_Agroinsumos[[#This Row],[BUFFER AN]],"")</f>
        <v/>
      </c>
      <c r="DK15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55" s="134"/>
      <c r="DM155" s="134"/>
      <c r="DN155" s="134"/>
      <c r="DO155" s="134"/>
      <c r="DP155" s="134"/>
      <c r="DQ155" s="134"/>
      <c r="DR155" s="134"/>
      <c r="DS155" s="134"/>
      <c r="DT155" s="134"/>
      <c r="DU155" s="134" t="str">
        <f t="array" ref="DU155">IFERROR(INDEX(TABLACONSOLIDADA[Buff Act],MATCH("AGROINSUMOSAGROQUIMICOSSUR"&amp;Tabla_Buffers_Agroinsumos[[#This Row],[CODIGO ]],TABLACONSOLIDADA[Bodega]&amp;TABLACONSOLIDADA[Codigo],0)),"")</f>
        <v/>
      </c>
      <c r="DV155" s="157" t="str">
        <f t="array" ref="DV155">IFERROR(INDEX(TABLACONSOLIDADA[Inv Fís Act],MATCH("AGROINSUMOSAGROQUIMICOSSUR"&amp;Tabla_Buffers_Agroinsumos[[#This Row],[CODIGO ]],TABLACONSOLIDADA[Bodega]&amp;TABLACONSOLIDADA[Codigo],0)),"")</f>
        <v/>
      </c>
      <c r="DW155" s="157" t="str">
        <f t="array" ref="DW15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5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55" s="134">
        <f>IFERROR(SUM(Tabla_Buffers_Agroinsumos[[#This Row],[AS-MP]:[AS-VL]]),"")</f>
        <v>0</v>
      </c>
      <c r="DZ155" s="92" t="str">
        <f>IFERROR(Tabla_Buffers_Agroinsumos[[#This Row],[INV FIS AS]]-Tabla_Buffers_Agroinsumos[[#This Row],[BUFFER AS]],"")</f>
        <v/>
      </c>
      <c r="EA15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55" s="134"/>
      <c r="EC155" s="134"/>
      <c r="ED155" s="134"/>
      <c r="EE155" s="134"/>
      <c r="EF155" s="134"/>
      <c r="EG155" s="134"/>
      <c r="EH155" s="134"/>
      <c r="EI155" s="134"/>
      <c r="EJ155" s="134"/>
      <c r="EK155" s="134" t="str">
        <f t="array" ref="EK155">IFERROR(INDEX(TABLACONSOLIDADA[Buff Act],MATCH("AGROINSUMOSLAFINCA"&amp;Tabla_Buffers_Agroinsumos[[#This Row],[CODIGO ]],TABLACONSOLIDADA[Bodega]&amp;TABLACONSOLIDADA[Codigo],0)),"")</f>
        <v/>
      </c>
      <c r="EL155" s="157" t="str">
        <f t="array" ref="EL155">IFERROR(INDEX(TABLACONSOLIDADA[Inv Fís Act],MATCH("AGROINSUMOSLAFINCA"&amp;Tabla_Buffers_Agroinsumos[[#This Row],[CODIGO ]],TABLACONSOLIDADA[Bodega]&amp;TABLACONSOLIDADA[Codigo],0)),"")</f>
        <v/>
      </c>
      <c r="EM155" s="157" t="str">
        <f t="array" ref="EM15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5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55" s="134">
        <f>IFERROR(SUM(Tabla_Buffers_Agroinsumos[[#This Row],[LF-MP]:[LF-VL]]),"")</f>
        <v>0</v>
      </c>
      <c r="EP155" s="92" t="str">
        <f>IFERROR(Tabla_Buffers_Agroinsumos[[#This Row],[INV FIS LF]]-Tabla_Buffers_Agroinsumos[[#This Row],[BUFFER LF]],"")</f>
        <v/>
      </c>
      <c r="EQ15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55" s="134"/>
      <c r="ES155" s="134"/>
      <c r="ET155" s="134"/>
      <c r="EU155" s="134"/>
      <c r="EV155" s="134"/>
      <c r="EW155" s="134"/>
      <c r="EX155" s="134"/>
      <c r="EY155" s="134"/>
      <c r="EZ155" s="134"/>
      <c r="FA155" s="134" t="str">
        <f t="array" ref="FA155">IFERROR(INDEX(TABLACONSOLIDADA[Buff Act],MATCH("AGROINSUMOSVERONICALEDESMA"&amp;Tabla_Buffers_Agroinsumos[[#This Row],[CODIGO ]],TABLACONSOLIDADA[Bodega]&amp;TABLACONSOLIDADA[Codigo],0)),"")</f>
        <v/>
      </c>
      <c r="FB155" s="157" t="str">
        <f t="array" ref="FB155">IFERROR(INDEX(TABLACONSOLIDADA[Inv Fís Act],MATCH("AGROINSUMOSVERONICALEDESMA"&amp;Tabla_Buffers_Agroinsumos[[#This Row],[CODIGO ]],TABLACONSOLIDADA[Bodega]&amp;TABLACONSOLIDADA[Codigo],0)),"")</f>
        <v/>
      </c>
      <c r="FC155" s="157" t="str">
        <f t="array" ref="FC15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5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55" s="134">
        <f>IFERROR(SUM(Tabla_Buffers_Agroinsumos[[#This Row],[VL-MP]:[VL-LF]]),"")</f>
        <v>0</v>
      </c>
      <c r="FF155" s="92" t="str">
        <f>IFERROR(Tabla_Buffers_Agroinsumos[[#This Row],[INV FIS VL]]-Tabla_Buffers_Agroinsumos[[#This Row],[BUFFER VL]],"")</f>
        <v/>
      </c>
      <c r="FG15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55" s="134"/>
      <c r="FI155" s="134"/>
      <c r="FJ155" s="134"/>
      <c r="FK155" s="134"/>
      <c r="FL155" s="134"/>
      <c r="FM155" s="134"/>
      <c r="FN155" s="134"/>
      <c r="FO155" s="134"/>
      <c r="FP155" s="134"/>
    </row>
    <row r="156" spans="1:172">
      <c r="A156" s="7" t="s">
        <v>275</v>
      </c>
      <c r="B156" s="7" t="s">
        <v>276</v>
      </c>
      <c r="C156" s="7" t="s">
        <v>710</v>
      </c>
      <c r="D156" s="7" t="s">
        <v>718</v>
      </c>
      <c r="E156" s="7" t="s">
        <v>863</v>
      </c>
      <c r="F156" s="19" t="s">
        <v>810</v>
      </c>
      <c r="G156" s="19" t="s">
        <v>802</v>
      </c>
      <c r="H156" s="19">
        <f>VLOOKUP(Tabla_Buffers_Agroinsumos[[#This Row],[CODIGO ]],TABLACONSOLIDADA[[Codigo]:[PV]],6,0)</f>
        <v>0</v>
      </c>
      <c r="I156" s="19">
        <f>VLOOKUP(Tabla_Buffers_Agroinsumos[[#This Row],[CODIGO ]],TABLACONSOLIDADA[[Codigo]:[PV]],5,0)</f>
        <v>8.2100000000000009</v>
      </c>
      <c r="J156" s="19">
        <v>4</v>
      </c>
      <c r="K156" s="19">
        <v>4</v>
      </c>
      <c r="L156" s="19">
        <f>IFERROR(Tabla_Buffers_Agroinsumos[[#This Row],[BUFFER CENTRAL]]/((Tabla_Buffers_Agroinsumos[[#This Row],[TIEMPO REPOSICION ]]/Tabla_Buffers_Agroinsumos[[#This Row],[FRECUENCIA]])+1),0)</f>
        <v>0</v>
      </c>
      <c r="M156" s="19">
        <f t="array" ref="M156">IFERROR(INDEX(TABLACONSOLIDADA[Buff Act],MATCH("AGROINSUMOSMATERIAPRIMA"&amp;Tabla_Buffers_Agroinsumos[[#This Row],[CODIGO ]],TABLACONSOLIDADA[Bodega]&amp;TABLACONSOLIDADA[Codigo],0)),"")</f>
        <v>10</v>
      </c>
      <c r="N156" s="157">
        <f t="array" ref="N156">IFERROR(INDEX(TABLACONSOLIDADA[Inv Fís Act],MATCH("AGROINSUMOSMATERIAPRIMA"&amp;Tabla_Buffers_Agroinsumos[[#This Row],[CODIGO ]],TABLACONSOLIDADA[Bodega]&amp;TABLACONSOLIDADA[Codigo],0)),"")</f>
        <v>37</v>
      </c>
      <c r="O156" s="157">
        <f t="array" ref="O15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37</v>
      </c>
      <c r="P15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56" s="19">
        <f>IFERROR(SUM(Tabla_Buffers_Agroinsumos[[#This Row],[MP-C]:[MP-VL]]),"")</f>
        <v>0</v>
      </c>
      <c r="R156" s="92">
        <f>IFERROR(Tabla_Buffers_Agroinsumos[[#This Row],[INV FIS MATERIA PRIMA]]-Tabla_Buffers_Agroinsumos[[#This Row],[BUFFER MATERIA PRIMA]],"")</f>
        <v>27</v>
      </c>
      <c r="S15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27</v>
      </c>
      <c r="T156" s="19"/>
      <c r="U156" s="19"/>
      <c r="V156" s="19"/>
      <c r="W156" s="19"/>
      <c r="X156" s="19"/>
      <c r="Y156" s="19"/>
      <c r="Z156" s="19"/>
      <c r="AA156" s="19"/>
      <c r="AB156" s="19"/>
      <c r="AC156" s="152" t="str">
        <f t="array" ref="AC156">IFERROR(INDEX(TABLACONSOLIDADA[Buff Act],MATCH("AGROINSUMOSCENTRAL"&amp;Tabla_Buffers_Agroinsumos[[#This Row],[CODIGO ]],TABLACONSOLIDADA[Bodega]&amp;TABLACONSOLIDADA[Codigo],0)),"")</f>
        <v/>
      </c>
      <c r="AD156" s="157" t="str">
        <f t="array" ref="AD156">IFERROR(INDEX(TABLACONSOLIDADA[Inv Fís Act],MATCH("AGROINSUMOSCENTRAL"&amp;Tabla_Buffers_Agroinsumos[[#This Row],[CODIGO ]],TABLACONSOLIDADA[Bodega]&amp;TABLACONSOLIDADA[Codigo],0)),"")</f>
        <v/>
      </c>
      <c r="AE156" s="157" t="str">
        <f t="array" ref="AE15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5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56" s="91">
        <f>IFERROR(SUM(Tabla_Buffers_Agroinsumos[[#This Row],[C-MP]:[C-VL]]),"")</f>
        <v>0</v>
      </c>
      <c r="AH156" s="92" t="str">
        <f>IFERROR(Tabla_Buffers_Agroinsumos[[#This Row],[INV FIS CENTRAL]]-Tabla_Buffers_Agroinsumos[[#This Row],[BUFFER CENTRAL]],"")</f>
        <v/>
      </c>
      <c r="AI15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56" s="134"/>
      <c r="AK156" s="134"/>
      <c r="AL156" s="134"/>
      <c r="AM156" s="134"/>
      <c r="AN156" s="134"/>
      <c r="AO156" s="134"/>
      <c r="AP156" s="134"/>
      <c r="AQ156" s="134"/>
      <c r="AR156" s="134"/>
      <c r="AS156" s="134" t="str">
        <f t="array" ref="AS156">IFERROR(INDEX(TABLACONSOLIDADA[Buff Act],MATCH("AGROINSUMOScentralPROPIA"&amp;Tabla_Buffers_Agroinsumos[[#This Row],[CODIGO ]],TABLACONSOLIDADA[Bodega]&amp;TABLACONSOLIDADA[Codigo],0)),"")</f>
        <v/>
      </c>
      <c r="AT156" s="157" t="str">
        <f t="array" ref="AT156">IFERROR(INDEX(TABLACONSOLIDADA[Inv Fís Act],MATCH("AGROINSUMOScentralPROPIA"&amp;Tabla_Buffers_Agroinsumos[[#This Row],[CODIGO ]],TABLACONSOLIDADA[Bodega]&amp;TABLACONSOLIDADA[Codigo],0)),"")</f>
        <v/>
      </c>
      <c r="AU156" s="157" t="str">
        <f t="array" ref="AU15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5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56" s="134">
        <f>IFERROR(SUM(Tabla_Buffers_Agroinsumos[[#This Row],[P-MP]:[P-VL]]),"")</f>
        <v>0</v>
      </c>
      <c r="AX156" s="92" t="str">
        <f>IFERROR(Tabla_Buffers_Agroinsumos[[#This Row],[INV FIS PROPIA]]-Tabla_Buffers_Agroinsumos[[#This Row],[BUFFER PROPIA]],"")</f>
        <v/>
      </c>
      <c r="AY15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56" s="134"/>
      <c r="BA156" s="134"/>
      <c r="BB156" s="134"/>
      <c r="BC156" s="134"/>
      <c r="BD156" s="134"/>
      <c r="BE156" s="134"/>
      <c r="BF156" s="134"/>
      <c r="BG156" s="134"/>
      <c r="BH156" s="134"/>
      <c r="BI156" s="91" t="str">
        <f t="array" ref="BI156">IFERROR(INDEX(TABLACONSOLIDADA[Buff Act],MATCH("AGROINSUMOSSTODOMINGO"&amp;Tabla_Buffers_Agroinsumos[[#This Row],[CODIGO ]],TABLACONSOLIDADA[Bodega]&amp;TABLACONSOLIDADA[Codigo],0)),"")</f>
        <v/>
      </c>
      <c r="BJ156" s="157" t="str">
        <f t="array" ref="BJ156">IFERROR(INDEX(TABLACONSOLIDADA[Inv Fís Act],MATCH("AGROINSUMOSSTODOMINGO"&amp;Tabla_Buffers_Agroinsumos[[#This Row],[CODIGO ]],TABLACONSOLIDADA[Bodega]&amp;TABLACONSOLIDADA[Codigo],0)),"")</f>
        <v/>
      </c>
      <c r="BK156" s="157" t="str">
        <f t="array" ref="BK15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5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56" s="91">
        <f>IFERROR(SUM(Tabla_Buffers_Agroinsumos[[#This Row],[SD-MP]:[SD-VL]]),"")</f>
        <v>0</v>
      </c>
      <c r="BN156" s="92"/>
      <c r="BO156" s="92"/>
      <c r="BP156" s="134"/>
      <c r="BQ156" s="134"/>
      <c r="BR156" s="134"/>
      <c r="BS156" s="134"/>
      <c r="BT156" s="134"/>
      <c r="BU156" s="134"/>
      <c r="BV156" s="134"/>
      <c r="BW156" s="134"/>
      <c r="BX156" s="134"/>
      <c r="BY156" s="134" t="str">
        <f t="array" ref="BY156">IFERROR(INDEX(TABLACONSOLIDADA[Buff Act],MATCH("AGROINSUMOSMONCAYOLOPEZ"&amp;Tabla_Buffers_Agroinsumos[[#This Row],[CODIGO ]],TABLACONSOLIDADA[Bodega]&amp;TABLACONSOLIDADA[Codigo],0)),"")</f>
        <v/>
      </c>
      <c r="BZ156" s="157" t="str">
        <f t="array" ref="BZ156">IFERROR(INDEX(TABLACONSOLIDADA[Inv Fís Act],MATCH("AGROINSUMOSMONCAYOLOPEZ"&amp;Tabla_Buffers_Agroinsumos[[#This Row],[CODIGO ]],TABLACONSOLIDADA[Bodega]&amp;TABLACONSOLIDADA[Codigo],0)),"")</f>
        <v/>
      </c>
      <c r="CA156" s="157" t="str">
        <f t="array" ref="CA15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5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56" s="134">
        <f>IFERROR(SUM(Tabla_Buffers_Agroinsumos[[#This Row],[ML-MP]:[ML-VL]]),"")</f>
        <v>0</v>
      </c>
      <c r="CD156" s="92" t="str">
        <f>IFERROR(Tabla_Buffers_Agroinsumos[[#This Row],[INV FIS ML]]-Tabla_Buffers_Agroinsumos[[#This Row],[BUFFER ML]],"")</f>
        <v/>
      </c>
      <c r="CE15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56" s="134"/>
      <c r="CG156" s="134"/>
      <c r="CH156" s="134"/>
      <c r="CI156" s="134"/>
      <c r="CJ156" s="134"/>
      <c r="CK156" s="134"/>
      <c r="CL156" s="134"/>
      <c r="CM156" s="134"/>
      <c r="CN156" s="134"/>
      <c r="CO156" s="134" t="str">
        <f t="array" ref="CO156">IFERROR(INDEX(TABLACONSOLIDADA[Buff Act],MATCH("AGROINSUMOSAGROHERMANOSLEON"&amp;Tabla_Buffers_Agroinsumos[[#This Row],[CODIGO ]],TABLACONSOLIDADA[Bodega]&amp;TABLACONSOLIDADA[Codigo],0)),"")</f>
        <v/>
      </c>
      <c r="CP156" s="157" t="str">
        <f t="array" ref="CP156">IFERROR(INDEX(TABLACONSOLIDADA[Inv Fís Act],MATCH("AGROINSUMOSAGROHERMANOSLEON"&amp;Tabla_Buffers_Agroinsumos[[#This Row],[CODIGO ]],TABLACONSOLIDADA[Bodega]&amp;TABLACONSOLIDADA[Codigo],0)),"")</f>
        <v/>
      </c>
      <c r="CQ156" s="157" t="str">
        <f t="array" ref="CQ15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5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56" s="134">
        <f>IFERROR(SUM(Tabla_Buffers_Agroinsumos[[#This Row],[AL-MP]:[AL-VL]]),"")</f>
        <v>0</v>
      </c>
      <c r="CT156" s="92" t="str">
        <f>IFERROR(Tabla_Buffers_Agroinsumos[[#This Row],[INV FIS AL]]-Tabla_Buffers_Agroinsumos[[#This Row],[BUFFER AL]],"")</f>
        <v/>
      </c>
      <c r="CU15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56" s="134"/>
      <c r="CW156" s="134"/>
      <c r="CX156" s="134"/>
      <c r="CY156" s="134"/>
      <c r="CZ156" s="134"/>
      <c r="DA156" s="134"/>
      <c r="DB156" s="134"/>
      <c r="DC156" s="134"/>
      <c r="DD156" s="134"/>
      <c r="DE156" s="134" t="str">
        <f t="array" ref="DE156">IFERROR(INDEX(TABLACONSOLIDADA[Buff Act],MATCH("AGROINSUMOSAGRONUEVO"&amp;Tabla_Buffers_Agroinsumos[[#This Row],[CODIGO ]],TABLACONSOLIDADA[Bodega]&amp;TABLACONSOLIDADA[Codigo],0)),"")</f>
        <v/>
      </c>
      <c r="DF156" s="157" t="str">
        <f t="array" ref="DF156">IFERROR(INDEX(TABLACONSOLIDADA[Inv Fís Act],MATCH("AGROINSUMOSAGRONUEVO"&amp;Tabla_Buffers_Agroinsumos[[#This Row],[CODIGO ]],TABLACONSOLIDADA[Bodega]&amp;TABLACONSOLIDADA[Codigo],0)),"")</f>
        <v/>
      </c>
      <c r="DG156" s="157" t="str">
        <f t="array" ref="DG15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5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56" s="134">
        <f>IFERROR(SUM(Tabla_Buffers_Agroinsumos[[#This Row],[AN-MP]:[AN-VL]]),"")</f>
        <v>0</v>
      </c>
      <c r="DJ156" s="92" t="str">
        <f>IFERROR(Tabla_Buffers_Agroinsumos[[#This Row],[INV FIS AN]]-Tabla_Buffers_Agroinsumos[[#This Row],[BUFFER AN]],"")</f>
        <v/>
      </c>
      <c r="DK15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56" s="134"/>
      <c r="DM156" s="134"/>
      <c r="DN156" s="134"/>
      <c r="DO156" s="134"/>
      <c r="DP156" s="134"/>
      <c r="DQ156" s="134"/>
      <c r="DR156" s="134"/>
      <c r="DS156" s="134"/>
      <c r="DT156" s="134"/>
      <c r="DU156" s="134" t="str">
        <f t="array" ref="DU156">IFERROR(INDEX(TABLACONSOLIDADA[Buff Act],MATCH("AGROINSUMOSAGROQUIMICOSSUR"&amp;Tabla_Buffers_Agroinsumos[[#This Row],[CODIGO ]],TABLACONSOLIDADA[Bodega]&amp;TABLACONSOLIDADA[Codigo],0)),"")</f>
        <v/>
      </c>
      <c r="DV156" s="157" t="str">
        <f t="array" ref="DV156">IFERROR(INDEX(TABLACONSOLIDADA[Inv Fís Act],MATCH("AGROINSUMOSAGROQUIMICOSSUR"&amp;Tabla_Buffers_Agroinsumos[[#This Row],[CODIGO ]],TABLACONSOLIDADA[Bodega]&amp;TABLACONSOLIDADA[Codigo],0)),"")</f>
        <v/>
      </c>
      <c r="DW156" s="157" t="str">
        <f t="array" ref="DW15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5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56" s="134">
        <f>IFERROR(SUM(Tabla_Buffers_Agroinsumos[[#This Row],[AS-MP]:[AS-VL]]),"")</f>
        <v>0</v>
      </c>
      <c r="DZ156" s="92" t="str">
        <f>IFERROR(Tabla_Buffers_Agroinsumos[[#This Row],[INV FIS AS]]-Tabla_Buffers_Agroinsumos[[#This Row],[BUFFER AS]],"")</f>
        <v/>
      </c>
      <c r="EA15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56" s="134"/>
      <c r="EC156" s="134"/>
      <c r="ED156" s="134"/>
      <c r="EE156" s="134"/>
      <c r="EF156" s="134"/>
      <c r="EG156" s="134"/>
      <c r="EH156" s="134"/>
      <c r="EI156" s="134"/>
      <c r="EJ156" s="134"/>
      <c r="EK156" s="134" t="str">
        <f t="array" ref="EK156">IFERROR(INDEX(TABLACONSOLIDADA[Buff Act],MATCH("AGROINSUMOSLAFINCA"&amp;Tabla_Buffers_Agroinsumos[[#This Row],[CODIGO ]],TABLACONSOLIDADA[Bodega]&amp;TABLACONSOLIDADA[Codigo],0)),"")</f>
        <v/>
      </c>
      <c r="EL156" s="157" t="str">
        <f t="array" ref="EL156">IFERROR(INDEX(TABLACONSOLIDADA[Inv Fís Act],MATCH("AGROINSUMOSLAFINCA"&amp;Tabla_Buffers_Agroinsumos[[#This Row],[CODIGO ]],TABLACONSOLIDADA[Bodega]&amp;TABLACONSOLIDADA[Codigo],0)),"")</f>
        <v/>
      </c>
      <c r="EM156" s="157" t="str">
        <f t="array" ref="EM15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5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56" s="134">
        <f>IFERROR(SUM(Tabla_Buffers_Agroinsumos[[#This Row],[LF-MP]:[LF-VL]]),"")</f>
        <v>0</v>
      </c>
      <c r="EP156" s="92" t="str">
        <f>IFERROR(Tabla_Buffers_Agroinsumos[[#This Row],[INV FIS LF]]-Tabla_Buffers_Agroinsumos[[#This Row],[BUFFER LF]],"")</f>
        <v/>
      </c>
      <c r="EQ15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56" s="134"/>
      <c r="ES156" s="134"/>
      <c r="ET156" s="134"/>
      <c r="EU156" s="134"/>
      <c r="EV156" s="134"/>
      <c r="EW156" s="134"/>
      <c r="EX156" s="134"/>
      <c r="EY156" s="134"/>
      <c r="EZ156" s="134"/>
      <c r="FA156" s="134" t="str">
        <f t="array" ref="FA156">IFERROR(INDEX(TABLACONSOLIDADA[Buff Act],MATCH("AGROINSUMOSVERONICALEDESMA"&amp;Tabla_Buffers_Agroinsumos[[#This Row],[CODIGO ]],TABLACONSOLIDADA[Bodega]&amp;TABLACONSOLIDADA[Codigo],0)),"")</f>
        <v/>
      </c>
      <c r="FB156" s="157" t="str">
        <f t="array" ref="FB156">IFERROR(INDEX(TABLACONSOLIDADA[Inv Fís Act],MATCH("AGROINSUMOSVERONICALEDESMA"&amp;Tabla_Buffers_Agroinsumos[[#This Row],[CODIGO ]],TABLACONSOLIDADA[Bodega]&amp;TABLACONSOLIDADA[Codigo],0)),"")</f>
        <v/>
      </c>
      <c r="FC156" s="157" t="str">
        <f t="array" ref="FC15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5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56" s="134">
        <f>IFERROR(SUM(Tabla_Buffers_Agroinsumos[[#This Row],[VL-MP]:[VL-LF]]),"")</f>
        <v>0</v>
      </c>
      <c r="FF156" s="92" t="str">
        <f>IFERROR(Tabla_Buffers_Agroinsumos[[#This Row],[INV FIS VL]]-Tabla_Buffers_Agroinsumos[[#This Row],[BUFFER VL]],"")</f>
        <v/>
      </c>
      <c r="FG15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56" s="134"/>
      <c r="FI156" s="134"/>
      <c r="FJ156" s="134"/>
      <c r="FK156" s="134"/>
      <c r="FL156" s="134"/>
      <c r="FM156" s="134"/>
      <c r="FN156" s="134"/>
      <c r="FO156" s="134"/>
      <c r="FP156" s="134"/>
    </row>
    <row r="157" spans="1:172">
      <c r="A157" s="7" t="s">
        <v>746</v>
      </c>
      <c r="B157" s="7" t="s">
        <v>747</v>
      </c>
      <c r="C157" s="7" t="s">
        <v>709</v>
      </c>
      <c r="D157" s="7" t="s">
        <v>732</v>
      </c>
      <c r="E157" s="7" t="s">
        <v>975</v>
      </c>
      <c r="F157" s="19" t="s">
        <v>698</v>
      </c>
      <c r="G157" s="19" t="s">
        <v>698</v>
      </c>
      <c r="H157" s="19">
        <f>VLOOKUP(Tabla_Buffers_Agroinsumos[[#This Row],[CODIGO ]],TABLACONSOLIDADA[[Codigo]:[PV]],6,0)</f>
        <v>62.5</v>
      </c>
      <c r="I157" s="19">
        <f>VLOOKUP(Tabla_Buffers_Agroinsumos[[#This Row],[CODIGO ]],TABLACONSOLIDADA[[Codigo]:[PV]],5,0)</f>
        <v>40.32</v>
      </c>
      <c r="J157" s="19" t="s">
        <v>698</v>
      </c>
      <c r="K157" s="19" t="s">
        <v>698</v>
      </c>
      <c r="L157" s="19">
        <f>IFERROR(Tabla_Buffers_Agroinsumos[[#This Row],[BUFFER CENTRAL]]/((Tabla_Buffers_Agroinsumos[[#This Row],[TIEMPO REPOSICION ]]/Tabla_Buffers_Agroinsumos[[#This Row],[FRECUENCIA]])+1),0)</f>
        <v>0</v>
      </c>
      <c r="M157" s="19" t="str">
        <f t="array" ref="M157">IFERROR(INDEX(TABLACONSOLIDADA[Buff Act],MATCH("AGROINSUMOSMATERIAPRIMA"&amp;Tabla_Buffers_Agroinsumos[[#This Row],[CODIGO ]],TABLACONSOLIDADA[Bodega]&amp;TABLACONSOLIDADA[Codigo],0)),"")</f>
        <v/>
      </c>
      <c r="N157" s="157" t="str">
        <f t="array" ref="N157">IFERROR(INDEX(TABLACONSOLIDADA[Inv Fís Act],MATCH("AGROINSUMOSMATERIAPRIMA"&amp;Tabla_Buffers_Agroinsumos[[#This Row],[CODIGO ]],TABLACONSOLIDADA[Bodega]&amp;TABLACONSOLIDADA[Codigo],0)),"")</f>
        <v/>
      </c>
      <c r="O157" s="157" t="str">
        <f t="array" ref="O15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5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57" s="19">
        <f>IFERROR(SUM(Tabla_Buffers_Agroinsumos[[#This Row],[MP-C]:[MP-VL]]),"")</f>
        <v>0</v>
      </c>
      <c r="R157" s="92" t="str">
        <f>IFERROR(Tabla_Buffers_Agroinsumos[[#This Row],[INV FIS MATERIA PRIMA]]-Tabla_Buffers_Agroinsumos[[#This Row],[BUFFER MATERIA PRIMA]],"")</f>
        <v/>
      </c>
      <c r="S15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57" s="19"/>
      <c r="U157" s="19"/>
      <c r="V157" s="19"/>
      <c r="W157" s="19"/>
      <c r="X157" s="19"/>
      <c r="Y157" s="19"/>
      <c r="Z157" s="19"/>
      <c r="AA157" s="19"/>
      <c r="AB157" s="19"/>
      <c r="AC157" s="152">
        <f t="array" ref="AC157">IFERROR(INDEX(TABLACONSOLIDADA[Buff Act],MATCH("AGROINSUMOSCENTRAL"&amp;Tabla_Buffers_Agroinsumos[[#This Row],[CODIGO ]],TABLACONSOLIDADA[Bodega]&amp;TABLACONSOLIDADA[Codigo],0)),"")</f>
        <v>0</v>
      </c>
      <c r="AD157" s="157">
        <f t="array" ref="AD157">IFERROR(INDEX(TABLACONSOLIDADA[Inv Fís Act],MATCH("AGROINSUMOSCENTRAL"&amp;Tabla_Buffers_Agroinsumos[[#This Row],[CODIGO ]],TABLACONSOLIDADA[Bodega]&amp;TABLACONSOLIDADA[Codigo],0)),"")</f>
        <v>79</v>
      </c>
      <c r="AE157" s="157">
        <f t="array" ref="AE15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79</v>
      </c>
      <c r="AF15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57" s="91">
        <f>IFERROR(SUM(Tabla_Buffers_Agroinsumos[[#This Row],[C-MP]:[C-VL]]),"")</f>
        <v>0</v>
      </c>
      <c r="AH157" s="92">
        <f>IFERROR(Tabla_Buffers_Agroinsumos[[#This Row],[INV FIS CENTRAL]]-Tabla_Buffers_Agroinsumos[[#This Row],[BUFFER CENTRAL]],"")</f>
        <v>79</v>
      </c>
      <c r="AI15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79</v>
      </c>
      <c r="AJ157" s="134"/>
      <c r="AK157" s="134"/>
      <c r="AL157" s="134"/>
      <c r="AM157" s="134"/>
      <c r="AN157" s="134"/>
      <c r="AO157" s="134"/>
      <c r="AP157" s="134"/>
      <c r="AQ157" s="134"/>
      <c r="AR157" s="134"/>
      <c r="AS157" s="134">
        <f t="array" ref="AS157">IFERROR(INDEX(TABLACONSOLIDADA[Buff Act],MATCH("AGROINSUMOScentralPROPIA"&amp;Tabla_Buffers_Agroinsumos[[#This Row],[CODIGO ]],TABLACONSOLIDADA[Bodega]&amp;TABLACONSOLIDADA[Codigo],0)),"")</f>
        <v>12</v>
      </c>
      <c r="AT157" s="157">
        <f t="array" ref="AT157">IFERROR(INDEX(TABLACONSOLIDADA[Inv Fís Act],MATCH("AGROINSUMOScentralPROPIA"&amp;Tabla_Buffers_Agroinsumos[[#This Row],[CODIGO ]],TABLACONSOLIDADA[Bodega]&amp;TABLACONSOLIDADA[Codigo],0)),"")</f>
        <v>0</v>
      </c>
      <c r="AU157" s="157">
        <f t="array" ref="AU15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15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57" s="134">
        <f>IFERROR(SUM(Tabla_Buffers_Agroinsumos[[#This Row],[P-MP]:[P-VL]]),"")</f>
        <v>0</v>
      </c>
      <c r="AX157" s="92">
        <f>IFERROR(Tabla_Buffers_Agroinsumos[[#This Row],[INV FIS PROPIA]]-Tabla_Buffers_Agroinsumos[[#This Row],[BUFFER PROPIA]],"")</f>
        <v>-12</v>
      </c>
      <c r="AY15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</v>
      </c>
      <c r="AZ157" s="134"/>
      <c r="BA157" s="134"/>
      <c r="BB157" s="134"/>
      <c r="BC157" s="134"/>
      <c r="BD157" s="134"/>
      <c r="BE157" s="134"/>
      <c r="BF157" s="134"/>
      <c r="BG157" s="134"/>
      <c r="BH157" s="134"/>
      <c r="BI157" s="91">
        <f t="array" ref="BI157">IFERROR(INDEX(TABLACONSOLIDADA[Buff Act],MATCH("AGROINSUMOSSTODOMINGO"&amp;Tabla_Buffers_Agroinsumos[[#This Row],[CODIGO ]],TABLACONSOLIDADA[Bodega]&amp;TABLACONSOLIDADA[Codigo],0)),"")</f>
        <v>0</v>
      </c>
      <c r="BJ157" s="157">
        <f t="array" ref="BJ157">IFERROR(INDEX(TABLACONSOLIDADA[Inv Fís Act],MATCH("AGROINSUMOSSTODOMINGO"&amp;Tabla_Buffers_Agroinsumos[[#This Row],[CODIGO ]],TABLACONSOLIDADA[Bodega]&amp;TABLACONSOLIDADA[Codigo],0)),"")</f>
        <v>10</v>
      </c>
      <c r="BK157" s="157">
        <f t="array" ref="BK15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10</v>
      </c>
      <c r="BL15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57" s="91">
        <f>IFERROR(SUM(Tabla_Buffers_Agroinsumos[[#This Row],[SD-MP]:[SD-VL]]),"")</f>
        <v>0</v>
      </c>
      <c r="BN157" s="92"/>
      <c r="BO157" s="92"/>
      <c r="BP157" s="134"/>
      <c r="BQ157" s="134"/>
      <c r="BR157" s="134"/>
      <c r="BS157" s="134"/>
      <c r="BT157" s="134"/>
      <c r="BU157" s="134"/>
      <c r="BV157" s="134"/>
      <c r="BW157" s="134"/>
      <c r="BX157" s="134"/>
      <c r="BY157" s="134">
        <f t="array" ref="BY157">IFERROR(INDEX(TABLACONSOLIDADA[Buff Act],MATCH("AGROINSUMOSMONCAYOLOPEZ"&amp;Tabla_Buffers_Agroinsumos[[#This Row],[CODIGO ]],TABLACONSOLIDADA[Bodega]&amp;TABLACONSOLIDADA[Codigo],0)),"")</f>
        <v>0</v>
      </c>
      <c r="BZ157" s="157">
        <f t="array" ref="BZ157">IFERROR(INDEX(TABLACONSOLIDADA[Inv Fís Act],MATCH("AGROINSUMOSMONCAYOLOPEZ"&amp;Tabla_Buffers_Agroinsumos[[#This Row],[CODIGO ]],TABLACONSOLIDADA[Bodega]&amp;TABLACONSOLIDADA[Codigo],0)),"")</f>
        <v>0</v>
      </c>
      <c r="CA157" s="157">
        <f t="array" ref="CA15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15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57" s="134">
        <f>IFERROR(SUM(Tabla_Buffers_Agroinsumos[[#This Row],[ML-MP]:[ML-VL]]),"")</f>
        <v>0</v>
      </c>
      <c r="CD157" s="92">
        <f>IFERROR(Tabla_Buffers_Agroinsumos[[#This Row],[INV FIS ML]]-Tabla_Buffers_Agroinsumos[[#This Row],[BUFFER ML]],"")</f>
        <v>0</v>
      </c>
      <c r="CE157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157" s="134"/>
      <c r="CG157" s="134"/>
      <c r="CH157" s="134"/>
      <c r="CI157" s="134"/>
      <c r="CJ157" s="134"/>
      <c r="CK157" s="134"/>
      <c r="CL157" s="134"/>
      <c r="CM157" s="134"/>
      <c r="CN157" s="134"/>
      <c r="CO157" s="134">
        <f t="array" ref="CO157">IFERROR(INDEX(TABLACONSOLIDADA[Buff Act],MATCH("AGROINSUMOSAGROHERMANOSLEON"&amp;Tabla_Buffers_Agroinsumos[[#This Row],[CODIGO ]],TABLACONSOLIDADA[Bodega]&amp;TABLACONSOLIDADA[Codigo],0)),"")</f>
        <v>0</v>
      </c>
      <c r="CP157" s="157">
        <f t="array" ref="CP157">IFERROR(INDEX(TABLACONSOLIDADA[Inv Fís Act],MATCH("AGROINSUMOSAGROHERMANOSLEON"&amp;Tabla_Buffers_Agroinsumos[[#This Row],[CODIGO ]],TABLACONSOLIDADA[Bodega]&amp;TABLACONSOLIDADA[Codigo],0)),"")</f>
        <v>0</v>
      </c>
      <c r="CQ157" s="157">
        <f t="array" ref="CQ15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15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57" s="134">
        <f>IFERROR(SUM(Tabla_Buffers_Agroinsumos[[#This Row],[AL-MP]:[AL-VL]]),"")</f>
        <v>0</v>
      </c>
      <c r="CT157" s="92">
        <f>IFERROR(Tabla_Buffers_Agroinsumos[[#This Row],[INV FIS AL]]-Tabla_Buffers_Agroinsumos[[#This Row],[BUFFER AL]],"")</f>
        <v>0</v>
      </c>
      <c r="CU15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157" s="134"/>
      <c r="CW157" s="134"/>
      <c r="CX157" s="134"/>
      <c r="CY157" s="134"/>
      <c r="CZ157" s="134"/>
      <c r="DA157" s="134"/>
      <c r="DB157" s="134"/>
      <c r="DC157" s="134"/>
      <c r="DD157" s="134"/>
      <c r="DE157" s="134">
        <f t="array" ref="DE157">IFERROR(INDEX(TABLACONSOLIDADA[Buff Act],MATCH("AGROINSUMOSAGRONUEVO"&amp;Tabla_Buffers_Agroinsumos[[#This Row],[CODIGO ]],TABLACONSOLIDADA[Bodega]&amp;TABLACONSOLIDADA[Codigo],0)),"")</f>
        <v>0</v>
      </c>
      <c r="DF157" s="157">
        <f t="array" ref="DF157">IFERROR(INDEX(TABLACONSOLIDADA[Inv Fís Act],MATCH("AGROINSUMOSAGRONUEVO"&amp;Tabla_Buffers_Agroinsumos[[#This Row],[CODIGO ]],TABLACONSOLIDADA[Bodega]&amp;TABLACONSOLIDADA[Codigo],0)),"")</f>
        <v>0</v>
      </c>
      <c r="DG157" s="157">
        <f t="array" ref="DG15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15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57" s="134">
        <f>IFERROR(SUM(Tabla_Buffers_Agroinsumos[[#This Row],[AN-MP]:[AN-VL]]),"")</f>
        <v>0</v>
      </c>
      <c r="DJ157" s="92">
        <f>IFERROR(Tabla_Buffers_Agroinsumos[[#This Row],[INV FIS AN]]-Tabla_Buffers_Agroinsumos[[#This Row],[BUFFER AN]],"")</f>
        <v>0</v>
      </c>
      <c r="DK15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157" s="134"/>
      <c r="DM157" s="134"/>
      <c r="DN157" s="134"/>
      <c r="DO157" s="134"/>
      <c r="DP157" s="134"/>
      <c r="DQ157" s="134"/>
      <c r="DR157" s="134"/>
      <c r="DS157" s="134"/>
      <c r="DT157" s="134"/>
      <c r="DU157" s="134">
        <f t="array" ref="DU157">IFERROR(INDEX(TABLACONSOLIDADA[Buff Act],MATCH("AGROINSUMOSAGROQUIMICOSSUR"&amp;Tabla_Buffers_Agroinsumos[[#This Row],[CODIGO ]],TABLACONSOLIDADA[Bodega]&amp;TABLACONSOLIDADA[Codigo],0)),"")</f>
        <v>0</v>
      </c>
      <c r="DV157" s="157">
        <f t="array" ref="DV157">IFERROR(INDEX(TABLACONSOLIDADA[Inv Fís Act],MATCH("AGROINSUMOSAGROQUIMICOSSUR"&amp;Tabla_Buffers_Agroinsumos[[#This Row],[CODIGO ]],TABLACONSOLIDADA[Bodega]&amp;TABLACONSOLIDADA[Codigo],0)),"")</f>
        <v>0</v>
      </c>
      <c r="DW157" s="157">
        <f t="array" ref="DW15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15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57" s="134">
        <f>IFERROR(SUM(Tabla_Buffers_Agroinsumos[[#This Row],[AS-MP]:[AS-VL]]),"")</f>
        <v>0</v>
      </c>
      <c r="DZ157" s="92">
        <f>IFERROR(Tabla_Buffers_Agroinsumos[[#This Row],[INV FIS AS]]-Tabla_Buffers_Agroinsumos[[#This Row],[BUFFER AS]],"")</f>
        <v>0</v>
      </c>
      <c r="EA15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157" s="134"/>
      <c r="EC157" s="134"/>
      <c r="ED157" s="134"/>
      <c r="EE157" s="134"/>
      <c r="EF157" s="134"/>
      <c r="EG157" s="134"/>
      <c r="EH157" s="134"/>
      <c r="EI157" s="134"/>
      <c r="EJ157" s="134"/>
      <c r="EK157" s="134">
        <f t="array" ref="EK157">IFERROR(INDEX(TABLACONSOLIDADA[Buff Act],MATCH("AGROINSUMOSLAFINCA"&amp;Tabla_Buffers_Agroinsumos[[#This Row],[CODIGO ]],TABLACONSOLIDADA[Bodega]&amp;TABLACONSOLIDADA[Codigo],0)),"")</f>
        <v>0</v>
      </c>
      <c r="EL157" s="157">
        <f t="array" ref="EL157">IFERROR(INDEX(TABLACONSOLIDADA[Inv Fís Act],MATCH("AGROINSUMOSLAFINCA"&amp;Tabla_Buffers_Agroinsumos[[#This Row],[CODIGO ]],TABLACONSOLIDADA[Bodega]&amp;TABLACONSOLIDADA[Codigo],0)),"")</f>
        <v>0</v>
      </c>
      <c r="EM157" s="157">
        <f t="array" ref="EM15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15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57" s="134">
        <f>IFERROR(SUM(Tabla_Buffers_Agroinsumos[[#This Row],[LF-MP]:[LF-VL]]),"")</f>
        <v>0</v>
      </c>
      <c r="EP157" s="92">
        <f>IFERROR(Tabla_Buffers_Agroinsumos[[#This Row],[INV FIS LF]]-Tabla_Buffers_Agroinsumos[[#This Row],[BUFFER LF]],"")</f>
        <v>0</v>
      </c>
      <c r="EQ15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157" s="134"/>
      <c r="ES157" s="134"/>
      <c r="ET157" s="134"/>
      <c r="EU157" s="134"/>
      <c r="EV157" s="134"/>
      <c r="EW157" s="134"/>
      <c r="EX157" s="134"/>
      <c r="EY157" s="134"/>
      <c r="EZ157" s="134"/>
      <c r="FA157" s="134">
        <f t="array" ref="FA157">IFERROR(INDEX(TABLACONSOLIDADA[Buff Act],MATCH("AGROINSUMOSVERONICALEDESMA"&amp;Tabla_Buffers_Agroinsumos[[#This Row],[CODIGO ]],TABLACONSOLIDADA[Bodega]&amp;TABLACONSOLIDADA[Codigo],0)),"")</f>
        <v>0</v>
      </c>
      <c r="FB157" s="157">
        <f t="array" ref="FB157">IFERROR(INDEX(TABLACONSOLIDADA[Inv Fís Act],MATCH("AGROINSUMOSVERONICALEDESMA"&amp;Tabla_Buffers_Agroinsumos[[#This Row],[CODIGO ]],TABLACONSOLIDADA[Bodega]&amp;TABLACONSOLIDADA[Codigo],0)),"")</f>
        <v>0</v>
      </c>
      <c r="FC157" s="157">
        <f t="array" ref="FC15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15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57" s="134">
        <f>IFERROR(SUM(Tabla_Buffers_Agroinsumos[[#This Row],[VL-MP]:[VL-LF]]),"")</f>
        <v>0</v>
      </c>
      <c r="FF157" s="92">
        <f>IFERROR(Tabla_Buffers_Agroinsumos[[#This Row],[INV FIS VL]]-Tabla_Buffers_Agroinsumos[[#This Row],[BUFFER VL]],"")</f>
        <v>0</v>
      </c>
      <c r="FG15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157" s="134"/>
      <c r="FI157" s="134"/>
      <c r="FJ157" s="134"/>
      <c r="FK157" s="134"/>
      <c r="FL157" s="134"/>
      <c r="FM157" s="134"/>
      <c r="FN157" s="134"/>
      <c r="FO157" s="134"/>
      <c r="FP157" s="134"/>
    </row>
    <row r="158" spans="1:172">
      <c r="A158" s="20" t="s">
        <v>1229</v>
      </c>
      <c r="B158" s="20" t="s">
        <v>1230</v>
      </c>
      <c r="C158" s="20" t="s">
        <v>716</v>
      </c>
      <c r="D158" s="20" t="s">
        <v>718</v>
      </c>
      <c r="E158" s="20" t="s">
        <v>863</v>
      </c>
      <c r="F158" s="111" t="s">
        <v>808</v>
      </c>
      <c r="G158" s="111" t="s">
        <v>802</v>
      </c>
      <c r="H158" s="111" t="e">
        <f>VLOOKUP(Tabla_Buffers_Agroinsumos[[#This Row],[CODIGO ]],TABLACONSOLIDADA[[Codigo]:[PV]],6,0)</f>
        <v>#N/A</v>
      </c>
      <c r="I158" s="111" t="e">
        <f>VLOOKUP(Tabla_Buffers_Agroinsumos[[#This Row],[CODIGO ]],TABLACONSOLIDADA[[Codigo]:[PV]],5,0)</f>
        <v>#N/A</v>
      </c>
      <c r="J158" s="111"/>
      <c r="K158" s="111"/>
      <c r="L158" s="111">
        <f>IFERROR(Tabla_Buffers_Agroinsumos[[#This Row],[BUFFER CENTRAL]]/((Tabla_Buffers_Agroinsumos[[#This Row],[TIEMPO REPOSICION ]]/Tabla_Buffers_Agroinsumos[[#This Row],[FRECUENCIA]])+1),0)</f>
        <v>0</v>
      </c>
      <c r="M158" s="111">
        <v>1000</v>
      </c>
      <c r="N158" s="111" t="str">
        <f t="array" ref="N158">IFERROR(INDEX(TABLACONSOLIDADA[Inv Fís Act],MATCH("AGROINSUMOSMATERIAPRIMA"&amp;Tabla_Buffers_Agroinsumos[[#This Row],[CODIGO ]],TABLACONSOLIDADA[Bodega]&amp;TABLACONSOLIDADA[Codigo],0)),"")</f>
        <v/>
      </c>
      <c r="O158" s="161" t="str">
        <f t="array" ref="O15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58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58" s="111">
        <f>IFERROR(SUM(Tabla_Buffers_Agroinsumos[[#This Row],[MP-C]:[MP-VL]]),"")</f>
        <v>0</v>
      </c>
      <c r="R158" s="154" t="str">
        <f>IFERROR(Tabla_Buffers_Agroinsumos[[#This Row],[INV FIS MATERIA PRIMA]]-Tabla_Buffers_Agroinsumos[[#This Row],[BUFFER MATERIA PRIMA]],"")</f>
        <v/>
      </c>
      <c r="S158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58" s="111"/>
      <c r="U158" s="111"/>
      <c r="V158" s="111"/>
      <c r="W158" s="111"/>
      <c r="X158" s="111"/>
      <c r="Y158" s="111"/>
      <c r="Z158" s="111"/>
      <c r="AA158" s="111"/>
      <c r="AB158" s="111"/>
      <c r="AC158" s="152" t="str">
        <f t="array" ref="AC158">IFERROR(INDEX(TABLACONSOLIDADA[Buff Act],MATCH("AGROINSUMOSCENTRAL"&amp;Tabla_Buffers_Agroinsumos[[#This Row],[CODIGO ]],TABLACONSOLIDADA[Bodega]&amp;TABLACONSOLIDADA[Codigo],0)),"")</f>
        <v/>
      </c>
      <c r="AD158" s="111" t="str">
        <f t="array" ref="AD158">IFERROR(INDEX(TABLACONSOLIDADA[Inv Fís Act],MATCH("AGROINSUMOSCENTRAL"&amp;Tabla_Buffers_Agroinsumos[[#This Row],[CODIGO ]],TABLACONSOLIDADA[Bodega]&amp;TABLACONSOLIDADA[Codigo],0)),"")</f>
        <v/>
      </c>
      <c r="AE158" s="161" t="str">
        <f t="array" ref="AE15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58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58" s="153">
        <f>IFERROR(SUM(Tabla_Buffers_Agroinsumos[[#This Row],[C-MP]:[C-VL]]),"")</f>
        <v>0</v>
      </c>
      <c r="AH158" s="154" t="str">
        <f>IFERROR(Tabla_Buffers_Agroinsumos[[#This Row],[INV FIS CENTRAL]]-Tabla_Buffers_Agroinsumos[[#This Row],[BUFFER CENTRAL]],"")</f>
        <v/>
      </c>
      <c r="AI158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58" s="135"/>
      <c r="AK158" s="135"/>
      <c r="AL158" s="135"/>
      <c r="AM158" s="135"/>
      <c r="AN158" s="135"/>
      <c r="AO158" s="135"/>
      <c r="AP158" s="135"/>
      <c r="AQ158" s="135"/>
      <c r="AR158" s="135"/>
      <c r="AS158" s="135" t="str">
        <f t="array" ref="AS158">IFERROR(INDEX(TABLACONSOLIDADA[Buff Act],MATCH("AGROINSUMOScentralPROPIA"&amp;Tabla_Buffers_Agroinsumos[[#This Row],[CODIGO ]],TABLACONSOLIDADA[Bodega]&amp;TABLACONSOLIDADA[Codigo],0)),"")</f>
        <v/>
      </c>
      <c r="AT158" s="111" t="str">
        <f t="array" ref="AT158">IFERROR(INDEX(TABLACONSOLIDADA[Inv Fís Act],MATCH("AGROINSUMOScentralPROPIA"&amp;Tabla_Buffers_Agroinsumos[[#This Row],[CODIGO ]],TABLACONSOLIDADA[Bodega]&amp;TABLACONSOLIDADA[Codigo],0)),"")</f>
        <v/>
      </c>
      <c r="AU158" s="161" t="str">
        <f t="array" ref="AU15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58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58" s="135">
        <f>IFERROR(SUM(Tabla_Buffers_Agroinsumos[[#This Row],[P-MP]:[P-VL]]),"")</f>
        <v>0</v>
      </c>
      <c r="AX158" s="154" t="str">
        <f>IFERROR(Tabla_Buffers_Agroinsumos[[#This Row],[INV FIS PROPIA]]-Tabla_Buffers_Agroinsumos[[#This Row],[BUFFER PROPIA]],"")</f>
        <v/>
      </c>
      <c r="AY158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58" s="135"/>
      <c r="BA158" s="135"/>
      <c r="BB158" s="135"/>
      <c r="BC158" s="135"/>
      <c r="BD158" s="135"/>
      <c r="BE158" s="135"/>
      <c r="BF158" s="135"/>
      <c r="BG158" s="135"/>
      <c r="BH158" s="135"/>
      <c r="BI158" s="153" t="str">
        <f t="array" ref="BI158">IFERROR(INDEX(TABLACONSOLIDADA[Buff Act],MATCH("AGROINSUMOSSTODOMINGO"&amp;Tabla_Buffers_Agroinsumos[[#This Row],[CODIGO ]],TABLACONSOLIDADA[Bodega]&amp;TABLACONSOLIDADA[Codigo],0)),"")</f>
        <v/>
      </c>
      <c r="BJ158" s="111" t="str">
        <f t="array" ref="BJ158">IFERROR(INDEX(TABLACONSOLIDADA[Inv Fís Act],MATCH("AGROINSUMOSSTODOMINGO"&amp;Tabla_Buffers_Agroinsumos[[#This Row],[CODIGO ]],TABLACONSOLIDADA[Bodega]&amp;TABLACONSOLIDADA[Codigo],0)),"")</f>
        <v/>
      </c>
      <c r="BK158" s="161" t="str">
        <f t="array" ref="BK15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58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58" s="153">
        <f>IFERROR(SUM(Tabla_Buffers_Agroinsumos[[#This Row],[SD-MP]:[SD-VL]]),"")</f>
        <v>0</v>
      </c>
      <c r="BN158" s="154"/>
      <c r="BO158" s="154"/>
      <c r="BP158" s="135"/>
      <c r="BQ158" s="135"/>
      <c r="BR158" s="135"/>
      <c r="BS158" s="135"/>
      <c r="BT158" s="135"/>
      <c r="BU158" s="135"/>
      <c r="BV158" s="135"/>
      <c r="BW158" s="135"/>
      <c r="BX158" s="135"/>
      <c r="BY158" s="135" t="str">
        <f t="array" ref="BY158">IFERROR(INDEX(TABLACONSOLIDADA[Buff Act],MATCH("AGROINSUMOSMONCAYOLOPEZ"&amp;Tabla_Buffers_Agroinsumos[[#This Row],[CODIGO ]],TABLACONSOLIDADA[Bodega]&amp;TABLACONSOLIDADA[Codigo],0)),"")</f>
        <v/>
      </c>
      <c r="BZ158" s="111" t="str">
        <f t="array" ref="BZ158">IFERROR(INDEX(TABLACONSOLIDADA[Inv Fís Act],MATCH("AGROINSUMOSMONCAYOLOPEZ"&amp;Tabla_Buffers_Agroinsumos[[#This Row],[CODIGO ]],TABLACONSOLIDADA[Bodega]&amp;TABLACONSOLIDADA[Codigo],0)),"")</f>
        <v/>
      </c>
      <c r="CA158" s="161" t="str">
        <f t="array" ref="CA15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58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58" s="135">
        <f>IFERROR(SUM(Tabla_Buffers_Agroinsumos[[#This Row],[ML-MP]:[ML-VL]]),"")</f>
        <v>0</v>
      </c>
      <c r="CD158" s="154" t="str">
        <f>IFERROR(Tabla_Buffers_Agroinsumos[[#This Row],[INV FIS ML]]-Tabla_Buffers_Agroinsumos[[#This Row],[BUFFER ML]],"")</f>
        <v/>
      </c>
      <c r="CE158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58" s="135"/>
      <c r="CG158" s="135"/>
      <c r="CH158" s="135"/>
      <c r="CI158" s="135"/>
      <c r="CJ158" s="135"/>
      <c r="CK158" s="135"/>
      <c r="CL158" s="135"/>
      <c r="CM158" s="135"/>
      <c r="CN158" s="135"/>
      <c r="CO158" s="135" t="str">
        <f t="array" ref="CO158">IFERROR(INDEX(TABLACONSOLIDADA[Buff Act],MATCH("AGROINSUMOSAGROHERMANOSLEON"&amp;Tabla_Buffers_Agroinsumos[[#This Row],[CODIGO ]],TABLACONSOLIDADA[Bodega]&amp;TABLACONSOLIDADA[Codigo],0)),"")</f>
        <v/>
      </c>
      <c r="CP158" s="111" t="str">
        <f t="array" ref="CP158">IFERROR(INDEX(TABLACONSOLIDADA[Inv Fís Act],MATCH("AGROINSUMOSAGROHERMANOSLEON"&amp;Tabla_Buffers_Agroinsumos[[#This Row],[CODIGO ]],TABLACONSOLIDADA[Bodega]&amp;TABLACONSOLIDADA[Codigo],0)),"")</f>
        <v/>
      </c>
      <c r="CQ158" s="161" t="str">
        <f t="array" ref="CQ15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58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58" s="135">
        <f>IFERROR(SUM(Tabla_Buffers_Agroinsumos[[#This Row],[AL-MP]:[AL-VL]]),"")</f>
        <v>0</v>
      </c>
      <c r="CT158" s="154" t="str">
        <f>IFERROR(Tabla_Buffers_Agroinsumos[[#This Row],[INV FIS AL]]-Tabla_Buffers_Agroinsumos[[#This Row],[BUFFER AL]],"")</f>
        <v/>
      </c>
      <c r="CU158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58" s="135"/>
      <c r="CW158" s="135"/>
      <c r="CX158" s="135"/>
      <c r="CY158" s="135"/>
      <c r="CZ158" s="135"/>
      <c r="DA158" s="135"/>
      <c r="DB158" s="135"/>
      <c r="DC158" s="135"/>
      <c r="DD158" s="135"/>
      <c r="DE158" s="135" t="str">
        <f t="array" ref="DE158">IFERROR(INDEX(TABLACONSOLIDADA[Buff Act],MATCH("AGROINSUMOSAGRONUEVO"&amp;Tabla_Buffers_Agroinsumos[[#This Row],[CODIGO ]],TABLACONSOLIDADA[Bodega]&amp;TABLACONSOLIDADA[Codigo],0)),"")</f>
        <v/>
      </c>
      <c r="DF158" s="111" t="str">
        <f t="array" ref="DF158">IFERROR(INDEX(TABLACONSOLIDADA[Inv Fís Act],MATCH("AGROINSUMOSAGRONUEVO"&amp;Tabla_Buffers_Agroinsumos[[#This Row],[CODIGO ]],TABLACONSOLIDADA[Bodega]&amp;TABLACONSOLIDADA[Codigo],0)),"")</f>
        <v/>
      </c>
      <c r="DG158" s="161" t="str">
        <f t="array" ref="DG15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58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58" s="135">
        <f>IFERROR(SUM(Tabla_Buffers_Agroinsumos[[#This Row],[AN-MP]:[AN-VL]]),"")</f>
        <v>0</v>
      </c>
      <c r="DJ158" s="154" t="str">
        <f>IFERROR(Tabla_Buffers_Agroinsumos[[#This Row],[INV FIS AN]]-Tabla_Buffers_Agroinsumos[[#This Row],[BUFFER AN]],"")</f>
        <v/>
      </c>
      <c r="DK158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58" s="135"/>
      <c r="DM158" s="135"/>
      <c r="DN158" s="135"/>
      <c r="DO158" s="135"/>
      <c r="DP158" s="135"/>
      <c r="DQ158" s="135"/>
      <c r="DR158" s="135"/>
      <c r="DS158" s="135"/>
      <c r="DT158" s="135"/>
      <c r="DU158" s="135" t="str">
        <f t="array" ref="DU158">IFERROR(INDEX(TABLACONSOLIDADA[Buff Act],MATCH("AGROINSUMOSAGROQUIMICOSSUR"&amp;Tabla_Buffers_Agroinsumos[[#This Row],[CODIGO ]],TABLACONSOLIDADA[Bodega]&amp;TABLACONSOLIDADA[Codigo],0)),"")</f>
        <v/>
      </c>
      <c r="DV158" s="111" t="str">
        <f t="array" ref="DV158">IFERROR(INDEX(TABLACONSOLIDADA[Inv Fís Act],MATCH("AGROINSUMOSAGROQUIMICOSSUR"&amp;Tabla_Buffers_Agroinsumos[[#This Row],[CODIGO ]],TABLACONSOLIDADA[Bodega]&amp;TABLACONSOLIDADA[Codigo],0)),"")</f>
        <v/>
      </c>
      <c r="DW158" s="161" t="str">
        <f t="array" ref="DW15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58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58" s="135">
        <f>IFERROR(SUM(Tabla_Buffers_Agroinsumos[[#This Row],[AS-MP]:[AS-VL]]),"")</f>
        <v>0</v>
      </c>
      <c r="DZ158" s="154" t="str">
        <f>IFERROR(Tabla_Buffers_Agroinsumos[[#This Row],[INV FIS AS]]-Tabla_Buffers_Agroinsumos[[#This Row],[BUFFER AS]],"")</f>
        <v/>
      </c>
      <c r="EA158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58" s="135"/>
      <c r="EC158" s="135"/>
      <c r="ED158" s="135"/>
      <c r="EE158" s="135"/>
      <c r="EF158" s="135"/>
      <c r="EG158" s="135"/>
      <c r="EH158" s="135"/>
      <c r="EI158" s="135"/>
      <c r="EJ158" s="135"/>
      <c r="EK158" s="135" t="str">
        <f t="array" ref="EK158">IFERROR(INDEX(TABLACONSOLIDADA[Buff Act],MATCH("AGROINSUMOSLAFINCA"&amp;Tabla_Buffers_Agroinsumos[[#This Row],[CODIGO ]],TABLACONSOLIDADA[Bodega]&amp;TABLACONSOLIDADA[Codigo],0)),"")</f>
        <v/>
      </c>
      <c r="EL158" s="111" t="str">
        <f t="array" ref="EL158">IFERROR(INDEX(TABLACONSOLIDADA[Inv Fís Act],MATCH("AGROINSUMOSLAFINCA"&amp;Tabla_Buffers_Agroinsumos[[#This Row],[CODIGO ]],TABLACONSOLIDADA[Bodega]&amp;TABLACONSOLIDADA[Codigo],0)),"")</f>
        <v/>
      </c>
      <c r="EM158" s="161" t="str">
        <f t="array" ref="EM15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58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58" s="135">
        <f>IFERROR(SUM(Tabla_Buffers_Agroinsumos[[#This Row],[LF-MP]:[LF-VL]]),"")</f>
        <v>0</v>
      </c>
      <c r="EP158" s="154" t="str">
        <f>IFERROR(Tabla_Buffers_Agroinsumos[[#This Row],[INV FIS LF]]-Tabla_Buffers_Agroinsumos[[#This Row],[BUFFER LF]],"")</f>
        <v/>
      </c>
      <c r="EQ158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58" s="135"/>
      <c r="ES158" s="135"/>
      <c r="ET158" s="135"/>
      <c r="EU158" s="135"/>
      <c r="EV158" s="135"/>
      <c r="EW158" s="135"/>
      <c r="EX158" s="135"/>
      <c r="EY158" s="135"/>
      <c r="EZ158" s="135"/>
      <c r="FA158" s="135" t="str">
        <f t="array" ref="FA158">IFERROR(INDEX(TABLACONSOLIDADA[Buff Act],MATCH("AGROINSUMOSVERONICALEDESMA"&amp;Tabla_Buffers_Agroinsumos[[#This Row],[CODIGO ]],TABLACONSOLIDADA[Bodega]&amp;TABLACONSOLIDADA[Codigo],0)),"")</f>
        <v/>
      </c>
      <c r="FB158" s="111" t="str">
        <f t="array" ref="FB158">IFERROR(INDEX(TABLACONSOLIDADA[Inv Fís Act],MATCH("AGROINSUMOSVERONICALEDESMA"&amp;Tabla_Buffers_Agroinsumos[[#This Row],[CODIGO ]],TABLACONSOLIDADA[Bodega]&amp;TABLACONSOLIDADA[Codigo],0)),"")</f>
        <v/>
      </c>
      <c r="FC158" s="161" t="str">
        <f t="array" ref="FC15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58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58" s="135">
        <f>IFERROR(SUM(Tabla_Buffers_Agroinsumos[[#This Row],[VL-MP]:[VL-LF]]),"")</f>
        <v>0</v>
      </c>
      <c r="FF158" s="154" t="str">
        <f>IFERROR(Tabla_Buffers_Agroinsumos[[#This Row],[INV FIS VL]]-Tabla_Buffers_Agroinsumos[[#This Row],[BUFFER VL]],"")</f>
        <v/>
      </c>
      <c r="FG158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58" s="135"/>
      <c r="FI158" s="135"/>
      <c r="FJ158" s="135"/>
      <c r="FK158" s="135"/>
      <c r="FL158" s="135"/>
      <c r="FM158" s="135"/>
      <c r="FN158" s="135"/>
      <c r="FO158" s="135"/>
      <c r="FP158" s="135"/>
    </row>
    <row r="159" spans="1:172">
      <c r="A159" s="20" t="s">
        <v>277</v>
      </c>
      <c r="B159" s="20" t="s">
        <v>278</v>
      </c>
      <c r="C159" s="20" t="s">
        <v>716</v>
      </c>
      <c r="D159" s="20" t="s">
        <v>718</v>
      </c>
      <c r="E159" s="20" t="s">
        <v>863</v>
      </c>
      <c r="F159" s="111" t="s">
        <v>808</v>
      </c>
      <c r="G159" s="111" t="s">
        <v>802</v>
      </c>
      <c r="H159" s="111" t="e">
        <f>VLOOKUP(Tabla_Buffers_Agroinsumos[[#This Row],[CODIGO ]],TABLACONSOLIDADA[[Codigo]:[PV]],6,0)</f>
        <v>#N/A</v>
      </c>
      <c r="I159" s="111" t="e">
        <f>VLOOKUP(Tabla_Buffers_Agroinsumos[[#This Row],[CODIGO ]],TABLACONSOLIDADA[[Codigo]:[PV]],5,0)</f>
        <v>#N/A</v>
      </c>
      <c r="J159" s="111"/>
      <c r="K159" s="111"/>
      <c r="L159" s="111">
        <f>IFERROR(Tabla_Buffers_Agroinsumos[[#This Row],[BUFFER CENTRAL]]/((Tabla_Buffers_Agroinsumos[[#This Row],[TIEMPO REPOSICION ]]/Tabla_Buffers_Agroinsumos[[#This Row],[FRECUENCIA]])+1),0)</f>
        <v>0</v>
      </c>
      <c r="M159" s="111">
        <v>1000</v>
      </c>
      <c r="N159" s="111" t="str">
        <f t="array" ref="N159">IFERROR(INDEX(TABLACONSOLIDADA[Inv Fís Act],MATCH("AGROINSUMOSMATERIAPRIMA"&amp;Tabla_Buffers_Agroinsumos[[#This Row],[CODIGO ]],TABLACONSOLIDADA[Bodega]&amp;TABLACONSOLIDADA[Codigo],0)),"")</f>
        <v/>
      </c>
      <c r="O159" s="161" t="str">
        <f t="array" ref="O15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59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59" s="111">
        <f>IFERROR(SUM(Tabla_Buffers_Agroinsumos[[#This Row],[MP-C]:[MP-VL]]),"")</f>
        <v>0</v>
      </c>
      <c r="R159" s="154" t="str">
        <f>IFERROR(Tabla_Buffers_Agroinsumos[[#This Row],[INV FIS MATERIA PRIMA]]-Tabla_Buffers_Agroinsumos[[#This Row],[BUFFER MATERIA PRIMA]],"")</f>
        <v/>
      </c>
      <c r="S159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59" s="111"/>
      <c r="U159" s="111"/>
      <c r="V159" s="111"/>
      <c r="W159" s="111"/>
      <c r="X159" s="111"/>
      <c r="Y159" s="111"/>
      <c r="Z159" s="111"/>
      <c r="AA159" s="111"/>
      <c r="AB159" s="111"/>
      <c r="AC159" s="152" t="str">
        <f t="array" ref="AC159">IFERROR(INDEX(TABLACONSOLIDADA[Buff Act],MATCH("AGROINSUMOSCENTRAL"&amp;Tabla_Buffers_Agroinsumos[[#This Row],[CODIGO ]],TABLACONSOLIDADA[Bodega]&amp;TABLACONSOLIDADA[Codigo],0)),"")</f>
        <v/>
      </c>
      <c r="AD159" s="111" t="str">
        <f t="array" ref="AD159">IFERROR(INDEX(TABLACONSOLIDADA[Inv Fís Act],MATCH("AGROINSUMOSCENTRAL"&amp;Tabla_Buffers_Agroinsumos[[#This Row],[CODIGO ]],TABLACONSOLIDADA[Bodega]&amp;TABLACONSOLIDADA[Codigo],0)),"")</f>
        <v/>
      </c>
      <c r="AE159" s="161" t="str">
        <f t="array" ref="AE15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59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59" s="153">
        <f>IFERROR(SUM(Tabla_Buffers_Agroinsumos[[#This Row],[C-MP]:[C-VL]]),"")</f>
        <v>0</v>
      </c>
      <c r="AH159" s="154" t="str">
        <f>IFERROR(Tabla_Buffers_Agroinsumos[[#This Row],[INV FIS CENTRAL]]-Tabla_Buffers_Agroinsumos[[#This Row],[BUFFER CENTRAL]],"")</f>
        <v/>
      </c>
      <c r="AI159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59" s="135"/>
      <c r="AK159" s="135"/>
      <c r="AL159" s="135"/>
      <c r="AM159" s="135"/>
      <c r="AN159" s="135"/>
      <c r="AO159" s="135"/>
      <c r="AP159" s="135"/>
      <c r="AQ159" s="135"/>
      <c r="AR159" s="135"/>
      <c r="AS159" s="135" t="str">
        <f t="array" ref="AS159">IFERROR(INDEX(TABLACONSOLIDADA[Buff Act],MATCH("AGROINSUMOScentralPROPIA"&amp;Tabla_Buffers_Agroinsumos[[#This Row],[CODIGO ]],TABLACONSOLIDADA[Bodega]&amp;TABLACONSOLIDADA[Codigo],0)),"")</f>
        <v/>
      </c>
      <c r="AT159" s="111" t="str">
        <f t="array" ref="AT159">IFERROR(INDEX(TABLACONSOLIDADA[Inv Fís Act],MATCH("AGROINSUMOScentralPROPIA"&amp;Tabla_Buffers_Agroinsumos[[#This Row],[CODIGO ]],TABLACONSOLIDADA[Bodega]&amp;TABLACONSOLIDADA[Codigo],0)),"")</f>
        <v/>
      </c>
      <c r="AU159" s="161" t="str">
        <f t="array" ref="AU15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59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59" s="135">
        <f>IFERROR(SUM(Tabla_Buffers_Agroinsumos[[#This Row],[P-MP]:[P-VL]]),"")</f>
        <v>0</v>
      </c>
      <c r="AX159" s="154" t="str">
        <f>IFERROR(Tabla_Buffers_Agroinsumos[[#This Row],[INV FIS PROPIA]]-Tabla_Buffers_Agroinsumos[[#This Row],[BUFFER PROPIA]],"")</f>
        <v/>
      </c>
      <c r="AY159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59" s="135"/>
      <c r="BA159" s="135"/>
      <c r="BB159" s="135"/>
      <c r="BC159" s="135"/>
      <c r="BD159" s="135"/>
      <c r="BE159" s="135"/>
      <c r="BF159" s="135"/>
      <c r="BG159" s="135"/>
      <c r="BH159" s="135"/>
      <c r="BI159" s="153" t="str">
        <f t="array" ref="BI159">IFERROR(INDEX(TABLACONSOLIDADA[Buff Act],MATCH("AGROINSUMOSSTODOMINGO"&amp;Tabla_Buffers_Agroinsumos[[#This Row],[CODIGO ]],TABLACONSOLIDADA[Bodega]&amp;TABLACONSOLIDADA[Codigo],0)),"")</f>
        <v/>
      </c>
      <c r="BJ159" s="111" t="str">
        <f t="array" ref="BJ159">IFERROR(INDEX(TABLACONSOLIDADA[Inv Fís Act],MATCH("AGROINSUMOSSTODOMINGO"&amp;Tabla_Buffers_Agroinsumos[[#This Row],[CODIGO ]],TABLACONSOLIDADA[Bodega]&amp;TABLACONSOLIDADA[Codigo],0)),"")</f>
        <v/>
      </c>
      <c r="BK159" s="161" t="str">
        <f t="array" ref="BK15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59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59" s="153">
        <f>IFERROR(SUM(Tabla_Buffers_Agroinsumos[[#This Row],[SD-MP]:[SD-VL]]),"")</f>
        <v>0</v>
      </c>
      <c r="BN159" s="154"/>
      <c r="BO159" s="154"/>
      <c r="BP159" s="135"/>
      <c r="BQ159" s="135"/>
      <c r="BR159" s="135"/>
      <c r="BS159" s="135"/>
      <c r="BT159" s="135"/>
      <c r="BU159" s="135"/>
      <c r="BV159" s="135"/>
      <c r="BW159" s="135"/>
      <c r="BX159" s="135"/>
      <c r="BY159" s="135" t="str">
        <f t="array" ref="BY159">IFERROR(INDEX(TABLACONSOLIDADA[Buff Act],MATCH("AGROINSUMOSMONCAYOLOPEZ"&amp;Tabla_Buffers_Agroinsumos[[#This Row],[CODIGO ]],TABLACONSOLIDADA[Bodega]&amp;TABLACONSOLIDADA[Codigo],0)),"")</f>
        <v/>
      </c>
      <c r="BZ159" s="111" t="str">
        <f t="array" ref="BZ159">IFERROR(INDEX(TABLACONSOLIDADA[Inv Fís Act],MATCH("AGROINSUMOSMONCAYOLOPEZ"&amp;Tabla_Buffers_Agroinsumos[[#This Row],[CODIGO ]],TABLACONSOLIDADA[Bodega]&amp;TABLACONSOLIDADA[Codigo],0)),"")</f>
        <v/>
      </c>
      <c r="CA159" s="161" t="str">
        <f t="array" ref="CA15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59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59" s="135">
        <f>IFERROR(SUM(Tabla_Buffers_Agroinsumos[[#This Row],[ML-MP]:[ML-VL]]),"")</f>
        <v>0</v>
      </c>
      <c r="CD159" s="154" t="str">
        <f>IFERROR(Tabla_Buffers_Agroinsumos[[#This Row],[INV FIS ML]]-Tabla_Buffers_Agroinsumos[[#This Row],[BUFFER ML]],"")</f>
        <v/>
      </c>
      <c r="CE159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59" s="135"/>
      <c r="CG159" s="135"/>
      <c r="CH159" s="135"/>
      <c r="CI159" s="135"/>
      <c r="CJ159" s="135"/>
      <c r="CK159" s="135"/>
      <c r="CL159" s="135"/>
      <c r="CM159" s="135"/>
      <c r="CN159" s="135"/>
      <c r="CO159" s="135" t="str">
        <f t="array" ref="CO159">IFERROR(INDEX(TABLACONSOLIDADA[Buff Act],MATCH("AGROINSUMOSAGROHERMANOSLEON"&amp;Tabla_Buffers_Agroinsumos[[#This Row],[CODIGO ]],TABLACONSOLIDADA[Bodega]&amp;TABLACONSOLIDADA[Codigo],0)),"")</f>
        <v/>
      </c>
      <c r="CP159" s="111" t="str">
        <f t="array" ref="CP159">IFERROR(INDEX(TABLACONSOLIDADA[Inv Fís Act],MATCH("AGROINSUMOSAGROHERMANOSLEON"&amp;Tabla_Buffers_Agroinsumos[[#This Row],[CODIGO ]],TABLACONSOLIDADA[Bodega]&amp;TABLACONSOLIDADA[Codigo],0)),"")</f>
        <v/>
      </c>
      <c r="CQ159" s="161" t="str">
        <f t="array" ref="CQ15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59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59" s="135">
        <f>IFERROR(SUM(Tabla_Buffers_Agroinsumos[[#This Row],[AL-MP]:[AL-VL]]),"")</f>
        <v>0</v>
      </c>
      <c r="CT159" s="154" t="str">
        <f>IFERROR(Tabla_Buffers_Agroinsumos[[#This Row],[INV FIS AL]]-Tabla_Buffers_Agroinsumos[[#This Row],[BUFFER AL]],"")</f>
        <v/>
      </c>
      <c r="CU159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59" s="135"/>
      <c r="CW159" s="135"/>
      <c r="CX159" s="135"/>
      <c r="CY159" s="135"/>
      <c r="CZ159" s="135"/>
      <c r="DA159" s="135"/>
      <c r="DB159" s="135"/>
      <c r="DC159" s="135"/>
      <c r="DD159" s="135"/>
      <c r="DE159" s="135" t="str">
        <f t="array" ref="DE159">IFERROR(INDEX(TABLACONSOLIDADA[Buff Act],MATCH("AGROINSUMOSAGRONUEVO"&amp;Tabla_Buffers_Agroinsumos[[#This Row],[CODIGO ]],TABLACONSOLIDADA[Bodega]&amp;TABLACONSOLIDADA[Codigo],0)),"")</f>
        <v/>
      </c>
      <c r="DF159" s="111" t="str">
        <f t="array" ref="DF159">IFERROR(INDEX(TABLACONSOLIDADA[Inv Fís Act],MATCH("AGROINSUMOSAGRONUEVO"&amp;Tabla_Buffers_Agroinsumos[[#This Row],[CODIGO ]],TABLACONSOLIDADA[Bodega]&amp;TABLACONSOLIDADA[Codigo],0)),"")</f>
        <v/>
      </c>
      <c r="DG159" s="161" t="str">
        <f t="array" ref="DG15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59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59" s="135">
        <f>IFERROR(SUM(Tabla_Buffers_Agroinsumos[[#This Row],[AN-MP]:[AN-VL]]),"")</f>
        <v>0</v>
      </c>
      <c r="DJ159" s="154" t="str">
        <f>IFERROR(Tabla_Buffers_Agroinsumos[[#This Row],[INV FIS AN]]-Tabla_Buffers_Agroinsumos[[#This Row],[BUFFER AN]],"")</f>
        <v/>
      </c>
      <c r="DK159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59" s="135"/>
      <c r="DM159" s="135"/>
      <c r="DN159" s="135"/>
      <c r="DO159" s="135"/>
      <c r="DP159" s="135"/>
      <c r="DQ159" s="135"/>
      <c r="DR159" s="135"/>
      <c r="DS159" s="135"/>
      <c r="DT159" s="135"/>
      <c r="DU159" s="135" t="str">
        <f t="array" ref="DU159">IFERROR(INDEX(TABLACONSOLIDADA[Buff Act],MATCH("AGROINSUMOSAGROQUIMICOSSUR"&amp;Tabla_Buffers_Agroinsumos[[#This Row],[CODIGO ]],TABLACONSOLIDADA[Bodega]&amp;TABLACONSOLIDADA[Codigo],0)),"")</f>
        <v/>
      </c>
      <c r="DV159" s="111" t="str">
        <f t="array" ref="DV159">IFERROR(INDEX(TABLACONSOLIDADA[Inv Fís Act],MATCH("AGROINSUMOSAGROQUIMICOSSUR"&amp;Tabla_Buffers_Agroinsumos[[#This Row],[CODIGO ]],TABLACONSOLIDADA[Bodega]&amp;TABLACONSOLIDADA[Codigo],0)),"")</f>
        <v/>
      </c>
      <c r="DW159" s="161" t="str">
        <f t="array" ref="DW15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59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59" s="135">
        <f>IFERROR(SUM(Tabla_Buffers_Agroinsumos[[#This Row],[AS-MP]:[AS-VL]]),"")</f>
        <v>0</v>
      </c>
      <c r="DZ159" s="154" t="str">
        <f>IFERROR(Tabla_Buffers_Agroinsumos[[#This Row],[INV FIS AS]]-Tabla_Buffers_Agroinsumos[[#This Row],[BUFFER AS]],"")</f>
        <v/>
      </c>
      <c r="EA159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59" s="135"/>
      <c r="EC159" s="135"/>
      <c r="ED159" s="135"/>
      <c r="EE159" s="135"/>
      <c r="EF159" s="135"/>
      <c r="EG159" s="135"/>
      <c r="EH159" s="135"/>
      <c r="EI159" s="135"/>
      <c r="EJ159" s="135"/>
      <c r="EK159" s="135" t="str">
        <f t="array" ref="EK159">IFERROR(INDEX(TABLACONSOLIDADA[Buff Act],MATCH("AGROINSUMOSLAFINCA"&amp;Tabla_Buffers_Agroinsumos[[#This Row],[CODIGO ]],TABLACONSOLIDADA[Bodega]&amp;TABLACONSOLIDADA[Codigo],0)),"")</f>
        <v/>
      </c>
      <c r="EL159" s="111" t="str">
        <f t="array" ref="EL159">IFERROR(INDEX(TABLACONSOLIDADA[Inv Fís Act],MATCH("AGROINSUMOSLAFINCA"&amp;Tabla_Buffers_Agroinsumos[[#This Row],[CODIGO ]],TABLACONSOLIDADA[Bodega]&amp;TABLACONSOLIDADA[Codigo],0)),"")</f>
        <v/>
      </c>
      <c r="EM159" s="161" t="str">
        <f t="array" ref="EM15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59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59" s="135">
        <f>IFERROR(SUM(Tabla_Buffers_Agroinsumos[[#This Row],[LF-MP]:[LF-VL]]),"")</f>
        <v>0</v>
      </c>
      <c r="EP159" s="154" t="str">
        <f>IFERROR(Tabla_Buffers_Agroinsumos[[#This Row],[INV FIS LF]]-Tabla_Buffers_Agroinsumos[[#This Row],[BUFFER LF]],"")</f>
        <v/>
      </c>
      <c r="EQ159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59" s="135"/>
      <c r="ES159" s="135"/>
      <c r="ET159" s="135"/>
      <c r="EU159" s="135"/>
      <c r="EV159" s="135"/>
      <c r="EW159" s="135"/>
      <c r="EX159" s="135"/>
      <c r="EY159" s="135"/>
      <c r="EZ159" s="135"/>
      <c r="FA159" s="135" t="str">
        <f t="array" ref="FA159">IFERROR(INDEX(TABLACONSOLIDADA[Buff Act],MATCH("AGROINSUMOSVERONICALEDESMA"&amp;Tabla_Buffers_Agroinsumos[[#This Row],[CODIGO ]],TABLACONSOLIDADA[Bodega]&amp;TABLACONSOLIDADA[Codigo],0)),"")</f>
        <v/>
      </c>
      <c r="FB159" s="111" t="str">
        <f t="array" ref="FB159">IFERROR(INDEX(TABLACONSOLIDADA[Inv Fís Act],MATCH("AGROINSUMOSVERONICALEDESMA"&amp;Tabla_Buffers_Agroinsumos[[#This Row],[CODIGO ]],TABLACONSOLIDADA[Bodega]&amp;TABLACONSOLIDADA[Codigo],0)),"")</f>
        <v/>
      </c>
      <c r="FC159" s="161" t="str">
        <f t="array" ref="FC15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59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59" s="135">
        <f>IFERROR(SUM(Tabla_Buffers_Agroinsumos[[#This Row],[VL-MP]:[VL-LF]]),"")</f>
        <v>0</v>
      </c>
      <c r="FF159" s="154" t="str">
        <f>IFERROR(Tabla_Buffers_Agroinsumos[[#This Row],[INV FIS VL]]-Tabla_Buffers_Agroinsumos[[#This Row],[BUFFER VL]],"")</f>
        <v/>
      </c>
      <c r="FG159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59" s="135"/>
      <c r="FI159" s="135"/>
      <c r="FJ159" s="135"/>
      <c r="FK159" s="135"/>
      <c r="FL159" s="135"/>
      <c r="FM159" s="135"/>
      <c r="FN159" s="135"/>
      <c r="FO159" s="135"/>
      <c r="FP159" s="135"/>
    </row>
    <row r="160" spans="1:172">
      <c r="A160" s="20" t="s">
        <v>279</v>
      </c>
      <c r="B160" s="20" t="s">
        <v>280</v>
      </c>
      <c r="C160" s="20" t="s">
        <v>716</v>
      </c>
      <c r="D160" s="20" t="s">
        <v>718</v>
      </c>
      <c r="E160" s="20" t="s">
        <v>863</v>
      </c>
      <c r="F160" s="111" t="s">
        <v>808</v>
      </c>
      <c r="G160" s="111" t="s">
        <v>802</v>
      </c>
      <c r="H160" s="111" t="e">
        <f>VLOOKUP(Tabla_Buffers_Agroinsumos[[#This Row],[CODIGO ]],TABLACONSOLIDADA[[Codigo]:[PV]],6,0)</f>
        <v>#N/A</v>
      </c>
      <c r="I160" s="111" t="e">
        <f>VLOOKUP(Tabla_Buffers_Agroinsumos[[#This Row],[CODIGO ]],TABLACONSOLIDADA[[Codigo]:[PV]],5,0)</f>
        <v>#N/A</v>
      </c>
      <c r="J160" s="111"/>
      <c r="K160" s="111"/>
      <c r="L160" s="111">
        <f>IFERROR(Tabla_Buffers_Agroinsumos[[#This Row],[BUFFER CENTRAL]]/((Tabla_Buffers_Agroinsumos[[#This Row],[TIEMPO REPOSICION ]]/Tabla_Buffers_Agroinsumos[[#This Row],[FRECUENCIA]])+1),0)</f>
        <v>0</v>
      </c>
      <c r="M160" s="111">
        <v>40</v>
      </c>
      <c r="N160" s="111" t="str">
        <f t="array" ref="N160">IFERROR(INDEX(TABLACONSOLIDADA[Inv Fís Act],MATCH("AGROINSUMOSMATERIAPRIMA"&amp;Tabla_Buffers_Agroinsumos[[#This Row],[CODIGO ]],TABLACONSOLIDADA[Bodega]&amp;TABLACONSOLIDADA[Codigo],0)),"")</f>
        <v/>
      </c>
      <c r="O160" s="161" t="str">
        <f t="array" ref="O16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60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60" s="111">
        <f>IFERROR(SUM(Tabla_Buffers_Agroinsumos[[#This Row],[MP-C]:[MP-VL]]),"")</f>
        <v>0</v>
      </c>
      <c r="R160" s="154" t="str">
        <f>IFERROR(Tabla_Buffers_Agroinsumos[[#This Row],[INV FIS MATERIA PRIMA]]-Tabla_Buffers_Agroinsumos[[#This Row],[BUFFER MATERIA PRIMA]],"")</f>
        <v/>
      </c>
      <c r="S160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60" s="111"/>
      <c r="U160" s="111"/>
      <c r="V160" s="111"/>
      <c r="W160" s="111"/>
      <c r="X160" s="111"/>
      <c r="Y160" s="111"/>
      <c r="Z160" s="111"/>
      <c r="AA160" s="111"/>
      <c r="AB160" s="111"/>
      <c r="AC160" s="152" t="str">
        <f t="array" ref="AC160">IFERROR(INDEX(TABLACONSOLIDADA[Buff Act],MATCH("AGROINSUMOSCENTRAL"&amp;Tabla_Buffers_Agroinsumos[[#This Row],[CODIGO ]],TABLACONSOLIDADA[Bodega]&amp;TABLACONSOLIDADA[Codigo],0)),"")</f>
        <v/>
      </c>
      <c r="AD160" s="111" t="str">
        <f t="array" ref="AD160">IFERROR(INDEX(TABLACONSOLIDADA[Inv Fís Act],MATCH("AGROINSUMOSCENTRAL"&amp;Tabla_Buffers_Agroinsumos[[#This Row],[CODIGO ]],TABLACONSOLIDADA[Bodega]&amp;TABLACONSOLIDADA[Codigo],0)),"")</f>
        <v/>
      </c>
      <c r="AE160" s="161" t="str">
        <f t="array" ref="AE16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60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60" s="153">
        <f>IFERROR(SUM(Tabla_Buffers_Agroinsumos[[#This Row],[C-MP]:[C-VL]]),"")</f>
        <v>0</v>
      </c>
      <c r="AH160" s="154" t="str">
        <f>IFERROR(Tabla_Buffers_Agroinsumos[[#This Row],[INV FIS CENTRAL]]-Tabla_Buffers_Agroinsumos[[#This Row],[BUFFER CENTRAL]],"")</f>
        <v/>
      </c>
      <c r="AI160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60" s="135"/>
      <c r="AK160" s="135"/>
      <c r="AL160" s="135"/>
      <c r="AM160" s="135"/>
      <c r="AN160" s="135"/>
      <c r="AO160" s="135"/>
      <c r="AP160" s="135"/>
      <c r="AQ160" s="135"/>
      <c r="AR160" s="135"/>
      <c r="AS160" s="135" t="str">
        <f t="array" ref="AS160">IFERROR(INDEX(TABLACONSOLIDADA[Buff Act],MATCH("AGROINSUMOScentralPROPIA"&amp;Tabla_Buffers_Agroinsumos[[#This Row],[CODIGO ]],TABLACONSOLIDADA[Bodega]&amp;TABLACONSOLIDADA[Codigo],0)),"")</f>
        <v/>
      </c>
      <c r="AT160" s="111" t="str">
        <f t="array" ref="AT160">IFERROR(INDEX(TABLACONSOLIDADA[Inv Fís Act],MATCH("AGROINSUMOScentralPROPIA"&amp;Tabla_Buffers_Agroinsumos[[#This Row],[CODIGO ]],TABLACONSOLIDADA[Bodega]&amp;TABLACONSOLIDADA[Codigo],0)),"")</f>
        <v/>
      </c>
      <c r="AU160" s="161" t="str">
        <f t="array" ref="AU16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60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60" s="135">
        <f>IFERROR(SUM(Tabla_Buffers_Agroinsumos[[#This Row],[P-MP]:[P-VL]]),"")</f>
        <v>0</v>
      </c>
      <c r="AX160" s="154" t="str">
        <f>IFERROR(Tabla_Buffers_Agroinsumos[[#This Row],[INV FIS PROPIA]]-Tabla_Buffers_Agroinsumos[[#This Row],[BUFFER PROPIA]],"")</f>
        <v/>
      </c>
      <c r="AY160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60" s="135"/>
      <c r="BA160" s="135"/>
      <c r="BB160" s="135"/>
      <c r="BC160" s="135"/>
      <c r="BD160" s="135"/>
      <c r="BE160" s="135"/>
      <c r="BF160" s="135"/>
      <c r="BG160" s="135"/>
      <c r="BH160" s="135"/>
      <c r="BI160" s="153" t="str">
        <f t="array" ref="BI160">IFERROR(INDEX(TABLACONSOLIDADA[Buff Act],MATCH("AGROINSUMOSSTODOMINGO"&amp;Tabla_Buffers_Agroinsumos[[#This Row],[CODIGO ]],TABLACONSOLIDADA[Bodega]&amp;TABLACONSOLIDADA[Codigo],0)),"")</f>
        <v/>
      </c>
      <c r="BJ160" s="111" t="str">
        <f t="array" ref="BJ160">IFERROR(INDEX(TABLACONSOLIDADA[Inv Fís Act],MATCH("AGROINSUMOSSTODOMINGO"&amp;Tabla_Buffers_Agroinsumos[[#This Row],[CODIGO ]],TABLACONSOLIDADA[Bodega]&amp;TABLACONSOLIDADA[Codigo],0)),"")</f>
        <v/>
      </c>
      <c r="BK160" s="161" t="str">
        <f t="array" ref="BK16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60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60" s="153">
        <f>IFERROR(SUM(Tabla_Buffers_Agroinsumos[[#This Row],[SD-MP]:[SD-VL]]),"")</f>
        <v>0</v>
      </c>
      <c r="BN160" s="154"/>
      <c r="BO160" s="154"/>
      <c r="BP160" s="135"/>
      <c r="BQ160" s="135"/>
      <c r="BR160" s="135"/>
      <c r="BS160" s="135"/>
      <c r="BT160" s="135"/>
      <c r="BU160" s="135"/>
      <c r="BV160" s="135"/>
      <c r="BW160" s="135"/>
      <c r="BX160" s="135"/>
      <c r="BY160" s="135" t="str">
        <f t="array" ref="BY160">IFERROR(INDEX(TABLACONSOLIDADA[Buff Act],MATCH("AGROINSUMOSMONCAYOLOPEZ"&amp;Tabla_Buffers_Agroinsumos[[#This Row],[CODIGO ]],TABLACONSOLIDADA[Bodega]&amp;TABLACONSOLIDADA[Codigo],0)),"")</f>
        <v/>
      </c>
      <c r="BZ160" s="111" t="str">
        <f t="array" ref="BZ160">IFERROR(INDEX(TABLACONSOLIDADA[Inv Fís Act],MATCH("AGROINSUMOSMONCAYOLOPEZ"&amp;Tabla_Buffers_Agroinsumos[[#This Row],[CODIGO ]],TABLACONSOLIDADA[Bodega]&amp;TABLACONSOLIDADA[Codigo],0)),"")</f>
        <v/>
      </c>
      <c r="CA160" s="161" t="str">
        <f t="array" ref="CA16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60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60" s="135">
        <f>IFERROR(SUM(Tabla_Buffers_Agroinsumos[[#This Row],[ML-MP]:[ML-VL]]),"")</f>
        <v>0</v>
      </c>
      <c r="CD160" s="154" t="str">
        <f>IFERROR(Tabla_Buffers_Agroinsumos[[#This Row],[INV FIS ML]]-Tabla_Buffers_Agroinsumos[[#This Row],[BUFFER ML]],"")</f>
        <v/>
      </c>
      <c r="CE160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60" s="135"/>
      <c r="CG160" s="135"/>
      <c r="CH160" s="135"/>
      <c r="CI160" s="135"/>
      <c r="CJ160" s="135"/>
      <c r="CK160" s="135"/>
      <c r="CL160" s="135"/>
      <c r="CM160" s="135"/>
      <c r="CN160" s="135"/>
      <c r="CO160" s="135" t="str">
        <f t="array" ref="CO160">IFERROR(INDEX(TABLACONSOLIDADA[Buff Act],MATCH("AGROINSUMOSAGROHERMANOSLEON"&amp;Tabla_Buffers_Agroinsumos[[#This Row],[CODIGO ]],TABLACONSOLIDADA[Bodega]&amp;TABLACONSOLIDADA[Codigo],0)),"")</f>
        <v/>
      </c>
      <c r="CP160" s="111" t="str">
        <f t="array" ref="CP160">IFERROR(INDEX(TABLACONSOLIDADA[Inv Fís Act],MATCH("AGROINSUMOSAGROHERMANOSLEON"&amp;Tabla_Buffers_Agroinsumos[[#This Row],[CODIGO ]],TABLACONSOLIDADA[Bodega]&amp;TABLACONSOLIDADA[Codigo],0)),"")</f>
        <v/>
      </c>
      <c r="CQ160" s="161" t="str">
        <f t="array" ref="CQ16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60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60" s="135">
        <f>IFERROR(SUM(Tabla_Buffers_Agroinsumos[[#This Row],[AL-MP]:[AL-VL]]),"")</f>
        <v>0</v>
      </c>
      <c r="CT160" s="154" t="str">
        <f>IFERROR(Tabla_Buffers_Agroinsumos[[#This Row],[INV FIS AL]]-Tabla_Buffers_Agroinsumos[[#This Row],[BUFFER AL]],"")</f>
        <v/>
      </c>
      <c r="CU160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60" s="135"/>
      <c r="CW160" s="135"/>
      <c r="CX160" s="135"/>
      <c r="CY160" s="135"/>
      <c r="CZ160" s="135"/>
      <c r="DA160" s="135"/>
      <c r="DB160" s="135"/>
      <c r="DC160" s="135"/>
      <c r="DD160" s="135"/>
      <c r="DE160" s="135" t="str">
        <f t="array" ref="DE160">IFERROR(INDEX(TABLACONSOLIDADA[Buff Act],MATCH("AGROINSUMOSAGRONUEVO"&amp;Tabla_Buffers_Agroinsumos[[#This Row],[CODIGO ]],TABLACONSOLIDADA[Bodega]&amp;TABLACONSOLIDADA[Codigo],0)),"")</f>
        <v/>
      </c>
      <c r="DF160" s="111" t="str">
        <f t="array" ref="DF160">IFERROR(INDEX(TABLACONSOLIDADA[Inv Fís Act],MATCH("AGROINSUMOSAGRONUEVO"&amp;Tabla_Buffers_Agroinsumos[[#This Row],[CODIGO ]],TABLACONSOLIDADA[Bodega]&amp;TABLACONSOLIDADA[Codigo],0)),"")</f>
        <v/>
      </c>
      <c r="DG160" s="161" t="str">
        <f t="array" ref="DG16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60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60" s="135">
        <f>IFERROR(SUM(Tabla_Buffers_Agroinsumos[[#This Row],[AN-MP]:[AN-VL]]),"")</f>
        <v>0</v>
      </c>
      <c r="DJ160" s="154" t="str">
        <f>IFERROR(Tabla_Buffers_Agroinsumos[[#This Row],[INV FIS AN]]-Tabla_Buffers_Agroinsumos[[#This Row],[BUFFER AN]],"")</f>
        <v/>
      </c>
      <c r="DK160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60" s="135"/>
      <c r="DM160" s="135"/>
      <c r="DN160" s="135"/>
      <c r="DO160" s="135"/>
      <c r="DP160" s="135"/>
      <c r="DQ160" s="135"/>
      <c r="DR160" s="135"/>
      <c r="DS160" s="135"/>
      <c r="DT160" s="135"/>
      <c r="DU160" s="135" t="str">
        <f t="array" ref="DU160">IFERROR(INDEX(TABLACONSOLIDADA[Buff Act],MATCH("AGROINSUMOSAGROQUIMICOSSUR"&amp;Tabla_Buffers_Agroinsumos[[#This Row],[CODIGO ]],TABLACONSOLIDADA[Bodega]&amp;TABLACONSOLIDADA[Codigo],0)),"")</f>
        <v/>
      </c>
      <c r="DV160" s="111" t="str">
        <f t="array" ref="DV160">IFERROR(INDEX(TABLACONSOLIDADA[Inv Fís Act],MATCH("AGROINSUMOSAGROQUIMICOSSUR"&amp;Tabla_Buffers_Agroinsumos[[#This Row],[CODIGO ]],TABLACONSOLIDADA[Bodega]&amp;TABLACONSOLIDADA[Codigo],0)),"")</f>
        <v/>
      </c>
      <c r="DW160" s="161" t="str">
        <f t="array" ref="DW16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60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60" s="135">
        <f>IFERROR(SUM(Tabla_Buffers_Agroinsumos[[#This Row],[AS-MP]:[AS-VL]]),"")</f>
        <v>0</v>
      </c>
      <c r="DZ160" s="154" t="str">
        <f>IFERROR(Tabla_Buffers_Agroinsumos[[#This Row],[INV FIS AS]]-Tabla_Buffers_Agroinsumos[[#This Row],[BUFFER AS]],"")</f>
        <v/>
      </c>
      <c r="EA160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60" s="135"/>
      <c r="EC160" s="135"/>
      <c r="ED160" s="135"/>
      <c r="EE160" s="135"/>
      <c r="EF160" s="135"/>
      <c r="EG160" s="135"/>
      <c r="EH160" s="135"/>
      <c r="EI160" s="135"/>
      <c r="EJ160" s="135"/>
      <c r="EK160" s="135" t="str">
        <f t="array" ref="EK160">IFERROR(INDEX(TABLACONSOLIDADA[Buff Act],MATCH("AGROINSUMOSLAFINCA"&amp;Tabla_Buffers_Agroinsumos[[#This Row],[CODIGO ]],TABLACONSOLIDADA[Bodega]&amp;TABLACONSOLIDADA[Codigo],0)),"")</f>
        <v/>
      </c>
      <c r="EL160" s="111" t="str">
        <f t="array" ref="EL160">IFERROR(INDEX(TABLACONSOLIDADA[Inv Fís Act],MATCH("AGROINSUMOSLAFINCA"&amp;Tabla_Buffers_Agroinsumos[[#This Row],[CODIGO ]],TABLACONSOLIDADA[Bodega]&amp;TABLACONSOLIDADA[Codigo],0)),"")</f>
        <v/>
      </c>
      <c r="EM160" s="161" t="str">
        <f t="array" ref="EM16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60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60" s="135">
        <f>IFERROR(SUM(Tabla_Buffers_Agroinsumos[[#This Row],[LF-MP]:[LF-VL]]),"")</f>
        <v>0</v>
      </c>
      <c r="EP160" s="154" t="str">
        <f>IFERROR(Tabla_Buffers_Agroinsumos[[#This Row],[INV FIS LF]]-Tabla_Buffers_Agroinsumos[[#This Row],[BUFFER LF]],"")</f>
        <v/>
      </c>
      <c r="EQ160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60" s="135"/>
      <c r="ES160" s="135"/>
      <c r="ET160" s="135"/>
      <c r="EU160" s="135"/>
      <c r="EV160" s="135"/>
      <c r="EW160" s="135"/>
      <c r="EX160" s="135"/>
      <c r="EY160" s="135"/>
      <c r="EZ160" s="135"/>
      <c r="FA160" s="135" t="str">
        <f t="array" ref="FA160">IFERROR(INDEX(TABLACONSOLIDADA[Buff Act],MATCH("AGROINSUMOSVERONICALEDESMA"&amp;Tabla_Buffers_Agroinsumos[[#This Row],[CODIGO ]],TABLACONSOLIDADA[Bodega]&amp;TABLACONSOLIDADA[Codigo],0)),"")</f>
        <v/>
      </c>
      <c r="FB160" s="111" t="str">
        <f t="array" ref="FB160">IFERROR(INDEX(TABLACONSOLIDADA[Inv Fís Act],MATCH("AGROINSUMOSVERONICALEDESMA"&amp;Tabla_Buffers_Agroinsumos[[#This Row],[CODIGO ]],TABLACONSOLIDADA[Bodega]&amp;TABLACONSOLIDADA[Codigo],0)),"")</f>
        <v/>
      </c>
      <c r="FC160" s="161" t="str">
        <f t="array" ref="FC16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60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60" s="135">
        <f>IFERROR(SUM(Tabla_Buffers_Agroinsumos[[#This Row],[VL-MP]:[VL-LF]]),"")</f>
        <v>0</v>
      </c>
      <c r="FF160" s="154" t="str">
        <f>IFERROR(Tabla_Buffers_Agroinsumos[[#This Row],[INV FIS VL]]-Tabla_Buffers_Agroinsumos[[#This Row],[BUFFER VL]],"")</f>
        <v/>
      </c>
      <c r="FG160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60" s="135"/>
      <c r="FI160" s="135"/>
      <c r="FJ160" s="135"/>
      <c r="FK160" s="135"/>
      <c r="FL160" s="135"/>
      <c r="FM160" s="135"/>
      <c r="FN160" s="135"/>
      <c r="FO160" s="135"/>
      <c r="FP160" s="135"/>
    </row>
    <row r="161" spans="1:172">
      <c r="A161" s="7" t="s">
        <v>281</v>
      </c>
      <c r="B161" s="7" t="s">
        <v>282</v>
      </c>
      <c r="C161" s="7" t="s">
        <v>716</v>
      </c>
      <c r="D161" s="7" t="s">
        <v>718</v>
      </c>
      <c r="E161" s="7" t="s">
        <v>863</v>
      </c>
      <c r="F161" s="19" t="s">
        <v>808</v>
      </c>
      <c r="G161" s="19" t="s">
        <v>802</v>
      </c>
      <c r="H161" s="19">
        <f>VLOOKUP(Tabla_Buffers_Agroinsumos[[#This Row],[CODIGO ]],TABLACONSOLIDADA[[Codigo]:[PV]],6,0)</f>
        <v>0</v>
      </c>
      <c r="I161" s="19">
        <f>VLOOKUP(Tabla_Buffers_Agroinsumos[[#This Row],[CODIGO ]],TABLACONSOLIDADA[[Codigo]:[PV]],5,0)</f>
        <v>0.14000000000000001</v>
      </c>
      <c r="J161" s="19">
        <v>4</v>
      </c>
      <c r="K161" s="19">
        <v>6</v>
      </c>
      <c r="L161" s="19">
        <f>IFERROR(Tabla_Buffers_Agroinsumos[[#This Row],[BUFFER CENTRAL]]/((Tabla_Buffers_Agroinsumos[[#This Row],[TIEMPO REPOSICION ]]/Tabla_Buffers_Agroinsumos[[#This Row],[FRECUENCIA]])+1),0)</f>
        <v>0</v>
      </c>
      <c r="M161" s="19">
        <f t="array" ref="M161">IFERROR(INDEX(TABLACONSOLIDADA[Buff Act],MATCH("AGROINSUMOSMATERIAPRIMA"&amp;Tabla_Buffers_Agroinsumos[[#This Row],[CODIGO ]],TABLACONSOLIDADA[Bodega]&amp;TABLACONSOLIDADA[Codigo],0)),"")</f>
        <v>300</v>
      </c>
      <c r="N161" s="157">
        <f t="array" ref="N161">IFERROR(INDEX(TABLACONSOLIDADA[Inv Fís Act],MATCH("AGROINSUMOSMATERIAPRIMA"&amp;Tabla_Buffers_Agroinsumos[[#This Row],[CODIGO ]],TABLACONSOLIDADA[Bodega]&amp;TABLACONSOLIDADA[Codigo],0)),"")</f>
        <v>1006</v>
      </c>
      <c r="O161" s="157">
        <f t="array" ref="O16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1006</v>
      </c>
      <c r="P16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61" s="19">
        <f>IFERROR(SUM(Tabla_Buffers_Agroinsumos[[#This Row],[MP-C]:[MP-VL]]),"")</f>
        <v>0</v>
      </c>
      <c r="R161" s="92">
        <f>IFERROR(Tabla_Buffers_Agroinsumos[[#This Row],[INV FIS MATERIA PRIMA]]-Tabla_Buffers_Agroinsumos[[#This Row],[BUFFER MATERIA PRIMA]],"")</f>
        <v>706</v>
      </c>
      <c r="S16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706</v>
      </c>
      <c r="T161" s="19"/>
      <c r="U161" s="19"/>
      <c r="V161" s="19"/>
      <c r="W161" s="19"/>
      <c r="X161" s="19"/>
      <c r="Y161" s="19"/>
      <c r="Z161" s="19"/>
      <c r="AA161" s="19"/>
      <c r="AB161" s="19"/>
      <c r="AC161" s="152" t="str">
        <f t="array" ref="AC161">IFERROR(INDEX(TABLACONSOLIDADA[Buff Act],MATCH("AGROINSUMOSCENTRAL"&amp;Tabla_Buffers_Agroinsumos[[#This Row],[CODIGO ]],TABLACONSOLIDADA[Bodega]&amp;TABLACONSOLIDADA[Codigo],0)),"")</f>
        <v/>
      </c>
      <c r="AD161" s="157" t="str">
        <f t="array" ref="AD161">IFERROR(INDEX(TABLACONSOLIDADA[Inv Fís Act],MATCH("AGROINSUMOSCENTRAL"&amp;Tabla_Buffers_Agroinsumos[[#This Row],[CODIGO ]],TABLACONSOLIDADA[Bodega]&amp;TABLACONSOLIDADA[Codigo],0)),"")</f>
        <v/>
      </c>
      <c r="AE161" s="157" t="str">
        <f t="array" ref="AE16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6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61" s="91">
        <f>IFERROR(SUM(Tabla_Buffers_Agroinsumos[[#This Row],[C-MP]:[C-VL]]),"")</f>
        <v>0</v>
      </c>
      <c r="AH161" s="92" t="str">
        <f>IFERROR(Tabla_Buffers_Agroinsumos[[#This Row],[INV FIS CENTRAL]]-Tabla_Buffers_Agroinsumos[[#This Row],[BUFFER CENTRAL]],"")</f>
        <v/>
      </c>
      <c r="AI16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61" s="134"/>
      <c r="AK161" s="134"/>
      <c r="AL161" s="134"/>
      <c r="AM161" s="134"/>
      <c r="AN161" s="134"/>
      <c r="AO161" s="134"/>
      <c r="AP161" s="134"/>
      <c r="AQ161" s="134"/>
      <c r="AR161" s="134"/>
      <c r="AS161" s="134" t="str">
        <f t="array" ref="AS161">IFERROR(INDEX(TABLACONSOLIDADA[Buff Act],MATCH("AGROINSUMOScentralPROPIA"&amp;Tabla_Buffers_Agroinsumos[[#This Row],[CODIGO ]],TABLACONSOLIDADA[Bodega]&amp;TABLACONSOLIDADA[Codigo],0)),"")</f>
        <v/>
      </c>
      <c r="AT161" s="157" t="str">
        <f t="array" ref="AT161">IFERROR(INDEX(TABLACONSOLIDADA[Inv Fís Act],MATCH("AGROINSUMOScentralPROPIA"&amp;Tabla_Buffers_Agroinsumos[[#This Row],[CODIGO ]],TABLACONSOLIDADA[Bodega]&amp;TABLACONSOLIDADA[Codigo],0)),"")</f>
        <v/>
      </c>
      <c r="AU161" s="157" t="str">
        <f t="array" ref="AU16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6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61" s="134">
        <f>IFERROR(SUM(Tabla_Buffers_Agroinsumos[[#This Row],[P-MP]:[P-VL]]),"")</f>
        <v>0</v>
      </c>
      <c r="AX161" s="92" t="str">
        <f>IFERROR(Tabla_Buffers_Agroinsumos[[#This Row],[INV FIS PROPIA]]-Tabla_Buffers_Agroinsumos[[#This Row],[BUFFER PROPIA]],"")</f>
        <v/>
      </c>
      <c r="AY16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61" s="134"/>
      <c r="BA161" s="134"/>
      <c r="BB161" s="134"/>
      <c r="BC161" s="134"/>
      <c r="BD161" s="134"/>
      <c r="BE161" s="134"/>
      <c r="BF161" s="134"/>
      <c r="BG161" s="134"/>
      <c r="BH161" s="134"/>
      <c r="BI161" s="91" t="str">
        <f t="array" ref="BI161">IFERROR(INDEX(TABLACONSOLIDADA[Buff Act],MATCH("AGROINSUMOSSTODOMINGO"&amp;Tabla_Buffers_Agroinsumos[[#This Row],[CODIGO ]],TABLACONSOLIDADA[Bodega]&amp;TABLACONSOLIDADA[Codigo],0)),"")</f>
        <v/>
      </c>
      <c r="BJ161" s="157" t="str">
        <f t="array" ref="BJ161">IFERROR(INDEX(TABLACONSOLIDADA[Inv Fís Act],MATCH("AGROINSUMOSSTODOMINGO"&amp;Tabla_Buffers_Agroinsumos[[#This Row],[CODIGO ]],TABLACONSOLIDADA[Bodega]&amp;TABLACONSOLIDADA[Codigo],0)),"")</f>
        <v/>
      </c>
      <c r="BK161" s="157" t="str">
        <f t="array" ref="BK16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6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61" s="91">
        <f>IFERROR(SUM(Tabla_Buffers_Agroinsumos[[#This Row],[SD-MP]:[SD-VL]]),"")</f>
        <v>0</v>
      </c>
      <c r="BN161" s="92"/>
      <c r="BO161" s="92"/>
      <c r="BP161" s="134"/>
      <c r="BQ161" s="134"/>
      <c r="BR161" s="134"/>
      <c r="BS161" s="134"/>
      <c r="BT161" s="134"/>
      <c r="BU161" s="134"/>
      <c r="BV161" s="134"/>
      <c r="BW161" s="134"/>
      <c r="BX161" s="134"/>
      <c r="BY161" s="134" t="str">
        <f t="array" ref="BY161">IFERROR(INDEX(TABLACONSOLIDADA[Buff Act],MATCH("AGROINSUMOSMONCAYOLOPEZ"&amp;Tabla_Buffers_Agroinsumos[[#This Row],[CODIGO ]],TABLACONSOLIDADA[Bodega]&amp;TABLACONSOLIDADA[Codigo],0)),"")</f>
        <v/>
      </c>
      <c r="BZ161" s="157" t="str">
        <f t="array" ref="BZ161">IFERROR(INDEX(TABLACONSOLIDADA[Inv Fís Act],MATCH("AGROINSUMOSMONCAYOLOPEZ"&amp;Tabla_Buffers_Agroinsumos[[#This Row],[CODIGO ]],TABLACONSOLIDADA[Bodega]&amp;TABLACONSOLIDADA[Codigo],0)),"")</f>
        <v/>
      </c>
      <c r="CA161" s="157" t="str">
        <f t="array" ref="CA16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6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61" s="134">
        <f>IFERROR(SUM(Tabla_Buffers_Agroinsumos[[#This Row],[ML-MP]:[ML-VL]]),"")</f>
        <v>0</v>
      </c>
      <c r="CD161" s="92" t="str">
        <f>IFERROR(Tabla_Buffers_Agroinsumos[[#This Row],[INV FIS ML]]-Tabla_Buffers_Agroinsumos[[#This Row],[BUFFER ML]],"")</f>
        <v/>
      </c>
      <c r="CE16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61" s="134"/>
      <c r="CG161" s="134"/>
      <c r="CH161" s="134"/>
      <c r="CI161" s="134"/>
      <c r="CJ161" s="134"/>
      <c r="CK161" s="134"/>
      <c r="CL161" s="134"/>
      <c r="CM161" s="134"/>
      <c r="CN161" s="134"/>
      <c r="CO161" s="134" t="str">
        <f t="array" ref="CO161">IFERROR(INDEX(TABLACONSOLIDADA[Buff Act],MATCH("AGROINSUMOSAGROHERMANOSLEON"&amp;Tabla_Buffers_Agroinsumos[[#This Row],[CODIGO ]],TABLACONSOLIDADA[Bodega]&amp;TABLACONSOLIDADA[Codigo],0)),"")</f>
        <v/>
      </c>
      <c r="CP161" s="157" t="str">
        <f t="array" ref="CP161">IFERROR(INDEX(TABLACONSOLIDADA[Inv Fís Act],MATCH("AGROINSUMOSAGROHERMANOSLEON"&amp;Tabla_Buffers_Agroinsumos[[#This Row],[CODIGO ]],TABLACONSOLIDADA[Bodega]&amp;TABLACONSOLIDADA[Codigo],0)),"")</f>
        <v/>
      </c>
      <c r="CQ161" s="157" t="str">
        <f t="array" ref="CQ16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6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61" s="134">
        <f>IFERROR(SUM(Tabla_Buffers_Agroinsumos[[#This Row],[AL-MP]:[AL-VL]]),"")</f>
        <v>0</v>
      </c>
      <c r="CT161" s="92" t="str">
        <f>IFERROR(Tabla_Buffers_Agroinsumos[[#This Row],[INV FIS AL]]-Tabla_Buffers_Agroinsumos[[#This Row],[BUFFER AL]],"")</f>
        <v/>
      </c>
      <c r="CU16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61" s="134"/>
      <c r="CW161" s="134"/>
      <c r="CX161" s="134"/>
      <c r="CY161" s="134"/>
      <c r="CZ161" s="134"/>
      <c r="DA161" s="134"/>
      <c r="DB161" s="134"/>
      <c r="DC161" s="134"/>
      <c r="DD161" s="134"/>
      <c r="DE161" s="134" t="str">
        <f t="array" ref="DE161">IFERROR(INDEX(TABLACONSOLIDADA[Buff Act],MATCH("AGROINSUMOSAGRONUEVO"&amp;Tabla_Buffers_Agroinsumos[[#This Row],[CODIGO ]],TABLACONSOLIDADA[Bodega]&amp;TABLACONSOLIDADA[Codigo],0)),"")</f>
        <v/>
      </c>
      <c r="DF161" s="157" t="str">
        <f t="array" ref="DF161">IFERROR(INDEX(TABLACONSOLIDADA[Inv Fís Act],MATCH("AGROINSUMOSAGRONUEVO"&amp;Tabla_Buffers_Agroinsumos[[#This Row],[CODIGO ]],TABLACONSOLIDADA[Bodega]&amp;TABLACONSOLIDADA[Codigo],0)),"")</f>
        <v/>
      </c>
      <c r="DG161" s="157" t="str">
        <f t="array" ref="DG16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6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61" s="134">
        <f>IFERROR(SUM(Tabla_Buffers_Agroinsumos[[#This Row],[AN-MP]:[AN-VL]]),"")</f>
        <v>0</v>
      </c>
      <c r="DJ161" s="92" t="str">
        <f>IFERROR(Tabla_Buffers_Agroinsumos[[#This Row],[INV FIS AN]]-Tabla_Buffers_Agroinsumos[[#This Row],[BUFFER AN]],"")</f>
        <v/>
      </c>
      <c r="DK16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61" s="134"/>
      <c r="DM161" s="134"/>
      <c r="DN161" s="134"/>
      <c r="DO161" s="134"/>
      <c r="DP161" s="134"/>
      <c r="DQ161" s="134"/>
      <c r="DR161" s="134"/>
      <c r="DS161" s="134"/>
      <c r="DT161" s="134"/>
      <c r="DU161" s="134" t="str">
        <f t="array" ref="DU161">IFERROR(INDEX(TABLACONSOLIDADA[Buff Act],MATCH("AGROINSUMOSAGROQUIMICOSSUR"&amp;Tabla_Buffers_Agroinsumos[[#This Row],[CODIGO ]],TABLACONSOLIDADA[Bodega]&amp;TABLACONSOLIDADA[Codigo],0)),"")</f>
        <v/>
      </c>
      <c r="DV161" s="157" t="str">
        <f t="array" ref="DV161">IFERROR(INDEX(TABLACONSOLIDADA[Inv Fís Act],MATCH("AGROINSUMOSAGROQUIMICOSSUR"&amp;Tabla_Buffers_Agroinsumos[[#This Row],[CODIGO ]],TABLACONSOLIDADA[Bodega]&amp;TABLACONSOLIDADA[Codigo],0)),"")</f>
        <v/>
      </c>
      <c r="DW161" s="157" t="str">
        <f t="array" ref="DW16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6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61" s="134">
        <f>IFERROR(SUM(Tabla_Buffers_Agroinsumos[[#This Row],[AS-MP]:[AS-VL]]),"")</f>
        <v>0</v>
      </c>
      <c r="DZ161" s="92" t="str">
        <f>IFERROR(Tabla_Buffers_Agroinsumos[[#This Row],[INV FIS AS]]-Tabla_Buffers_Agroinsumos[[#This Row],[BUFFER AS]],"")</f>
        <v/>
      </c>
      <c r="EA16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61" s="134"/>
      <c r="EC161" s="134"/>
      <c r="ED161" s="134"/>
      <c r="EE161" s="134"/>
      <c r="EF161" s="134"/>
      <c r="EG161" s="134"/>
      <c r="EH161" s="134"/>
      <c r="EI161" s="134"/>
      <c r="EJ161" s="134"/>
      <c r="EK161" s="134" t="str">
        <f t="array" ref="EK161">IFERROR(INDEX(TABLACONSOLIDADA[Buff Act],MATCH("AGROINSUMOSLAFINCA"&amp;Tabla_Buffers_Agroinsumos[[#This Row],[CODIGO ]],TABLACONSOLIDADA[Bodega]&amp;TABLACONSOLIDADA[Codigo],0)),"")</f>
        <v/>
      </c>
      <c r="EL161" s="157" t="str">
        <f t="array" ref="EL161">IFERROR(INDEX(TABLACONSOLIDADA[Inv Fís Act],MATCH("AGROINSUMOSLAFINCA"&amp;Tabla_Buffers_Agroinsumos[[#This Row],[CODIGO ]],TABLACONSOLIDADA[Bodega]&amp;TABLACONSOLIDADA[Codigo],0)),"")</f>
        <v/>
      </c>
      <c r="EM161" s="157" t="str">
        <f t="array" ref="EM16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6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61" s="134">
        <f>IFERROR(SUM(Tabla_Buffers_Agroinsumos[[#This Row],[LF-MP]:[LF-VL]]),"")</f>
        <v>0</v>
      </c>
      <c r="EP161" s="92" t="str">
        <f>IFERROR(Tabla_Buffers_Agroinsumos[[#This Row],[INV FIS LF]]-Tabla_Buffers_Agroinsumos[[#This Row],[BUFFER LF]],"")</f>
        <v/>
      </c>
      <c r="EQ16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61" s="134"/>
      <c r="ES161" s="134"/>
      <c r="ET161" s="134"/>
      <c r="EU161" s="134"/>
      <c r="EV161" s="134"/>
      <c r="EW161" s="134"/>
      <c r="EX161" s="134"/>
      <c r="EY161" s="134"/>
      <c r="EZ161" s="134"/>
      <c r="FA161" s="134" t="str">
        <f t="array" ref="FA161">IFERROR(INDEX(TABLACONSOLIDADA[Buff Act],MATCH("AGROINSUMOSVERONICALEDESMA"&amp;Tabla_Buffers_Agroinsumos[[#This Row],[CODIGO ]],TABLACONSOLIDADA[Bodega]&amp;TABLACONSOLIDADA[Codigo],0)),"")</f>
        <v/>
      </c>
      <c r="FB161" s="157" t="str">
        <f t="array" ref="FB161">IFERROR(INDEX(TABLACONSOLIDADA[Inv Fís Act],MATCH("AGROINSUMOSVERONICALEDESMA"&amp;Tabla_Buffers_Agroinsumos[[#This Row],[CODIGO ]],TABLACONSOLIDADA[Bodega]&amp;TABLACONSOLIDADA[Codigo],0)),"")</f>
        <v/>
      </c>
      <c r="FC161" s="157" t="str">
        <f t="array" ref="FC16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6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61" s="134">
        <f>IFERROR(SUM(Tabla_Buffers_Agroinsumos[[#This Row],[VL-MP]:[VL-LF]]),"")</f>
        <v>0</v>
      </c>
      <c r="FF161" s="92" t="str">
        <f>IFERROR(Tabla_Buffers_Agroinsumos[[#This Row],[INV FIS VL]]-Tabla_Buffers_Agroinsumos[[#This Row],[BUFFER VL]],"")</f>
        <v/>
      </c>
      <c r="FG16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61" s="134"/>
      <c r="FI161" s="134"/>
      <c r="FJ161" s="134"/>
      <c r="FK161" s="134"/>
      <c r="FL161" s="134"/>
      <c r="FM161" s="134"/>
      <c r="FN161" s="134"/>
      <c r="FO161" s="134"/>
      <c r="FP161" s="134"/>
    </row>
    <row r="162" spans="1:172">
      <c r="A162" s="7" t="s">
        <v>283</v>
      </c>
      <c r="B162" s="7" t="s">
        <v>284</v>
      </c>
      <c r="C162" s="7" t="s">
        <v>716</v>
      </c>
      <c r="D162" s="7" t="s">
        <v>718</v>
      </c>
      <c r="E162" s="7" t="s">
        <v>863</v>
      </c>
      <c r="F162" s="19" t="s">
        <v>808</v>
      </c>
      <c r="G162" s="19" t="s">
        <v>802</v>
      </c>
      <c r="H162" s="19">
        <f>VLOOKUP(Tabla_Buffers_Agroinsumos[[#This Row],[CODIGO ]],TABLACONSOLIDADA[[Codigo]:[PV]],6,0)</f>
        <v>0</v>
      </c>
      <c r="I162" s="19">
        <f>VLOOKUP(Tabla_Buffers_Agroinsumos[[#This Row],[CODIGO ]],TABLACONSOLIDADA[[Codigo]:[PV]],5,0)</f>
        <v>0.11</v>
      </c>
      <c r="J162" s="19">
        <v>4</v>
      </c>
      <c r="K162" s="19">
        <v>6</v>
      </c>
      <c r="L162" s="19">
        <f>IFERROR(Tabla_Buffers_Agroinsumos[[#This Row],[BUFFER CENTRAL]]/((Tabla_Buffers_Agroinsumos[[#This Row],[TIEMPO REPOSICION ]]/Tabla_Buffers_Agroinsumos[[#This Row],[FRECUENCIA]])+1),0)</f>
        <v>0</v>
      </c>
      <c r="M162" s="19">
        <f t="array" ref="M162">IFERROR(INDEX(TABLACONSOLIDADA[Buff Act],MATCH("AGROINSUMOSMATERIAPRIMA"&amp;Tabla_Buffers_Agroinsumos[[#This Row],[CODIGO ]],TABLACONSOLIDADA[Bodega]&amp;TABLACONSOLIDADA[Codigo],0)),"")</f>
        <v>700</v>
      </c>
      <c r="N162" s="157">
        <f t="array" ref="N162">IFERROR(INDEX(TABLACONSOLIDADA[Inv Fís Act],MATCH("AGROINSUMOSMATERIAPRIMA"&amp;Tabla_Buffers_Agroinsumos[[#This Row],[CODIGO ]],TABLACONSOLIDADA[Bodega]&amp;TABLACONSOLIDADA[Codigo],0)),"")</f>
        <v>954</v>
      </c>
      <c r="O162" s="157">
        <f t="array" ref="O16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954</v>
      </c>
      <c r="P16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62" s="19">
        <f>IFERROR(SUM(Tabla_Buffers_Agroinsumos[[#This Row],[MP-C]:[MP-VL]]),"")</f>
        <v>0</v>
      </c>
      <c r="R162" s="92">
        <f>IFERROR(Tabla_Buffers_Agroinsumos[[#This Row],[INV FIS MATERIA PRIMA]]-Tabla_Buffers_Agroinsumos[[#This Row],[BUFFER MATERIA PRIMA]],"")</f>
        <v>254</v>
      </c>
      <c r="S16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254</v>
      </c>
      <c r="T162" s="19"/>
      <c r="U162" s="19"/>
      <c r="V162" s="19"/>
      <c r="W162" s="19"/>
      <c r="X162" s="19"/>
      <c r="Y162" s="19"/>
      <c r="Z162" s="19"/>
      <c r="AA162" s="19"/>
      <c r="AB162" s="19"/>
      <c r="AC162" s="152" t="str">
        <f t="array" ref="AC162">IFERROR(INDEX(TABLACONSOLIDADA[Buff Act],MATCH("AGROINSUMOSCENTRAL"&amp;Tabla_Buffers_Agroinsumos[[#This Row],[CODIGO ]],TABLACONSOLIDADA[Bodega]&amp;TABLACONSOLIDADA[Codigo],0)),"")</f>
        <v/>
      </c>
      <c r="AD162" s="157" t="str">
        <f t="array" ref="AD162">IFERROR(INDEX(TABLACONSOLIDADA[Inv Fís Act],MATCH("AGROINSUMOSCENTRAL"&amp;Tabla_Buffers_Agroinsumos[[#This Row],[CODIGO ]],TABLACONSOLIDADA[Bodega]&amp;TABLACONSOLIDADA[Codigo],0)),"")</f>
        <v/>
      </c>
      <c r="AE162" s="157" t="str">
        <f t="array" ref="AE16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6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62" s="91">
        <f>IFERROR(SUM(Tabla_Buffers_Agroinsumos[[#This Row],[C-MP]:[C-VL]]),"")</f>
        <v>0</v>
      </c>
      <c r="AH162" s="92" t="str">
        <f>IFERROR(Tabla_Buffers_Agroinsumos[[#This Row],[INV FIS CENTRAL]]-Tabla_Buffers_Agroinsumos[[#This Row],[BUFFER CENTRAL]],"")</f>
        <v/>
      </c>
      <c r="AI16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62" s="134"/>
      <c r="AK162" s="134"/>
      <c r="AL162" s="134"/>
      <c r="AM162" s="134"/>
      <c r="AN162" s="134"/>
      <c r="AO162" s="134"/>
      <c r="AP162" s="134"/>
      <c r="AQ162" s="134"/>
      <c r="AR162" s="134"/>
      <c r="AS162" s="134" t="str">
        <f t="array" ref="AS162">IFERROR(INDEX(TABLACONSOLIDADA[Buff Act],MATCH("AGROINSUMOScentralPROPIA"&amp;Tabla_Buffers_Agroinsumos[[#This Row],[CODIGO ]],TABLACONSOLIDADA[Bodega]&amp;TABLACONSOLIDADA[Codigo],0)),"")</f>
        <v/>
      </c>
      <c r="AT162" s="157" t="str">
        <f t="array" ref="AT162">IFERROR(INDEX(TABLACONSOLIDADA[Inv Fís Act],MATCH("AGROINSUMOScentralPROPIA"&amp;Tabla_Buffers_Agroinsumos[[#This Row],[CODIGO ]],TABLACONSOLIDADA[Bodega]&amp;TABLACONSOLIDADA[Codigo],0)),"")</f>
        <v/>
      </c>
      <c r="AU162" s="157" t="str">
        <f t="array" ref="AU16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6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62" s="134">
        <f>IFERROR(SUM(Tabla_Buffers_Agroinsumos[[#This Row],[P-MP]:[P-VL]]),"")</f>
        <v>0</v>
      </c>
      <c r="AX162" s="92" t="str">
        <f>IFERROR(Tabla_Buffers_Agroinsumos[[#This Row],[INV FIS PROPIA]]-Tabla_Buffers_Agroinsumos[[#This Row],[BUFFER PROPIA]],"")</f>
        <v/>
      </c>
      <c r="AY16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62" s="134"/>
      <c r="BA162" s="134"/>
      <c r="BB162" s="134"/>
      <c r="BC162" s="134"/>
      <c r="BD162" s="134"/>
      <c r="BE162" s="134"/>
      <c r="BF162" s="134"/>
      <c r="BG162" s="134"/>
      <c r="BH162" s="134"/>
      <c r="BI162" s="91" t="str">
        <f t="array" ref="BI162">IFERROR(INDEX(TABLACONSOLIDADA[Buff Act],MATCH("AGROINSUMOSSTODOMINGO"&amp;Tabla_Buffers_Agroinsumos[[#This Row],[CODIGO ]],TABLACONSOLIDADA[Bodega]&amp;TABLACONSOLIDADA[Codigo],0)),"")</f>
        <v/>
      </c>
      <c r="BJ162" s="157" t="str">
        <f t="array" ref="BJ162">IFERROR(INDEX(TABLACONSOLIDADA[Inv Fís Act],MATCH("AGROINSUMOSSTODOMINGO"&amp;Tabla_Buffers_Agroinsumos[[#This Row],[CODIGO ]],TABLACONSOLIDADA[Bodega]&amp;TABLACONSOLIDADA[Codigo],0)),"")</f>
        <v/>
      </c>
      <c r="BK162" s="157" t="str">
        <f t="array" ref="BK16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6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62" s="91">
        <f>IFERROR(SUM(Tabla_Buffers_Agroinsumos[[#This Row],[SD-MP]:[SD-VL]]),"")</f>
        <v>0</v>
      </c>
      <c r="BN162" s="92"/>
      <c r="BO162" s="92"/>
      <c r="BP162" s="134"/>
      <c r="BQ162" s="134"/>
      <c r="BR162" s="134"/>
      <c r="BS162" s="134"/>
      <c r="BT162" s="134"/>
      <c r="BU162" s="134"/>
      <c r="BV162" s="134"/>
      <c r="BW162" s="134"/>
      <c r="BX162" s="134"/>
      <c r="BY162" s="134" t="str">
        <f t="array" ref="BY162">IFERROR(INDEX(TABLACONSOLIDADA[Buff Act],MATCH("AGROINSUMOSMONCAYOLOPEZ"&amp;Tabla_Buffers_Agroinsumos[[#This Row],[CODIGO ]],TABLACONSOLIDADA[Bodega]&amp;TABLACONSOLIDADA[Codigo],0)),"")</f>
        <v/>
      </c>
      <c r="BZ162" s="157" t="str">
        <f t="array" ref="BZ162">IFERROR(INDEX(TABLACONSOLIDADA[Inv Fís Act],MATCH("AGROINSUMOSMONCAYOLOPEZ"&amp;Tabla_Buffers_Agroinsumos[[#This Row],[CODIGO ]],TABLACONSOLIDADA[Bodega]&amp;TABLACONSOLIDADA[Codigo],0)),"")</f>
        <v/>
      </c>
      <c r="CA162" s="157" t="str">
        <f t="array" ref="CA16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6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62" s="134">
        <f>IFERROR(SUM(Tabla_Buffers_Agroinsumos[[#This Row],[ML-MP]:[ML-VL]]),"")</f>
        <v>0</v>
      </c>
      <c r="CD162" s="92" t="str">
        <f>IFERROR(Tabla_Buffers_Agroinsumos[[#This Row],[INV FIS ML]]-Tabla_Buffers_Agroinsumos[[#This Row],[BUFFER ML]],"")</f>
        <v/>
      </c>
      <c r="CE16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62" s="134"/>
      <c r="CG162" s="134"/>
      <c r="CH162" s="134"/>
      <c r="CI162" s="134"/>
      <c r="CJ162" s="134"/>
      <c r="CK162" s="134"/>
      <c r="CL162" s="134"/>
      <c r="CM162" s="134"/>
      <c r="CN162" s="134"/>
      <c r="CO162" s="134" t="str">
        <f t="array" ref="CO162">IFERROR(INDEX(TABLACONSOLIDADA[Buff Act],MATCH("AGROINSUMOSAGROHERMANOSLEON"&amp;Tabla_Buffers_Agroinsumos[[#This Row],[CODIGO ]],TABLACONSOLIDADA[Bodega]&amp;TABLACONSOLIDADA[Codigo],0)),"")</f>
        <v/>
      </c>
      <c r="CP162" s="157" t="str">
        <f t="array" ref="CP162">IFERROR(INDEX(TABLACONSOLIDADA[Inv Fís Act],MATCH("AGROINSUMOSAGROHERMANOSLEON"&amp;Tabla_Buffers_Agroinsumos[[#This Row],[CODIGO ]],TABLACONSOLIDADA[Bodega]&amp;TABLACONSOLIDADA[Codigo],0)),"")</f>
        <v/>
      </c>
      <c r="CQ162" s="157" t="str">
        <f t="array" ref="CQ16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6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62" s="134">
        <f>IFERROR(SUM(Tabla_Buffers_Agroinsumos[[#This Row],[AL-MP]:[AL-VL]]),"")</f>
        <v>0</v>
      </c>
      <c r="CT162" s="92" t="str">
        <f>IFERROR(Tabla_Buffers_Agroinsumos[[#This Row],[INV FIS AL]]-Tabla_Buffers_Agroinsumos[[#This Row],[BUFFER AL]],"")</f>
        <v/>
      </c>
      <c r="CU16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62" s="134"/>
      <c r="CW162" s="134"/>
      <c r="CX162" s="134"/>
      <c r="CY162" s="134"/>
      <c r="CZ162" s="134"/>
      <c r="DA162" s="134"/>
      <c r="DB162" s="134"/>
      <c r="DC162" s="134"/>
      <c r="DD162" s="134"/>
      <c r="DE162" s="134" t="str">
        <f t="array" ref="DE162">IFERROR(INDEX(TABLACONSOLIDADA[Buff Act],MATCH("AGROINSUMOSAGRONUEVO"&amp;Tabla_Buffers_Agroinsumos[[#This Row],[CODIGO ]],TABLACONSOLIDADA[Bodega]&amp;TABLACONSOLIDADA[Codigo],0)),"")</f>
        <v/>
      </c>
      <c r="DF162" s="157" t="str">
        <f t="array" ref="DF162">IFERROR(INDEX(TABLACONSOLIDADA[Inv Fís Act],MATCH("AGROINSUMOSAGRONUEVO"&amp;Tabla_Buffers_Agroinsumos[[#This Row],[CODIGO ]],TABLACONSOLIDADA[Bodega]&amp;TABLACONSOLIDADA[Codigo],0)),"")</f>
        <v/>
      </c>
      <c r="DG162" s="157" t="str">
        <f t="array" ref="DG16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6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62" s="134">
        <f>IFERROR(SUM(Tabla_Buffers_Agroinsumos[[#This Row],[AN-MP]:[AN-VL]]),"")</f>
        <v>0</v>
      </c>
      <c r="DJ162" s="92" t="str">
        <f>IFERROR(Tabla_Buffers_Agroinsumos[[#This Row],[INV FIS AN]]-Tabla_Buffers_Agroinsumos[[#This Row],[BUFFER AN]],"")</f>
        <v/>
      </c>
      <c r="DK16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62" s="134"/>
      <c r="DM162" s="134"/>
      <c r="DN162" s="134"/>
      <c r="DO162" s="134"/>
      <c r="DP162" s="134"/>
      <c r="DQ162" s="134"/>
      <c r="DR162" s="134"/>
      <c r="DS162" s="134"/>
      <c r="DT162" s="134"/>
      <c r="DU162" s="134" t="str">
        <f t="array" ref="DU162">IFERROR(INDEX(TABLACONSOLIDADA[Buff Act],MATCH("AGROINSUMOSAGROQUIMICOSSUR"&amp;Tabla_Buffers_Agroinsumos[[#This Row],[CODIGO ]],TABLACONSOLIDADA[Bodega]&amp;TABLACONSOLIDADA[Codigo],0)),"")</f>
        <v/>
      </c>
      <c r="DV162" s="157" t="str">
        <f t="array" ref="DV162">IFERROR(INDEX(TABLACONSOLIDADA[Inv Fís Act],MATCH("AGROINSUMOSAGROQUIMICOSSUR"&amp;Tabla_Buffers_Agroinsumos[[#This Row],[CODIGO ]],TABLACONSOLIDADA[Bodega]&amp;TABLACONSOLIDADA[Codigo],0)),"")</f>
        <v/>
      </c>
      <c r="DW162" s="157" t="str">
        <f t="array" ref="DW16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6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62" s="134">
        <f>IFERROR(SUM(Tabla_Buffers_Agroinsumos[[#This Row],[AS-MP]:[AS-VL]]),"")</f>
        <v>0</v>
      </c>
      <c r="DZ162" s="92" t="str">
        <f>IFERROR(Tabla_Buffers_Agroinsumos[[#This Row],[INV FIS AS]]-Tabla_Buffers_Agroinsumos[[#This Row],[BUFFER AS]],"")</f>
        <v/>
      </c>
      <c r="EA16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62" s="134"/>
      <c r="EC162" s="134"/>
      <c r="ED162" s="134"/>
      <c r="EE162" s="134"/>
      <c r="EF162" s="134"/>
      <c r="EG162" s="134"/>
      <c r="EH162" s="134"/>
      <c r="EI162" s="134"/>
      <c r="EJ162" s="134"/>
      <c r="EK162" s="134" t="str">
        <f t="array" ref="EK162">IFERROR(INDEX(TABLACONSOLIDADA[Buff Act],MATCH("AGROINSUMOSLAFINCA"&amp;Tabla_Buffers_Agroinsumos[[#This Row],[CODIGO ]],TABLACONSOLIDADA[Bodega]&amp;TABLACONSOLIDADA[Codigo],0)),"")</f>
        <v/>
      </c>
      <c r="EL162" s="157" t="str">
        <f t="array" ref="EL162">IFERROR(INDEX(TABLACONSOLIDADA[Inv Fís Act],MATCH("AGROINSUMOSLAFINCA"&amp;Tabla_Buffers_Agroinsumos[[#This Row],[CODIGO ]],TABLACONSOLIDADA[Bodega]&amp;TABLACONSOLIDADA[Codigo],0)),"")</f>
        <v/>
      </c>
      <c r="EM162" s="157" t="str">
        <f t="array" ref="EM16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6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62" s="134">
        <f>IFERROR(SUM(Tabla_Buffers_Agroinsumos[[#This Row],[LF-MP]:[LF-VL]]),"")</f>
        <v>0</v>
      </c>
      <c r="EP162" s="92" t="str">
        <f>IFERROR(Tabla_Buffers_Agroinsumos[[#This Row],[INV FIS LF]]-Tabla_Buffers_Agroinsumos[[#This Row],[BUFFER LF]],"")</f>
        <v/>
      </c>
      <c r="EQ16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62" s="134"/>
      <c r="ES162" s="134"/>
      <c r="ET162" s="134"/>
      <c r="EU162" s="134"/>
      <c r="EV162" s="134"/>
      <c r="EW162" s="134"/>
      <c r="EX162" s="134"/>
      <c r="EY162" s="134"/>
      <c r="EZ162" s="134"/>
      <c r="FA162" s="134" t="str">
        <f t="array" ref="FA162">IFERROR(INDEX(TABLACONSOLIDADA[Buff Act],MATCH("AGROINSUMOSVERONICALEDESMA"&amp;Tabla_Buffers_Agroinsumos[[#This Row],[CODIGO ]],TABLACONSOLIDADA[Bodega]&amp;TABLACONSOLIDADA[Codigo],0)),"")</f>
        <v/>
      </c>
      <c r="FB162" s="157" t="str">
        <f t="array" ref="FB162">IFERROR(INDEX(TABLACONSOLIDADA[Inv Fís Act],MATCH("AGROINSUMOSVERONICALEDESMA"&amp;Tabla_Buffers_Agroinsumos[[#This Row],[CODIGO ]],TABLACONSOLIDADA[Bodega]&amp;TABLACONSOLIDADA[Codigo],0)),"")</f>
        <v/>
      </c>
      <c r="FC162" s="157" t="str">
        <f t="array" ref="FC16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6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62" s="134">
        <f>IFERROR(SUM(Tabla_Buffers_Agroinsumos[[#This Row],[VL-MP]:[VL-LF]]),"")</f>
        <v>0</v>
      </c>
      <c r="FF162" s="92" t="str">
        <f>IFERROR(Tabla_Buffers_Agroinsumos[[#This Row],[INV FIS VL]]-Tabla_Buffers_Agroinsumos[[#This Row],[BUFFER VL]],"")</f>
        <v/>
      </c>
      <c r="FG16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62" s="134"/>
      <c r="FI162" s="134"/>
      <c r="FJ162" s="134"/>
      <c r="FK162" s="134"/>
      <c r="FL162" s="134"/>
      <c r="FM162" s="134"/>
      <c r="FN162" s="134"/>
      <c r="FO162" s="134"/>
      <c r="FP162" s="134"/>
    </row>
    <row r="163" spans="1:172">
      <c r="A163" s="7" t="s">
        <v>285</v>
      </c>
      <c r="B163" s="7" t="s">
        <v>286</v>
      </c>
      <c r="C163" s="7" t="s">
        <v>716</v>
      </c>
      <c r="D163" s="7" t="s">
        <v>718</v>
      </c>
      <c r="E163" s="7" t="s">
        <v>863</v>
      </c>
      <c r="F163" s="19" t="s">
        <v>808</v>
      </c>
      <c r="G163" s="19" t="s">
        <v>802</v>
      </c>
      <c r="H163" s="19">
        <f>VLOOKUP(Tabla_Buffers_Agroinsumos[[#This Row],[CODIGO ]],TABLACONSOLIDADA[[Codigo]:[PV]],6,0)</f>
        <v>0</v>
      </c>
      <c r="I163" s="19">
        <f>VLOOKUP(Tabla_Buffers_Agroinsumos[[#This Row],[CODIGO ]],TABLACONSOLIDADA[[Codigo]:[PV]],5,0)</f>
        <v>7.0000000000000007E-2</v>
      </c>
      <c r="J163" s="19">
        <v>4</v>
      </c>
      <c r="K163" s="19">
        <v>6</v>
      </c>
      <c r="L163" s="19">
        <f>IFERROR(Tabla_Buffers_Agroinsumos[[#This Row],[BUFFER CENTRAL]]/((Tabla_Buffers_Agroinsumos[[#This Row],[TIEMPO REPOSICION ]]/Tabla_Buffers_Agroinsumos[[#This Row],[FRECUENCIA]])+1),0)</f>
        <v>0</v>
      </c>
      <c r="M163" s="19">
        <f t="array" ref="M163">IFERROR(INDEX(TABLACONSOLIDADA[Buff Act],MATCH("AGROINSUMOSMATERIAPRIMA"&amp;Tabla_Buffers_Agroinsumos[[#This Row],[CODIGO ]],TABLACONSOLIDADA[Bodega]&amp;TABLACONSOLIDADA[Codigo],0)),"")</f>
        <v>300</v>
      </c>
      <c r="N163" s="157">
        <f t="array" ref="N163">IFERROR(INDEX(TABLACONSOLIDADA[Inv Fís Act],MATCH("AGROINSUMOSMATERIAPRIMA"&amp;Tabla_Buffers_Agroinsumos[[#This Row],[CODIGO ]],TABLACONSOLIDADA[Bodega]&amp;TABLACONSOLIDADA[Codigo],0)),"")</f>
        <v>417</v>
      </c>
      <c r="O163" s="157">
        <f t="array" ref="O16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417</v>
      </c>
      <c r="P16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63" s="19">
        <f>IFERROR(SUM(Tabla_Buffers_Agroinsumos[[#This Row],[MP-C]:[MP-VL]]),"")</f>
        <v>0</v>
      </c>
      <c r="R163" s="92">
        <f>IFERROR(Tabla_Buffers_Agroinsumos[[#This Row],[INV FIS MATERIA PRIMA]]-Tabla_Buffers_Agroinsumos[[#This Row],[BUFFER MATERIA PRIMA]],"")</f>
        <v>117</v>
      </c>
      <c r="S16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117</v>
      </c>
      <c r="T163" s="19"/>
      <c r="U163" s="19"/>
      <c r="V163" s="19"/>
      <c r="W163" s="19"/>
      <c r="X163" s="19"/>
      <c r="Y163" s="19"/>
      <c r="Z163" s="19"/>
      <c r="AA163" s="19"/>
      <c r="AB163" s="19"/>
      <c r="AC163" s="152" t="str">
        <f t="array" ref="AC163">IFERROR(INDEX(TABLACONSOLIDADA[Buff Act],MATCH("AGROINSUMOSCENTRAL"&amp;Tabla_Buffers_Agroinsumos[[#This Row],[CODIGO ]],TABLACONSOLIDADA[Bodega]&amp;TABLACONSOLIDADA[Codigo],0)),"")</f>
        <v/>
      </c>
      <c r="AD163" s="157" t="str">
        <f t="array" ref="AD163">IFERROR(INDEX(TABLACONSOLIDADA[Inv Fís Act],MATCH("AGROINSUMOSCENTRAL"&amp;Tabla_Buffers_Agroinsumos[[#This Row],[CODIGO ]],TABLACONSOLIDADA[Bodega]&amp;TABLACONSOLIDADA[Codigo],0)),"")</f>
        <v/>
      </c>
      <c r="AE163" s="157" t="str">
        <f t="array" ref="AE16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6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63" s="91">
        <f>IFERROR(SUM(Tabla_Buffers_Agroinsumos[[#This Row],[C-MP]:[C-VL]]),"")</f>
        <v>0</v>
      </c>
      <c r="AH163" s="92" t="str">
        <f>IFERROR(Tabla_Buffers_Agroinsumos[[#This Row],[INV FIS CENTRAL]]-Tabla_Buffers_Agroinsumos[[#This Row],[BUFFER CENTRAL]],"")</f>
        <v/>
      </c>
      <c r="AI16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63" s="134"/>
      <c r="AK163" s="134"/>
      <c r="AL163" s="134"/>
      <c r="AM163" s="134"/>
      <c r="AN163" s="134"/>
      <c r="AO163" s="134"/>
      <c r="AP163" s="134"/>
      <c r="AQ163" s="134"/>
      <c r="AR163" s="134"/>
      <c r="AS163" s="134" t="str">
        <f t="array" ref="AS163">IFERROR(INDEX(TABLACONSOLIDADA[Buff Act],MATCH("AGROINSUMOScentralPROPIA"&amp;Tabla_Buffers_Agroinsumos[[#This Row],[CODIGO ]],TABLACONSOLIDADA[Bodega]&amp;TABLACONSOLIDADA[Codigo],0)),"")</f>
        <v/>
      </c>
      <c r="AT163" s="157" t="str">
        <f t="array" ref="AT163">IFERROR(INDEX(TABLACONSOLIDADA[Inv Fís Act],MATCH("AGROINSUMOScentralPROPIA"&amp;Tabla_Buffers_Agroinsumos[[#This Row],[CODIGO ]],TABLACONSOLIDADA[Bodega]&amp;TABLACONSOLIDADA[Codigo],0)),"")</f>
        <v/>
      </c>
      <c r="AU163" s="157" t="str">
        <f t="array" ref="AU16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6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63" s="134">
        <f>IFERROR(SUM(Tabla_Buffers_Agroinsumos[[#This Row],[P-MP]:[P-VL]]),"")</f>
        <v>0</v>
      </c>
      <c r="AX163" s="92" t="str">
        <f>IFERROR(Tabla_Buffers_Agroinsumos[[#This Row],[INV FIS PROPIA]]-Tabla_Buffers_Agroinsumos[[#This Row],[BUFFER PROPIA]],"")</f>
        <v/>
      </c>
      <c r="AY16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63" s="134"/>
      <c r="BA163" s="134"/>
      <c r="BB163" s="134"/>
      <c r="BC163" s="134"/>
      <c r="BD163" s="134"/>
      <c r="BE163" s="134"/>
      <c r="BF163" s="134"/>
      <c r="BG163" s="134"/>
      <c r="BH163" s="134"/>
      <c r="BI163" s="91" t="str">
        <f t="array" ref="BI163">IFERROR(INDEX(TABLACONSOLIDADA[Buff Act],MATCH("AGROINSUMOSSTODOMINGO"&amp;Tabla_Buffers_Agroinsumos[[#This Row],[CODIGO ]],TABLACONSOLIDADA[Bodega]&amp;TABLACONSOLIDADA[Codigo],0)),"")</f>
        <v/>
      </c>
      <c r="BJ163" s="157" t="str">
        <f t="array" ref="BJ163">IFERROR(INDEX(TABLACONSOLIDADA[Inv Fís Act],MATCH("AGROINSUMOSSTODOMINGO"&amp;Tabla_Buffers_Agroinsumos[[#This Row],[CODIGO ]],TABLACONSOLIDADA[Bodega]&amp;TABLACONSOLIDADA[Codigo],0)),"")</f>
        <v/>
      </c>
      <c r="BK163" s="157" t="str">
        <f t="array" ref="BK16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6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63" s="91">
        <f>IFERROR(SUM(Tabla_Buffers_Agroinsumos[[#This Row],[SD-MP]:[SD-VL]]),"")</f>
        <v>0</v>
      </c>
      <c r="BN163" s="92"/>
      <c r="BO163" s="92"/>
      <c r="BP163" s="134"/>
      <c r="BQ163" s="134"/>
      <c r="BR163" s="134"/>
      <c r="BS163" s="134"/>
      <c r="BT163" s="134"/>
      <c r="BU163" s="134"/>
      <c r="BV163" s="134"/>
      <c r="BW163" s="134"/>
      <c r="BX163" s="134"/>
      <c r="BY163" s="134" t="str">
        <f t="array" ref="BY163">IFERROR(INDEX(TABLACONSOLIDADA[Buff Act],MATCH("AGROINSUMOSMONCAYOLOPEZ"&amp;Tabla_Buffers_Agroinsumos[[#This Row],[CODIGO ]],TABLACONSOLIDADA[Bodega]&amp;TABLACONSOLIDADA[Codigo],0)),"")</f>
        <v/>
      </c>
      <c r="BZ163" s="157" t="str">
        <f t="array" ref="BZ163">IFERROR(INDEX(TABLACONSOLIDADA[Inv Fís Act],MATCH("AGROINSUMOSMONCAYOLOPEZ"&amp;Tabla_Buffers_Agroinsumos[[#This Row],[CODIGO ]],TABLACONSOLIDADA[Bodega]&amp;TABLACONSOLIDADA[Codigo],0)),"")</f>
        <v/>
      </c>
      <c r="CA163" s="157" t="str">
        <f t="array" ref="CA16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6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63" s="134">
        <f>IFERROR(SUM(Tabla_Buffers_Agroinsumos[[#This Row],[ML-MP]:[ML-VL]]),"")</f>
        <v>0</v>
      </c>
      <c r="CD163" s="92" t="str">
        <f>IFERROR(Tabla_Buffers_Agroinsumos[[#This Row],[INV FIS ML]]-Tabla_Buffers_Agroinsumos[[#This Row],[BUFFER ML]],"")</f>
        <v/>
      </c>
      <c r="CE16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63" s="134"/>
      <c r="CG163" s="134"/>
      <c r="CH163" s="134"/>
      <c r="CI163" s="134"/>
      <c r="CJ163" s="134"/>
      <c r="CK163" s="134"/>
      <c r="CL163" s="134"/>
      <c r="CM163" s="134"/>
      <c r="CN163" s="134"/>
      <c r="CO163" s="134" t="str">
        <f t="array" ref="CO163">IFERROR(INDEX(TABLACONSOLIDADA[Buff Act],MATCH("AGROINSUMOSAGROHERMANOSLEON"&amp;Tabla_Buffers_Agroinsumos[[#This Row],[CODIGO ]],TABLACONSOLIDADA[Bodega]&amp;TABLACONSOLIDADA[Codigo],0)),"")</f>
        <v/>
      </c>
      <c r="CP163" s="157" t="str">
        <f t="array" ref="CP163">IFERROR(INDEX(TABLACONSOLIDADA[Inv Fís Act],MATCH("AGROINSUMOSAGROHERMANOSLEON"&amp;Tabla_Buffers_Agroinsumos[[#This Row],[CODIGO ]],TABLACONSOLIDADA[Bodega]&amp;TABLACONSOLIDADA[Codigo],0)),"")</f>
        <v/>
      </c>
      <c r="CQ163" s="157" t="str">
        <f t="array" ref="CQ16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6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63" s="134">
        <f>IFERROR(SUM(Tabla_Buffers_Agroinsumos[[#This Row],[AL-MP]:[AL-VL]]),"")</f>
        <v>0</v>
      </c>
      <c r="CT163" s="92" t="str">
        <f>IFERROR(Tabla_Buffers_Agroinsumos[[#This Row],[INV FIS AL]]-Tabla_Buffers_Agroinsumos[[#This Row],[BUFFER AL]],"")</f>
        <v/>
      </c>
      <c r="CU16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63" s="134"/>
      <c r="CW163" s="134"/>
      <c r="CX163" s="134"/>
      <c r="CY163" s="134"/>
      <c r="CZ163" s="134"/>
      <c r="DA163" s="134"/>
      <c r="DB163" s="134"/>
      <c r="DC163" s="134"/>
      <c r="DD163" s="134"/>
      <c r="DE163" s="134" t="str">
        <f t="array" ref="DE163">IFERROR(INDEX(TABLACONSOLIDADA[Buff Act],MATCH("AGROINSUMOSAGRONUEVO"&amp;Tabla_Buffers_Agroinsumos[[#This Row],[CODIGO ]],TABLACONSOLIDADA[Bodega]&amp;TABLACONSOLIDADA[Codigo],0)),"")</f>
        <v/>
      </c>
      <c r="DF163" s="157" t="str">
        <f t="array" ref="DF163">IFERROR(INDEX(TABLACONSOLIDADA[Inv Fís Act],MATCH("AGROINSUMOSAGRONUEVO"&amp;Tabla_Buffers_Agroinsumos[[#This Row],[CODIGO ]],TABLACONSOLIDADA[Bodega]&amp;TABLACONSOLIDADA[Codigo],0)),"")</f>
        <v/>
      </c>
      <c r="DG163" s="157" t="str">
        <f t="array" ref="DG16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6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63" s="134">
        <f>IFERROR(SUM(Tabla_Buffers_Agroinsumos[[#This Row],[AN-MP]:[AN-VL]]),"")</f>
        <v>0</v>
      </c>
      <c r="DJ163" s="92" t="str">
        <f>IFERROR(Tabla_Buffers_Agroinsumos[[#This Row],[INV FIS AN]]-Tabla_Buffers_Agroinsumos[[#This Row],[BUFFER AN]],"")</f>
        <v/>
      </c>
      <c r="DK16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63" s="134"/>
      <c r="DM163" s="134"/>
      <c r="DN163" s="134"/>
      <c r="DO163" s="134"/>
      <c r="DP163" s="134"/>
      <c r="DQ163" s="134"/>
      <c r="DR163" s="134"/>
      <c r="DS163" s="134"/>
      <c r="DT163" s="134"/>
      <c r="DU163" s="134" t="str">
        <f t="array" ref="DU163">IFERROR(INDEX(TABLACONSOLIDADA[Buff Act],MATCH("AGROINSUMOSAGROQUIMICOSSUR"&amp;Tabla_Buffers_Agroinsumos[[#This Row],[CODIGO ]],TABLACONSOLIDADA[Bodega]&amp;TABLACONSOLIDADA[Codigo],0)),"")</f>
        <v/>
      </c>
      <c r="DV163" s="157" t="str">
        <f t="array" ref="DV163">IFERROR(INDEX(TABLACONSOLIDADA[Inv Fís Act],MATCH("AGROINSUMOSAGROQUIMICOSSUR"&amp;Tabla_Buffers_Agroinsumos[[#This Row],[CODIGO ]],TABLACONSOLIDADA[Bodega]&amp;TABLACONSOLIDADA[Codigo],0)),"")</f>
        <v/>
      </c>
      <c r="DW163" s="157" t="str">
        <f t="array" ref="DW16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6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63" s="134">
        <f>IFERROR(SUM(Tabla_Buffers_Agroinsumos[[#This Row],[AS-MP]:[AS-VL]]),"")</f>
        <v>0</v>
      </c>
      <c r="DZ163" s="92" t="str">
        <f>IFERROR(Tabla_Buffers_Agroinsumos[[#This Row],[INV FIS AS]]-Tabla_Buffers_Agroinsumos[[#This Row],[BUFFER AS]],"")</f>
        <v/>
      </c>
      <c r="EA16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63" s="134"/>
      <c r="EC163" s="134"/>
      <c r="ED163" s="134"/>
      <c r="EE163" s="134"/>
      <c r="EF163" s="134"/>
      <c r="EG163" s="134"/>
      <c r="EH163" s="134"/>
      <c r="EI163" s="134"/>
      <c r="EJ163" s="134"/>
      <c r="EK163" s="134" t="str">
        <f t="array" ref="EK163">IFERROR(INDEX(TABLACONSOLIDADA[Buff Act],MATCH("AGROINSUMOSLAFINCA"&amp;Tabla_Buffers_Agroinsumos[[#This Row],[CODIGO ]],TABLACONSOLIDADA[Bodega]&amp;TABLACONSOLIDADA[Codigo],0)),"")</f>
        <v/>
      </c>
      <c r="EL163" s="157" t="str">
        <f t="array" ref="EL163">IFERROR(INDEX(TABLACONSOLIDADA[Inv Fís Act],MATCH("AGROINSUMOSLAFINCA"&amp;Tabla_Buffers_Agroinsumos[[#This Row],[CODIGO ]],TABLACONSOLIDADA[Bodega]&amp;TABLACONSOLIDADA[Codigo],0)),"")</f>
        <v/>
      </c>
      <c r="EM163" s="157" t="str">
        <f t="array" ref="EM16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6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63" s="134">
        <f>IFERROR(SUM(Tabla_Buffers_Agroinsumos[[#This Row],[LF-MP]:[LF-VL]]),"")</f>
        <v>0</v>
      </c>
      <c r="EP163" s="92" t="str">
        <f>IFERROR(Tabla_Buffers_Agroinsumos[[#This Row],[INV FIS LF]]-Tabla_Buffers_Agroinsumos[[#This Row],[BUFFER LF]],"")</f>
        <v/>
      </c>
      <c r="EQ16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63" s="134"/>
      <c r="ES163" s="134"/>
      <c r="ET163" s="134"/>
      <c r="EU163" s="134"/>
      <c r="EV163" s="134"/>
      <c r="EW163" s="134"/>
      <c r="EX163" s="134"/>
      <c r="EY163" s="134"/>
      <c r="EZ163" s="134"/>
      <c r="FA163" s="134" t="str">
        <f t="array" ref="FA163">IFERROR(INDEX(TABLACONSOLIDADA[Buff Act],MATCH("AGROINSUMOSVERONICALEDESMA"&amp;Tabla_Buffers_Agroinsumos[[#This Row],[CODIGO ]],TABLACONSOLIDADA[Bodega]&amp;TABLACONSOLIDADA[Codigo],0)),"")</f>
        <v/>
      </c>
      <c r="FB163" s="157" t="str">
        <f t="array" ref="FB163">IFERROR(INDEX(TABLACONSOLIDADA[Inv Fís Act],MATCH("AGROINSUMOSVERONICALEDESMA"&amp;Tabla_Buffers_Agroinsumos[[#This Row],[CODIGO ]],TABLACONSOLIDADA[Bodega]&amp;TABLACONSOLIDADA[Codigo],0)),"")</f>
        <v/>
      </c>
      <c r="FC163" s="157" t="str">
        <f t="array" ref="FC16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6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63" s="134">
        <f>IFERROR(SUM(Tabla_Buffers_Agroinsumos[[#This Row],[VL-MP]:[VL-LF]]),"")</f>
        <v>0</v>
      </c>
      <c r="FF163" s="92" t="str">
        <f>IFERROR(Tabla_Buffers_Agroinsumos[[#This Row],[INV FIS VL]]-Tabla_Buffers_Agroinsumos[[#This Row],[BUFFER VL]],"")</f>
        <v/>
      </c>
      <c r="FG16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63" s="134"/>
      <c r="FI163" s="134"/>
      <c r="FJ163" s="134"/>
      <c r="FK163" s="134"/>
      <c r="FL163" s="134"/>
      <c r="FM163" s="134"/>
      <c r="FN163" s="134"/>
      <c r="FO163" s="134"/>
      <c r="FP163" s="134"/>
    </row>
    <row r="164" spans="1:172">
      <c r="A164" s="7" t="s">
        <v>287</v>
      </c>
      <c r="B164" s="7" t="s">
        <v>288</v>
      </c>
      <c r="C164" s="7" t="s">
        <v>716</v>
      </c>
      <c r="D164" s="7" t="s">
        <v>718</v>
      </c>
      <c r="E164" s="7" t="s">
        <v>863</v>
      </c>
      <c r="F164" s="19" t="s">
        <v>808</v>
      </c>
      <c r="G164" s="19" t="s">
        <v>802</v>
      </c>
      <c r="H164" s="19">
        <f>VLOOKUP(Tabla_Buffers_Agroinsumos[[#This Row],[CODIGO ]],TABLACONSOLIDADA[[Codigo]:[PV]],6,0)</f>
        <v>0</v>
      </c>
      <c r="I164" s="19">
        <f>VLOOKUP(Tabla_Buffers_Agroinsumos[[#This Row],[CODIGO ]],TABLACONSOLIDADA[[Codigo]:[PV]],5,0)</f>
        <v>0.26</v>
      </c>
      <c r="J164" s="19">
        <v>4</v>
      </c>
      <c r="K164" s="19">
        <v>6</v>
      </c>
      <c r="L164" s="19">
        <f>IFERROR(Tabla_Buffers_Agroinsumos[[#This Row],[BUFFER CENTRAL]]/((Tabla_Buffers_Agroinsumos[[#This Row],[TIEMPO REPOSICION ]]/Tabla_Buffers_Agroinsumos[[#This Row],[FRECUENCIA]])+1),0)</f>
        <v>0</v>
      </c>
      <c r="M164" s="19">
        <f t="array" ref="M164">IFERROR(INDEX(TABLACONSOLIDADA[Buff Act],MATCH("AGROINSUMOSMATERIAPRIMA"&amp;Tabla_Buffers_Agroinsumos[[#This Row],[CODIGO ]],TABLACONSOLIDADA[Bodega]&amp;TABLACONSOLIDADA[Codigo],0)),"")</f>
        <v>0</v>
      </c>
      <c r="N164" s="157">
        <f t="array" ref="N164">IFERROR(INDEX(TABLACONSOLIDADA[Inv Fís Act],MATCH("AGROINSUMOSMATERIAPRIMA"&amp;Tabla_Buffers_Agroinsumos[[#This Row],[CODIGO ]],TABLACONSOLIDADA[Bodega]&amp;TABLACONSOLIDADA[Codigo],0)),"")</f>
        <v>0</v>
      </c>
      <c r="O164" s="157">
        <f t="array" ref="O16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16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64" s="19">
        <f>IFERROR(SUM(Tabla_Buffers_Agroinsumos[[#This Row],[MP-C]:[MP-VL]]),"")</f>
        <v>0</v>
      </c>
      <c r="R164" s="92">
        <f>IFERROR(Tabla_Buffers_Agroinsumos[[#This Row],[INV FIS MATERIA PRIMA]]-Tabla_Buffers_Agroinsumos[[#This Row],[BUFFER MATERIA PRIMA]],"")</f>
        <v>0</v>
      </c>
      <c r="S16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164" s="19"/>
      <c r="U164" s="19"/>
      <c r="V164" s="19"/>
      <c r="W164" s="19"/>
      <c r="X164" s="19"/>
      <c r="Y164" s="19"/>
      <c r="Z164" s="19"/>
      <c r="AA164" s="19"/>
      <c r="AB164" s="19"/>
      <c r="AC164" s="152" t="str">
        <f t="array" ref="AC164">IFERROR(INDEX(TABLACONSOLIDADA[Buff Act],MATCH("AGROINSUMOSCENTRAL"&amp;Tabla_Buffers_Agroinsumos[[#This Row],[CODIGO ]],TABLACONSOLIDADA[Bodega]&amp;TABLACONSOLIDADA[Codigo],0)),"")</f>
        <v/>
      </c>
      <c r="AD164" s="157" t="str">
        <f t="array" ref="AD164">IFERROR(INDEX(TABLACONSOLIDADA[Inv Fís Act],MATCH("AGROINSUMOSCENTRAL"&amp;Tabla_Buffers_Agroinsumos[[#This Row],[CODIGO ]],TABLACONSOLIDADA[Bodega]&amp;TABLACONSOLIDADA[Codigo],0)),"")</f>
        <v/>
      </c>
      <c r="AE164" s="157" t="str">
        <f t="array" ref="AE16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6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64" s="91">
        <f>IFERROR(SUM(Tabla_Buffers_Agroinsumos[[#This Row],[C-MP]:[C-VL]]),"")</f>
        <v>0</v>
      </c>
      <c r="AH164" s="92" t="str">
        <f>IFERROR(Tabla_Buffers_Agroinsumos[[#This Row],[INV FIS CENTRAL]]-Tabla_Buffers_Agroinsumos[[#This Row],[BUFFER CENTRAL]],"")</f>
        <v/>
      </c>
      <c r="AI16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64" s="134"/>
      <c r="AK164" s="134"/>
      <c r="AL164" s="134"/>
      <c r="AM164" s="134"/>
      <c r="AN164" s="134"/>
      <c r="AO164" s="134"/>
      <c r="AP164" s="134"/>
      <c r="AQ164" s="134"/>
      <c r="AR164" s="134"/>
      <c r="AS164" s="134" t="str">
        <f t="array" ref="AS164">IFERROR(INDEX(TABLACONSOLIDADA[Buff Act],MATCH("AGROINSUMOScentralPROPIA"&amp;Tabla_Buffers_Agroinsumos[[#This Row],[CODIGO ]],TABLACONSOLIDADA[Bodega]&amp;TABLACONSOLIDADA[Codigo],0)),"")</f>
        <v/>
      </c>
      <c r="AT164" s="157" t="str">
        <f t="array" ref="AT164">IFERROR(INDEX(TABLACONSOLIDADA[Inv Fís Act],MATCH("AGROINSUMOScentralPROPIA"&amp;Tabla_Buffers_Agroinsumos[[#This Row],[CODIGO ]],TABLACONSOLIDADA[Bodega]&amp;TABLACONSOLIDADA[Codigo],0)),"")</f>
        <v/>
      </c>
      <c r="AU164" s="157" t="str">
        <f t="array" ref="AU16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6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64" s="134">
        <f>IFERROR(SUM(Tabla_Buffers_Agroinsumos[[#This Row],[P-MP]:[P-VL]]),"")</f>
        <v>0</v>
      </c>
      <c r="AX164" s="92" t="str">
        <f>IFERROR(Tabla_Buffers_Agroinsumos[[#This Row],[INV FIS PROPIA]]-Tabla_Buffers_Agroinsumos[[#This Row],[BUFFER PROPIA]],"")</f>
        <v/>
      </c>
      <c r="AY16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64" s="134"/>
      <c r="BA164" s="134"/>
      <c r="BB164" s="134"/>
      <c r="BC164" s="134"/>
      <c r="BD164" s="134"/>
      <c r="BE164" s="134"/>
      <c r="BF164" s="134"/>
      <c r="BG164" s="134"/>
      <c r="BH164" s="134"/>
      <c r="BI164" s="91" t="str">
        <f t="array" ref="BI164">IFERROR(INDEX(TABLACONSOLIDADA[Buff Act],MATCH("AGROINSUMOSSTODOMINGO"&amp;Tabla_Buffers_Agroinsumos[[#This Row],[CODIGO ]],TABLACONSOLIDADA[Bodega]&amp;TABLACONSOLIDADA[Codigo],0)),"")</f>
        <v/>
      </c>
      <c r="BJ164" s="157" t="str">
        <f t="array" ref="BJ164">IFERROR(INDEX(TABLACONSOLIDADA[Inv Fís Act],MATCH("AGROINSUMOSSTODOMINGO"&amp;Tabla_Buffers_Agroinsumos[[#This Row],[CODIGO ]],TABLACONSOLIDADA[Bodega]&amp;TABLACONSOLIDADA[Codigo],0)),"")</f>
        <v/>
      </c>
      <c r="BK164" s="157" t="str">
        <f t="array" ref="BK16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6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64" s="91">
        <f>IFERROR(SUM(Tabla_Buffers_Agroinsumos[[#This Row],[SD-MP]:[SD-VL]]),"")</f>
        <v>0</v>
      </c>
      <c r="BN164" s="92"/>
      <c r="BO164" s="92"/>
      <c r="BP164" s="134"/>
      <c r="BQ164" s="134"/>
      <c r="BR164" s="134"/>
      <c r="BS164" s="134"/>
      <c r="BT164" s="134"/>
      <c r="BU164" s="134"/>
      <c r="BV164" s="134"/>
      <c r="BW164" s="134"/>
      <c r="BX164" s="134"/>
      <c r="BY164" s="134" t="str">
        <f t="array" ref="BY164">IFERROR(INDEX(TABLACONSOLIDADA[Buff Act],MATCH("AGROINSUMOSMONCAYOLOPEZ"&amp;Tabla_Buffers_Agroinsumos[[#This Row],[CODIGO ]],TABLACONSOLIDADA[Bodega]&amp;TABLACONSOLIDADA[Codigo],0)),"")</f>
        <v/>
      </c>
      <c r="BZ164" s="157" t="str">
        <f t="array" ref="BZ164">IFERROR(INDEX(TABLACONSOLIDADA[Inv Fís Act],MATCH("AGROINSUMOSMONCAYOLOPEZ"&amp;Tabla_Buffers_Agroinsumos[[#This Row],[CODIGO ]],TABLACONSOLIDADA[Bodega]&amp;TABLACONSOLIDADA[Codigo],0)),"")</f>
        <v/>
      </c>
      <c r="CA164" s="157" t="str">
        <f t="array" ref="CA16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6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64" s="134">
        <f>IFERROR(SUM(Tabla_Buffers_Agroinsumos[[#This Row],[ML-MP]:[ML-VL]]),"")</f>
        <v>0</v>
      </c>
      <c r="CD164" s="92" t="str">
        <f>IFERROR(Tabla_Buffers_Agroinsumos[[#This Row],[INV FIS ML]]-Tabla_Buffers_Agroinsumos[[#This Row],[BUFFER ML]],"")</f>
        <v/>
      </c>
      <c r="CE16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64" s="134"/>
      <c r="CG164" s="134"/>
      <c r="CH164" s="134"/>
      <c r="CI164" s="134"/>
      <c r="CJ164" s="134"/>
      <c r="CK164" s="134"/>
      <c r="CL164" s="134"/>
      <c r="CM164" s="134"/>
      <c r="CN164" s="134"/>
      <c r="CO164" s="134" t="str">
        <f t="array" ref="CO164">IFERROR(INDEX(TABLACONSOLIDADA[Buff Act],MATCH("AGROINSUMOSAGROHERMANOSLEON"&amp;Tabla_Buffers_Agroinsumos[[#This Row],[CODIGO ]],TABLACONSOLIDADA[Bodega]&amp;TABLACONSOLIDADA[Codigo],0)),"")</f>
        <v/>
      </c>
      <c r="CP164" s="157" t="str">
        <f t="array" ref="CP164">IFERROR(INDEX(TABLACONSOLIDADA[Inv Fís Act],MATCH("AGROINSUMOSAGROHERMANOSLEON"&amp;Tabla_Buffers_Agroinsumos[[#This Row],[CODIGO ]],TABLACONSOLIDADA[Bodega]&amp;TABLACONSOLIDADA[Codigo],0)),"")</f>
        <v/>
      </c>
      <c r="CQ164" s="157" t="str">
        <f t="array" ref="CQ16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6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64" s="134">
        <f>IFERROR(SUM(Tabla_Buffers_Agroinsumos[[#This Row],[AL-MP]:[AL-VL]]),"")</f>
        <v>0</v>
      </c>
      <c r="CT164" s="92" t="str">
        <f>IFERROR(Tabla_Buffers_Agroinsumos[[#This Row],[INV FIS AL]]-Tabla_Buffers_Agroinsumos[[#This Row],[BUFFER AL]],"")</f>
        <v/>
      </c>
      <c r="CU16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64" s="134"/>
      <c r="CW164" s="134"/>
      <c r="CX164" s="134"/>
      <c r="CY164" s="134"/>
      <c r="CZ164" s="134"/>
      <c r="DA164" s="134"/>
      <c r="DB164" s="134"/>
      <c r="DC164" s="134"/>
      <c r="DD164" s="134"/>
      <c r="DE164" s="134" t="str">
        <f t="array" ref="DE164">IFERROR(INDEX(TABLACONSOLIDADA[Buff Act],MATCH("AGROINSUMOSAGRONUEVO"&amp;Tabla_Buffers_Agroinsumos[[#This Row],[CODIGO ]],TABLACONSOLIDADA[Bodega]&amp;TABLACONSOLIDADA[Codigo],0)),"")</f>
        <v/>
      </c>
      <c r="DF164" s="157" t="str">
        <f t="array" ref="DF164">IFERROR(INDEX(TABLACONSOLIDADA[Inv Fís Act],MATCH("AGROINSUMOSAGRONUEVO"&amp;Tabla_Buffers_Agroinsumos[[#This Row],[CODIGO ]],TABLACONSOLIDADA[Bodega]&amp;TABLACONSOLIDADA[Codigo],0)),"")</f>
        <v/>
      </c>
      <c r="DG164" s="157" t="str">
        <f t="array" ref="DG16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6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64" s="134">
        <f>IFERROR(SUM(Tabla_Buffers_Agroinsumos[[#This Row],[AN-MP]:[AN-VL]]),"")</f>
        <v>0</v>
      </c>
      <c r="DJ164" s="92" t="str">
        <f>IFERROR(Tabla_Buffers_Agroinsumos[[#This Row],[INV FIS AN]]-Tabla_Buffers_Agroinsumos[[#This Row],[BUFFER AN]],"")</f>
        <v/>
      </c>
      <c r="DK16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64" s="134"/>
      <c r="DM164" s="134"/>
      <c r="DN164" s="134"/>
      <c r="DO164" s="134"/>
      <c r="DP164" s="134"/>
      <c r="DQ164" s="134"/>
      <c r="DR164" s="134"/>
      <c r="DS164" s="134"/>
      <c r="DT164" s="134"/>
      <c r="DU164" s="134" t="str">
        <f t="array" ref="DU164">IFERROR(INDEX(TABLACONSOLIDADA[Buff Act],MATCH("AGROINSUMOSAGROQUIMICOSSUR"&amp;Tabla_Buffers_Agroinsumos[[#This Row],[CODIGO ]],TABLACONSOLIDADA[Bodega]&amp;TABLACONSOLIDADA[Codigo],0)),"")</f>
        <v/>
      </c>
      <c r="DV164" s="157" t="str">
        <f t="array" ref="DV164">IFERROR(INDEX(TABLACONSOLIDADA[Inv Fís Act],MATCH("AGROINSUMOSAGROQUIMICOSSUR"&amp;Tabla_Buffers_Agroinsumos[[#This Row],[CODIGO ]],TABLACONSOLIDADA[Bodega]&amp;TABLACONSOLIDADA[Codigo],0)),"")</f>
        <v/>
      </c>
      <c r="DW164" s="157" t="str">
        <f t="array" ref="DW16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6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64" s="134">
        <f>IFERROR(SUM(Tabla_Buffers_Agroinsumos[[#This Row],[AS-MP]:[AS-VL]]),"")</f>
        <v>0</v>
      </c>
      <c r="DZ164" s="92" t="str">
        <f>IFERROR(Tabla_Buffers_Agroinsumos[[#This Row],[INV FIS AS]]-Tabla_Buffers_Agroinsumos[[#This Row],[BUFFER AS]],"")</f>
        <v/>
      </c>
      <c r="EA16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64" s="134"/>
      <c r="EC164" s="134"/>
      <c r="ED164" s="134"/>
      <c r="EE164" s="134"/>
      <c r="EF164" s="134"/>
      <c r="EG164" s="134"/>
      <c r="EH164" s="134"/>
      <c r="EI164" s="134"/>
      <c r="EJ164" s="134"/>
      <c r="EK164" s="134" t="str">
        <f t="array" ref="EK164">IFERROR(INDEX(TABLACONSOLIDADA[Buff Act],MATCH("AGROINSUMOSLAFINCA"&amp;Tabla_Buffers_Agroinsumos[[#This Row],[CODIGO ]],TABLACONSOLIDADA[Bodega]&amp;TABLACONSOLIDADA[Codigo],0)),"")</f>
        <v/>
      </c>
      <c r="EL164" s="157" t="str">
        <f t="array" ref="EL164">IFERROR(INDEX(TABLACONSOLIDADA[Inv Fís Act],MATCH("AGROINSUMOSLAFINCA"&amp;Tabla_Buffers_Agroinsumos[[#This Row],[CODIGO ]],TABLACONSOLIDADA[Bodega]&amp;TABLACONSOLIDADA[Codigo],0)),"")</f>
        <v/>
      </c>
      <c r="EM164" s="157" t="str">
        <f t="array" ref="EM16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6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64" s="134">
        <f>IFERROR(SUM(Tabla_Buffers_Agroinsumos[[#This Row],[LF-MP]:[LF-VL]]),"")</f>
        <v>0</v>
      </c>
      <c r="EP164" s="92" t="str">
        <f>IFERROR(Tabla_Buffers_Agroinsumos[[#This Row],[INV FIS LF]]-Tabla_Buffers_Agroinsumos[[#This Row],[BUFFER LF]],"")</f>
        <v/>
      </c>
      <c r="EQ16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64" s="134"/>
      <c r="ES164" s="134"/>
      <c r="ET164" s="134"/>
      <c r="EU164" s="134"/>
      <c r="EV164" s="134"/>
      <c r="EW164" s="134"/>
      <c r="EX164" s="134"/>
      <c r="EY164" s="134"/>
      <c r="EZ164" s="134"/>
      <c r="FA164" s="134" t="str">
        <f t="array" ref="FA164">IFERROR(INDEX(TABLACONSOLIDADA[Buff Act],MATCH("AGROINSUMOSVERONICALEDESMA"&amp;Tabla_Buffers_Agroinsumos[[#This Row],[CODIGO ]],TABLACONSOLIDADA[Bodega]&amp;TABLACONSOLIDADA[Codigo],0)),"")</f>
        <v/>
      </c>
      <c r="FB164" s="157" t="str">
        <f t="array" ref="FB164">IFERROR(INDEX(TABLACONSOLIDADA[Inv Fís Act],MATCH("AGROINSUMOSVERONICALEDESMA"&amp;Tabla_Buffers_Agroinsumos[[#This Row],[CODIGO ]],TABLACONSOLIDADA[Bodega]&amp;TABLACONSOLIDADA[Codigo],0)),"")</f>
        <v/>
      </c>
      <c r="FC164" s="157" t="str">
        <f t="array" ref="FC16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6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64" s="134">
        <f>IFERROR(SUM(Tabla_Buffers_Agroinsumos[[#This Row],[VL-MP]:[VL-LF]]),"")</f>
        <v>0</v>
      </c>
      <c r="FF164" s="92" t="str">
        <f>IFERROR(Tabla_Buffers_Agroinsumos[[#This Row],[INV FIS VL]]-Tabla_Buffers_Agroinsumos[[#This Row],[BUFFER VL]],"")</f>
        <v/>
      </c>
      <c r="FG16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64" s="134"/>
      <c r="FI164" s="134"/>
      <c r="FJ164" s="134"/>
      <c r="FK164" s="134"/>
      <c r="FL164" s="134"/>
      <c r="FM164" s="134"/>
      <c r="FN164" s="134"/>
      <c r="FO164" s="134"/>
      <c r="FP164" s="134"/>
    </row>
    <row r="165" spans="1:172">
      <c r="A165" s="7" t="s">
        <v>289</v>
      </c>
      <c r="B165" s="7" t="s">
        <v>290</v>
      </c>
      <c r="C165" s="7" t="s">
        <v>716</v>
      </c>
      <c r="D165" s="7" t="s">
        <v>718</v>
      </c>
      <c r="E165" s="7" t="s">
        <v>863</v>
      </c>
      <c r="F165" s="19" t="s">
        <v>808</v>
      </c>
      <c r="G165" s="19" t="s">
        <v>802</v>
      </c>
      <c r="H165" s="19">
        <f>VLOOKUP(Tabla_Buffers_Agroinsumos[[#This Row],[CODIGO ]],TABLACONSOLIDADA[[Codigo]:[PV]],6,0)</f>
        <v>0</v>
      </c>
      <c r="I165" s="19">
        <f>VLOOKUP(Tabla_Buffers_Agroinsumos[[#This Row],[CODIGO ]],TABLACONSOLIDADA[[Codigo]:[PV]],5,0)</f>
        <v>0.13</v>
      </c>
      <c r="J165" s="19">
        <v>4</v>
      </c>
      <c r="K165" s="19">
        <v>6</v>
      </c>
      <c r="L165" s="19">
        <f>IFERROR(Tabla_Buffers_Agroinsumos[[#This Row],[BUFFER CENTRAL]]/((Tabla_Buffers_Agroinsumos[[#This Row],[TIEMPO REPOSICION ]]/Tabla_Buffers_Agroinsumos[[#This Row],[FRECUENCIA]])+1),0)</f>
        <v>0</v>
      </c>
      <c r="M165" s="19">
        <f t="array" ref="M165">IFERROR(INDEX(TABLACONSOLIDADA[Buff Act],MATCH("AGROINSUMOSMATERIAPRIMA"&amp;Tabla_Buffers_Agroinsumos[[#This Row],[CODIGO ]],TABLACONSOLIDADA[Bodega]&amp;TABLACONSOLIDADA[Codigo],0)),"")</f>
        <v>500</v>
      </c>
      <c r="N165" s="157">
        <f t="array" ref="N165">IFERROR(INDEX(TABLACONSOLIDADA[Inv Fís Act],MATCH("AGROINSUMOSMATERIAPRIMA"&amp;Tabla_Buffers_Agroinsumos[[#This Row],[CODIGO ]],TABLACONSOLIDADA[Bodega]&amp;TABLACONSOLIDADA[Codigo],0)),"")</f>
        <v>794</v>
      </c>
      <c r="O165" s="157">
        <f t="array" ref="O16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794</v>
      </c>
      <c r="P16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65" s="19">
        <f>IFERROR(SUM(Tabla_Buffers_Agroinsumos[[#This Row],[MP-C]:[MP-VL]]),"")</f>
        <v>0</v>
      </c>
      <c r="R165" s="92">
        <f>IFERROR(Tabla_Buffers_Agroinsumos[[#This Row],[INV FIS MATERIA PRIMA]]-Tabla_Buffers_Agroinsumos[[#This Row],[BUFFER MATERIA PRIMA]],"")</f>
        <v>294</v>
      </c>
      <c r="S16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294</v>
      </c>
      <c r="T165" s="19"/>
      <c r="U165" s="19"/>
      <c r="V165" s="19"/>
      <c r="W165" s="19"/>
      <c r="X165" s="19"/>
      <c r="Y165" s="19"/>
      <c r="Z165" s="19"/>
      <c r="AA165" s="19"/>
      <c r="AB165" s="19"/>
      <c r="AC165" s="152" t="str">
        <f t="array" ref="AC165">IFERROR(INDEX(TABLACONSOLIDADA[Buff Act],MATCH("AGROINSUMOSCENTRAL"&amp;Tabla_Buffers_Agroinsumos[[#This Row],[CODIGO ]],TABLACONSOLIDADA[Bodega]&amp;TABLACONSOLIDADA[Codigo],0)),"")</f>
        <v/>
      </c>
      <c r="AD165" s="157" t="str">
        <f t="array" ref="AD165">IFERROR(INDEX(TABLACONSOLIDADA[Inv Fís Act],MATCH("AGROINSUMOSCENTRAL"&amp;Tabla_Buffers_Agroinsumos[[#This Row],[CODIGO ]],TABLACONSOLIDADA[Bodega]&amp;TABLACONSOLIDADA[Codigo],0)),"")</f>
        <v/>
      </c>
      <c r="AE165" s="157" t="str">
        <f t="array" ref="AE16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6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65" s="91">
        <f>IFERROR(SUM(Tabla_Buffers_Agroinsumos[[#This Row],[C-MP]:[C-VL]]),"")</f>
        <v>0</v>
      </c>
      <c r="AH165" s="92" t="str">
        <f>IFERROR(Tabla_Buffers_Agroinsumos[[#This Row],[INV FIS CENTRAL]]-Tabla_Buffers_Agroinsumos[[#This Row],[BUFFER CENTRAL]],"")</f>
        <v/>
      </c>
      <c r="AI16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65" s="134"/>
      <c r="AK165" s="134"/>
      <c r="AL165" s="134"/>
      <c r="AM165" s="134"/>
      <c r="AN165" s="134"/>
      <c r="AO165" s="134"/>
      <c r="AP165" s="134"/>
      <c r="AQ165" s="134"/>
      <c r="AR165" s="134"/>
      <c r="AS165" s="134" t="str">
        <f t="array" ref="AS165">IFERROR(INDEX(TABLACONSOLIDADA[Buff Act],MATCH("AGROINSUMOScentralPROPIA"&amp;Tabla_Buffers_Agroinsumos[[#This Row],[CODIGO ]],TABLACONSOLIDADA[Bodega]&amp;TABLACONSOLIDADA[Codigo],0)),"")</f>
        <v/>
      </c>
      <c r="AT165" s="157" t="str">
        <f t="array" ref="AT165">IFERROR(INDEX(TABLACONSOLIDADA[Inv Fís Act],MATCH("AGROINSUMOScentralPROPIA"&amp;Tabla_Buffers_Agroinsumos[[#This Row],[CODIGO ]],TABLACONSOLIDADA[Bodega]&amp;TABLACONSOLIDADA[Codigo],0)),"")</f>
        <v/>
      </c>
      <c r="AU165" s="157" t="str">
        <f t="array" ref="AU16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6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65" s="134">
        <f>IFERROR(SUM(Tabla_Buffers_Agroinsumos[[#This Row],[P-MP]:[P-VL]]),"")</f>
        <v>0</v>
      </c>
      <c r="AX165" s="92" t="str">
        <f>IFERROR(Tabla_Buffers_Agroinsumos[[#This Row],[INV FIS PROPIA]]-Tabla_Buffers_Agroinsumos[[#This Row],[BUFFER PROPIA]],"")</f>
        <v/>
      </c>
      <c r="AY16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65" s="134"/>
      <c r="BA165" s="134"/>
      <c r="BB165" s="134"/>
      <c r="BC165" s="134"/>
      <c r="BD165" s="134"/>
      <c r="BE165" s="134"/>
      <c r="BF165" s="134"/>
      <c r="BG165" s="134"/>
      <c r="BH165" s="134"/>
      <c r="BI165" s="91" t="str">
        <f t="array" ref="BI165">IFERROR(INDEX(TABLACONSOLIDADA[Buff Act],MATCH("AGROINSUMOSSTODOMINGO"&amp;Tabla_Buffers_Agroinsumos[[#This Row],[CODIGO ]],TABLACONSOLIDADA[Bodega]&amp;TABLACONSOLIDADA[Codigo],0)),"")</f>
        <v/>
      </c>
      <c r="BJ165" s="157" t="str">
        <f t="array" ref="BJ165">IFERROR(INDEX(TABLACONSOLIDADA[Inv Fís Act],MATCH("AGROINSUMOSSTODOMINGO"&amp;Tabla_Buffers_Agroinsumos[[#This Row],[CODIGO ]],TABLACONSOLIDADA[Bodega]&amp;TABLACONSOLIDADA[Codigo],0)),"")</f>
        <v/>
      </c>
      <c r="BK165" s="157" t="str">
        <f t="array" ref="BK16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6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65" s="91">
        <f>IFERROR(SUM(Tabla_Buffers_Agroinsumos[[#This Row],[SD-MP]:[SD-VL]]),"")</f>
        <v>0</v>
      </c>
      <c r="BN165" s="92"/>
      <c r="BO165" s="92"/>
      <c r="BP165" s="134"/>
      <c r="BQ165" s="134"/>
      <c r="BR165" s="134"/>
      <c r="BS165" s="134"/>
      <c r="BT165" s="134"/>
      <c r="BU165" s="134"/>
      <c r="BV165" s="134"/>
      <c r="BW165" s="134"/>
      <c r="BX165" s="134"/>
      <c r="BY165" s="134" t="str">
        <f t="array" ref="BY165">IFERROR(INDEX(TABLACONSOLIDADA[Buff Act],MATCH("AGROINSUMOSMONCAYOLOPEZ"&amp;Tabla_Buffers_Agroinsumos[[#This Row],[CODIGO ]],TABLACONSOLIDADA[Bodega]&amp;TABLACONSOLIDADA[Codigo],0)),"")</f>
        <v/>
      </c>
      <c r="BZ165" s="157" t="str">
        <f t="array" ref="BZ165">IFERROR(INDEX(TABLACONSOLIDADA[Inv Fís Act],MATCH("AGROINSUMOSMONCAYOLOPEZ"&amp;Tabla_Buffers_Agroinsumos[[#This Row],[CODIGO ]],TABLACONSOLIDADA[Bodega]&amp;TABLACONSOLIDADA[Codigo],0)),"")</f>
        <v/>
      </c>
      <c r="CA165" s="157" t="str">
        <f t="array" ref="CA16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6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65" s="134">
        <f>IFERROR(SUM(Tabla_Buffers_Agroinsumos[[#This Row],[ML-MP]:[ML-VL]]),"")</f>
        <v>0</v>
      </c>
      <c r="CD165" s="92" t="str">
        <f>IFERROR(Tabla_Buffers_Agroinsumos[[#This Row],[INV FIS ML]]-Tabla_Buffers_Agroinsumos[[#This Row],[BUFFER ML]],"")</f>
        <v/>
      </c>
      <c r="CE16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65" s="134"/>
      <c r="CG165" s="134"/>
      <c r="CH165" s="134"/>
      <c r="CI165" s="134"/>
      <c r="CJ165" s="134"/>
      <c r="CK165" s="134"/>
      <c r="CL165" s="134"/>
      <c r="CM165" s="134"/>
      <c r="CN165" s="134"/>
      <c r="CO165" s="134" t="str">
        <f t="array" ref="CO165">IFERROR(INDEX(TABLACONSOLIDADA[Buff Act],MATCH("AGROINSUMOSAGROHERMANOSLEON"&amp;Tabla_Buffers_Agroinsumos[[#This Row],[CODIGO ]],TABLACONSOLIDADA[Bodega]&amp;TABLACONSOLIDADA[Codigo],0)),"")</f>
        <v/>
      </c>
      <c r="CP165" s="157" t="str">
        <f t="array" ref="CP165">IFERROR(INDEX(TABLACONSOLIDADA[Inv Fís Act],MATCH("AGROINSUMOSAGROHERMANOSLEON"&amp;Tabla_Buffers_Agroinsumos[[#This Row],[CODIGO ]],TABLACONSOLIDADA[Bodega]&amp;TABLACONSOLIDADA[Codigo],0)),"")</f>
        <v/>
      </c>
      <c r="CQ165" s="157" t="str">
        <f t="array" ref="CQ16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6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65" s="134">
        <f>IFERROR(SUM(Tabla_Buffers_Agroinsumos[[#This Row],[AL-MP]:[AL-VL]]),"")</f>
        <v>0</v>
      </c>
      <c r="CT165" s="92" t="str">
        <f>IFERROR(Tabla_Buffers_Agroinsumos[[#This Row],[INV FIS AL]]-Tabla_Buffers_Agroinsumos[[#This Row],[BUFFER AL]],"")</f>
        <v/>
      </c>
      <c r="CU16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65" s="134"/>
      <c r="CW165" s="134"/>
      <c r="CX165" s="134"/>
      <c r="CY165" s="134"/>
      <c r="CZ165" s="134"/>
      <c r="DA165" s="134"/>
      <c r="DB165" s="134"/>
      <c r="DC165" s="134"/>
      <c r="DD165" s="134"/>
      <c r="DE165" s="134" t="str">
        <f t="array" ref="DE165">IFERROR(INDEX(TABLACONSOLIDADA[Buff Act],MATCH("AGROINSUMOSAGRONUEVO"&amp;Tabla_Buffers_Agroinsumos[[#This Row],[CODIGO ]],TABLACONSOLIDADA[Bodega]&amp;TABLACONSOLIDADA[Codigo],0)),"")</f>
        <v/>
      </c>
      <c r="DF165" s="157" t="str">
        <f t="array" ref="DF165">IFERROR(INDEX(TABLACONSOLIDADA[Inv Fís Act],MATCH("AGROINSUMOSAGRONUEVO"&amp;Tabla_Buffers_Agroinsumos[[#This Row],[CODIGO ]],TABLACONSOLIDADA[Bodega]&amp;TABLACONSOLIDADA[Codigo],0)),"")</f>
        <v/>
      </c>
      <c r="DG165" s="157" t="str">
        <f t="array" ref="DG16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6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65" s="134">
        <f>IFERROR(SUM(Tabla_Buffers_Agroinsumos[[#This Row],[AN-MP]:[AN-VL]]),"")</f>
        <v>0</v>
      </c>
      <c r="DJ165" s="92" t="str">
        <f>IFERROR(Tabla_Buffers_Agroinsumos[[#This Row],[INV FIS AN]]-Tabla_Buffers_Agroinsumos[[#This Row],[BUFFER AN]],"")</f>
        <v/>
      </c>
      <c r="DK16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65" s="134"/>
      <c r="DM165" s="134"/>
      <c r="DN165" s="134"/>
      <c r="DO165" s="134"/>
      <c r="DP165" s="134"/>
      <c r="DQ165" s="134"/>
      <c r="DR165" s="134"/>
      <c r="DS165" s="134"/>
      <c r="DT165" s="134"/>
      <c r="DU165" s="134" t="str">
        <f t="array" ref="DU165">IFERROR(INDEX(TABLACONSOLIDADA[Buff Act],MATCH("AGROINSUMOSAGROQUIMICOSSUR"&amp;Tabla_Buffers_Agroinsumos[[#This Row],[CODIGO ]],TABLACONSOLIDADA[Bodega]&amp;TABLACONSOLIDADA[Codigo],0)),"")</f>
        <v/>
      </c>
      <c r="DV165" s="157" t="str">
        <f t="array" ref="DV165">IFERROR(INDEX(TABLACONSOLIDADA[Inv Fís Act],MATCH("AGROINSUMOSAGROQUIMICOSSUR"&amp;Tabla_Buffers_Agroinsumos[[#This Row],[CODIGO ]],TABLACONSOLIDADA[Bodega]&amp;TABLACONSOLIDADA[Codigo],0)),"")</f>
        <v/>
      </c>
      <c r="DW165" s="157" t="str">
        <f t="array" ref="DW16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6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65" s="134">
        <f>IFERROR(SUM(Tabla_Buffers_Agroinsumos[[#This Row],[AS-MP]:[AS-VL]]),"")</f>
        <v>0</v>
      </c>
      <c r="DZ165" s="92" t="str">
        <f>IFERROR(Tabla_Buffers_Agroinsumos[[#This Row],[INV FIS AS]]-Tabla_Buffers_Agroinsumos[[#This Row],[BUFFER AS]],"")</f>
        <v/>
      </c>
      <c r="EA16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65" s="134"/>
      <c r="EC165" s="134"/>
      <c r="ED165" s="134"/>
      <c r="EE165" s="134"/>
      <c r="EF165" s="134"/>
      <c r="EG165" s="134"/>
      <c r="EH165" s="134"/>
      <c r="EI165" s="134"/>
      <c r="EJ165" s="134"/>
      <c r="EK165" s="134" t="str">
        <f t="array" ref="EK165">IFERROR(INDEX(TABLACONSOLIDADA[Buff Act],MATCH("AGROINSUMOSLAFINCA"&amp;Tabla_Buffers_Agroinsumos[[#This Row],[CODIGO ]],TABLACONSOLIDADA[Bodega]&amp;TABLACONSOLIDADA[Codigo],0)),"")</f>
        <v/>
      </c>
      <c r="EL165" s="157" t="str">
        <f t="array" ref="EL165">IFERROR(INDEX(TABLACONSOLIDADA[Inv Fís Act],MATCH("AGROINSUMOSLAFINCA"&amp;Tabla_Buffers_Agroinsumos[[#This Row],[CODIGO ]],TABLACONSOLIDADA[Bodega]&amp;TABLACONSOLIDADA[Codigo],0)),"")</f>
        <v/>
      </c>
      <c r="EM165" s="157" t="str">
        <f t="array" ref="EM16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6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65" s="134">
        <f>IFERROR(SUM(Tabla_Buffers_Agroinsumos[[#This Row],[LF-MP]:[LF-VL]]),"")</f>
        <v>0</v>
      </c>
      <c r="EP165" s="92" t="str">
        <f>IFERROR(Tabla_Buffers_Agroinsumos[[#This Row],[INV FIS LF]]-Tabla_Buffers_Agroinsumos[[#This Row],[BUFFER LF]],"")</f>
        <v/>
      </c>
      <c r="EQ16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65" s="134"/>
      <c r="ES165" s="134"/>
      <c r="ET165" s="134"/>
      <c r="EU165" s="134"/>
      <c r="EV165" s="134"/>
      <c r="EW165" s="134"/>
      <c r="EX165" s="134"/>
      <c r="EY165" s="134"/>
      <c r="EZ165" s="134"/>
      <c r="FA165" s="134" t="str">
        <f t="array" ref="FA165">IFERROR(INDEX(TABLACONSOLIDADA[Buff Act],MATCH("AGROINSUMOSVERONICALEDESMA"&amp;Tabla_Buffers_Agroinsumos[[#This Row],[CODIGO ]],TABLACONSOLIDADA[Bodega]&amp;TABLACONSOLIDADA[Codigo],0)),"")</f>
        <v/>
      </c>
      <c r="FB165" s="157" t="str">
        <f t="array" ref="FB165">IFERROR(INDEX(TABLACONSOLIDADA[Inv Fís Act],MATCH("AGROINSUMOSVERONICALEDESMA"&amp;Tabla_Buffers_Agroinsumos[[#This Row],[CODIGO ]],TABLACONSOLIDADA[Bodega]&amp;TABLACONSOLIDADA[Codigo],0)),"")</f>
        <v/>
      </c>
      <c r="FC165" s="157" t="str">
        <f t="array" ref="FC16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6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65" s="134">
        <f>IFERROR(SUM(Tabla_Buffers_Agroinsumos[[#This Row],[VL-MP]:[VL-LF]]),"")</f>
        <v>0</v>
      </c>
      <c r="FF165" s="92" t="str">
        <f>IFERROR(Tabla_Buffers_Agroinsumos[[#This Row],[INV FIS VL]]-Tabla_Buffers_Agroinsumos[[#This Row],[BUFFER VL]],"")</f>
        <v/>
      </c>
      <c r="FG16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65" s="134"/>
      <c r="FI165" s="134"/>
      <c r="FJ165" s="134"/>
      <c r="FK165" s="134"/>
      <c r="FL165" s="134"/>
      <c r="FM165" s="134"/>
      <c r="FN165" s="134"/>
      <c r="FO165" s="134"/>
      <c r="FP165" s="134"/>
    </row>
    <row r="166" spans="1:172">
      <c r="A166" s="7" t="s">
        <v>291</v>
      </c>
      <c r="B166" s="7" t="s">
        <v>292</v>
      </c>
      <c r="C166" s="7" t="s">
        <v>716</v>
      </c>
      <c r="D166" s="7" t="s">
        <v>718</v>
      </c>
      <c r="E166" s="7" t="s">
        <v>863</v>
      </c>
      <c r="F166" s="19" t="s">
        <v>808</v>
      </c>
      <c r="G166" s="19" t="s">
        <v>802</v>
      </c>
      <c r="H166" s="19">
        <f>VLOOKUP(Tabla_Buffers_Agroinsumos[[#This Row],[CODIGO ]],TABLACONSOLIDADA[[Codigo]:[PV]],6,0)</f>
        <v>0</v>
      </c>
      <c r="I166" s="19">
        <f>VLOOKUP(Tabla_Buffers_Agroinsumos[[#This Row],[CODIGO ]],TABLACONSOLIDADA[[Codigo]:[PV]],5,0)</f>
        <v>0.18</v>
      </c>
      <c r="J166" s="19">
        <v>4</v>
      </c>
      <c r="K166" s="19">
        <v>6</v>
      </c>
      <c r="L166" s="19">
        <f>IFERROR(Tabla_Buffers_Agroinsumos[[#This Row],[BUFFER CENTRAL]]/((Tabla_Buffers_Agroinsumos[[#This Row],[TIEMPO REPOSICION ]]/Tabla_Buffers_Agroinsumos[[#This Row],[FRECUENCIA]])+1),0)</f>
        <v>0</v>
      </c>
      <c r="M166" s="19">
        <f t="array" ref="M166">IFERROR(INDEX(TABLACONSOLIDADA[Buff Act],MATCH("AGROINSUMOSMATERIAPRIMA"&amp;Tabla_Buffers_Agroinsumos[[#This Row],[CODIGO ]],TABLACONSOLIDADA[Bodega]&amp;TABLACONSOLIDADA[Codigo],0)),"")</f>
        <v>300</v>
      </c>
      <c r="N166" s="157">
        <f t="array" ref="N166">IFERROR(INDEX(TABLACONSOLIDADA[Inv Fís Act],MATCH("AGROINSUMOSMATERIAPRIMA"&amp;Tabla_Buffers_Agroinsumos[[#This Row],[CODIGO ]],TABLACONSOLIDADA[Bodega]&amp;TABLACONSOLIDADA[Codigo],0)),"")</f>
        <v>1301</v>
      </c>
      <c r="O166" s="157">
        <f t="array" ref="O16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1301</v>
      </c>
      <c r="P16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66" s="19">
        <f>IFERROR(SUM(Tabla_Buffers_Agroinsumos[[#This Row],[MP-C]:[MP-VL]]),"")</f>
        <v>0</v>
      </c>
      <c r="R166" s="92">
        <f>IFERROR(Tabla_Buffers_Agroinsumos[[#This Row],[INV FIS MATERIA PRIMA]]-Tabla_Buffers_Agroinsumos[[#This Row],[BUFFER MATERIA PRIMA]],"")</f>
        <v>1001</v>
      </c>
      <c r="S16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1001</v>
      </c>
      <c r="T166" s="19"/>
      <c r="U166" s="19"/>
      <c r="V166" s="19"/>
      <c r="W166" s="19"/>
      <c r="X166" s="19"/>
      <c r="Y166" s="19"/>
      <c r="Z166" s="19"/>
      <c r="AA166" s="19"/>
      <c r="AB166" s="19"/>
      <c r="AC166" s="152" t="str">
        <f t="array" ref="AC166">IFERROR(INDEX(TABLACONSOLIDADA[Buff Act],MATCH("AGROINSUMOSCENTRAL"&amp;Tabla_Buffers_Agroinsumos[[#This Row],[CODIGO ]],TABLACONSOLIDADA[Bodega]&amp;TABLACONSOLIDADA[Codigo],0)),"")</f>
        <v/>
      </c>
      <c r="AD166" s="157" t="str">
        <f t="array" ref="AD166">IFERROR(INDEX(TABLACONSOLIDADA[Inv Fís Act],MATCH("AGROINSUMOSCENTRAL"&amp;Tabla_Buffers_Agroinsumos[[#This Row],[CODIGO ]],TABLACONSOLIDADA[Bodega]&amp;TABLACONSOLIDADA[Codigo],0)),"")</f>
        <v/>
      </c>
      <c r="AE166" s="157" t="str">
        <f t="array" ref="AE16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6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66" s="91">
        <f>IFERROR(SUM(Tabla_Buffers_Agroinsumos[[#This Row],[C-MP]:[C-VL]]),"")</f>
        <v>0</v>
      </c>
      <c r="AH166" s="92" t="str">
        <f>IFERROR(Tabla_Buffers_Agroinsumos[[#This Row],[INV FIS CENTRAL]]-Tabla_Buffers_Agroinsumos[[#This Row],[BUFFER CENTRAL]],"")</f>
        <v/>
      </c>
      <c r="AI16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66" s="134"/>
      <c r="AK166" s="134"/>
      <c r="AL166" s="134"/>
      <c r="AM166" s="134"/>
      <c r="AN166" s="134"/>
      <c r="AO166" s="134"/>
      <c r="AP166" s="134"/>
      <c r="AQ166" s="134"/>
      <c r="AR166" s="134"/>
      <c r="AS166" s="134" t="str">
        <f t="array" ref="AS166">IFERROR(INDEX(TABLACONSOLIDADA[Buff Act],MATCH("AGROINSUMOScentralPROPIA"&amp;Tabla_Buffers_Agroinsumos[[#This Row],[CODIGO ]],TABLACONSOLIDADA[Bodega]&amp;TABLACONSOLIDADA[Codigo],0)),"")</f>
        <v/>
      </c>
      <c r="AT166" s="157" t="str">
        <f t="array" ref="AT166">IFERROR(INDEX(TABLACONSOLIDADA[Inv Fís Act],MATCH("AGROINSUMOScentralPROPIA"&amp;Tabla_Buffers_Agroinsumos[[#This Row],[CODIGO ]],TABLACONSOLIDADA[Bodega]&amp;TABLACONSOLIDADA[Codigo],0)),"")</f>
        <v/>
      </c>
      <c r="AU166" s="157" t="str">
        <f t="array" ref="AU16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6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66" s="134">
        <f>IFERROR(SUM(Tabla_Buffers_Agroinsumos[[#This Row],[P-MP]:[P-VL]]),"")</f>
        <v>0</v>
      </c>
      <c r="AX166" s="92" t="str">
        <f>IFERROR(Tabla_Buffers_Agroinsumos[[#This Row],[INV FIS PROPIA]]-Tabla_Buffers_Agroinsumos[[#This Row],[BUFFER PROPIA]],"")</f>
        <v/>
      </c>
      <c r="AY16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66" s="134"/>
      <c r="BA166" s="134"/>
      <c r="BB166" s="134"/>
      <c r="BC166" s="134"/>
      <c r="BD166" s="134"/>
      <c r="BE166" s="134"/>
      <c r="BF166" s="134"/>
      <c r="BG166" s="134"/>
      <c r="BH166" s="134"/>
      <c r="BI166" s="91" t="str">
        <f t="array" ref="BI166">IFERROR(INDEX(TABLACONSOLIDADA[Buff Act],MATCH("AGROINSUMOSSTODOMINGO"&amp;Tabla_Buffers_Agroinsumos[[#This Row],[CODIGO ]],TABLACONSOLIDADA[Bodega]&amp;TABLACONSOLIDADA[Codigo],0)),"")</f>
        <v/>
      </c>
      <c r="BJ166" s="157" t="str">
        <f t="array" ref="BJ166">IFERROR(INDEX(TABLACONSOLIDADA[Inv Fís Act],MATCH("AGROINSUMOSSTODOMINGO"&amp;Tabla_Buffers_Agroinsumos[[#This Row],[CODIGO ]],TABLACONSOLIDADA[Bodega]&amp;TABLACONSOLIDADA[Codigo],0)),"")</f>
        <v/>
      </c>
      <c r="BK166" s="157" t="str">
        <f t="array" ref="BK16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6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66" s="91">
        <f>IFERROR(SUM(Tabla_Buffers_Agroinsumos[[#This Row],[SD-MP]:[SD-VL]]),"")</f>
        <v>0</v>
      </c>
      <c r="BN166" s="92"/>
      <c r="BO166" s="92"/>
      <c r="BP166" s="134"/>
      <c r="BQ166" s="134"/>
      <c r="BR166" s="134"/>
      <c r="BS166" s="134"/>
      <c r="BT166" s="134"/>
      <c r="BU166" s="134"/>
      <c r="BV166" s="134"/>
      <c r="BW166" s="134"/>
      <c r="BX166" s="134"/>
      <c r="BY166" s="134" t="str">
        <f t="array" ref="BY166">IFERROR(INDEX(TABLACONSOLIDADA[Buff Act],MATCH("AGROINSUMOSMONCAYOLOPEZ"&amp;Tabla_Buffers_Agroinsumos[[#This Row],[CODIGO ]],TABLACONSOLIDADA[Bodega]&amp;TABLACONSOLIDADA[Codigo],0)),"")</f>
        <v/>
      </c>
      <c r="BZ166" s="157" t="str">
        <f t="array" ref="BZ166">IFERROR(INDEX(TABLACONSOLIDADA[Inv Fís Act],MATCH("AGROINSUMOSMONCAYOLOPEZ"&amp;Tabla_Buffers_Agroinsumos[[#This Row],[CODIGO ]],TABLACONSOLIDADA[Bodega]&amp;TABLACONSOLIDADA[Codigo],0)),"")</f>
        <v/>
      </c>
      <c r="CA166" s="157" t="str">
        <f t="array" ref="CA16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6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66" s="134">
        <f>IFERROR(SUM(Tabla_Buffers_Agroinsumos[[#This Row],[ML-MP]:[ML-VL]]),"")</f>
        <v>0</v>
      </c>
      <c r="CD166" s="92" t="str">
        <f>IFERROR(Tabla_Buffers_Agroinsumos[[#This Row],[INV FIS ML]]-Tabla_Buffers_Agroinsumos[[#This Row],[BUFFER ML]],"")</f>
        <v/>
      </c>
      <c r="CE16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66" s="134"/>
      <c r="CG166" s="134"/>
      <c r="CH166" s="134"/>
      <c r="CI166" s="134"/>
      <c r="CJ166" s="134"/>
      <c r="CK166" s="134"/>
      <c r="CL166" s="134"/>
      <c r="CM166" s="134"/>
      <c r="CN166" s="134"/>
      <c r="CO166" s="134" t="str">
        <f t="array" ref="CO166">IFERROR(INDEX(TABLACONSOLIDADA[Buff Act],MATCH("AGROINSUMOSAGROHERMANOSLEON"&amp;Tabla_Buffers_Agroinsumos[[#This Row],[CODIGO ]],TABLACONSOLIDADA[Bodega]&amp;TABLACONSOLIDADA[Codigo],0)),"")</f>
        <v/>
      </c>
      <c r="CP166" s="157" t="str">
        <f t="array" ref="CP166">IFERROR(INDEX(TABLACONSOLIDADA[Inv Fís Act],MATCH("AGROINSUMOSAGROHERMANOSLEON"&amp;Tabla_Buffers_Agroinsumos[[#This Row],[CODIGO ]],TABLACONSOLIDADA[Bodega]&amp;TABLACONSOLIDADA[Codigo],0)),"")</f>
        <v/>
      </c>
      <c r="CQ166" s="157" t="str">
        <f t="array" ref="CQ16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6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66" s="134">
        <f>IFERROR(SUM(Tabla_Buffers_Agroinsumos[[#This Row],[AL-MP]:[AL-VL]]),"")</f>
        <v>0</v>
      </c>
      <c r="CT166" s="92" t="str">
        <f>IFERROR(Tabla_Buffers_Agroinsumos[[#This Row],[INV FIS AL]]-Tabla_Buffers_Agroinsumos[[#This Row],[BUFFER AL]],"")</f>
        <v/>
      </c>
      <c r="CU16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66" s="134"/>
      <c r="CW166" s="134"/>
      <c r="CX166" s="134"/>
      <c r="CY166" s="134"/>
      <c r="CZ166" s="134"/>
      <c r="DA166" s="134"/>
      <c r="DB166" s="134"/>
      <c r="DC166" s="134"/>
      <c r="DD166" s="134"/>
      <c r="DE166" s="134" t="str">
        <f t="array" ref="DE166">IFERROR(INDEX(TABLACONSOLIDADA[Buff Act],MATCH("AGROINSUMOSAGRONUEVO"&amp;Tabla_Buffers_Agroinsumos[[#This Row],[CODIGO ]],TABLACONSOLIDADA[Bodega]&amp;TABLACONSOLIDADA[Codigo],0)),"")</f>
        <v/>
      </c>
      <c r="DF166" s="157" t="str">
        <f t="array" ref="DF166">IFERROR(INDEX(TABLACONSOLIDADA[Inv Fís Act],MATCH("AGROINSUMOSAGRONUEVO"&amp;Tabla_Buffers_Agroinsumos[[#This Row],[CODIGO ]],TABLACONSOLIDADA[Bodega]&amp;TABLACONSOLIDADA[Codigo],0)),"")</f>
        <v/>
      </c>
      <c r="DG166" s="157" t="str">
        <f t="array" ref="DG16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6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66" s="134">
        <f>IFERROR(SUM(Tabla_Buffers_Agroinsumos[[#This Row],[AN-MP]:[AN-VL]]),"")</f>
        <v>0</v>
      </c>
      <c r="DJ166" s="92" t="str">
        <f>IFERROR(Tabla_Buffers_Agroinsumos[[#This Row],[INV FIS AN]]-Tabla_Buffers_Agroinsumos[[#This Row],[BUFFER AN]],"")</f>
        <v/>
      </c>
      <c r="DK16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66" s="134"/>
      <c r="DM166" s="134"/>
      <c r="DN166" s="134"/>
      <c r="DO166" s="134"/>
      <c r="DP166" s="134"/>
      <c r="DQ166" s="134"/>
      <c r="DR166" s="134"/>
      <c r="DS166" s="134"/>
      <c r="DT166" s="134"/>
      <c r="DU166" s="134" t="str">
        <f t="array" ref="DU166">IFERROR(INDEX(TABLACONSOLIDADA[Buff Act],MATCH("AGROINSUMOSAGROQUIMICOSSUR"&amp;Tabla_Buffers_Agroinsumos[[#This Row],[CODIGO ]],TABLACONSOLIDADA[Bodega]&amp;TABLACONSOLIDADA[Codigo],0)),"")</f>
        <v/>
      </c>
      <c r="DV166" s="157" t="str">
        <f t="array" ref="DV166">IFERROR(INDEX(TABLACONSOLIDADA[Inv Fís Act],MATCH("AGROINSUMOSAGROQUIMICOSSUR"&amp;Tabla_Buffers_Agroinsumos[[#This Row],[CODIGO ]],TABLACONSOLIDADA[Bodega]&amp;TABLACONSOLIDADA[Codigo],0)),"")</f>
        <v/>
      </c>
      <c r="DW166" s="157" t="str">
        <f t="array" ref="DW16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6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66" s="134">
        <f>IFERROR(SUM(Tabla_Buffers_Agroinsumos[[#This Row],[AS-MP]:[AS-VL]]),"")</f>
        <v>0</v>
      </c>
      <c r="DZ166" s="92" t="str">
        <f>IFERROR(Tabla_Buffers_Agroinsumos[[#This Row],[INV FIS AS]]-Tabla_Buffers_Agroinsumos[[#This Row],[BUFFER AS]],"")</f>
        <v/>
      </c>
      <c r="EA16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66" s="134"/>
      <c r="EC166" s="134"/>
      <c r="ED166" s="134"/>
      <c r="EE166" s="134"/>
      <c r="EF166" s="134"/>
      <c r="EG166" s="134"/>
      <c r="EH166" s="134"/>
      <c r="EI166" s="134"/>
      <c r="EJ166" s="134"/>
      <c r="EK166" s="134" t="str">
        <f t="array" ref="EK166">IFERROR(INDEX(TABLACONSOLIDADA[Buff Act],MATCH("AGROINSUMOSLAFINCA"&amp;Tabla_Buffers_Agroinsumos[[#This Row],[CODIGO ]],TABLACONSOLIDADA[Bodega]&amp;TABLACONSOLIDADA[Codigo],0)),"")</f>
        <v/>
      </c>
      <c r="EL166" s="157" t="str">
        <f t="array" ref="EL166">IFERROR(INDEX(TABLACONSOLIDADA[Inv Fís Act],MATCH("AGROINSUMOSLAFINCA"&amp;Tabla_Buffers_Agroinsumos[[#This Row],[CODIGO ]],TABLACONSOLIDADA[Bodega]&amp;TABLACONSOLIDADA[Codigo],0)),"")</f>
        <v/>
      </c>
      <c r="EM166" s="157" t="str">
        <f t="array" ref="EM16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6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66" s="134">
        <f>IFERROR(SUM(Tabla_Buffers_Agroinsumos[[#This Row],[LF-MP]:[LF-VL]]),"")</f>
        <v>0</v>
      </c>
      <c r="EP166" s="92" t="str">
        <f>IFERROR(Tabla_Buffers_Agroinsumos[[#This Row],[INV FIS LF]]-Tabla_Buffers_Agroinsumos[[#This Row],[BUFFER LF]],"")</f>
        <v/>
      </c>
      <c r="EQ16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66" s="134"/>
      <c r="ES166" s="134"/>
      <c r="ET166" s="134"/>
      <c r="EU166" s="134"/>
      <c r="EV166" s="134"/>
      <c r="EW166" s="134"/>
      <c r="EX166" s="134"/>
      <c r="EY166" s="134"/>
      <c r="EZ166" s="134"/>
      <c r="FA166" s="134" t="str">
        <f t="array" ref="FA166">IFERROR(INDEX(TABLACONSOLIDADA[Buff Act],MATCH("AGROINSUMOSVERONICALEDESMA"&amp;Tabla_Buffers_Agroinsumos[[#This Row],[CODIGO ]],TABLACONSOLIDADA[Bodega]&amp;TABLACONSOLIDADA[Codigo],0)),"")</f>
        <v/>
      </c>
      <c r="FB166" s="157" t="str">
        <f t="array" ref="FB166">IFERROR(INDEX(TABLACONSOLIDADA[Inv Fís Act],MATCH("AGROINSUMOSVERONICALEDESMA"&amp;Tabla_Buffers_Agroinsumos[[#This Row],[CODIGO ]],TABLACONSOLIDADA[Bodega]&amp;TABLACONSOLIDADA[Codigo],0)),"")</f>
        <v/>
      </c>
      <c r="FC166" s="157" t="str">
        <f t="array" ref="FC16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6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66" s="134">
        <f>IFERROR(SUM(Tabla_Buffers_Agroinsumos[[#This Row],[VL-MP]:[VL-LF]]),"")</f>
        <v>0</v>
      </c>
      <c r="FF166" s="92" t="str">
        <f>IFERROR(Tabla_Buffers_Agroinsumos[[#This Row],[INV FIS VL]]-Tabla_Buffers_Agroinsumos[[#This Row],[BUFFER VL]],"")</f>
        <v/>
      </c>
      <c r="FG16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66" s="134"/>
      <c r="FI166" s="134"/>
      <c r="FJ166" s="134"/>
      <c r="FK166" s="134"/>
      <c r="FL166" s="134"/>
      <c r="FM166" s="134"/>
      <c r="FN166" s="134"/>
      <c r="FO166" s="134"/>
      <c r="FP166" s="134"/>
    </row>
    <row r="167" spans="1:172">
      <c r="A167" s="7" t="s">
        <v>293</v>
      </c>
      <c r="B167" s="7" t="s">
        <v>294</v>
      </c>
      <c r="C167" s="7" t="s">
        <v>716</v>
      </c>
      <c r="D167" s="7" t="s">
        <v>718</v>
      </c>
      <c r="E167" s="7" t="s">
        <v>863</v>
      </c>
      <c r="F167" s="19" t="s">
        <v>808</v>
      </c>
      <c r="G167" s="19" t="s">
        <v>802</v>
      </c>
      <c r="H167" s="19">
        <f>VLOOKUP(Tabla_Buffers_Agroinsumos[[#This Row],[CODIGO ]],TABLACONSOLIDADA[[Codigo]:[PV]],6,0)</f>
        <v>0</v>
      </c>
      <c r="I167" s="19">
        <f>VLOOKUP(Tabla_Buffers_Agroinsumos[[#This Row],[CODIGO ]],TABLACONSOLIDADA[[Codigo]:[PV]],5,0)</f>
        <v>0.11</v>
      </c>
      <c r="J167" s="19">
        <v>4</v>
      </c>
      <c r="K167" s="19">
        <v>6</v>
      </c>
      <c r="L167" s="19">
        <f>IFERROR(Tabla_Buffers_Agroinsumos[[#This Row],[BUFFER CENTRAL]]/((Tabla_Buffers_Agroinsumos[[#This Row],[TIEMPO REPOSICION ]]/Tabla_Buffers_Agroinsumos[[#This Row],[FRECUENCIA]])+1),0)</f>
        <v>0</v>
      </c>
      <c r="M167" s="19">
        <f t="array" ref="M167">IFERROR(INDEX(TABLACONSOLIDADA[Buff Act],MATCH("AGROINSUMOSMATERIAPRIMA"&amp;Tabla_Buffers_Agroinsumos[[#This Row],[CODIGO ]],TABLACONSOLIDADA[Bodega]&amp;TABLACONSOLIDADA[Codigo],0)),"")</f>
        <v>300</v>
      </c>
      <c r="N167" s="157">
        <f t="array" ref="N167">IFERROR(INDEX(TABLACONSOLIDADA[Inv Fís Act],MATCH("AGROINSUMOSMATERIAPRIMA"&amp;Tabla_Buffers_Agroinsumos[[#This Row],[CODIGO ]],TABLACONSOLIDADA[Bodega]&amp;TABLACONSOLIDADA[Codigo],0)),"")</f>
        <v>414</v>
      </c>
      <c r="O167" s="157">
        <f t="array" ref="O16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414</v>
      </c>
      <c r="P16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67" s="19">
        <f>IFERROR(SUM(Tabla_Buffers_Agroinsumos[[#This Row],[MP-C]:[MP-VL]]),"")</f>
        <v>0</v>
      </c>
      <c r="R167" s="92">
        <f>IFERROR(Tabla_Buffers_Agroinsumos[[#This Row],[INV FIS MATERIA PRIMA]]-Tabla_Buffers_Agroinsumos[[#This Row],[BUFFER MATERIA PRIMA]],"")</f>
        <v>114</v>
      </c>
      <c r="S16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114</v>
      </c>
      <c r="T167" s="19"/>
      <c r="U167" s="19"/>
      <c r="V167" s="19"/>
      <c r="W167" s="19"/>
      <c r="X167" s="19"/>
      <c r="Y167" s="19"/>
      <c r="Z167" s="19"/>
      <c r="AA167" s="19"/>
      <c r="AB167" s="19"/>
      <c r="AC167" s="152" t="str">
        <f t="array" ref="AC167">IFERROR(INDEX(TABLACONSOLIDADA[Buff Act],MATCH("AGROINSUMOSCENTRAL"&amp;Tabla_Buffers_Agroinsumos[[#This Row],[CODIGO ]],TABLACONSOLIDADA[Bodega]&amp;TABLACONSOLIDADA[Codigo],0)),"")</f>
        <v/>
      </c>
      <c r="AD167" s="157" t="str">
        <f t="array" ref="AD167">IFERROR(INDEX(TABLACONSOLIDADA[Inv Fís Act],MATCH("AGROINSUMOSCENTRAL"&amp;Tabla_Buffers_Agroinsumos[[#This Row],[CODIGO ]],TABLACONSOLIDADA[Bodega]&amp;TABLACONSOLIDADA[Codigo],0)),"")</f>
        <v/>
      </c>
      <c r="AE167" s="157" t="str">
        <f t="array" ref="AE16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6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67" s="91">
        <f>IFERROR(SUM(Tabla_Buffers_Agroinsumos[[#This Row],[C-MP]:[C-VL]]),"")</f>
        <v>0</v>
      </c>
      <c r="AH167" s="92" t="str">
        <f>IFERROR(Tabla_Buffers_Agroinsumos[[#This Row],[INV FIS CENTRAL]]-Tabla_Buffers_Agroinsumos[[#This Row],[BUFFER CENTRAL]],"")</f>
        <v/>
      </c>
      <c r="AI16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4" t="str">
        <f t="array" ref="AS167">IFERROR(INDEX(TABLACONSOLIDADA[Buff Act],MATCH("AGROINSUMOScentralPROPIA"&amp;Tabla_Buffers_Agroinsumos[[#This Row],[CODIGO ]],TABLACONSOLIDADA[Bodega]&amp;TABLACONSOLIDADA[Codigo],0)),"")</f>
        <v/>
      </c>
      <c r="AT167" s="157" t="str">
        <f t="array" ref="AT167">IFERROR(INDEX(TABLACONSOLIDADA[Inv Fís Act],MATCH("AGROINSUMOScentralPROPIA"&amp;Tabla_Buffers_Agroinsumos[[#This Row],[CODIGO ]],TABLACONSOLIDADA[Bodega]&amp;TABLACONSOLIDADA[Codigo],0)),"")</f>
        <v/>
      </c>
      <c r="AU167" s="157" t="str">
        <f t="array" ref="AU16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6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67" s="134">
        <f>IFERROR(SUM(Tabla_Buffers_Agroinsumos[[#This Row],[P-MP]:[P-VL]]),"")</f>
        <v>0</v>
      </c>
      <c r="AX167" s="92" t="str">
        <f>IFERROR(Tabla_Buffers_Agroinsumos[[#This Row],[INV FIS PROPIA]]-Tabla_Buffers_Agroinsumos[[#This Row],[BUFFER PROPIA]],"")</f>
        <v/>
      </c>
      <c r="AY16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67" s="134"/>
      <c r="BA167" s="134"/>
      <c r="BB167" s="134"/>
      <c r="BC167" s="134"/>
      <c r="BD167" s="134"/>
      <c r="BE167" s="134"/>
      <c r="BF167" s="134"/>
      <c r="BG167" s="134"/>
      <c r="BH167" s="134"/>
      <c r="BI167" s="91" t="str">
        <f t="array" ref="BI167">IFERROR(INDEX(TABLACONSOLIDADA[Buff Act],MATCH("AGROINSUMOSSTODOMINGO"&amp;Tabla_Buffers_Agroinsumos[[#This Row],[CODIGO ]],TABLACONSOLIDADA[Bodega]&amp;TABLACONSOLIDADA[Codigo],0)),"")</f>
        <v/>
      </c>
      <c r="BJ167" s="157" t="str">
        <f t="array" ref="BJ167">IFERROR(INDEX(TABLACONSOLIDADA[Inv Fís Act],MATCH("AGROINSUMOSSTODOMINGO"&amp;Tabla_Buffers_Agroinsumos[[#This Row],[CODIGO ]],TABLACONSOLIDADA[Bodega]&amp;TABLACONSOLIDADA[Codigo],0)),"")</f>
        <v/>
      </c>
      <c r="BK167" s="157" t="str">
        <f t="array" ref="BK16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6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67" s="91">
        <f>IFERROR(SUM(Tabla_Buffers_Agroinsumos[[#This Row],[SD-MP]:[SD-VL]]),"")</f>
        <v>0</v>
      </c>
      <c r="BN167" s="92"/>
      <c r="BO167" s="92"/>
      <c r="BP167" s="134"/>
      <c r="BQ167" s="134"/>
      <c r="BR167" s="134"/>
      <c r="BS167" s="134"/>
      <c r="BT167" s="134"/>
      <c r="BU167" s="134"/>
      <c r="BV167" s="134"/>
      <c r="BW167" s="134"/>
      <c r="BX167" s="134"/>
      <c r="BY167" s="134" t="str">
        <f t="array" ref="BY167">IFERROR(INDEX(TABLACONSOLIDADA[Buff Act],MATCH("AGROINSUMOSMONCAYOLOPEZ"&amp;Tabla_Buffers_Agroinsumos[[#This Row],[CODIGO ]],TABLACONSOLIDADA[Bodega]&amp;TABLACONSOLIDADA[Codigo],0)),"")</f>
        <v/>
      </c>
      <c r="BZ167" s="157" t="str">
        <f t="array" ref="BZ167">IFERROR(INDEX(TABLACONSOLIDADA[Inv Fís Act],MATCH("AGROINSUMOSMONCAYOLOPEZ"&amp;Tabla_Buffers_Agroinsumos[[#This Row],[CODIGO ]],TABLACONSOLIDADA[Bodega]&amp;TABLACONSOLIDADA[Codigo],0)),"")</f>
        <v/>
      </c>
      <c r="CA167" s="157" t="str">
        <f t="array" ref="CA16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6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67" s="134">
        <f>IFERROR(SUM(Tabla_Buffers_Agroinsumos[[#This Row],[ML-MP]:[ML-VL]]),"")</f>
        <v>0</v>
      </c>
      <c r="CD167" s="92" t="str">
        <f>IFERROR(Tabla_Buffers_Agroinsumos[[#This Row],[INV FIS ML]]-Tabla_Buffers_Agroinsumos[[#This Row],[BUFFER ML]],"")</f>
        <v/>
      </c>
      <c r="CE16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67" s="134"/>
      <c r="CG167" s="134"/>
      <c r="CH167" s="134"/>
      <c r="CI167" s="134"/>
      <c r="CJ167" s="134"/>
      <c r="CK167" s="134"/>
      <c r="CL167" s="134"/>
      <c r="CM167" s="134"/>
      <c r="CN167" s="134"/>
      <c r="CO167" s="134" t="str">
        <f t="array" ref="CO167">IFERROR(INDEX(TABLACONSOLIDADA[Buff Act],MATCH("AGROINSUMOSAGROHERMANOSLEON"&amp;Tabla_Buffers_Agroinsumos[[#This Row],[CODIGO ]],TABLACONSOLIDADA[Bodega]&amp;TABLACONSOLIDADA[Codigo],0)),"")</f>
        <v/>
      </c>
      <c r="CP167" s="157" t="str">
        <f t="array" ref="CP167">IFERROR(INDEX(TABLACONSOLIDADA[Inv Fís Act],MATCH("AGROINSUMOSAGROHERMANOSLEON"&amp;Tabla_Buffers_Agroinsumos[[#This Row],[CODIGO ]],TABLACONSOLIDADA[Bodega]&amp;TABLACONSOLIDADA[Codigo],0)),"")</f>
        <v/>
      </c>
      <c r="CQ167" s="157" t="str">
        <f t="array" ref="CQ16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6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67" s="134">
        <f>IFERROR(SUM(Tabla_Buffers_Agroinsumos[[#This Row],[AL-MP]:[AL-VL]]),"")</f>
        <v>0</v>
      </c>
      <c r="CT167" s="92" t="str">
        <f>IFERROR(Tabla_Buffers_Agroinsumos[[#This Row],[INV FIS AL]]-Tabla_Buffers_Agroinsumos[[#This Row],[BUFFER AL]],"")</f>
        <v/>
      </c>
      <c r="CU16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67" s="134"/>
      <c r="CW167" s="134"/>
      <c r="CX167" s="134"/>
      <c r="CY167" s="134"/>
      <c r="CZ167" s="134"/>
      <c r="DA167" s="134"/>
      <c r="DB167" s="134"/>
      <c r="DC167" s="134"/>
      <c r="DD167" s="134"/>
      <c r="DE167" s="134" t="str">
        <f t="array" ref="DE167">IFERROR(INDEX(TABLACONSOLIDADA[Buff Act],MATCH("AGROINSUMOSAGRONUEVO"&amp;Tabla_Buffers_Agroinsumos[[#This Row],[CODIGO ]],TABLACONSOLIDADA[Bodega]&amp;TABLACONSOLIDADA[Codigo],0)),"")</f>
        <v/>
      </c>
      <c r="DF167" s="157" t="str">
        <f t="array" ref="DF167">IFERROR(INDEX(TABLACONSOLIDADA[Inv Fís Act],MATCH("AGROINSUMOSAGRONUEVO"&amp;Tabla_Buffers_Agroinsumos[[#This Row],[CODIGO ]],TABLACONSOLIDADA[Bodega]&amp;TABLACONSOLIDADA[Codigo],0)),"")</f>
        <v/>
      </c>
      <c r="DG167" s="157" t="str">
        <f t="array" ref="DG16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6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67" s="134">
        <f>IFERROR(SUM(Tabla_Buffers_Agroinsumos[[#This Row],[AN-MP]:[AN-VL]]),"")</f>
        <v>0</v>
      </c>
      <c r="DJ167" s="92" t="str">
        <f>IFERROR(Tabla_Buffers_Agroinsumos[[#This Row],[INV FIS AN]]-Tabla_Buffers_Agroinsumos[[#This Row],[BUFFER AN]],"")</f>
        <v/>
      </c>
      <c r="DK16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67" s="134"/>
      <c r="DM167" s="134"/>
      <c r="DN167" s="134"/>
      <c r="DO167" s="134"/>
      <c r="DP167" s="134"/>
      <c r="DQ167" s="134"/>
      <c r="DR167" s="134"/>
      <c r="DS167" s="134"/>
      <c r="DT167" s="134"/>
      <c r="DU167" s="134" t="str">
        <f t="array" ref="DU167">IFERROR(INDEX(TABLACONSOLIDADA[Buff Act],MATCH("AGROINSUMOSAGROQUIMICOSSUR"&amp;Tabla_Buffers_Agroinsumos[[#This Row],[CODIGO ]],TABLACONSOLIDADA[Bodega]&amp;TABLACONSOLIDADA[Codigo],0)),"")</f>
        <v/>
      </c>
      <c r="DV167" s="157" t="str">
        <f t="array" ref="DV167">IFERROR(INDEX(TABLACONSOLIDADA[Inv Fís Act],MATCH("AGROINSUMOSAGROQUIMICOSSUR"&amp;Tabla_Buffers_Agroinsumos[[#This Row],[CODIGO ]],TABLACONSOLIDADA[Bodega]&amp;TABLACONSOLIDADA[Codigo],0)),"")</f>
        <v/>
      </c>
      <c r="DW167" s="157" t="str">
        <f t="array" ref="DW16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6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67" s="134">
        <f>IFERROR(SUM(Tabla_Buffers_Agroinsumos[[#This Row],[AS-MP]:[AS-VL]]),"")</f>
        <v>0</v>
      </c>
      <c r="DZ167" s="92" t="str">
        <f>IFERROR(Tabla_Buffers_Agroinsumos[[#This Row],[INV FIS AS]]-Tabla_Buffers_Agroinsumos[[#This Row],[BUFFER AS]],"")</f>
        <v/>
      </c>
      <c r="EA16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67" s="134"/>
      <c r="EC167" s="134"/>
      <c r="ED167" s="134"/>
      <c r="EE167" s="134"/>
      <c r="EF167" s="134"/>
      <c r="EG167" s="134"/>
      <c r="EH167" s="134"/>
      <c r="EI167" s="134"/>
      <c r="EJ167" s="134"/>
      <c r="EK167" s="134" t="str">
        <f t="array" ref="EK167">IFERROR(INDEX(TABLACONSOLIDADA[Buff Act],MATCH("AGROINSUMOSLAFINCA"&amp;Tabla_Buffers_Agroinsumos[[#This Row],[CODIGO ]],TABLACONSOLIDADA[Bodega]&amp;TABLACONSOLIDADA[Codigo],0)),"")</f>
        <v/>
      </c>
      <c r="EL167" s="157" t="str">
        <f t="array" ref="EL167">IFERROR(INDEX(TABLACONSOLIDADA[Inv Fís Act],MATCH("AGROINSUMOSLAFINCA"&amp;Tabla_Buffers_Agroinsumos[[#This Row],[CODIGO ]],TABLACONSOLIDADA[Bodega]&amp;TABLACONSOLIDADA[Codigo],0)),"")</f>
        <v/>
      </c>
      <c r="EM167" s="157" t="str">
        <f t="array" ref="EM16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6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67" s="134">
        <f>IFERROR(SUM(Tabla_Buffers_Agroinsumos[[#This Row],[LF-MP]:[LF-VL]]),"")</f>
        <v>0</v>
      </c>
      <c r="EP167" s="92" t="str">
        <f>IFERROR(Tabla_Buffers_Agroinsumos[[#This Row],[INV FIS LF]]-Tabla_Buffers_Agroinsumos[[#This Row],[BUFFER LF]],"")</f>
        <v/>
      </c>
      <c r="EQ16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67" s="134"/>
      <c r="ES167" s="134"/>
      <c r="ET167" s="134"/>
      <c r="EU167" s="134"/>
      <c r="EV167" s="134"/>
      <c r="EW167" s="134"/>
      <c r="EX167" s="134"/>
      <c r="EY167" s="134"/>
      <c r="EZ167" s="134"/>
      <c r="FA167" s="134" t="str">
        <f t="array" ref="FA167">IFERROR(INDEX(TABLACONSOLIDADA[Buff Act],MATCH("AGROINSUMOSVERONICALEDESMA"&amp;Tabla_Buffers_Agroinsumos[[#This Row],[CODIGO ]],TABLACONSOLIDADA[Bodega]&amp;TABLACONSOLIDADA[Codigo],0)),"")</f>
        <v/>
      </c>
      <c r="FB167" s="157" t="str">
        <f t="array" ref="FB167">IFERROR(INDEX(TABLACONSOLIDADA[Inv Fís Act],MATCH("AGROINSUMOSVERONICALEDESMA"&amp;Tabla_Buffers_Agroinsumos[[#This Row],[CODIGO ]],TABLACONSOLIDADA[Bodega]&amp;TABLACONSOLIDADA[Codigo],0)),"")</f>
        <v/>
      </c>
      <c r="FC167" s="157" t="str">
        <f t="array" ref="FC16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6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67" s="134">
        <f>IFERROR(SUM(Tabla_Buffers_Agroinsumos[[#This Row],[VL-MP]:[VL-LF]]),"")</f>
        <v>0</v>
      </c>
      <c r="FF167" s="92" t="str">
        <f>IFERROR(Tabla_Buffers_Agroinsumos[[#This Row],[INV FIS VL]]-Tabla_Buffers_Agroinsumos[[#This Row],[BUFFER VL]],"")</f>
        <v/>
      </c>
      <c r="FG16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67" s="134"/>
      <c r="FI167" s="134"/>
      <c r="FJ167" s="134"/>
      <c r="FK167" s="134"/>
      <c r="FL167" s="134"/>
      <c r="FM167" s="134"/>
      <c r="FN167" s="134"/>
      <c r="FO167" s="134"/>
      <c r="FP167" s="134"/>
    </row>
    <row r="168" spans="1:172">
      <c r="A168" s="7" t="s">
        <v>295</v>
      </c>
      <c r="B168" s="7" t="s">
        <v>296</v>
      </c>
      <c r="C168" s="7" t="s">
        <v>716</v>
      </c>
      <c r="D168" s="7" t="s">
        <v>718</v>
      </c>
      <c r="E168" s="7" t="s">
        <v>863</v>
      </c>
      <c r="F168" s="19" t="s">
        <v>808</v>
      </c>
      <c r="G168" s="19" t="s">
        <v>802</v>
      </c>
      <c r="H168" s="19">
        <f>VLOOKUP(Tabla_Buffers_Agroinsumos[[#This Row],[CODIGO ]],TABLACONSOLIDADA[[Codigo]:[PV]],6,0)</f>
        <v>0</v>
      </c>
      <c r="I168" s="19">
        <f>VLOOKUP(Tabla_Buffers_Agroinsumos[[#This Row],[CODIGO ]],TABLACONSOLIDADA[[Codigo]:[PV]],5,0)</f>
        <v>0.15</v>
      </c>
      <c r="J168" s="19">
        <v>4</v>
      </c>
      <c r="K168" s="19">
        <v>6</v>
      </c>
      <c r="L168" s="19">
        <f>IFERROR(Tabla_Buffers_Agroinsumos[[#This Row],[BUFFER CENTRAL]]/((Tabla_Buffers_Agroinsumos[[#This Row],[TIEMPO REPOSICION ]]/Tabla_Buffers_Agroinsumos[[#This Row],[FRECUENCIA]])+1),0)</f>
        <v>0</v>
      </c>
      <c r="M168" s="19">
        <f t="array" ref="M168">IFERROR(INDEX(TABLACONSOLIDADA[Buff Act],MATCH("AGROINSUMOSMATERIAPRIMA"&amp;Tabla_Buffers_Agroinsumos[[#This Row],[CODIGO ]],TABLACONSOLIDADA[Bodega]&amp;TABLACONSOLIDADA[Codigo],0)),"")</f>
        <v>300</v>
      </c>
      <c r="N168" s="157">
        <f t="array" ref="N168">IFERROR(INDEX(TABLACONSOLIDADA[Inv Fís Act],MATCH("AGROINSUMOSMATERIAPRIMA"&amp;Tabla_Buffers_Agroinsumos[[#This Row],[CODIGO ]],TABLACONSOLIDADA[Bodega]&amp;TABLACONSOLIDADA[Codigo],0)),"")</f>
        <v>442</v>
      </c>
      <c r="O168" s="157">
        <f t="array" ref="O16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442</v>
      </c>
      <c r="P16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68" s="19">
        <f>IFERROR(SUM(Tabla_Buffers_Agroinsumos[[#This Row],[MP-C]:[MP-VL]]),"")</f>
        <v>0</v>
      </c>
      <c r="R168" s="92">
        <f>IFERROR(Tabla_Buffers_Agroinsumos[[#This Row],[INV FIS MATERIA PRIMA]]-Tabla_Buffers_Agroinsumos[[#This Row],[BUFFER MATERIA PRIMA]],"")</f>
        <v>142</v>
      </c>
      <c r="S16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142</v>
      </c>
      <c r="T168" s="19"/>
      <c r="U168" s="19"/>
      <c r="V168" s="19"/>
      <c r="W168" s="19"/>
      <c r="X168" s="19"/>
      <c r="Y168" s="19"/>
      <c r="Z168" s="19"/>
      <c r="AA168" s="19"/>
      <c r="AB168" s="19"/>
      <c r="AC168" s="152" t="str">
        <f t="array" ref="AC168">IFERROR(INDEX(TABLACONSOLIDADA[Buff Act],MATCH("AGROINSUMOSCENTRAL"&amp;Tabla_Buffers_Agroinsumos[[#This Row],[CODIGO ]],TABLACONSOLIDADA[Bodega]&amp;TABLACONSOLIDADA[Codigo],0)),"")</f>
        <v/>
      </c>
      <c r="AD168" s="157" t="str">
        <f t="array" ref="AD168">IFERROR(INDEX(TABLACONSOLIDADA[Inv Fís Act],MATCH("AGROINSUMOSCENTRAL"&amp;Tabla_Buffers_Agroinsumos[[#This Row],[CODIGO ]],TABLACONSOLIDADA[Bodega]&amp;TABLACONSOLIDADA[Codigo],0)),"")</f>
        <v/>
      </c>
      <c r="AE168" s="157" t="str">
        <f t="array" ref="AE16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6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68" s="91">
        <f>IFERROR(SUM(Tabla_Buffers_Agroinsumos[[#This Row],[C-MP]:[C-VL]]),"")</f>
        <v>0</v>
      </c>
      <c r="AH168" s="92" t="str">
        <f>IFERROR(Tabla_Buffers_Agroinsumos[[#This Row],[INV FIS CENTRAL]]-Tabla_Buffers_Agroinsumos[[#This Row],[BUFFER CENTRAL]],"")</f>
        <v/>
      </c>
      <c r="AI16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4" t="str">
        <f t="array" ref="AS168">IFERROR(INDEX(TABLACONSOLIDADA[Buff Act],MATCH("AGROINSUMOScentralPROPIA"&amp;Tabla_Buffers_Agroinsumos[[#This Row],[CODIGO ]],TABLACONSOLIDADA[Bodega]&amp;TABLACONSOLIDADA[Codigo],0)),"")</f>
        <v/>
      </c>
      <c r="AT168" s="157" t="str">
        <f t="array" ref="AT168">IFERROR(INDEX(TABLACONSOLIDADA[Inv Fís Act],MATCH("AGROINSUMOScentralPROPIA"&amp;Tabla_Buffers_Agroinsumos[[#This Row],[CODIGO ]],TABLACONSOLIDADA[Bodega]&amp;TABLACONSOLIDADA[Codigo],0)),"")</f>
        <v/>
      </c>
      <c r="AU168" s="157" t="str">
        <f t="array" ref="AU16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6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68" s="134">
        <f>IFERROR(SUM(Tabla_Buffers_Agroinsumos[[#This Row],[P-MP]:[P-VL]]),"")</f>
        <v>0</v>
      </c>
      <c r="AX168" s="92" t="str">
        <f>IFERROR(Tabla_Buffers_Agroinsumos[[#This Row],[INV FIS PROPIA]]-Tabla_Buffers_Agroinsumos[[#This Row],[BUFFER PROPIA]],"")</f>
        <v/>
      </c>
      <c r="AY16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68" s="134"/>
      <c r="BA168" s="134"/>
      <c r="BB168" s="134"/>
      <c r="BC168" s="134"/>
      <c r="BD168" s="134"/>
      <c r="BE168" s="134"/>
      <c r="BF168" s="134"/>
      <c r="BG168" s="134"/>
      <c r="BH168" s="134"/>
      <c r="BI168" s="91" t="str">
        <f t="array" ref="BI168">IFERROR(INDEX(TABLACONSOLIDADA[Buff Act],MATCH("AGROINSUMOSSTODOMINGO"&amp;Tabla_Buffers_Agroinsumos[[#This Row],[CODIGO ]],TABLACONSOLIDADA[Bodega]&amp;TABLACONSOLIDADA[Codigo],0)),"")</f>
        <v/>
      </c>
      <c r="BJ168" s="157" t="str">
        <f t="array" ref="BJ168">IFERROR(INDEX(TABLACONSOLIDADA[Inv Fís Act],MATCH("AGROINSUMOSSTODOMINGO"&amp;Tabla_Buffers_Agroinsumos[[#This Row],[CODIGO ]],TABLACONSOLIDADA[Bodega]&amp;TABLACONSOLIDADA[Codigo],0)),"")</f>
        <v/>
      </c>
      <c r="BK168" s="157" t="str">
        <f t="array" ref="BK16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6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68" s="91">
        <f>IFERROR(SUM(Tabla_Buffers_Agroinsumos[[#This Row],[SD-MP]:[SD-VL]]),"")</f>
        <v>0</v>
      </c>
      <c r="BN168" s="92"/>
      <c r="BO168" s="92"/>
      <c r="BP168" s="134"/>
      <c r="BQ168" s="134"/>
      <c r="BR168" s="134"/>
      <c r="BS168" s="134"/>
      <c r="BT168" s="134"/>
      <c r="BU168" s="134"/>
      <c r="BV168" s="134"/>
      <c r="BW168" s="134"/>
      <c r="BX168" s="134"/>
      <c r="BY168" s="134" t="str">
        <f t="array" ref="BY168">IFERROR(INDEX(TABLACONSOLIDADA[Buff Act],MATCH("AGROINSUMOSMONCAYOLOPEZ"&amp;Tabla_Buffers_Agroinsumos[[#This Row],[CODIGO ]],TABLACONSOLIDADA[Bodega]&amp;TABLACONSOLIDADA[Codigo],0)),"")</f>
        <v/>
      </c>
      <c r="BZ168" s="157" t="str">
        <f t="array" ref="BZ168">IFERROR(INDEX(TABLACONSOLIDADA[Inv Fís Act],MATCH("AGROINSUMOSMONCAYOLOPEZ"&amp;Tabla_Buffers_Agroinsumos[[#This Row],[CODIGO ]],TABLACONSOLIDADA[Bodega]&amp;TABLACONSOLIDADA[Codigo],0)),"")</f>
        <v/>
      </c>
      <c r="CA168" s="157" t="str">
        <f t="array" ref="CA16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6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68" s="134">
        <f>IFERROR(SUM(Tabla_Buffers_Agroinsumos[[#This Row],[ML-MP]:[ML-VL]]),"")</f>
        <v>0</v>
      </c>
      <c r="CD168" s="92" t="str">
        <f>IFERROR(Tabla_Buffers_Agroinsumos[[#This Row],[INV FIS ML]]-Tabla_Buffers_Agroinsumos[[#This Row],[BUFFER ML]],"")</f>
        <v/>
      </c>
      <c r="CE16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68" s="134"/>
      <c r="CG168" s="134"/>
      <c r="CH168" s="134"/>
      <c r="CI168" s="134"/>
      <c r="CJ168" s="134"/>
      <c r="CK168" s="134"/>
      <c r="CL168" s="134"/>
      <c r="CM168" s="134"/>
      <c r="CN168" s="134"/>
      <c r="CO168" s="134" t="str">
        <f t="array" ref="CO168">IFERROR(INDEX(TABLACONSOLIDADA[Buff Act],MATCH("AGROINSUMOSAGROHERMANOSLEON"&amp;Tabla_Buffers_Agroinsumos[[#This Row],[CODIGO ]],TABLACONSOLIDADA[Bodega]&amp;TABLACONSOLIDADA[Codigo],0)),"")</f>
        <v/>
      </c>
      <c r="CP168" s="157" t="str">
        <f t="array" ref="CP168">IFERROR(INDEX(TABLACONSOLIDADA[Inv Fís Act],MATCH("AGROINSUMOSAGROHERMANOSLEON"&amp;Tabla_Buffers_Agroinsumos[[#This Row],[CODIGO ]],TABLACONSOLIDADA[Bodega]&amp;TABLACONSOLIDADA[Codigo],0)),"")</f>
        <v/>
      </c>
      <c r="CQ168" s="157" t="str">
        <f t="array" ref="CQ16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6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68" s="134">
        <f>IFERROR(SUM(Tabla_Buffers_Agroinsumos[[#This Row],[AL-MP]:[AL-VL]]),"")</f>
        <v>0</v>
      </c>
      <c r="CT168" s="92" t="str">
        <f>IFERROR(Tabla_Buffers_Agroinsumos[[#This Row],[INV FIS AL]]-Tabla_Buffers_Agroinsumos[[#This Row],[BUFFER AL]],"")</f>
        <v/>
      </c>
      <c r="CU16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68" s="134"/>
      <c r="CW168" s="134"/>
      <c r="CX168" s="134"/>
      <c r="CY168" s="134"/>
      <c r="CZ168" s="134"/>
      <c r="DA168" s="134"/>
      <c r="DB168" s="134"/>
      <c r="DC168" s="134"/>
      <c r="DD168" s="134"/>
      <c r="DE168" s="134" t="str">
        <f t="array" ref="DE168">IFERROR(INDEX(TABLACONSOLIDADA[Buff Act],MATCH("AGROINSUMOSAGRONUEVO"&amp;Tabla_Buffers_Agroinsumos[[#This Row],[CODIGO ]],TABLACONSOLIDADA[Bodega]&amp;TABLACONSOLIDADA[Codigo],0)),"")</f>
        <v/>
      </c>
      <c r="DF168" s="157" t="str">
        <f t="array" ref="DF168">IFERROR(INDEX(TABLACONSOLIDADA[Inv Fís Act],MATCH("AGROINSUMOSAGRONUEVO"&amp;Tabla_Buffers_Agroinsumos[[#This Row],[CODIGO ]],TABLACONSOLIDADA[Bodega]&amp;TABLACONSOLIDADA[Codigo],0)),"")</f>
        <v/>
      </c>
      <c r="DG168" s="157" t="str">
        <f t="array" ref="DG16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6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68" s="134">
        <f>IFERROR(SUM(Tabla_Buffers_Agroinsumos[[#This Row],[AN-MP]:[AN-VL]]),"")</f>
        <v>0</v>
      </c>
      <c r="DJ168" s="92" t="str">
        <f>IFERROR(Tabla_Buffers_Agroinsumos[[#This Row],[INV FIS AN]]-Tabla_Buffers_Agroinsumos[[#This Row],[BUFFER AN]],"")</f>
        <v/>
      </c>
      <c r="DK16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68" s="134"/>
      <c r="DM168" s="134"/>
      <c r="DN168" s="134"/>
      <c r="DO168" s="134"/>
      <c r="DP168" s="134"/>
      <c r="DQ168" s="134"/>
      <c r="DR168" s="134"/>
      <c r="DS168" s="134"/>
      <c r="DT168" s="134"/>
      <c r="DU168" s="134" t="str">
        <f t="array" ref="DU168">IFERROR(INDEX(TABLACONSOLIDADA[Buff Act],MATCH("AGROINSUMOSAGROQUIMICOSSUR"&amp;Tabla_Buffers_Agroinsumos[[#This Row],[CODIGO ]],TABLACONSOLIDADA[Bodega]&amp;TABLACONSOLIDADA[Codigo],0)),"")</f>
        <v/>
      </c>
      <c r="DV168" s="157" t="str">
        <f t="array" ref="DV168">IFERROR(INDEX(TABLACONSOLIDADA[Inv Fís Act],MATCH("AGROINSUMOSAGROQUIMICOSSUR"&amp;Tabla_Buffers_Agroinsumos[[#This Row],[CODIGO ]],TABLACONSOLIDADA[Bodega]&amp;TABLACONSOLIDADA[Codigo],0)),"")</f>
        <v/>
      </c>
      <c r="DW168" s="157" t="str">
        <f t="array" ref="DW16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6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68" s="134">
        <f>IFERROR(SUM(Tabla_Buffers_Agroinsumos[[#This Row],[AS-MP]:[AS-VL]]),"")</f>
        <v>0</v>
      </c>
      <c r="DZ168" s="92" t="str">
        <f>IFERROR(Tabla_Buffers_Agroinsumos[[#This Row],[INV FIS AS]]-Tabla_Buffers_Agroinsumos[[#This Row],[BUFFER AS]],"")</f>
        <v/>
      </c>
      <c r="EA16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68" s="134"/>
      <c r="EC168" s="134"/>
      <c r="ED168" s="134"/>
      <c r="EE168" s="134"/>
      <c r="EF168" s="134"/>
      <c r="EG168" s="134"/>
      <c r="EH168" s="134"/>
      <c r="EI168" s="134"/>
      <c r="EJ168" s="134"/>
      <c r="EK168" s="134" t="str">
        <f t="array" ref="EK168">IFERROR(INDEX(TABLACONSOLIDADA[Buff Act],MATCH("AGROINSUMOSLAFINCA"&amp;Tabla_Buffers_Agroinsumos[[#This Row],[CODIGO ]],TABLACONSOLIDADA[Bodega]&amp;TABLACONSOLIDADA[Codigo],0)),"")</f>
        <v/>
      </c>
      <c r="EL168" s="157" t="str">
        <f t="array" ref="EL168">IFERROR(INDEX(TABLACONSOLIDADA[Inv Fís Act],MATCH("AGROINSUMOSLAFINCA"&amp;Tabla_Buffers_Agroinsumos[[#This Row],[CODIGO ]],TABLACONSOLIDADA[Bodega]&amp;TABLACONSOLIDADA[Codigo],0)),"")</f>
        <v/>
      </c>
      <c r="EM168" s="157" t="str">
        <f t="array" ref="EM16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6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68" s="134">
        <f>IFERROR(SUM(Tabla_Buffers_Agroinsumos[[#This Row],[LF-MP]:[LF-VL]]),"")</f>
        <v>0</v>
      </c>
      <c r="EP168" s="92" t="str">
        <f>IFERROR(Tabla_Buffers_Agroinsumos[[#This Row],[INV FIS LF]]-Tabla_Buffers_Agroinsumos[[#This Row],[BUFFER LF]],"")</f>
        <v/>
      </c>
      <c r="EQ16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68" s="134"/>
      <c r="ES168" s="134"/>
      <c r="ET168" s="134"/>
      <c r="EU168" s="134"/>
      <c r="EV168" s="134"/>
      <c r="EW168" s="134"/>
      <c r="EX168" s="134"/>
      <c r="EY168" s="134"/>
      <c r="EZ168" s="134"/>
      <c r="FA168" s="134" t="str">
        <f t="array" ref="FA168">IFERROR(INDEX(TABLACONSOLIDADA[Buff Act],MATCH("AGROINSUMOSVERONICALEDESMA"&amp;Tabla_Buffers_Agroinsumos[[#This Row],[CODIGO ]],TABLACONSOLIDADA[Bodega]&amp;TABLACONSOLIDADA[Codigo],0)),"")</f>
        <v/>
      </c>
      <c r="FB168" s="157" t="str">
        <f t="array" ref="FB168">IFERROR(INDEX(TABLACONSOLIDADA[Inv Fís Act],MATCH("AGROINSUMOSVERONICALEDESMA"&amp;Tabla_Buffers_Agroinsumos[[#This Row],[CODIGO ]],TABLACONSOLIDADA[Bodega]&amp;TABLACONSOLIDADA[Codigo],0)),"")</f>
        <v/>
      </c>
      <c r="FC168" s="157" t="str">
        <f t="array" ref="FC16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6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68" s="134">
        <f>IFERROR(SUM(Tabla_Buffers_Agroinsumos[[#This Row],[VL-MP]:[VL-LF]]),"")</f>
        <v>0</v>
      </c>
      <c r="FF168" s="92" t="str">
        <f>IFERROR(Tabla_Buffers_Agroinsumos[[#This Row],[INV FIS VL]]-Tabla_Buffers_Agroinsumos[[#This Row],[BUFFER VL]],"")</f>
        <v/>
      </c>
      <c r="FG16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68" s="134"/>
      <c r="FI168" s="134"/>
      <c r="FJ168" s="134"/>
      <c r="FK168" s="134"/>
      <c r="FL168" s="134"/>
      <c r="FM168" s="134"/>
      <c r="FN168" s="134"/>
      <c r="FO168" s="134"/>
      <c r="FP168" s="134"/>
    </row>
    <row r="169" spans="1:172">
      <c r="A169" s="7" t="s">
        <v>297</v>
      </c>
      <c r="B169" s="7" t="s">
        <v>298</v>
      </c>
      <c r="C169" s="7" t="s">
        <v>716</v>
      </c>
      <c r="D169" s="7" t="s">
        <v>718</v>
      </c>
      <c r="E169" s="7" t="s">
        <v>863</v>
      </c>
      <c r="F169" s="19" t="s">
        <v>808</v>
      </c>
      <c r="G169" s="19" t="s">
        <v>802</v>
      </c>
      <c r="H169" s="19">
        <f>VLOOKUP(Tabla_Buffers_Agroinsumos[[#This Row],[CODIGO ]],TABLACONSOLIDADA[[Codigo]:[PV]],6,0)</f>
        <v>0</v>
      </c>
      <c r="I169" s="19">
        <f>VLOOKUP(Tabla_Buffers_Agroinsumos[[#This Row],[CODIGO ]],TABLACONSOLIDADA[[Codigo]:[PV]],5,0)</f>
        <v>0.23</v>
      </c>
      <c r="J169" s="19">
        <v>4</v>
      </c>
      <c r="K169" s="19">
        <v>6</v>
      </c>
      <c r="L169" s="19">
        <f>IFERROR(Tabla_Buffers_Agroinsumos[[#This Row],[BUFFER CENTRAL]]/((Tabla_Buffers_Agroinsumos[[#This Row],[TIEMPO REPOSICION ]]/Tabla_Buffers_Agroinsumos[[#This Row],[FRECUENCIA]])+1),0)</f>
        <v>0</v>
      </c>
      <c r="M169" s="19">
        <f t="array" ref="M169">IFERROR(INDEX(TABLACONSOLIDADA[Buff Act],MATCH("AGROINSUMOSMATERIAPRIMA"&amp;Tabla_Buffers_Agroinsumos[[#This Row],[CODIGO ]],TABLACONSOLIDADA[Bodega]&amp;TABLACONSOLIDADA[Codigo],0)),"")</f>
        <v>500</v>
      </c>
      <c r="N169" s="157">
        <f t="array" ref="N169">IFERROR(INDEX(TABLACONSOLIDADA[Inv Fís Act],MATCH("AGROINSUMOSMATERIAPRIMA"&amp;Tabla_Buffers_Agroinsumos[[#This Row],[CODIGO ]],TABLACONSOLIDADA[Bodega]&amp;TABLACONSOLIDADA[Codigo],0)),"")</f>
        <v>739</v>
      </c>
      <c r="O169" s="157">
        <f t="array" ref="O16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739</v>
      </c>
      <c r="P16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69" s="19">
        <f>IFERROR(SUM(Tabla_Buffers_Agroinsumos[[#This Row],[MP-C]:[MP-VL]]),"")</f>
        <v>0</v>
      </c>
      <c r="R169" s="92">
        <f>IFERROR(Tabla_Buffers_Agroinsumos[[#This Row],[INV FIS MATERIA PRIMA]]-Tabla_Buffers_Agroinsumos[[#This Row],[BUFFER MATERIA PRIMA]],"")</f>
        <v>239</v>
      </c>
      <c r="S16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239</v>
      </c>
      <c r="T169" s="19"/>
      <c r="U169" s="19"/>
      <c r="V169" s="19"/>
      <c r="W169" s="19"/>
      <c r="X169" s="19"/>
      <c r="Y169" s="19"/>
      <c r="Z169" s="19"/>
      <c r="AA169" s="19"/>
      <c r="AB169" s="19"/>
      <c r="AC169" s="152" t="str">
        <f t="array" ref="AC169">IFERROR(INDEX(TABLACONSOLIDADA[Buff Act],MATCH("AGROINSUMOSCENTRAL"&amp;Tabla_Buffers_Agroinsumos[[#This Row],[CODIGO ]],TABLACONSOLIDADA[Bodega]&amp;TABLACONSOLIDADA[Codigo],0)),"")</f>
        <v/>
      </c>
      <c r="AD169" s="157" t="str">
        <f t="array" ref="AD169">IFERROR(INDEX(TABLACONSOLIDADA[Inv Fís Act],MATCH("AGROINSUMOSCENTRAL"&amp;Tabla_Buffers_Agroinsumos[[#This Row],[CODIGO ]],TABLACONSOLIDADA[Bodega]&amp;TABLACONSOLIDADA[Codigo],0)),"")</f>
        <v/>
      </c>
      <c r="AE169" s="157" t="str">
        <f t="array" ref="AE16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6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69" s="91">
        <f>IFERROR(SUM(Tabla_Buffers_Agroinsumos[[#This Row],[C-MP]:[C-VL]]),"")</f>
        <v>0</v>
      </c>
      <c r="AH169" s="92" t="str">
        <f>IFERROR(Tabla_Buffers_Agroinsumos[[#This Row],[INV FIS CENTRAL]]-Tabla_Buffers_Agroinsumos[[#This Row],[BUFFER CENTRAL]],"")</f>
        <v/>
      </c>
      <c r="AI16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4" t="str">
        <f t="array" ref="AS169">IFERROR(INDEX(TABLACONSOLIDADA[Buff Act],MATCH("AGROINSUMOScentralPROPIA"&amp;Tabla_Buffers_Agroinsumos[[#This Row],[CODIGO ]],TABLACONSOLIDADA[Bodega]&amp;TABLACONSOLIDADA[Codigo],0)),"")</f>
        <v/>
      </c>
      <c r="AT169" s="157" t="str">
        <f t="array" ref="AT169">IFERROR(INDEX(TABLACONSOLIDADA[Inv Fís Act],MATCH("AGROINSUMOScentralPROPIA"&amp;Tabla_Buffers_Agroinsumos[[#This Row],[CODIGO ]],TABLACONSOLIDADA[Bodega]&amp;TABLACONSOLIDADA[Codigo],0)),"")</f>
        <v/>
      </c>
      <c r="AU169" s="157" t="str">
        <f t="array" ref="AU16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6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69" s="134">
        <f>IFERROR(SUM(Tabla_Buffers_Agroinsumos[[#This Row],[P-MP]:[P-VL]]),"")</f>
        <v>0</v>
      </c>
      <c r="AX169" s="92" t="str">
        <f>IFERROR(Tabla_Buffers_Agroinsumos[[#This Row],[INV FIS PROPIA]]-Tabla_Buffers_Agroinsumos[[#This Row],[BUFFER PROPIA]],"")</f>
        <v/>
      </c>
      <c r="AY16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69" s="134"/>
      <c r="BA169" s="134"/>
      <c r="BB169" s="134"/>
      <c r="BC169" s="134"/>
      <c r="BD169" s="134"/>
      <c r="BE169" s="134"/>
      <c r="BF169" s="134"/>
      <c r="BG169" s="134"/>
      <c r="BH169" s="134"/>
      <c r="BI169" s="91" t="str">
        <f t="array" ref="BI169">IFERROR(INDEX(TABLACONSOLIDADA[Buff Act],MATCH("AGROINSUMOSSTODOMINGO"&amp;Tabla_Buffers_Agroinsumos[[#This Row],[CODIGO ]],TABLACONSOLIDADA[Bodega]&amp;TABLACONSOLIDADA[Codigo],0)),"")</f>
        <v/>
      </c>
      <c r="BJ169" s="157" t="str">
        <f t="array" ref="BJ169">IFERROR(INDEX(TABLACONSOLIDADA[Inv Fís Act],MATCH("AGROINSUMOSSTODOMINGO"&amp;Tabla_Buffers_Agroinsumos[[#This Row],[CODIGO ]],TABLACONSOLIDADA[Bodega]&amp;TABLACONSOLIDADA[Codigo],0)),"")</f>
        <v/>
      </c>
      <c r="BK169" s="157" t="str">
        <f t="array" ref="BK16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6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69" s="91">
        <f>IFERROR(SUM(Tabla_Buffers_Agroinsumos[[#This Row],[SD-MP]:[SD-VL]]),"")</f>
        <v>0</v>
      </c>
      <c r="BN169" s="92"/>
      <c r="BO169" s="92"/>
      <c r="BP169" s="134"/>
      <c r="BQ169" s="134"/>
      <c r="BR169" s="134"/>
      <c r="BS169" s="134"/>
      <c r="BT169" s="134"/>
      <c r="BU169" s="134"/>
      <c r="BV169" s="134"/>
      <c r="BW169" s="134"/>
      <c r="BX169" s="134"/>
      <c r="BY169" s="134" t="str">
        <f t="array" ref="BY169">IFERROR(INDEX(TABLACONSOLIDADA[Buff Act],MATCH("AGROINSUMOSMONCAYOLOPEZ"&amp;Tabla_Buffers_Agroinsumos[[#This Row],[CODIGO ]],TABLACONSOLIDADA[Bodega]&amp;TABLACONSOLIDADA[Codigo],0)),"")</f>
        <v/>
      </c>
      <c r="BZ169" s="157" t="str">
        <f t="array" ref="BZ169">IFERROR(INDEX(TABLACONSOLIDADA[Inv Fís Act],MATCH("AGROINSUMOSMONCAYOLOPEZ"&amp;Tabla_Buffers_Agroinsumos[[#This Row],[CODIGO ]],TABLACONSOLIDADA[Bodega]&amp;TABLACONSOLIDADA[Codigo],0)),"")</f>
        <v/>
      </c>
      <c r="CA169" s="157" t="str">
        <f t="array" ref="CA16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6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69" s="134">
        <f>IFERROR(SUM(Tabla_Buffers_Agroinsumos[[#This Row],[ML-MP]:[ML-VL]]),"")</f>
        <v>0</v>
      </c>
      <c r="CD169" s="92" t="str">
        <f>IFERROR(Tabla_Buffers_Agroinsumos[[#This Row],[INV FIS ML]]-Tabla_Buffers_Agroinsumos[[#This Row],[BUFFER ML]],"")</f>
        <v/>
      </c>
      <c r="CE16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69" s="134"/>
      <c r="CG169" s="134"/>
      <c r="CH169" s="134"/>
      <c r="CI169" s="134"/>
      <c r="CJ169" s="134"/>
      <c r="CK169" s="134"/>
      <c r="CL169" s="134"/>
      <c r="CM169" s="134"/>
      <c r="CN169" s="134"/>
      <c r="CO169" s="134" t="str">
        <f t="array" ref="CO169">IFERROR(INDEX(TABLACONSOLIDADA[Buff Act],MATCH("AGROINSUMOSAGROHERMANOSLEON"&amp;Tabla_Buffers_Agroinsumos[[#This Row],[CODIGO ]],TABLACONSOLIDADA[Bodega]&amp;TABLACONSOLIDADA[Codigo],0)),"")</f>
        <v/>
      </c>
      <c r="CP169" s="157" t="str">
        <f t="array" ref="CP169">IFERROR(INDEX(TABLACONSOLIDADA[Inv Fís Act],MATCH("AGROINSUMOSAGROHERMANOSLEON"&amp;Tabla_Buffers_Agroinsumos[[#This Row],[CODIGO ]],TABLACONSOLIDADA[Bodega]&amp;TABLACONSOLIDADA[Codigo],0)),"")</f>
        <v/>
      </c>
      <c r="CQ169" s="157" t="str">
        <f t="array" ref="CQ16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6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69" s="134">
        <f>IFERROR(SUM(Tabla_Buffers_Agroinsumos[[#This Row],[AL-MP]:[AL-VL]]),"")</f>
        <v>0</v>
      </c>
      <c r="CT169" s="92" t="str">
        <f>IFERROR(Tabla_Buffers_Agroinsumos[[#This Row],[INV FIS AL]]-Tabla_Buffers_Agroinsumos[[#This Row],[BUFFER AL]],"")</f>
        <v/>
      </c>
      <c r="CU16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69" s="134"/>
      <c r="CW169" s="134"/>
      <c r="CX169" s="134"/>
      <c r="CY169" s="134"/>
      <c r="CZ169" s="134"/>
      <c r="DA169" s="134"/>
      <c r="DB169" s="134"/>
      <c r="DC169" s="134"/>
      <c r="DD169" s="134"/>
      <c r="DE169" s="134" t="str">
        <f t="array" ref="DE169">IFERROR(INDEX(TABLACONSOLIDADA[Buff Act],MATCH("AGROINSUMOSAGRONUEVO"&amp;Tabla_Buffers_Agroinsumos[[#This Row],[CODIGO ]],TABLACONSOLIDADA[Bodega]&amp;TABLACONSOLIDADA[Codigo],0)),"")</f>
        <v/>
      </c>
      <c r="DF169" s="157" t="str">
        <f t="array" ref="DF169">IFERROR(INDEX(TABLACONSOLIDADA[Inv Fís Act],MATCH("AGROINSUMOSAGRONUEVO"&amp;Tabla_Buffers_Agroinsumos[[#This Row],[CODIGO ]],TABLACONSOLIDADA[Bodega]&amp;TABLACONSOLIDADA[Codigo],0)),"")</f>
        <v/>
      </c>
      <c r="DG169" s="157" t="str">
        <f t="array" ref="DG16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6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69" s="134">
        <f>IFERROR(SUM(Tabla_Buffers_Agroinsumos[[#This Row],[AN-MP]:[AN-VL]]),"")</f>
        <v>0</v>
      </c>
      <c r="DJ169" s="92" t="str">
        <f>IFERROR(Tabla_Buffers_Agroinsumos[[#This Row],[INV FIS AN]]-Tabla_Buffers_Agroinsumos[[#This Row],[BUFFER AN]],"")</f>
        <v/>
      </c>
      <c r="DK16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69" s="134"/>
      <c r="DM169" s="134"/>
      <c r="DN169" s="134"/>
      <c r="DO169" s="134"/>
      <c r="DP169" s="134"/>
      <c r="DQ169" s="134"/>
      <c r="DR169" s="134"/>
      <c r="DS169" s="134"/>
      <c r="DT169" s="134"/>
      <c r="DU169" s="134" t="str">
        <f t="array" ref="DU169">IFERROR(INDEX(TABLACONSOLIDADA[Buff Act],MATCH("AGROINSUMOSAGROQUIMICOSSUR"&amp;Tabla_Buffers_Agroinsumos[[#This Row],[CODIGO ]],TABLACONSOLIDADA[Bodega]&amp;TABLACONSOLIDADA[Codigo],0)),"")</f>
        <v/>
      </c>
      <c r="DV169" s="157" t="str">
        <f t="array" ref="DV169">IFERROR(INDEX(TABLACONSOLIDADA[Inv Fís Act],MATCH("AGROINSUMOSAGROQUIMICOSSUR"&amp;Tabla_Buffers_Agroinsumos[[#This Row],[CODIGO ]],TABLACONSOLIDADA[Bodega]&amp;TABLACONSOLIDADA[Codigo],0)),"")</f>
        <v/>
      </c>
      <c r="DW169" s="157" t="str">
        <f t="array" ref="DW16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6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69" s="134">
        <f>IFERROR(SUM(Tabla_Buffers_Agroinsumos[[#This Row],[AS-MP]:[AS-VL]]),"")</f>
        <v>0</v>
      </c>
      <c r="DZ169" s="92" t="str">
        <f>IFERROR(Tabla_Buffers_Agroinsumos[[#This Row],[INV FIS AS]]-Tabla_Buffers_Agroinsumos[[#This Row],[BUFFER AS]],"")</f>
        <v/>
      </c>
      <c r="EA16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69" s="134"/>
      <c r="EC169" s="134"/>
      <c r="ED169" s="134"/>
      <c r="EE169" s="134"/>
      <c r="EF169" s="134"/>
      <c r="EG169" s="134"/>
      <c r="EH169" s="134"/>
      <c r="EI169" s="134"/>
      <c r="EJ169" s="134"/>
      <c r="EK169" s="134" t="str">
        <f t="array" ref="EK169">IFERROR(INDEX(TABLACONSOLIDADA[Buff Act],MATCH("AGROINSUMOSLAFINCA"&amp;Tabla_Buffers_Agroinsumos[[#This Row],[CODIGO ]],TABLACONSOLIDADA[Bodega]&amp;TABLACONSOLIDADA[Codigo],0)),"")</f>
        <v/>
      </c>
      <c r="EL169" s="157" t="str">
        <f t="array" ref="EL169">IFERROR(INDEX(TABLACONSOLIDADA[Inv Fís Act],MATCH("AGROINSUMOSLAFINCA"&amp;Tabla_Buffers_Agroinsumos[[#This Row],[CODIGO ]],TABLACONSOLIDADA[Bodega]&amp;TABLACONSOLIDADA[Codigo],0)),"")</f>
        <v/>
      </c>
      <c r="EM169" s="157" t="str">
        <f t="array" ref="EM16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6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69" s="134">
        <f>IFERROR(SUM(Tabla_Buffers_Agroinsumos[[#This Row],[LF-MP]:[LF-VL]]),"")</f>
        <v>0</v>
      </c>
      <c r="EP169" s="92" t="str">
        <f>IFERROR(Tabla_Buffers_Agroinsumos[[#This Row],[INV FIS LF]]-Tabla_Buffers_Agroinsumos[[#This Row],[BUFFER LF]],"")</f>
        <v/>
      </c>
      <c r="EQ16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69" s="134"/>
      <c r="ES169" s="134"/>
      <c r="ET169" s="134"/>
      <c r="EU169" s="134"/>
      <c r="EV169" s="134"/>
      <c r="EW169" s="134"/>
      <c r="EX169" s="134"/>
      <c r="EY169" s="134"/>
      <c r="EZ169" s="134"/>
      <c r="FA169" s="134" t="str">
        <f t="array" ref="FA169">IFERROR(INDEX(TABLACONSOLIDADA[Buff Act],MATCH("AGROINSUMOSVERONICALEDESMA"&amp;Tabla_Buffers_Agroinsumos[[#This Row],[CODIGO ]],TABLACONSOLIDADA[Bodega]&amp;TABLACONSOLIDADA[Codigo],0)),"")</f>
        <v/>
      </c>
      <c r="FB169" s="157" t="str">
        <f t="array" ref="FB169">IFERROR(INDEX(TABLACONSOLIDADA[Inv Fís Act],MATCH("AGROINSUMOSVERONICALEDESMA"&amp;Tabla_Buffers_Agroinsumos[[#This Row],[CODIGO ]],TABLACONSOLIDADA[Bodega]&amp;TABLACONSOLIDADA[Codigo],0)),"")</f>
        <v/>
      </c>
      <c r="FC169" s="157" t="str">
        <f t="array" ref="FC16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6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69" s="134">
        <f>IFERROR(SUM(Tabla_Buffers_Agroinsumos[[#This Row],[VL-MP]:[VL-LF]]),"")</f>
        <v>0</v>
      </c>
      <c r="FF169" s="92" t="str">
        <f>IFERROR(Tabla_Buffers_Agroinsumos[[#This Row],[INV FIS VL]]-Tabla_Buffers_Agroinsumos[[#This Row],[BUFFER VL]],"")</f>
        <v/>
      </c>
      <c r="FG16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69" s="134"/>
      <c r="FI169" s="134"/>
      <c r="FJ169" s="134"/>
      <c r="FK169" s="134"/>
      <c r="FL169" s="134"/>
      <c r="FM169" s="134"/>
      <c r="FN169" s="134"/>
      <c r="FO169" s="134"/>
      <c r="FP169" s="134"/>
    </row>
    <row r="170" spans="1:172">
      <c r="A170" s="7" t="s">
        <v>299</v>
      </c>
      <c r="B170" s="7" t="s">
        <v>300</v>
      </c>
      <c r="C170" s="7" t="s">
        <v>716</v>
      </c>
      <c r="D170" s="7" t="s">
        <v>718</v>
      </c>
      <c r="E170" s="7" t="s">
        <v>863</v>
      </c>
      <c r="F170" s="19" t="s">
        <v>808</v>
      </c>
      <c r="G170" s="19" t="s">
        <v>802</v>
      </c>
      <c r="H170" s="19">
        <f>VLOOKUP(Tabla_Buffers_Agroinsumos[[#This Row],[CODIGO ]],TABLACONSOLIDADA[[Codigo]:[PV]],6,0)</f>
        <v>0</v>
      </c>
      <c r="I170" s="19">
        <f>VLOOKUP(Tabla_Buffers_Agroinsumos[[#This Row],[CODIGO ]],TABLACONSOLIDADA[[Codigo]:[PV]],5,0)</f>
        <v>0.14000000000000001</v>
      </c>
      <c r="J170" s="19">
        <v>4</v>
      </c>
      <c r="K170" s="19">
        <v>6</v>
      </c>
      <c r="L170" s="19">
        <f>IFERROR(Tabla_Buffers_Agroinsumos[[#This Row],[BUFFER CENTRAL]]/((Tabla_Buffers_Agroinsumos[[#This Row],[TIEMPO REPOSICION ]]/Tabla_Buffers_Agroinsumos[[#This Row],[FRECUENCIA]])+1),0)</f>
        <v>0</v>
      </c>
      <c r="M170" s="19">
        <f t="array" ref="M170">IFERROR(INDEX(TABLACONSOLIDADA[Buff Act],MATCH("AGROINSUMOSMATERIAPRIMA"&amp;Tabla_Buffers_Agroinsumos[[#This Row],[CODIGO ]],TABLACONSOLIDADA[Bodega]&amp;TABLACONSOLIDADA[Codigo],0)),"")</f>
        <v>300</v>
      </c>
      <c r="N170" s="157">
        <f t="array" ref="N170">IFERROR(INDEX(TABLACONSOLIDADA[Inv Fís Act],MATCH("AGROINSUMOSMATERIAPRIMA"&amp;Tabla_Buffers_Agroinsumos[[#This Row],[CODIGO ]],TABLACONSOLIDADA[Bodega]&amp;TABLACONSOLIDADA[Codigo],0)),"")</f>
        <v>519</v>
      </c>
      <c r="O170" s="157">
        <f t="array" ref="O17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519</v>
      </c>
      <c r="P17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70" s="19">
        <f>IFERROR(SUM(Tabla_Buffers_Agroinsumos[[#This Row],[MP-C]:[MP-VL]]),"")</f>
        <v>0</v>
      </c>
      <c r="R170" s="92">
        <f>IFERROR(Tabla_Buffers_Agroinsumos[[#This Row],[INV FIS MATERIA PRIMA]]-Tabla_Buffers_Agroinsumos[[#This Row],[BUFFER MATERIA PRIMA]],"")</f>
        <v>219</v>
      </c>
      <c r="S17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219</v>
      </c>
      <c r="T170" s="19"/>
      <c r="U170" s="19"/>
      <c r="V170" s="19"/>
      <c r="W170" s="19"/>
      <c r="X170" s="19"/>
      <c r="Y170" s="19"/>
      <c r="Z170" s="19"/>
      <c r="AA170" s="19"/>
      <c r="AB170" s="19"/>
      <c r="AC170" s="152" t="str">
        <f t="array" ref="AC170">IFERROR(INDEX(TABLACONSOLIDADA[Buff Act],MATCH("AGROINSUMOSCENTRAL"&amp;Tabla_Buffers_Agroinsumos[[#This Row],[CODIGO ]],TABLACONSOLIDADA[Bodega]&amp;TABLACONSOLIDADA[Codigo],0)),"")</f>
        <v/>
      </c>
      <c r="AD170" s="157" t="str">
        <f t="array" ref="AD170">IFERROR(INDEX(TABLACONSOLIDADA[Inv Fís Act],MATCH("AGROINSUMOSCENTRAL"&amp;Tabla_Buffers_Agroinsumos[[#This Row],[CODIGO ]],TABLACONSOLIDADA[Bodega]&amp;TABLACONSOLIDADA[Codigo],0)),"")</f>
        <v/>
      </c>
      <c r="AE170" s="157" t="str">
        <f t="array" ref="AE17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7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70" s="91">
        <f>IFERROR(SUM(Tabla_Buffers_Agroinsumos[[#This Row],[C-MP]:[C-VL]]),"")</f>
        <v>0</v>
      </c>
      <c r="AH170" s="92" t="str">
        <f>IFERROR(Tabla_Buffers_Agroinsumos[[#This Row],[INV FIS CENTRAL]]-Tabla_Buffers_Agroinsumos[[#This Row],[BUFFER CENTRAL]],"")</f>
        <v/>
      </c>
      <c r="AI17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4" t="str">
        <f t="array" ref="AS170">IFERROR(INDEX(TABLACONSOLIDADA[Buff Act],MATCH("AGROINSUMOScentralPROPIA"&amp;Tabla_Buffers_Agroinsumos[[#This Row],[CODIGO ]],TABLACONSOLIDADA[Bodega]&amp;TABLACONSOLIDADA[Codigo],0)),"")</f>
        <v/>
      </c>
      <c r="AT170" s="157" t="str">
        <f t="array" ref="AT170">IFERROR(INDEX(TABLACONSOLIDADA[Inv Fís Act],MATCH("AGROINSUMOScentralPROPIA"&amp;Tabla_Buffers_Agroinsumos[[#This Row],[CODIGO ]],TABLACONSOLIDADA[Bodega]&amp;TABLACONSOLIDADA[Codigo],0)),"")</f>
        <v/>
      </c>
      <c r="AU170" s="157" t="str">
        <f t="array" ref="AU17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7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70" s="134">
        <f>IFERROR(SUM(Tabla_Buffers_Agroinsumos[[#This Row],[P-MP]:[P-VL]]),"")</f>
        <v>0</v>
      </c>
      <c r="AX170" s="92" t="str">
        <f>IFERROR(Tabla_Buffers_Agroinsumos[[#This Row],[INV FIS PROPIA]]-Tabla_Buffers_Agroinsumos[[#This Row],[BUFFER PROPIA]],"")</f>
        <v/>
      </c>
      <c r="AY17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70" s="134"/>
      <c r="BA170" s="134"/>
      <c r="BB170" s="134"/>
      <c r="BC170" s="134"/>
      <c r="BD170" s="134"/>
      <c r="BE170" s="134"/>
      <c r="BF170" s="134"/>
      <c r="BG170" s="134"/>
      <c r="BH170" s="134"/>
      <c r="BI170" s="91" t="str">
        <f t="array" ref="BI170">IFERROR(INDEX(TABLACONSOLIDADA[Buff Act],MATCH("AGROINSUMOSSTODOMINGO"&amp;Tabla_Buffers_Agroinsumos[[#This Row],[CODIGO ]],TABLACONSOLIDADA[Bodega]&amp;TABLACONSOLIDADA[Codigo],0)),"")</f>
        <v/>
      </c>
      <c r="BJ170" s="157" t="str">
        <f t="array" ref="BJ170">IFERROR(INDEX(TABLACONSOLIDADA[Inv Fís Act],MATCH("AGROINSUMOSSTODOMINGO"&amp;Tabla_Buffers_Agroinsumos[[#This Row],[CODIGO ]],TABLACONSOLIDADA[Bodega]&amp;TABLACONSOLIDADA[Codigo],0)),"")</f>
        <v/>
      </c>
      <c r="BK170" s="157" t="str">
        <f t="array" ref="BK17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7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70" s="91">
        <f>IFERROR(SUM(Tabla_Buffers_Agroinsumos[[#This Row],[SD-MP]:[SD-VL]]),"")</f>
        <v>0</v>
      </c>
      <c r="BN170" s="92"/>
      <c r="BO170" s="92"/>
      <c r="BP170" s="134"/>
      <c r="BQ170" s="134"/>
      <c r="BR170" s="134"/>
      <c r="BS170" s="134"/>
      <c r="BT170" s="134"/>
      <c r="BU170" s="134"/>
      <c r="BV170" s="134"/>
      <c r="BW170" s="134"/>
      <c r="BX170" s="134"/>
      <c r="BY170" s="134" t="str">
        <f t="array" ref="BY170">IFERROR(INDEX(TABLACONSOLIDADA[Buff Act],MATCH("AGROINSUMOSMONCAYOLOPEZ"&amp;Tabla_Buffers_Agroinsumos[[#This Row],[CODIGO ]],TABLACONSOLIDADA[Bodega]&amp;TABLACONSOLIDADA[Codigo],0)),"")</f>
        <v/>
      </c>
      <c r="BZ170" s="157" t="str">
        <f t="array" ref="BZ170">IFERROR(INDEX(TABLACONSOLIDADA[Inv Fís Act],MATCH("AGROINSUMOSMONCAYOLOPEZ"&amp;Tabla_Buffers_Agroinsumos[[#This Row],[CODIGO ]],TABLACONSOLIDADA[Bodega]&amp;TABLACONSOLIDADA[Codigo],0)),"")</f>
        <v/>
      </c>
      <c r="CA170" s="157" t="str">
        <f t="array" ref="CA17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7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70" s="134">
        <f>IFERROR(SUM(Tabla_Buffers_Agroinsumos[[#This Row],[ML-MP]:[ML-VL]]),"")</f>
        <v>0</v>
      </c>
      <c r="CD170" s="92" t="str">
        <f>IFERROR(Tabla_Buffers_Agroinsumos[[#This Row],[INV FIS ML]]-Tabla_Buffers_Agroinsumos[[#This Row],[BUFFER ML]],"")</f>
        <v/>
      </c>
      <c r="CE17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70" s="134"/>
      <c r="CG170" s="134"/>
      <c r="CH170" s="134"/>
      <c r="CI170" s="134"/>
      <c r="CJ170" s="134"/>
      <c r="CK170" s="134"/>
      <c r="CL170" s="134"/>
      <c r="CM170" s="134"/>
      <c r="CN170" s="134"/>
      <c r="CO170" s="134" t="str">
        <f t="array" ref="CO170">IFERROR(INDEX(TABLACONSOLIDADA[Buff Act],MATCH("AGROINSUMOSAGROHERMANOSLEON"&amp;Tabla_Buffers_Agroinsumos[[#This Row],[CODIGO ]],TABLACONSOLIDADA[Bodega]&amp;TABLACONSOLIDADA[Codigo],0)),"")</f>
        <v/>
      </c>
      <c r="CP170" s="157" t="str">
        <f t="array" ref="CP170">IFERROR(INDEX(TABLACONSOLIDADA[Inv Fís Act],MATCH("AGROINSUMOSAGROHERMANOSLEON"&amp;Tabla_Buffers_Agroinsumos[[#This Row],[CODIGO ]],TABLACONSOLIDADA[Bodega]&amp;TABLACONSOLIDADA[Codigo],0)),"")</f>
        <v/>
      </c>
      <c r="CQ170" s="157" t="str">
        <f t="array" ref="CQ17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7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70" s="134">
        <f>IFERROR(SUM(Tabla_Buffers_Agroinsumos[[#This Row],[AL-MP]:[AL-VL]]),"")</f>
        <v>0</v>
      </c>
      <c r="CT170" s="92" t="str">
        <f>IFERROR(Tabla_Buffers_Agroinsumos[[#This Row],[INV FIS AL]]-Tabla_Buffers_Agroinsumos[[#This Row],[BUFFER AL]],"")</f>
        <v/>
      </c>
      <c r="CU17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70" s="134"/>
      <c r="CW170" s="134"/>
      <c r="CX170" s="134"/>
      <c r="CY170" s="134"/>
      <c r="CZ170" s="134"/>
      <c r="DA170" s="134"/>
      <c r="DB170" s="134"/>
      <c r="DC170" s="134"/>
      <c r="DD170" s="134"/>
      <c r="DE170" s="134" t="str">
        <f t="array" ref="DE170">IFERROR(INDEX(TABLACONSOLIDADA[Buff Act],MATCH("AGROINSUMOSAGRONUEVO"&amp;Tabla_Buffers_Agroinsumos[[#This Row],[CODIGO ]],TABLACONSOLIDADA[Bodega]&amp;TABLACONSOLIDADA[Codigo],0)),"")</f>
        <v/>
      </c>
      <c r="DF170" s="157" t="str">
        <f t="array" ref="DF170">IFERROR(INDEX(TABLACONSOLIDADA[Inv Fís Act],MATCH("AGROINSUMOSAGRONUEVO"&amp;Tabla_Buffers_Agroinsumos[[#This Row],[CODIGO ]],TABLACONSOLIDADA[Bodega]&amp;TABLACONSOLIDADA[Codigo],0)),"")</f>
        <v/>
      </c>
      <c r="DG170" s="157" t="str">
        <f t="array" ref="DG17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7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70" s="134">
        <f>IFERROR(SUM(Tabla_Buffers_Agroinsumos[[#This Row],[AN-MP]:[AN-VL]]),"")</f>
        <v>0</v>
      </c>
      <c r="DJ170" s="92" t="str">
        <f>IFERROR(Tabla_Buffers_Agroinsumos[[#This Row],[INV FIS AN]]-Tabla_Buffers_Agroinsumos[[#This Row],[BUFFER AN]],"")</f>
        <v/>
      </c>
      <c r="DK17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70" s="134"/>
      <c r="DM170" s="134"/>
      <c r="DN170" s="134"/>
      <c r="DO170" s="134"/>
      <c r="DP170" s="134"/>
      <c r="DQ170" s="134"/>
      <c r="DR170" s="134"/>
      <c r="DS170" s="134"/>
      <c r="DT170" s="134"/>
      <c r="DU170" s="134" t="str">
        <f t="array" ref="DU170">IFERROR(INDEX(TABLACONSOLIDADA[Buff Act],MATCH("AGROINSUMOSAGROQUIMICOSSUR"&amp;Tabla_Buffers_Agroinsumos[[#This Row],[CODIGO ]],TABLACONSOLIDADA[Bodega]&amp;TABLACONSOLIDADA[Codigo],0)),"")</f>
        <v/>
      </c>
      <c r="DV170" s="157" t="str">
        <f t="array" ref="DV170">IFERROR(INDEX(TABLACONSOLIDADA[Inv Fís Act],MATCH("AGROINSUMOSAGROQUIMICOSSUR"&amp;Tabla_Buffers_Agroinsumos[[#This Row],[CODIGO ]],TABLACONSOLIDADA[Bodega]&amp;TABLACONSOLIDADA[Codigo],0)),"")</f>
        <v/>
      </c>
      <c r="DW170" s="157" t="str">
        <f t="array" ref="DW17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7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70" s="134">
        <f>IFERROR(SUM(Tabla_Buffers_Agroinsumos[[#This Row],[AS-MP]:[AS-VL]]),"")</f>
        <v>0</v>
      </c>
      <c r="DZ170" s="92" t="str">
        <f>IFERROR(Tabla_Buffers_Agroinsumos[[#This Row],[INV FIS AS]]-Tabla_Buffers_Agroinsumos[[#This Row],[BUFFER AS]],"")</f>
        <v/>
      </c>
      <c r="EA17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70" s="134"/>
      <c r="EC170" s="134"/>
      <c r="ED170" s="134"/>
      <c r="EE170" s="134"/>
      <c r="EF170" s="134"/>
      <c r="EG170" s="134"/>
      <c r="EH170" s="134"/>
      <c r="EI170" s="134"/>
      <c r="EJ170" s="134"/>
      <c r="EK170" s="134" t="str">
        <f t="array" ref="EK170">IFERROR(INDEX(TABLACONSOLIDADA[Buff Act],MATCH("AGROINSUMOSLAFINCA"&amp;Tabla_Buffers_Agroinsumos[[#This Row],[CODIGO ]],TABLACONSOLIDADA[Bodega]&amp;TABLACONSOLIDADA[Codigo],0)),"")</f>
        <v/>
      </c>
      <c r="EL170" s="157" t="str">
        <f t="array" ref="EL170">IFERROR(INDEX(TABLACONSOLIDADA[Inv Fís Act],MATCH("AGROINSUMOSLAFINCA"&amp;Tabla_Buffers_Agroinsumos[[#This Row],[CODIGO ]],TABLACONSOLIDADA[Bodega]&amp;TABLACONSOLIDADA[Codigo],0)),"")</f>
        <v/>
      </c>
      <c r="EM170" s="157" t="str">
        <f t="array" ref="EM17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7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70" s="134">
        <f>IFERROR(SUM(Tabla_Buffers_Agroinsumos[[#This Row],[LF-MP]:[LF-VL]]),"")</f>
        <v>0</v>
      </c>
      <c r="EP170" s="92" t="str">
        <f>IFERROR(Tabla_Buffers_Agroinsumos[[#This Row],[INV FIS LF]]-Tabla_Buffers_Agroinsumos[[#This Row],[BUFFER LF]],"")</f>
        <v/>
      </c>
      <c r="EQ17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70" s="134"/>
      <c r="ES170" s="134"/>
      <c r="ET170" s="134"/>
      <c r="EU170" s="134"/>
      <c r="EV170" s="134"/>
      <c r="EW170" s="134"/>
      <c r="EX170" s="134"/>
      <c r="EY170" s="134"/>
      <c r="EZ170" s="134"/>
      <c r="FA170" s="134" t="str">
        <f t="array" ref="FA170">IFERROR(INDEX(TABLACONSOLIDADA[Buff Act],MATCH("AGROINSUMOSVERONICALEDESMA"&amp;Tabla_Buffers_Agroinsumos[[#This Row],[CODIGO ]],TABLACONSOLIDADA[Bodega]&amp;TABLACONSOLIDADA[Codigo],0)),"")</f>
        <v/>
      </c>
      <c r="FB170" s="157" t="str">
        <f t="array" ref="FB170">IFERROR(INDEX(TABLACONSOLIDADA[Inv Fís Act],MATCH("AGROINSUMOSVERONICALEDESMA"&amp;Tabla_Buffers_Agroinsumos[[#This Row],[CODIGO ]],TABLACONSOLIDADA[Bodega]&amp;TABLACONSOLIDADA[Codigo],0)),"")</f>
        <v/>
      </c>
      <c r="FC170" s="157" t="str">
        <f t="array" ref="FC17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7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70" s="134">
        <f>IFERROR(SUM(Tabla_Buffers_Agroinsumos[[#This Row],[VL-MP]:[VL-LF]]),"")</f>
        <v>0</v>
      </c>
      <c r="FF170" s="92" t="str">
        <f>IFERROR(Tabla_Buffers_Agroinsumos[[#This Row],[INV FIS VL]]-Tabla_Buffers_Agroinsumos[[#This Row],[BUFFER VL]],"")</f>
        <v/>
      </c>
      <c r="FG17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70" s="134"/>
      <c r="FI170" s="134"/>
      <c r="FJ170" s="134"/>
      <c r="FK170" s="134"/>
      <c r="FL170" s="134"/>
      <c r="FM170" s="134"/>
      <c r="FN170" s="134"/>
      <c r="FO170" s="134"/>
      <c r="FP170" s="134"/>
    </row>
    <row r="171" spans="1:172">
      <c r="A171" s="7" t="s">
        <v>301</v>
      </c>
      <c r="B171" s="7" t="s">
        <v>302</v>
      </c>
      <c r="C171" s="7" t="s">
        <v>716</v>
      </c>
      <c r="D171" s="7" t="s">
        <v>718</v>
      </c>
      <c r="E171" s="7" t="s">
        <v>863</v>
      </c>
      <c r="F171" s="19" t="s">
        <v>808</v>
      </c>
      <c r="G171" s="19" t="s">
        <v>802</v>
      </c>
      <c r="H171" s="19">
        <f>VLOOKUP(Tabla_Buffers_Agroinsumos[[#This Row],[CODIGO ]],TABLACONSOLIDADA[[Codigo]:[PV]],6,0)</f>
        <v>0</v>
      </c>
      <c r="I171" s="19">
        <f>VLOOKUP(Tabla_Buffers_Agroinsumos[[#This Row],[CODIGO ]],TABLACONSOLIDADA[[Codigo]:[PV]],5,0)</f>
        <v>0.19</v>
      </c>
      <c r="J171" s="19">
        <v>4</v>
      </c>
      <c r="K171" s="19">
        <v>6</v>
      </c>
      <c r="L171" s="19">
        <f>IFERROR(Tabla_Buffers_Agroinsumos[[#This Row],[BUFFER CENTRAL]]/((Tabla_Buffers_Agroinsumos[[#This Row],[TIEMPO REPOSICION ]]/Tabla_Buffers_Agroinsumos[[#This Row],[FRECUENCIA]])+1),0)</f>
        <v>0</v>
      </c>
      <c r="M171" s="19">
        <f t="array" ref="M171">IFERROR(INDEX(TABLACONSOLIDADA[Buff Act],MATCH("AGROINSUMOSMATERIAPRIMA"&amp;Tabla_Buffers_Agroinsumos[[#This Row],[CODIGO ]],TABLACONSOLIDADA[Bodega]&amp;TABLACONSOLIDADA[Codigo],0)),"")</f>
        <v>500</v>
      </c>
      <c r="N171" s="157">
        <f t="array" ref="N171">IFERROR(INDEX(TABLACONSOLIDADA[Inv Fís Act],MATCH("AGROINSUMOSMATERIAPRIMA"&amp;Tabla_Buffers_Agroinsumos[[#This Row],[CODIGO ]],TABLACONSOLIDADA[Bodega]&amp;TABLACONSOLIDADA[Codigo],0)),"")</f>
        <v>718</v>
      </c>
      <c r="O171" s="157">
        <f t="array" ref="O17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718</v>
      </c>
      <c r="P17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71" s="19">
        <f>IFERROR(SUM(Tabla_Buffers_Agroinsumos[[#This Row],[MP-C]:[MP-VL]]),"")</f>
        <v>0</v>
      </c>
      <c r="R171" s="92">
        <f>IFERROR(Tabla_Buffers_Agroinsumos[[#This Row],[INV FIS MATERIA PRIMA]]-Tabla_Buffers_Agroinsumos[[#This Row],[BUFFER MATERIA PRIMA]],"")</f>
        <v>218</v>
      </c>
      <c r="S17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218</v>
      </c>
      <c r="T171" s="19"/>
      <c r="U171" s="19"/>
      <c r="V171" s="19"/>
      <c r="W171" s="19"/>
      <c r="X171" s="19"/>
      <c r="Y171" s="19"/>
      <c r="Z171" s="19"/>
      <c r="AA171" s="19"/>
      <c r="AB171" s="19"/>
      <c r="AC171" s="152" t="str">
        <f t="array" ref="AC171">IFERROR(INDEX(TABLACONSOLIDADA[Buff Act],MATCH("AGROINSUMOSCENTRAL"&amp;Tabla_Buffers_Agroinsumos[[#This Row],[CODIGO ]],TABLACONSOLIDADA[Bodega]&amp;TABLACONSOLIDADA[Codigo],0)),"")</f>
        <v/>
      </c>
      <c r="AD171" s="157" t="str">
        <f t="array" ref="AD171">IFERROR(INDEX(TABLACONSOLIDADA[Inv Fís Act],MATCH("AGROINSUMOSCENTRAL"&amp;Tabla_Buffers_Agroinsumos[[#This Row],[CODIGO ]],TABLACONSOLIDADA[Bodega]&amp;TABLACONSOLIDADA[Codigo],0)),"")</f>
        <v/>
      </c>
      <c r="AE171" s="157" t="str">
        <f t="array" ref="AE17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7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71" s="91">
        <f>IFERROR(SUM(Tabla_Buffers_Agroinsumos[[#This Row],[C-MP]:[C-VL]]),"")</f>
        <v>0</v>
      </c>
      <c r="AH171" s="92" t="str">
        <f>IFERROR(Tabla_Buffers_Agroinsumos[[#This Row],[INV FIS CENTRAL]]-Tabla_Buffers_Agroinsumos[[#This Row],[BUFFER CENTRAL]],"")</f>
        <v/>
      </c>
      <c r="AI17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4" t="str">
        <f t="array" ref="AS171">IFERROR(INDEX(TABLACONSOLIDADA[Buff Act],MATCH("AGROINSUMOScentralPROPIA"&amp;Tabla_Buffers_Agroinsumos[[#This Row],[CODIGO ]],TABLACONSOLIDADA[Bodega]&amp;TABLACONSOLIDADA[Codigo],0)),"")</f>
        <v/>
      </c>
      <c r="AT171" s="157" t="str">
        <f t="array" ref="AT171">IFERROR(INDEX(TABLACONSOLIDADA[Inv Fís Act],MATCH("AGROINSUMOScentralPROPIA"&amp;Tabla_Buffers_Agroinsumos[[#This Row],[CODIGO ]],TABLACONSOLIDADA[Bodega]&amp;TABLACONSOLIDADA[Codigo],0)),"")</f>
        <v/>
      </c>
      <c r="AU171" s="157" t="str">
        <f t="array" ref="AU17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7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71" s="134">
        <f>IFERROR(SUM(Tabla_Buffers_Agroinsumos[[#This Row],[P-MP]:[P-VL]]),"")</f>
        <v>0</v>
      </c>
      <c r="AX171" s="92" t="str">
        <f>IFERROR(Tabla_Buffers_Agroinsumos[[#This Row],[INV FIS PROPIA]]-Tabla_Buffers_Agroinsumos[[#This Row],[BUFFER PROPIA]],"")</f>
        <v/>
      </c>
      <c r="AY17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71" s="134"/>
      <c r="BA171" s="134"/>
      <c r="BB171" s="134"/>
      <c r="BC171" s="134"/>
      <c r="BD171" s="134"/>
      <c r="BE171" s="134"/>
      <c r="BF171" s="134"/>
      <c r="BG171" s="134"/>
      <c r="BH171" s="134"/>
      <c r="BI171" s="91" t="str">
        <f t="array" ref="BI171">IFERROR(INDEX(TABLACONSOLIDADA[Buff Act],MATCH("AGROINSUMOSSTODOMINGO"&amp;Tabla_Buffers_Agroinsumos[[#This Row],[CODIGO ]],TABLACONSOLIDADA[Bodega]&amp;TABLACONSOLIDADA[Codigo],0)),"")</f>
        <v/>
      </c>
      <c r="BJ171" s="157" t="str">
        <f t="array" ref="BJ171">IFERROR(INDEX(TABLACONSOLIDADA[Inv Fís Act],MATCH("AGROINSUMOSSTODOMINGO"&amp;Tabla_Buffers_Agroinsumos[[#This Row],[CODIGO ]],TABLACONSOLIDADA[Bodega]&amp;TABLACONSOLIDADA[Codigo],0)),"")</f>
        <v/>
      </c>
      <c r="BK171" s="157" t="str">
        <f t="array" ref="BK17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7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71" s="91">
        <f>IFERROR(SUM(Tabla_Buffers_Agroinsumos[[#This Row],[SD-MP]:[SD-VL]]),"")</f>
        <v>0</v>
      </c>
      <c r="BN171" s="92"/>
      <c r="BO171" s="92"/>
      <c r="BP171" s="134"/>
      <c r="BQ171" s="134"/>
      <c r="BR171" s="134"/>
      <c r="BS171" s="134"/>
      <c r="BT171" s="134"/>
      <c r="BU171" s="134"/>
      <c r="BV171" s="134"/>
      <c r="BW171" s="134"/>
      <c r="BX171" s="134"/>
      <c r="BY171" s="134" t="str">
        <f t="array" ref="BY171">IFERROR(INDEX(TABLACONSOLIDADA[Buff Act],MATCH("AGROINSUMOSMONCAYOLOPEZ"&amp;Tabla_Buffers_Agroinsumos[[#This Row],[CODIGO ]],TABLACONSOLIDADA[Bodega]&amp;TABLACONSOLIDADA[Codigo],0)),"")</f>
        <v/>
      </c>
      <c r="BZ171" s="157" t="str">
        <f t="array" ref="BZ171">IFERROR(INDEX(TABLACONSOLIDADA[Inv Fís Act],MATCH("AGROINSUMOSMONCAYOLOPEZ"&amp;Tabla_Buffers_Agroinsumos[[#This Row],[CODIGO ]],TABLACONSOLIDADA[Bodega]&amp;TABLACONSOLIDADA[Codigo],0)),"")</f>
        <v/>
      </c>
      <c r="CA171" s="157" t="str">
        <f t="array" ref="CA17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7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71" s="134">
        <f>IFERROR(SUM(Tabla_Buffers_Agroinsumos[[#This Row],[ML-MP]:[ML-VL]]),"")</f>
        <v>0</v>
      </c>
      <c r="CD171" s="92" t="str">
        <f>IFERROR(Tabla_Buffers_Agroinsumos[[#This Row],[INV FIS ML]]-Tabla_Buffers_Agroinsumos[[#This Row],[BUFFER ML]],"")</f>
        <v/>
      </c>
      <c r="CE17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71" s="134"/>
      <c r="CG171" s="134"/>
      <c r="CH171" s="134"/>
      <c r="CI171" s="134"/>
      <c r="CJ171" s="134"/>
      <c r="CK171" s="134"/>
      <c r="CL171" s="134"/>
      <c r="CM171" s="134"/>
      <c r="CN171" s="134"/>
      <c r="CO171" s="134" t="str">
        <f t="array" ref="CO171">IFERROR(INDEX(TABLACONSOLIDADA[Buff Act],MATCH("AGROINSUMOSAGROHERMANOSLEON"&amp;Tabla_Buffers_Agroinsumos[[#This Row],[CODIGO ]],TABLACONSOLIDADA[Bodega]&amp;TABLACONSOLIDADA[Codigo],0)),"")</f>
        <v/>
      </c>
      <c r="CP171" s="157" t="str">
        <f t="array" ref="CP171">IFERROR(INDEX(TABLACONSOLIDADA[Inv Fís Act],MATCH("AGROINSUMOSAGROHERMANOSLEON"&amp;Tabla_Buffers_Agroinsumos[[#This Row],[CODIGO ]],TABLACONSOLIDADA[Bodega]&amp;TABLACONSOLIDADA[Codigo],0)),"")</f>
        <v/>
      </c>
      <c r="CQ171" s="157" t="str">
        <f t="array" ref="CQ17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7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71" s="134">
        <f>IFERROR(SUM(Tabla_Buffers_Agroinsumos[[#This Row],[AL-MP]:[AL-VL]]),"")</f>
        <v>0</v>
      </c>
      <c r="CT171" s="92" t="str">
        <f>IFERROR(Tabla_Buffers_Agroinsumos[[#This Row],[INV FIS AL]]-Tabla_Buffers_Agroinsumos[[#This Row],[BUFFER AL]],"")</f>
        <v/>
      </c>
      <c r="CU17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71" s="134"/>
      <c r="CW171" s="134"/>
      <c r="CX171" s="134"/>
      <c r="CY171" s="134"/>
      <c r="CZ171" s="134"/>
      <c r="DA171" s="134"/>
      <c r="DB171" s="134"/>
      <c r="DC171" s="134"/>
      <c r="DD171" s="134"/>
      <c r="DE171" s="134" t="str">
        <f t="array" ref="DE171">IFERROR(INDEX(TABLACONSOLIDADA[Buff Act],MATCH("AGROINSUMOSAGRONUEVO"&amp;Tabla_Buffers_Agroinsumos[[#This Row],[CODIGO ]],TABLACONSOLIDADA[Bodega]&amp;TABLACONSOLIDADA[Codigo],0)),"")</f>
        <v/>
      </c>
      <c r="DF171" s="157" t="str">
        <f t="array" ref="DF171">IFERROR(INDEX(TABLACONSOLIDADA[Inv Fís Act],MATCH("AGROINSUMOSAGRONUEVO"&amp;Tabla_Buffers_Agroinsumos[[#This Row],[CODIGO ]],TABLACONSOLIDADA[Bodega]&amp;TABLACONSOLIDADA[Codigo],0)),"")</f>
        <v/>
      </c>
      <c r="DG171" s="157" t="str">
        <f t="array" ref="DG17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7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71" s="134">
        <f>IFERROR(SUM(Tabla_Buffers_Agroinsumos[[#This Row],[AN-MP]:[AN-VL]]),"")</f>
        <v>0</v>
      </c>
      <c r="DJ171" s="92" t="str">
        <f>IFERROR(Tabla_Buffers_Agroinsumos[[#This Row],[INV FIS AN]]-Tabla_Buffers_Agroinsumos[[#This Row],[BUFFER AN]],"")</f>
        <v/>
      </c>
      <c r="DK17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71" s="134"/>
      <c r="DM171" s="134"/>
      <c r="DN171" s="134"/>
      <c r="DO171" s="134"/>
      <c r="DP171" s="134"/>
      <c r="DQ171" s="134"/>
      <c r="DR171" s="134"/>
      <c r="DS171" s="134"/>
      <c r="DT171" s="134"/>
      <c r="DU171" s="134" t="str">
        <f t="array" ref="DU171">IFERROR(INDEX(TABLACONSOLIDADA[Buff Act],MATCH("AGROINSUMOSAGROQUIMICOSSUR"&amp;Tabla_Buffers_Agroinsumos[[#This Row],[CODIGO ]],TABLACONSOLIDADA[Bodega]&amp;TABLACONSOLIDADA[Codigo],0)),"")</f>
        <v/>
      </c>
      <c r="DV171" s="157" t="str">
        <f t="array" ref="DV171">IFERROR(INDEX(TABLACONSOLIDADA[Inv Fís Act],MATCH("AGROINSUMOSAGROQUIMICOSSUR"&amp;Tabla_Buffers_Agroinsumos[[#This Row],[CODIGO ]],TABLACONSOLIDADA[Bodega]&amp;TABLACONSOLIDADA[Codigo],0)),"")</f>
        <v/>
      </c>
      <c r="DW171" s="157" t="str">
        <f t="array" ref="DW17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7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71" s="134">
        <f>IFERROR(SUM(Tabla_Buffers_Agroinsumos[[#This Row],[AS-MP]:[AS-VL]]),"")</f>
        <v>0</v>
      </c>
      <c r="DZ171" s="92" t="str">
        <f>IFERROR(Tabla_Buffers_Agroinsumos[[#This Row],[INV FIS AS]]-Tabla_Buffers_Agroinsumos[[#This Row],[BUFFER AS]],"")</f>
        <v/>
      </c>
      <c r="EA17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71" s="134"/>
      <c r="EC171" s="134"/>
      <c r="ED171" s="134"/>
      <c r="EE171" s="134"/>
      <c r="EF171" s="134"/>
      <c r="EG171" s="134"/>
      <c r="EH171" s="134"/>
      <c r="EI171" s="134"/>
      <c r="EJ171" s="134"/>
      <c r="EK171" s="134" t="str">
        <f t="array" ref="EK171">IFERROR(INDEX(TABLACONSOLIDADA[Buff Act],MATCH("AGROINSUMOSLAFINCA"&amp;Tabla_Buffers_Agroinsumos[[#This Row],[CODIGO ]],TABLACONSOLIDADA[Bodega]&amp;TABLACONSOLIDADA[Codigo],0)),"")</f>
        <v/>
      </c>
      <c r="EL171" s="157" t="str">
        <f t="array" ref="EL171">IFERROR(INDEX(TABLACONSOLIDADA[Inv Fís Act],MATCH("AGROINSUMOSLAFINCA"&amp;Tabla_Buffers_Agroinsumos[[#This Row],[CODIGO ]],TABLACONSOLIDADA[Bodega]&amp;TABLACONSOLIDADA[Codigo],0)),"")</f>
        <v/>
      </c>
      <c r="EM171" s="157" t="str">
        <f t="array" ref="EM17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7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71" s="134">
        <f>IFERROR(SUM(Tabla_Buffers_Agroinsumos[[#This Row],[LF-MP]:[LF-VL]]),"")</f>
        <v>0</v>
      </c>
      <c r="EP171" s="92" t="str">
        <f>IFERROR(Tabla_Buffers_Agroinsumos[[#This Row],[INV FIS LF]]-Tabla_Buffers_Agroinsumos[[#This Row],[BUFFER LF]],"")</f>
        <v/>
      </c>
      <c r="EQ17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71" s="134"/>
      <c r="ES171" s="134"/>
      <c r="ET171" s="134"/>
      <c r="EU171" s="134"/>
      <c r="EV171" s="134"/>
      <c r="EW171" s="134"/>
      <c r="EX171" s="134"/>
      <c r="EY171" s="134"/>
      <c r="EZ171" s="134"/>
      <c r="FA171" s="134" t="str">
        <f t="array" ref="FA171">IFERROR(INDEX(TABLACONSOLIDADA[Buff Act],MATCH("AGROINSUMOSVERONICALEDESMA"&amp;Tabla_Buffers_Agroinsumos[[#This Row],[CODIGO ]],TABLACONSOLIDADA[Bodega]&amp;TABLACONSOLIDADA[Codigo],0)),"")</f>
        <v/>
      </c>
      <c r="FB171" s="157" t="str">
        <f t="array" ref="FB171">IFERROR(INDEX(TABLACONSOLIDADA[Inv Fís Act],MATCH("AGROINSUMOSVERONICALEDESMA"&amp;Tabla_Buffers_Agroinsumos[[#This Row],[CODIGO ]],TABLACONSOLIDADA[Bodega]&amp;TABLACONSOLIDADA[Codigo],0)),"")</f>
        <v/>
      </c>
      <c r="FC171" s="157" t="str">
        <f t="array" ref="FC17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7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71" s="134">
        <f>IFERROR(SUM(Tabla_Buffers_Agroinsumos[[#This Row],[VL-MP]:[VL-LF]]),"")</f>
        <v>0</v>
      </c>
      <c r="FF171" s="92" t="str">
        <f>IFERROR(Tabla_Buffers_Agroinsumos[[#This Row],[INV FIS VL]]-Tabla_Buffers_Agroinsumos[[#This Row],[BUFFER VL]],"")</f>
        <v/>
      </c>
      <c r="FG17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71" s="134"/>
      <c r="FI171" s="134"/>
      <c r="FJ171" s="134"/>
      <c r="FK171" s="134"/>
      <c r="FL171" s="134"/>
      <c r="FM171" s="134"/>
      <c r="FN171" s="134"/>
      <c r="FO171" s="134"/>
      <c r="FP171" s="134"/>
    </row>
    <row r="172" spans="1:172">
      <c r="A172" s="7" t="s">
        <v>303</v>
      </c>
      <c r="B172" s="7" t="s">
        <v>304</v>
      </c>
      <c r="C172" s="7" t="s">
        <v>716</v>
      </c>
      <c r="D172" s="7" t="s">
        <v>718</v>
      </c>
      <c r="E172" s="7" t="s">
        <v>863</v>
      </c>
      <c r="F172" s="19" t="s">
        <v>808</v>
      </c>
      <c r="G172" s="19" t="s">
        <v>802</v>
      </c>
      <c r="H172" s="19">
        <f>VLOOKUP(Tabla_Buffers_Agroinsumos[[#This Row],[CODIGO ]],TABLACONSOLIDADA[[Codigo]:[PV]],6,0)</f>
        <v>0</v>
      </c>
      <c r="I172" s="19">
        <f>VLOOKUP(Tabla_Buffers_Agroinsumos[[#This Row],[CODIGO ]],TABLACONSOLIDADA[[Codigo]:[PV]],5,0)</f>
        <v>7.0000000000000007E-2</v>
      </c>
      <c r="J172" s="19">
        <v>4</v>
      </c>
      <c r="K172" s="19">
        <v>6</v>
      </c>
      <c r="L172" s="19">
        <f>IFERROR(Tabla_Buffers_Agroinsumos[[#This Row],[BUFFER CENTRAL]]/((Tabla_Buffers_Agroinsumos[[#This Row],[TIEMPO REPOSICION ]]/Tabla_Buffers_Agroinsumos[[#This Row],[FRECUENCIA]])+1),0)</f>
        <v>0</v>
      </c>
      <c r="M172" s="19">
        <f t="array" ref="M172">IFERROR(INDEX(TABLACONSOLIDADA[Buff Act],MATCH("AGROINSUMOSMATERIAPRIMA"&amp;Tabla_Buffers_Agroinsumos[[#This Row],[CODIGO ]],TABLACONSOLIDADA[Bodega]&amp;TABLACONSOLIDADA[Codigo],0)),"")</f>
        <v>300</v>
      </c>
      <c r="N172" s="157">
        <f t="array" ref="N172">IFERROR(INDEX(TABLACONSOLIDADA[Inv Fís Act],MATCH("AGROINSUMOSMATERIAPRIMA"&amp;Tabla_Buffers_Agroinsumos[[#This Row],[CODIGO ]],TABLACONSOLIDADA[Bodega]&amp;TABLACONSOLIDADA[Codigo],0)),"")</f>
        <v>1110</v>
      </c>
      <c r="O172" s="157">
        <f t="array" ref="O17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1110</v>
      </c>
      <c r="P17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72" s="19">
        <f>IFERROR(SUM(Tabla_Buffers_Agroinsumos[[#This Row],[MP-C]:[MP-VL]]),"")</f>
        <v>0</v>
      </c>
      <c r="R172" s="92">
        <f>IFERROR(Tabla_Buffers_Agroinsumos[[#This Row],[INV FIS MATERIA PRIMA]]-Tabla_Buffers_Agroinsumos[[#This Row],[BUFFER MATERIA PRIMA]],"")</f>
        <v>810</v>
      </c>
      <c r="S17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810</v>
      </c>
      <c r="T172" s="19"/>
      <c r="U172" s="19"/>
      <c r="V172" s="19"/>
      <c r="W172" s="19"/>
      <c r="X172" s="19"/>
      <c r="Y172" s="19"/>
      <c r="Z172" s="19"/>
      <c r="AA172" s="19"/>
      <c r="AB172" s="19"/>
      <c r="AC172" s="152" t="str">
        <f t="array" ref="AC172">IFERROR(INDEX(TABLACONSOLIDADA[Buff Act],MATCH("AGROINSUMOSCENTRAL"&amp;Tabla_Buffers_Agroinsumos[[#This Row],[CODIGO ]],TABLACONSOLIDADA[Bodega]&amp;TABLACONSOLIDADA[Codigo],0)),"")</f>
        <v/>
      </c>
      <c r="AD172" s="157" t="str">
        <f t="array" ref="AD172">IFERROR(INDEX(TABLACONSOLIDADA[Inv Fís Act],MATCH("AGROINSUMOSCENTRAL"&amp;Tabla_Buffers_Agroinsumos[[#This Row],[CODIGO ]],TABLACONSOLIDADA[Bodega]&amp;TABLACONSOLIDADA[Codigo],0)),"")</f>
        <v/>
      </c>
      <c r="AE172" s="157" t="str">
        <f t="array" ref="AE17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7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72" s="91">
        <f>IFERROR(SUM(Tabla_Buffers_Agroinsumos[[#This Row],[C-MP]:[C-VL]]),"")</f>
        <v>0</v>
      </c>
      <c r="AH172" s="92" t="str">
        <f>IFERROR(Tabla_Buffers_Agroinsumos[[#This Row],[INV FIS CENTRAL]]-Tabla_Buffers_Agroinsumos[[#This Row],[BUFFER CENTRAL]],"")</f>
        <v/>
      </c>
      <c r="AI17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4" t="str">
        <f t="array" ref="AS172">IFERROR(INDEX(TABLACONSOLIDADA[Buff Act],MATCH("AGROINSUMOScentralPROPIA"&amp;Tabla_Buffers_Agroinsumos[[#This Row],[CODIGO ]],TABLACONSOLIDADA[Bodega]&amp;TABLACONSOLIDADA[Codigo],0)),"")</f>
        <v/>
      </c>
      <c r="AT172" s="157" t="str">
        <f t="array" ref="AT172">IFERROR(INDEX(TABLACONSOLIDADA[Inv Fís Act],MATCH("AGROINSUMOScentralPROPIA"&amp;Tabla_Buffers_Agroinsumos[[#This Row],[CODIGO ]],TABLACONSOLIDADA[Bodega]&amp;TABLACONSOLIDADA[Codigo],0)),"")</f>
        <v/>
      </c>
      <c r="AU172" s="157" t="str">
        <f t="array" ref="AU17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7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72" s="134">
        <f>IFERROR(SUM(Tabla_Buffers_Agroinsumos[[#This Row],[P-MP]:[P-VL]]),"")</f>
        <v>0</v>
      </c>
      <c r="AX172" s="92" t="str">
        <f>IFERROR(Tabla_Buffers_Agroinsumos[[#This Row],[INV FIS PROPIA]]-Tabla_Buffers_Agroinsumos[[#This Row],[BUFFER PROPIA]],"")</f>
        <v/>
      </c>
      <c r="AY17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72" s="134"/>
      <c r="BA172" s="134"/>
      <c r="BB172" s="134"/>
      <c r="BC172" s="134"/>
      <c r="BD172" s="134"/>
      <c r="BE172" s="134"/>
      <c r="BF172" s="134"/>
      <c r="BG172" s="134"/>
      <c r="BH172" s="134"/>
      <c r="BI172" s="91" t="str">
        <f t="array" ref="BI172">IFERROR(INDEX(TABLACONSOLIDADA[Buff Act],MATCH("AGROINSUMOSSTODOMINGO"&amp;Tabla_Buffers_Agroinsumos[[#This Row],[CODIGO ]],TABLACONSOLIDADA[Bodega]&amp;TABLACONSOLIDADA[Codigo],0)),"")</f>
        <v/>
      </c>
      <c r="BJ172" s="157" t="str">
        <f t="array" ref="BJ172">IFERROR(INDEX(TABLACONSOLIDADA[Inv Fís Act],MATCH("AGROINSUMOSSTODOMINGO"&amp;Tabla_Buffers_Agroinsumos[[#This Row],[CODIGO ]],TABLACONSOLIDADA[Bodega]&amp;TABLACONSOLIDADA[Codigo],0)),"")</f>
        <v/>
      </c>
      <c r="BK172" s="157" t="str">
        <f t="array" ref="BK17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7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72" s="91">
        <f>IFERROR(SUM(Tabla_Buffers_Agroinsumos[[#This Row],[SD-MP]:[SD-VL]]),"")</f>
        <v>0</v>
      </c>
      <c r="BN172" s="92"/>
      <c r="BO172" s="92"/>
      <c r="BP172" s="134"/>
      <c r="BQ172" s="134"/>
      <c r="BR172" s="134"/>
      <c r="BS172" s="134"/>
      <c r="BT172" s="134"/>
      <c r="BU172" s="134"/>
      <c r="BV172" s="134"/>
      <c r="BW172" s="134"/>
      <c r="BX172" s="134"/>
      <c r="BY172" s="134" t="str">
        <f t="array" ref="BY172">IFERROR(INDEX(TABLACONSOLIDADA[Buff Act],MATCH("AGROINSUMOSMONCAYOLOPEZ"&amp;Tabla_Buffers_Agroinsumos[[#This Row],[CODIGO ]],TABLACONSOLIDADA[Bodega]&amp;TABLACONSOLIDADA[Codigo],0)),"")</f>
        <v/>
      </c>
      <c r="BZ172" s="157" t="str">
        <f t="array" ref="BZ172">IFERROR(INDEX(TABLACONSOLIDADA[Inv Fís Act],MATCH("AGROINSUMOSMONCAYOLOPEZ"&amp;Tabla_Buffers_Agroinsumos[[#This Row],[CODIGO ]],TABLACONSOLIDADA[Bodega]&amp;TABLACONSOLIDADA[Codigo],0)),"")</f>
        <v/>
      </c>
      <c r="CA172" s="157" t="str">
        <f t="array" ref="CA17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7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72" s="134">
        <f>IFERROR(SUM(Tabla_Buffers_Agroinsumos[[#This Row],[ML-MP]:[ML-VL]]),"")</f>
        <v>0</v>
      </c>
      <c r="CD172" s="92" t="str">
        <f>IFERROR(Tabla_Buffers_Agroinsumos[[#This Row],[INV FIS ML]]-Tabla_Buffers_Agroinsumos[[#This Row],[BUFFER ML]],"")</f>
        <v/>
      </c>
      <c r="CE17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72" s="134"/>
      <c r="CG172" s="134"/>
      <c r="CH172" s="134"/>
      <c r="CI172" s="134"/>
      <c r="CJ172" s="134"/>
      <c r="CK172" s="134"/>
      <c r="CL172" s="134"/>
      <c r="CM172" s="134"/>
      <c r="CN172" s="134"/>
      <c r="CO172" s="134" t="str">
        <f t="array" ref="CO172">IFERROR(INDEX(TABLACONSOLIDADA[Buff Act],MATCH("AGROINSUMOSAGROHERMANOSLEON"&amp;Tabla_Buffers_Agroinsumos[[#This Row],[CODIGO ]],TABLACONSOLIDADA[Bodega]&amp;TABLACONSOLIDADA[Codigo],0)),"")</f>
        <v/>
      </c>
      <c r="CP172" s="157" t="str">
        <f t="array" ref="CP172">IFERROR(INDEX(TABLACONSOLIDADA[Inv Fís Act],MATCH("AGROINSUMOSAGROHERMANOSLEON"&amp;Tabla_Buffers_Agroinsumos[[#This Row],[CODIGO ]],TABLACONSOLIDADA[Bodega]&amp;TABLACONSOLIDADA[Codigo],0)),"")</f>
        <v/>
      </c>
      <c r="CQ172" s="157" t="str">
        <f t="array" ref="CQ17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7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72" s="134">
        <f>IFERROR(SUM(Tabla_Buffers_Agroinsumos[[#This Row],[AL-MP]:[AL-VL]]),"")</f>
        <v>0</v>
      </c>
      <c r="CT172" s="92" t="str">
        <f>IFERROR(Tabla_Buffers_Agroinsumos[[#This Row],[INV FIS AL]]-Tabla_Buffers_Agroinsumos[[#This Row],[BUFFER AL]],"")</f>
        <v/>
      </c>
      <c r="CU17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72" s="134"/>
      <c r="CW172" s="134"/>
      <c r="CX172" s="134"/>
      <c r="CY172" s="134"/>
      <c r="CZ172" s="134"/>
      <c r="DA172" s="134"/>
      <c r="DB172" s="134"/>
      <c r="DC172" s="134"/>
      <c r="DD172" s="134"/>
      <c r="DE172" s="134" t="str">
        <f t="array" ref="DE172">IFERROR(INDEX(TABLACONSOLIDADA[Buff Act],MATCH("AGROINSUMOSAGRONUEVO"&amp;Tabla_Buffers_Agroinsumos[[#This Row],[CODIGO ]],TABLACONSOLIDADA[Bodega]&amp;TABLACONSOLIDADA[Codigo],0)),"")</f>
        <v/>
      </c>
      <c r="DF172" s="157" t="str">
        <f t="array" ref="DF172">IFERROR(INDEX(TABLACONSOLIDADA[Inv Fís Act],MATCH("AGROINSUMOSAGRONUEVO"&amp;Tabla_Buffers_Agroinsumos[[#This Row],[CODIGO ]],TABLACONSOLIDADA[Bodega]&amp;TABLACONSOLIDADA[Codigo],0)),"")</f>
        <v/>
      </c>
      <c r="DG172" s="157" t="str">
        <f t="array" ref="DG17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7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72" s="134">
        <f>IFERROR(SUM(Tabla_Buffers_Agroinsumos[[#This Row],[AN-MP]:[AN-VL]]),"")</f>
        <v>0</v>
      </c>
      <c r="DJ172" s="92" t="str">
        <f>IFERROR(Tabla_Buffers_Agroinsumos[[#This Row],[INV FIS AN]]-Tabla_Buffers_Agroinsumos[[#This Row],[BUFFER AN]],"")</f>
        <v/>
      </c>
      <c r="DK17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72" s="134"/>
      <c r="DM172" s="134"/>
      <c r="DN172" s="134"/>
      <c r="DO172" s="134"/>
      <c r="DP172" s="134"/>
      <c r="DQ172" s="134"/>
      <c r="DR172" s="134"/>
      <c r="DS172" s="134"/>
      <c r="DT172" s="134"/>
      <c r="DU172" s="134" t="str">
        <f t="array" ref="DU172">IFERROR(INDEX(TABLACONSOLIDADA[Buff Act],MATCH("AGROINSUMOSAGROQUIMICOSSUR"&amp;Tabla_Buffers_Agroinsumos[[#This Row],[CODIGO ]],TABLACONSOLIDADA[Bodega]&amp;TABLACONSOLIDADA[Codigo],0)),"")</f>
        <v/>
      </c>
      <c r="DV172" s="157" t="str">
        <f t="array" ref="DV172">IFERROR(INDEX(TABLACONSOLIDADA[Inv Fís Act],MATCH("AGROINSUMOSAGROQUIMICOSSUR"&amp;Tabla_Buffers_Agroinsumos[[#This Row],[CODIGO ]],TABLACONSOLIDADA[Bodega]&amp;TABLACONSOLIDADA[Codigo],0)),"")</f>
        <v/>
      </c>
      <c r="DW172" s="157" t="str">
        <f t="array" ref="DW17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7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72" s="134">
        <f>IFERROR(SUM(Tabla_Buffers_Agroinsumos[[#This Row],[AS-MP]:[AS-VL]]),"")</f>
        <v>0</v>
      </c>
      <c r="DZ172" s="92" t="str">
        <f>IFERROR(Tabla_Buffers_Agroinsumos[[#This Row],[INV FIS AS]]-Tabla_Buffers_Agroinsumos[[#This Row],[BUFFER AS]],"")</f>
        <v/>
      </c>
      <c r="EA17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72" s="134"/>
      <c r="EC172" s="134"/>
      <c r="ED172" s="134"/>
      <c r="EE172" s="134"/>
      <c r="EF172" s="134"/>
      <c r="EG172" s="134"/>
      <c r="EH172" s="134"/>
      <c r="EI172" s="134"/>
      <c r="EJ172" s="134"/>
      <c r="EK172" s="134" t="str">
        <f t="array" ref="EK172">IFERROR(INDEX(TABLACONSOLIDADA[Buff Act],MATCH("AGROINSUMOSLAFINCA"&amp;Tabla_Buffers_Agroinsumos[[#This Row],[CODIGO ]],TABLACONSOLIDADA[Bodega]&amp;TABLACONSOLIDADA[Codigo],0)),"")</f>
        <v/>
      </c>
      <c r="EL172" s="157" t="str">
        <f t="array" ref="EL172">IFERROR(INDEX(TABLACONSOLIDADA[Inv Fís Act],MATCH("AGROINSUMOSLAFINCA"&amp;Tabla_Buffers_Agroinsumos[[#This Row],[CODIGO ]],TABLACONSOLIDADA[Bodega]&amp;TABLACONSOLIDADA[Codigo],0)),"")</f>
        <v/>
      </c>
      <c r="EM172" s="157" t="str">
        <f t="array" ref="EM17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7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72" s="134">
        <f>IFERROR(SUM(Tabla_Buffers_Agroinsumos[[#This Row],[LF-MP]:[LF-VL]]),"")</f>
        <v>0</v>
      </c>
      <c r="EP172" s="92" t="str">
        <f>IFERROR(Tabla_Buffers_Agroinsumos[[#This Row],[INV FIS LF]]-Tabla_Buffers_Agroinsumos[[#This Row],[BUFFER LF]],"")</f>
        <v/>
      </c>
      <c r="EQ17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72" s="134"/>
      <c r="ES172" s="134"/>
      <c r="ET172" s="134"/>
      <c r="EU172" s="134"/>
      <c r="EV172" s="134"/>
      <c r="EW172" s="134"/>
      <c r="EX172" s="134"/>
      <c r="EY172" s="134"/>
      <c r="EZ172" s="134"/>
      <c r="FA172" s="134" t="str">
        <f t="array" ref="FA172">IFERROR(INDEX(TABLACONSOLIDADA[Buff Act],MATCH("AGROINSUMOSVERONICALEDESMA"&amp;Tabla_Buffers_Agroinsumos[[#This Row],[CODIGO ]],TABLACONSOLIDADA[Bodega]&amp;TABLACONSOLIDADA[Codigo],0)),"")</f>
        <v/>
      </c>
      <c r="FB172" s="157" t="str">
        <f t="array" ref="FB172">IFERROR(INDEX(TABLACONSOLIDADA[Inv Fís Act],MATCH("AGROINSUMOSVERONICALEDESMA"&amp;Tabla_Buffers_Agroinsumos[[#This Row],[CODIGO ]],TABLACONSOLIDADA[Bodega]&amp;TABLACONSOLIDADA[Codigo],0)),"")</f>
        <v/>
      </c>
      <c r="FC172" s="157" t="str">
        <f t="array" ref="FC17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7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72" s="134">
        <f>IFERROR(SUM(Tabla_Buffers_Agroinsumos[[#This Row],[VL-MP]:[VL-LF]]),"")</f>
        <v>0</v>
      </c>
      <c r="FF172" s="92" t="str">
        <f>IFERROR(Tabla_Buffers_Agroinsumos[[#This Row],[INV FIS VL]]-Tabla_Buffers_Agroinsumos[[#This Row],[BUFFER VL]],"")</f>
        <v/>
      </c>
      <c r="FG17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72" s="134"/>
      <c r="FI172" s="134"/>
      <c r="FJ172" s="134"/>
      <c r="FK172" s="134"/>
      <c r="FL172" s="134"/>
      <c r="FM172" s="134"/>
      <c r="FN172" s="134"/>
      <c r="FO172" s="134"/>
      <c r="FP172" s="134"/>
    </row>
    <row r="173" spans="1:172">
      <c r="A173" s="7" t="s">
        <v>305</v>
      </c>
      <c r="B173" s="7" t="s">
        <v>306</v>
      </c>
      <c r="C173" s="7" t="s">
        <v>716</v>
      </c>
      <c r="D173" s="7" t="s">
        <v>718</v>
      </c>
      <c r="E173" s="7" t="s">
        <v>863</v>
      </c>
      <c r="F173" s="19" t="s">
        <v>808</v>
      </c>
      <c r="G173" s="19" t="s">
        <v>802</v>
      </c>
      <c r="H173" s="19">
        <f>VLOOKUP(Tabla_Buffers_Agroinsumos[[#This Row],[CODIGO ]],TABLACONSOLIDADA[[Codigo]:[PV]],6,0)</f>
        <v>0</v>
      </c>
      <c r="I173" s="19">
        <f>VLOOKUP(Tabla_Buffers_Agroinsumos[[#This Row],[CODIGO ]],TABLACONSOLIDADA[[Codigo]:[PV]],5,0)</f>
        <v>0.25</v>
      </c>
      <c r="J173" s="19">
        <v>4</v>
      </c>
      <c r="K173" s="19">
        <v>6</v>
      </c>
      <c r="L173" s="19">
        <f>IFERROR(Tabla_Buffers_Agroinsumos[[#This Row],[BUFFER CENTRAL]]/((Tabla_Buffers_Agroinsumos[[#This Row],[TIEMPO REPOSICION ]]/Tabla_Buffers_Agroinsumos[[#This Row],[FRECUENCIA]])+1),0)</f>
        <v>0</v>
      </c>
      <c r="M173" s="19">
        <f t="array" ref="M173">IFERROR(INDEX(TABLACONSOLIDADA[Buff Act],MATCH("AGROINSUMOSMATERIAPRIMA"&amp;Tabla_Buffers_Agroinsumos[[#This Row],[CODIGO ]],TABLACONSOLIDADA[Bodega]&amp;TABLACONSOLIDADA[Codigo],0)),"")</f>
        <v>0</v>
      </c>
      <c r="N173" s="157">
        <f t="array" ref="N173">IFERROR(INDEX(TABLACONSOLIDADA[Inv Fís Act],MATCH("AGROINSUMOSMATERIAPRIMA"&amp;Tabla_Buffers_Agroinsumos[[#This Row],[CODIGO ]],TABLACONSOLIDADA[Bodega]&amp;TABLACONSOLIDADA[Codigo],0)),"")</f>
        <v>0</v>
      </c>
      <c r="O173" s="157">
        <f t="array" ref="O17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17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73" s="19">
        <f>IFERROR(SUM(Tabla_Buffers_Agroinsumos[[#This Row],[MP-C]:[MP-VL]]),"")</f>
        <v>0</v>
      </c>
      <c r="R173" s="92">
        <f>IFERROR(Tabla_Buffers_Agroinsumos[[#This Row],[INV FIS MATERIA PRIMA]]-Tabla_Buffers_Agroinsumos[[#This Row],[BUFFER MATERIA PRIMA]],"")</f>
        <v>0</v>
      </c>
      <c r="S17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173" s="19"/>
      <c r="U173" s="19"/>
      <c r="V173" s="19"/>
      <c r="W173" s="19"/>
      <c r="X173" s="19"/>
      <c r="Y173" s="19"/>
      <c r="Z173" s="19"/>
      <c r="AA173" s="19"/>
      <c r="AB173" s="19"/>
      <c r="AC173" s="152" t="str">
        <f t="array" ref="AC173">IFERROR(INDEX(TABLACONSOLIDADA[Buff Act],MATCH("AGROINSUMOSCENTRAL"&amp;Tabla_Buffers_Agroinsumos[[#This Row],[CODIGO ]],TABLACONSOLIDADA[Bodega]&amp;TABLACONSOLIDADA[Codigo],0)),"")</f>
        <v/>
      </c>
      <c r="AD173" s="157" t="str">
        <f t="array" ref="AD173">IFERROR(INDEX(TABLACONSOLIDADA[Inv Fís Act],MATCH("AGROINSUMOSCENTRAL"&amp;Tabla_Buffers_Agroinsumos[[#This Row],[CODIGO ]],TABLACONSOLIDADA[Bodega]&amp;TABLACONSOLIDADA[Codigo],0)),"")</f>
        <v/>
      </c>
      <c r="AE173" s="157" t="str">
        <f t="array" ref="AE17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7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73" s="91">
        <f>IFERROR(SUM(Tabla_Buffers_Agroinsumos[[#This Row],[C-MP]:[C-VL]]),"")</f>
        <v>0</v>
      </c>
      <c r="AH173" s="92" t="str">
        <f>IFERROR(Tabla_Buffers_Agroinsumos[[#This Row],[INV FIS CENTRAL]]-Tabla_Buffers_Agroinsumos[[#This Row],[BUFFER CENTRAL]],"")</f>
        <v/>
      </c>
      <c r="AI17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4" t="str">
        <f t="array" ref="AS173">IFERROR(INDEX(TABLACONSOLIDADA[Buff Act],MATCH("AGROINSUMOScentralPROPIA"&amp;Tabla_Buffers_Agroinsumos[[#This Row],[CODIGO ]],TABLACONSOLIDADA[Bodega]&amp;TABLACONSOLIDADA[Codigo],0)),"")</f>
        <v/>
      </c>
      <c r="AT173" s="157" t="str">
        <f t="array" ref="AT173">IFERROR(INDEX(TABLACONSOLIDADA[Inv Fís Act],MATCH("AGROINSUMOScentralPROPIA"&amp;Tabla_Buffers_Agroinsumos[[#This Row],[CODIGO ]],TABLACONSOLIDADA[Bodega]&amp;TABLACONSOLIDADA[Codigo],0)),"")</f>
        <v/>
      </c>
      <c r="AU173" s="157" t="str">
        <f t="array" ref="AU17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7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73" s="134">
        <f>IFERROR(SUM(Tabla_Buffers_Agroinsumos[[#This Row],[P-MP]:[P-VL]]),"")</f>
        <v>0</v>
      </c>
      <c r="AX173" s="92" t="str">
        <f>IFERROR(Tabla_Buffers_Agroinsumos[[#This Row],[INV FIS PROPIA]]-Tabla_Buffers_Agroinsumos[[#This Row],[BUFFER PROPIA]],"")</f>
        <v/>
      </c>
      <c r="AY17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73" s="134"/>
      <c r="BA173" s="134"/>
      <c r="BB173" s="134"/>
      <c r="BC173" s="134"/>
      <c r="BD173" s="134"/>
      <c r="BE173" s="134"/>
      <c r="BF173" s="134"/>
      <c r="BG173" s="134"/>
      <c r="BH173" s="134"/>
      <c r="BI173" s="91" t="str">
        <f t="array" ref="BI173">IFERROR(INDEX(TABLACONSOLIDADA[Buff Act],MATCH("AGROINSUMOSSTODOMINGO"&amp;Tabla_Buffers_Agroinsumos[[#This Row],[CODIGO ]],TABLACONSOLIDADA[Bodega]&amp;TABLACONSOLIDADA[Codigo],0)),"")</f>
        <v/>
      </c>
      <c r="BJ173" s="157" t="str">
        <f t="array" ref="BJ173">IFERROR(INDEX(TABLACONSOLIDADA[Inv Fís Act],MATCH("AGROINSUMOSSTODOMINGO"&amp;Tabla_Buffers_Agroinsumos[[#This Row],[CODIGO ]],TABLACONSOLIDADA[Bodega]&amp;TABLACONSOLIDADA[Codigo],0)),"")</f>
        <v/>
      </c>
      <c r="BK173" s="157" t="str">
        <f t="array" ref="BK17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7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73" s="91">
        <f>IFERROR(SUM(Tabla_Buffers_Agroinsumos[[#This Row],[SD-MP]:[SD-VL]]),"")</f>
        <v>0</v>
      </c>
      <c r="BN173" s="92"/>
      <c r="BO173" s="92"/>
      <c r="BP173" s="134"/>
      <c r="BQ173" s="134"/>
      <c r="BR173" s="134"/>
      <c r="BS173" s="134"/>
      <c r="BT173" s="134"/>
      <c r="BU173" s="134"/>
      <c r="BV173" s="134"/>
      <c r="BW173" s="134"/>
      <c r="BX173" s="134"/>
      <c r="BY173" s="134" t="str">
        <f t="array" ref="BY173">IFERROR(INDEX(TABLACONSOLIDADA[Buff Act],MATCH("AGROINSUMOSMONCAYOLOPEZ"&amp;Tabla_Buffers_Agroinsumos[[#This Row],[CODIGO ]],TABLACONSOLIDADA[Bodega]&amp;TABLACONSOLIDADA[Codigo],0)),"")</f>
        <v/>
      </c>
      <c r="BZ173" s="157" t="str">
        <f t="array" ref="BZ173">IFERROR(INDEX(TABLACONSOLIDADA[Inv Fís Act],MATCH("AGROINSUMOSMONCAYOLOPEZ"&amp;Tabla_Buffers_Agroinsumos[[#This Row],[CODIGO ]],TABLACONSOLIDADA[Bodega]&amp;TABLACONSOLIDADA[Codigo],0)),"")</f>
        <v/>
      </c>
      <c r="CA173" s="157" t="str">
        <f t="array" ref="CA17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7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73" s="134">
        <f>IFERROR(SUM(Tabla_Buffers_Agroinsumos[[#This Row],[ML-MP]:[ML-VL]]),"")</f>
        <v>0</v>
      </c>
      <c r="CD173" s="92" t="str">
        <f>IFERROR(Tabla_Buffers_Agroinsumos[[#This Row],[INV FIS ML]]-Tabla_Buffers_Agroinsumos[[#This Row],[BUFFER ML]],"")</f>
        <v/>
      </c>
      <c r="CE17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73" s="134"/>
      <c r="CG173" s="134"/>
      <c r="CH173" s="134"/>
      <c r="CI173" s="134"/>
      <c r="CJ173" s="134"/>
      <c r="CK173" s="134"/>
      <c r="CL173" s="134"/>
      <c r="CM173" s="134"/>
      <c r="CN173" s="134"/>
      <c r="CO173" s="134" t="str">
        <f t="array" ref="CO173">IFERROR(INDEX(TABLACONSOLIDADA[Buff Act],MATCH("AGROINSUMOSAGROHERMANOSLEON"&amp;Tabla_Buffers_Agroinsumos[[#This Row],[CODIGO ]],TABLACONSOLIDADA[Bodega]&amp;TABLACONSOLIDADA[Codigo],0)),"")</f>
        <v/>
      </c>
      <c r="CP173" s="157" t="str">
        <f t="array" ref="CP173">IFERROR(INDEX(TABLACONSOLIDADA[Inv Fís Act],MATCH("AGROINSUMOSAGROHERMANOSLEON"&amp;Tabla_Buffers_Agroinsumos[[#This Row],[CODIGO ]],TABLACONSOLIDADA[Bodega]&amp;TABLACONSOLIDADA[Codigo],0)),"")</f>
        <v/>
      </c>
      <c r="CQ173" s="157" t="str">
        <f t="array" ref="CQ17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7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73" s="134">
        <f>IFERROR(SUM(Tabla_Buffers_Agroinsumos[[#This Row],[AL-MP]:[AL-VL]]),"")</f>
        <v>0</v>
      </c>
      <c r="CT173" s="92" t="str">
        <f>IFERROR(Tabla_Buffers_Agroinsumos[[#This Row],[INV FIS AL]]-Tabla_Buffers_Agroinsumos[[#This Row],[BUFFER AL]],"")</f>
        <v/>
      </c>
      <c r="CU17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73" s="134"/>
      <c r="CW173" s="134"/>
      <c r="CX173" s="134"/>
      <c r="CY173" s="134"/>
      <c r="CZ173" s="134"/>
      <c r="DA173" s="134"/>
      <c r="DB173" s="134"/>
      <c r="DC173" s="134"/>
      <c r="DD173" s="134"/>
      <c r="DE173" s="134" t="str">
        <f t="array" ref="DE173">IFERROR(INDEX(TABLACONSOLIDADA[Buff Act],MATCH("AGROINSUMOSAGRONUEVO"&amp;Tabla_Buffers_Agroinsumos[[#This Row],[CODIGO ]],TABLACONSOLIDADA[Bodega]&amp;TABLACONSOLIDADA[Codigo],0)),"")</f>
        <v/>
      </c>
      <c r="DF173" s="157" t="str">
        <f t="array" ref="DF173">IFERROR(INDEX(TABLACONSOLIDADA[Inv Fís Act],MATCH("AGROINSUMOSAGRONUEVO"&amp;Tabla_Buffers_Agroinsumos[[#This Row],[CODIGO ]],TABLACONSOLIDADA[Bodega]&amp;TABLACONSOLIDADA[Codigo],0)),"")</f>
        <v/>
      </c>
      <c r="DG173" s="157" t="str">
        <f t="array" ref="DG17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7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73" s="134">
        <f>IFERROR(SUM(Tabla_Buffers_Agroinsumos[[#This Row],[AN-MP]:[AN-VL]]),"")</f>
        <v>0</v>
      </c>
      <c r="DJ173" s="92" t="str">
        <f>IFERROR(Tabla_Buffers_Agroinsumos[[#This Row],[INV FIS AN]]-Tabla_Buffers_Agroinsumos[[#This Row],[BUFFER AN]],"")</f>
        <v/>
      </c>
      <c r="DK17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73" s="134"/>
      <c r="DM173" s="134"/>
      <c r="DN173" s="134"/>
      <c r="DO173" s="134"/>
      <c r="DP173" s="134"/>
      <c r="DQ173" s="134"/>
      <c r="DR173" s="134"/>
      <c r="DS173" s="134"/>
      <c r="DT173" s="134"/>
      <c r="DU173" s="134" t="str">
        <f t="array" ref="DU173">IFERROR(INDEX(TABLACONSOLIDADA[Buff Act],MATCH("AGROINSUMOSAGROQUIMICOSSUR"&amp;Tabla_Buffers_Agroinsumos[[#This Row],[CODIGO ]],TABLACONSOLIDADA[Bodega]&amp;TABLACONSOLIDADA[Codigo],0)),"")</f>
        <v/>
      </c>
      <c r="DV173" s="157" t="str">
        <f t="array" ref="DV173">IFERROR(INDEX(TABLACONSOLIDADA[Inv Fís Act],MATCH("AGROINSUMOSAGROQUIMICOSSUR"&amp;Tabla_Buffers_Agroinsumos[[#This Row],[CODIGO ]],TABLACONSOLIDADA[Bodega]&amp;TABLACONSOLIDADA[Codigo],0)),"")</f>
        <v/>
      </c>
      <c r="DW173" s="157" t="str">
        <f t="array" ref="DW17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7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73" s="134">
        <f>IFERROR(SUM(Tabla_Buffers_Agroinsumos[[#This Row],[AS-MP]:[AS-VL]]),"")</f>
        <v>0</v>
      </c>
      <c r="DZ173" s="92" t="str">
        <f>IFERROR(Tabla_Buffers_Agroinsumos[[#This Row],[INV FIS AS]]-Tabla_Buffers_Agroinsumos[[#This Row],[BUFFER AS]],"")</f>
        <v/>
      </c>
      <c r="EA17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73" s="134"/>
      <c r="EC173" s="134"/>
      <c r="ED173" s="134"/>
      <c r="EE173" s="134"/>
      <c r="EF173" s="134"/>
      <c r="EG173" s="134"/>
      <c r="EH173" s="134"/>
      <c r="EI173" s="134"/>
      <c r="EJ173" s="134"/>
      <c r="EK173" s="134" t="str">
        <f t="array" ref="EK173">IFERROR(INDEX(TABLACONSOLIDADA[Buff Act],MATCH("AGROINSUMOSLAFINCA"&amp;Tabla_Buffers_Agroinsumos[[#This Row],[CODIGO ]],TABLACONSOLIDADA[Bodega]&amp;TABLACONSOLIDADA[Codigo],0)),"")</f>
        <v/>
      </c>
      <c r="EL173" s="157" t="str">
        <f t="array" ref="EL173">IFERROR(INDEX(TABLACONSOLIDADA[Inv Fís Act],MATCH("AGROINSUMOSLAFINCA"&amp;Tabla_Buffers_Agroinsumos[[#This Row],[CODIGO ]],TABLACONSOLIDADA[Bodega]&amp;TABLACONSOLIDADA[Codigo],0)),"")</f>
        <v/>
      </c>
      <c r="EM173" s="157" t="str">
        <f t="array" ref="EM17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7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73" s="134">
        <f>IFERROR(SUM(Tabla_Buffers_Agroinsumos[[#This Row],[LF-MP]:[LF-VL]]),"")</f>
        <v>0</v>
      </c>
      <c r="EP173" s="92" t="str">
        <f>IFERROR(Tabla_Buffers_Agroinsumos[[#This Row],[INV FIS LF]]-Tabla_Buffers_Agroinsumos[[#This Row],[BUFFER LF]],"")</f>
        <v/>
      </c>
      <c r="EQ17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73" s="134"/>
      <c r="ES173" s="134"/>
      <c r="ET173" s="134"/>
      <c r="EU173" s="134"/>
      <c r="EV173" s="134"/>
      <c r="EW173" s="134"/>
      <c r="EX173" s="134"/>
      <c r="EY173" s="134"/>
      <c r="EZ173" s="134"/>
      <c r="FA173" s="134" t="str">
        <f t="array" ref="FA173">IFERROR(INDEX(TABLACONSOLIDADA[Buff Act],MATCH("AGROINSUMOSVERONICALEDESMA"&amp;Tabla_Buffers_Agroinsumos[[#This Row],[CODIGO ]],TABLACONSOLIDADA[Bodega]&amp;TABLACONSOLIDADA[Codigo],0)),"")</f>
        <v/>
      </c>
      <c r="FB173" s="157" t="str">
        <f t="array" ref="FB173">IFERROR(INDEX(TABLACONSOLIDADA[Inv Fís Act],MATCH("AGROINSUMOSVERONICALEDESMA"&amp;Tabla_Buffers_Agroinsumos[[#This Row],[CODIGO ]],TABLACONSOLIDADA[Bodega]&amp;TABLACONSOLIDADA[Codigo],0)),"")</f>
        <v/>
      </c>
      <c r="FC173" s="157" t="str">
        <f t="array" ref="FC17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7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73" s="134">
        <f>IFERROR(SUM(Tabla_Buffers_Agroinsumos[[#This Row],[VL-MP]:[VL-LF]]),"")</f>
        <v>0</v>
      </c>
      <c r="FF173" s="92" t="str">
        <f>IFERROR(Tabla_Buffers_Agroinsumos[[#This Row],[INV FIS VL]]-Tabla_Buffers_Agroinsumos[[#This Row],[BUFFER VL]],"")</f>
        <v/>
      </c>
      <c r="FG17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73" s="134"/>
      <c r="FI173" s="134"/>
      <c r="FJ173" s="134"/>
      <c r="FK173" s="134"/>
      <c r="FL173" s="134"/>
      <c r="FM173" s="134"/>
      <c r="FN173" s="134"/>
      <c r="FO173" s="134"/>
      <c r="FP173" s="134"/>
    </row>
    <row r="174" spans="1:172">
      <c r="A174" s="7" t="s">
        <v>307</v>
      </c>
      <c r="B174" s="7" t="s">
        <v>308</v>
      </c>
      <c r="C174" s="7" t="s">
        <v>716</v>
      </c>
      <c r="D174" s="7" t="s">
        <v>718</v>
      </c>
      <c r="E174" s="7" t="s">
        <v>863</v>
      </c>
      <c r="F174" s="19" t="s">
        <v>808</v>
      </c>
      <c r="G174" s="19" t="s">
        <v>802</v>
      </c>
      <c r="H174" s="19">
        <f>VLOOKUP(Tabla_Buffers_Agroinsumos[[#This Row],[CODIGO ]],TABLACONSOLIDADA[[Codigo]:[PV]],6,0)</f>
        <v>0</v>
      </c>
      <c r="I174" s="19">
        <f>VLOOKUP(Tabla_Buffers_Agroinsumos[[#This Row],[CODIGO ]],TABLACONSOLIDADA[[Codigo]:[PV]],5,0)</f>
        <v>0.12</v>
      </c>
      <c r="J174" s="19">
        <v>4</v>
      </c>
      <c r="K174" s="19">
        <v>6</v>
      </c>
      <c r="L174" s="19">
        <f>IFERROR(Tabla_Buffers_Agroinsumos[[#This Row],[BUFFER CENTRAL]]/((Tabla_Buffers_Agroinsumos[[#This Row],[TIEMPO REPOSICION ]]/Tabla_Buffers_Agroinsumos[[#This Row],[FRECUENCIA]])+1),0)</f>
        <v>0</v>
      </c>
      <c r="M174" s="19">
        <f t="array" ref="M174">IFERROR(INDEX(TABLACONSOLIDADA[Buff Act],MATCH("AGROINSUMOSMATERIAPRIMA"&amp;Tabla_Buffers_Agroinsumos[[#This Row],[CODIGO ]],TABLACONSOLIDADA[Bodega]&amp;TABLACONSOLIDADA[Codigo],0)),"")</f>
        <v>500</v>
      </c>
      <c r="N174" s="157">
        <f t="array" ref="N174">IFERROR(INDEX(TABLACONSOLIDADA[Inv Fís Act],MATCH("AGROINSUMOSMATERIAPRIMA"&amp;Tabla_Buffers_Agroinsumos[[#This Row],[CODIGO ]],TABLACONSOLIDADA[Bodega]&amp;TABLACONSOLIDADA[Codigo],0)),"")</f>
        <v>641</v>
      </c>
      <c r="O174" s="157">
        <f t="array" ref="O17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641</v>
      </c>
      <c r="P17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74" s="19">
        <f>IFERROR(SUM(Tabla_Buffers_Agroinsumos[[#This Row],[MP-C]:[MP-VL]]),"")</f>
        <v>0</v>
      </c>
      <c r="R174" s="92">
        <f>IFERROR(Tabla_Buffers_Agroinsumos[[#This Row],[INV FIS MATERIA PRIMA]]-Tabla_Buffers_Agroinsumos[[#This Row],[BUFFER MATERIA PRIMA]],"")</f>
        <v>141</v>
      </c>
      <c r="S17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141</v>
      </c>
      <c r="T174" s="19"/>
      <c r="U174" s="19"/>
      <c r="V174" s="19"/>
      <c r="W174" s="19"/>
      <c r="X174" s="19"/>
      <c r="Y174" s="19"/>
      <c r="Z174" s="19"/>
      <c r="AA174" s="19"/>
      <c r="AB174" s="19"/>
      <c r="AC174" s="152" t="str">
        <f t="array" ref="AC174">IFERROR(INDEX(TABLACONSOLIDADA[Buff Act],MATCH("AGROINSUMOSCENTRAL"&amp;Tabla_Buffers_Agroinsumos[[#This Row],[CODIGO ]],TABLACONSOLIDADA[Bodega]&amp;TABLACONSOLIDADA[Codigo],0)),"")</f>
        <v/>
      </c>
      <c r="AD174" s="157" t="str">
        <f t="array" ref="AD174">IFERROR(INDEX(TABLACONSOLIDADA[Inv Fís Act],MATCH("AGROINSUMOSCENTRAL"&amp;Tabla_Buffers_Agroinsumos[[#This Row],[CODIGO ]],TABLACONSOLIDADA[Bodega]&amp;TABLACONSOLIDADA[Codigo],0)),"")</f>
        <v/>
      </c>
      <c r="AE174" s="157" t="str">
        <f t="array" ref="AE17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7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74" s="91">
        <f>IFERROR(SUM(Tabla_Buffers_Agroinsumos[[#This Row],[C-MP]:[C-VL]]),"")</f>
        <v>0</v>
      </c>
      <c r="AH174" s="92" t="str">
        <f>IFERROR(Tabla_Buffers_Agroinsumos[[#This Row],[INV FIS CENTRAL]]-Tabla_Buffers_Agroinsumos[[#This Row],[BUFFER CENTRAL]],"")</f>
        <v/>
      </c>
      <c r="AI17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74" s="134"/>
      <c r="AK174" s="134"/>
      <c r="AL174" s="134"/>
      <c r="AM174" s="134"/>
      <c r="AN174" s="134"/>
      <c r="AO174" s="134"/>
      <c r="AP174" s="134"/>
      <c r="AQ174" s="134"/>
      <c r="AR174" s="134"/>
      <c r="AS174" s="134" t="str">
        <f t="array" ref="AS174">IFERROR(INDEX(TABLACONSOLIDADA[Buff Act],MATCH("AGROINSUMOScentralPROPIA"&amp;Tabla_Buffers_Agroinsumos[[#This Row],[CODIGO ]],TABLACONSOLIDADA[Bodega]&amp;TABLACONSOLIDADA[Codigo],0)),"")</f>
        <v/>
      </c>
      <c r="AT174" s="157" t="str">
        <f t="array" ref="AT174">IFERROR(INDEX(TABLACONSOLIDADA[Inv Fís Act],MATCH("AGROINSUMOScentralPROPIA"&amp;Tabla_Buffers_Agroinsumos[[#This Row],[CODIGO ]],TABLACONSOLIDADA[Bodega]&amp;TABLACONSOLIDADA[Codigo],0)),"")</f>
        <v/>
      </c>
      <c r="AU174" s="157" t="str">
        <f t="array" ref="AU17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7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74" s="134">
        <f>IFERROR(SUM(Tabla_Buffers_Agroinsumos[[#This Row],[P-MP]:[P-VL]]),"")</f>
        <v>0</v>
      </c>
      <c r="AX174" s="92" t="str">
        <f>IFERROR(Tabla_Buffers_Agroinsumos[[#This Row],[INV FIS PROPIA]]-Tabla_Buffers_Agroinsumos[[#This Row],[BUFFER PROPIA]],"")</f>
        <v/>
      </c>
      <c r="AY17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74" s="134"/>
      <c r="BA174" s="134"/>
      <c r="BB174" s="134"/>
      <c r="BC174" s="134"/>
      <c r="BD174" s="134"/>
      <c r="BE174" s="134"/>
      <c r="BF174" s="134"/>
      <c r="BG174" s="134"/>
      <c r="BH174" s="134"/>
      <c r="BI174" s="91" t="str">
        <f t="array" ref="BI174">IFERROR(INDEX(TABLACONSOLIDADA[Buff Act],MATCH("AGROINSUMOSSTODOMINGO"&amp;Tabla_Buffers_Agroinsumos[[#This Row],[CODIGO ]],TABLACONSOLIDADA[Bodega]&amp;TABLACONSOLIDADA[Codigo],0)),"")</f>
        <v/>
      </c>
      <c r="BJ174" s="157" t="str">
        <f t="array" ref="BJ174">IFERROR(INDEX(TABLACONSOLIDADA[Inv Fís Act],MATCH("AGROINSUMOSSTODOMINGO"&amp;Tabla_Buffers_Agroinsumos[[#This Row],[CODIGO ]],TABLACONSOLIDADA[Bodega]&amp;TABLACONSOLIDADA[Codigo],0)),"")</f>
        <v/>
      </c>
      <c r="BK174" s="157" t="str">
        <f t="array" ref="BK17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7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74" s="91">
        <f>IFERROR(SUM(Tabla_Buffers_Agroinsumos[[#This Row],[SD-MP]:[SD-VL]]),"")</f>
        <v>0</v>
      </c>
      <c r="BN174" s="92"/>
      <c r="BO174" s="92"/>
      <c r="BP174" s="134"/>
      <c r="BQ174" s="134"/>
      <c r="BR174" s="134"/>
      <c r="BS174" s="134"/>
      <c r="BT174" s="134"/>
      <c r="BU174" s="134"/>
      <c r="BV174" s="134"/>
      <c r="BW174" s="134"/>
      <c r="BX174" s="134"/>
      <c r="BY174" s="134" t="str">
        <f t="array" ref="BY174">IFERROR(INDEX(TABLACONSOLIDADA[Buff Act],MATCH("AGROINSUMOSMONCAYOLOPEZ"&amp;Tabla_Buffers_Agroinsumos[[#This Row],[CODIGO ]],TABLACONSOLIDADA[Bodega]&amp;TABLACONSOLIDADA[Codigo],0)),"")</f>
        <v/>
      </c>
      <c r="BZ174" s="157" t="str">
        <f t="array" ref="BZ174">IFERROR(INDEX(TABLACONSOLIDADA[Inv Fís Act],MATCH("AGROINSUMOSMONCAYOLOPEZ"&amp;Tabla_Buffers_Agroinsumos[[#This Row],[CODIGO ]],TABLACONSOLIDADA[Bodega]&amp;TABLACONSOLIDADA[Codigo],0)),"")</f>
        <v/>
      </c>
      <c r="CA174" s="157" t="str">
        <f t="array" ref="CA17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7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74" s="134">
        <f>IFERROR(SUM(Tabla_Buffers_Agroinsumos[[#This Row],[ML-MP]:[ML-VL]]),"")</f>
        <v>0</v>
      </c>
      <c r="CD174" s="92" t="str">
        <f>IFERROR(Tabla_Buffers_Agroinsumos[[#This Row],[INV FIS ML]]-Tabla_Buffers_Agroinsumos[[#This Row],[BUFFER ML]],"")</f>
        <v/>
      </c>
      <c r="CE17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74" s="134"/>
      <c r="CG174" s="134"/>
      <c r="CH174" s="134"/>
      <c r="CI174" s="134"/>
      <c r="CJ174" s="134"/>
      <c r="CK174" s="134"/>
      <c r="CL174" s="134"/>
      <c r="CM174" s="134"/>
      <c r="CN174" s="134"/>
      <c r="CO174" s="134" t="str">
        <f t="array" ref="CO174">IFERROR(INDEX(TABLACONSOLIDADA[Buff Act],MATCH("AGROINSUMOSAGROHERMANOSLEON"&amp;Tabla_Buffers_Agroinsumos[[#This Row],[CODIGO ]],TABLACONSOLIDADA[Bodega]&amp;TABLACONSOLIDADA[Codigo],0)),"")</f>
        <v/>
      </c>
      <c r="CP174" s="157" t="str">
        <f t="array" ref="CP174">IFERROR(INDEX(TABLACONSOLIDADA[Inv Fís Act],MATCH("AGROINSUMOSAGROHERMANOSLEON"&amp;Tabla_Buffers_Agroinsumos[[#This Row],[CODIGO ]],TABLACONSOLIDADA[Bodega]&amp;TABLACONSOLIDADA[Codigo],0)),"")</f>
        <v/>
      </c>
      <c r="CQ174" s="157" t="str">
        <f t="array" ref="CQ17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7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74" s="134">
        <f>IFERROR(SUM(Tabla_Buffers_Agroinsumos[[#This Row],[AL-MP]:[AL-VL]]),"")</f>
        <v>0</v>
      </c>
      <c r="CT174" s="92" t="str">
        <f>IFERROR(Tabla_Buffers_Agroinsumos[[#This Row],[INV FIS AL]]-Tabla_Buffers_Agroinsumos[[#This Row],[BUFFER AL]],"")</f>
        <v/>
      </c>
      <c r="CU17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74" s="134"/>
      <c r="CW174" s="134"/>
      <c r="CX174" s="134"/>
      <c r="CY174" s="134"/>
      <c r="CZ174" s="134"/>
      <c r="DA174" s="134"/>
      <c r="DB174" s="134"/>
      <c r="DC174" s="134"/>
      <c r="DD174" s="134"/>
      <c r="DE174" s="134" t="str">
        <f t="array" ref="DE174">IFERROR(INDEX(TABLACONSOLIDADA[Buff Act],MATCH("AGROINSUMOSAGRONUEVO"&amp;Tabla_Buffers_Agroinsumos[[#This Row],[CODIGO ]],TABLACONSOLIDADA[Bodega]&amp;TABLACONSOLIDADA[Codigo],0)),"")</f>
        <v/>
      </c>
      <c r="DF174" s="157" t="str">
        <f t="array" ref="DF174">IFERROR(INDEX(TABLACONSOLIDADA[Inv Fís Act],MATCH("AGROINSUMOSAGRONUEVO"&amp;Tabla_Buffers_Agroinsumos[[#This Row],[CODIGO ]],TABLACONSOLIDADA[Bodega]&amp;TABLACONSOLIDADA[Codigo],0)),"")</f>
        <v/>
      </c>
      <c r="DG174" s="157" t="str">
        <f t="array" ref="DG17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7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74" s="134">
        <f>IFERROR(SUM(Tabla_Buffers_Agroinsumos[[#This Row],[AN-MP]:[AN-VL]]),"")</f>
        <v>0</v>
      </c>
      <c r="DJ174" s="92" t="str">
        <f>IFERROR(Tabla_Buffers_Agroinsumos[[#This Row],[INV FIS AN]]-Tabla_Buffers_Agroinsumos[[#This Row],[BUFFER AN]],"")</f>
        <v/>
      </c>
      <c r="DK17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74" s="134"/>
      <c r="DM174" s="134"/>
      <c r="DN174" s="134"/>
      <c r="DO174" s="134"/>
      <c r="DP174" s="134"/>
      <c r="DQ174" s="134"/>
      <c r="DR174" s="134"/>
      <c r="DS174" s="134"/>
      <c r="DT174" s="134"/>
      <c r="DU174" s="134" t="str">
        <f t="array" ref="DU174">IFERROR(INDEX(TABLACONSOLIDADA[Buff Act],MATCH("AGROINSUMOSAGROQUIMICOSSUR"&amp;Tabla_Buffers_Agroinsumos[[#This Row],[CODIGO ]],TABLACONSOLIDADA[Bodega]&amp;TABLACONSOLIDADA[Codigo],0)),"")</f>
        <v/>
      </c>
      <c r="DV174" s="157" t="str">
        <f t="array" ref="DV174">IFERROR(INDEX(TABLACONSOLIDADA[Inv Fís Act],MATCH("AGROINSUMOSAGROQUIMICOSSUR"&amp;Tabla_Buffers_Agroinsumos[[#This Row],[CODIGO ]],TABLACONSOLIDADA[Bodega]&amp;TABLACONSOLIDADA[Codigo],0)),"")</f>
        <v/>
      </c>
      <c r="DW174" s="157" t="str">
        <f t="array" ref="DW17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7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74" s="134">
        <f>IFERROR(SUM(Tabla_Buffers_Agroinsumos[[#This Row],[AS-MP]:[AS-VL]]),"")</f>
        <v>0</v>
      </c>
      <c r="DZ174" s="92" t="str">
        <f>IFERROR(Tabla_Buffers_Agroinsumos[[#This Row],[INV FIS AS]]-Tabla_Buffers_Agroinsumos[[#This Row],[BUFFER AS]],"")</f>
        <v/>
      </c>
      <c r="EA17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74" s="134"/>
      <c r="EC174" s="134"/>
      <c r="ED174" s="134"/>
      <c r="EE174" s="134"/>
      <c r="EF174" s="134"/>
      <c r="EG174" s="134"/>
      <c r="EH174" s="134"/>
      <c r="EI174" s="134"/>
      <c r="EJ174" s="134"/>
      <c r="EK174" s="134" t="str">
        <f t="array" ref="EK174">IFERROR(INDEX(TABLACONSOLIDADA[Buff Act],MATCH("AGROINSUMOSLAFINCA"&amp;Tabla_Buffers_Agroinsumos[[#This Row],[CODIGO ]],TABLACONSOLIDADA[Bodega]&amp;TABLACONSOLIDADA[Codigo],0)),"")</f>
        <v/>
      </c>
      <c r="EL174" s="157" t="str">
        <f t="array" ref="EL174">IFERROR(INDEX(TABLACONSOLIDADA[Inv Fís Act],MATCH("AGROINSUMOSLAFINCA"&amp;Tabla_Buffers_Agroinsumos[[#This Row],[CODIGO ]],TABLACONSOLIDADA[Bodega]&amp;TABLACONSOLIDADA[Codigo],0)),"")</f>
        <v/>
      </c>
      <c r="EM174" s="157" t="str">
        <f t="array" ref="EM17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7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74" s="134">
        <f>IFERROR(SUM(Tabla_Buffers_Agroinsumos[[#This Row],[LF-MP]:[LF-VL]]),"")</f>
        <v>0</v>
      </c>
      <c r="EP174" s="92" t="str">
        <f>IFERROR(Tabla_Buffers_Agroinsumos[[#This Row],[INV FIS LF]]-Tabla_Buffers_Agroinsumos[[#This Row],[BUFFER LF]],"")</f>
        <v/>
      </c>
      <c r="EQ17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74" s="134"/>
      <c r="ES174" s="134"/>
      <c r="ET174" s="134"/>
      <c r="EU174" s="134"/>
      <c r="EV174" s="134"/>
      <c r="EW174" s="134"/>
      <c r="EX174" s="134"/>
      <c r="EY174" s="134"/>
      <c r="EZ174" s="134"/>
      <c r="FA174" s="134" t="str">
        <f t="array" ref="FA174">IFERROR(INDEX(TABLACONSOLIDADA[Buff Act],MATCH("AGROINSUMOSVERONICALEDESMA"&amp;Tabla_Buffers_Agroinsumos[[#This Row],[CODIGO ]],TABLACONSOLIDADA[Bodega]&amp;TABLACONSOLIDADA[Codigo],0)),"")</f>
        <v/>
      </c>
      <c r="FB174" s="157" t="str">
        <f t="array" ref="FB174">IFERROR(INDEX(TABLACONSOLIDADA[Inv Fís Act],MATCH("AGROINSUMOSVERONICALEDESMA"&amp;Tabla_Buffers_Agroinsumos[[#This Row],[CODIGO ]],TABLACONSOLIDADA[Bodega]&amp;TABLACONSOLIDADA[Codigo],0)),"")</f>
        <v/>
      </c>
      <c r="FC174" s="157" t="str">
        <f t="array" ref="FC17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7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74" s="134">
        <f>IFERROR(SUM(Tabla_Buffers_Agroinsumos[[#This Row],[VL-MP]:[VL-LF]]),"")</f>
        <v>0</v>
      </c>
      <c r="FF174" s="92" t="str">
        <f>IFERROR(Tabla_Buffers_Agroinsumos[[#This Row],[INV FIS VL]]-Tabla_Buffers_Agroinsumos[[#This Row],[BUFFER VL]],"")</f>
        <v/>
      </c>
      <c r="FG17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74" s="134"/>
      <c r="FI174" s="134"/>
      <c r="FJ174" s="134"/>
      <c r="FK174" s="134"/>
      <c r="FL174" s="134"/>
      <c r="FM174" s="134"/>
      <c r="FN174" s="134"/>
      <c r="FO174" s="134"/>
      <c r="FP174" s="134"/>
    </row>
    <row r="175" spans="1:172">
      <c r="A175" s="7" t="s">
        <v>312</v>
      </c>
      <c r="B175" s="7" t="s">
        <v>313</v>
      </c>
      <c r="C175" s="7" t="s">
        <v>716</v>
      </c>
      <c r="D175" s="7" t="s">
        <v>718</v>
      </c>
      <c r="E175" s="7" t="s">
        <v>863</v>
      </c>
      <c r="F175" s="19" t="s">
        <v>808</v>
      </c>
      <c r="G175" s="19" t="s">
        <v>802</v>
      </c>
      <c r="H175" s="19">
        <f>VLOOKUP(Tabla_Buffers_Agroinsumos[[#This Row],[CODIGO ]],TABLACONSOLIDADA[[Codigo]:[PV]],6,0)</f>
        <v>0</v>
      </c>
      <c r="I175" s="19">
        <f>VLOOKUP(Tabla_Buffers_Agroinsumos[[#This Row],[CODIGO ]],TABLACONSOLIDADA[[Codigo]:[PV]],5,0)</f>
        <v>0.12</v>
      </c>
      <c r="J175" s="19">
        <v>4</v>
      </c>
      <c r="K175" s="19">
        <v>6</v>
      </c>
      <c r="L175" s="19">
        <f>IFERROR(Tabla_Buffers_Agroinsumos[[#This Row],[BUFFER CENTRAL]]/((Tabla_Buffers_Agroinsumos[[#This Row],[TIEMPO REPOSICION ]]/Tabla_Buffers_Agroinsumos[[#This Row],[FRECUENCIA]])+1),0)</f>
        <v>0</v>
      </c>
      <c r="M175" s="19">
        <f t="array" ref="M175">IFERROR(INDEX(TABLACONSOLIDADA[Buff Act],MATCH("AGROINSUMOSMATERIAPRIMA"&amp;Tabla_Buffers_Agroinsumos[[#This Row],[CODIGO ]],TABLACONSOLIDADA[Bodega]&amp;TABLACONSOLIDADA[Codigo],0)),"")</f>
        <v>1500</v>
      </c>
      <c r="N175" s="157">
        <f t="array" ref="N175">IFERROR(INDEX(TABLACONSOLIDADA[Inv Fís Act],MATCH("AGROINSUMOSMATERIAPRIMA"&amp;Tabla_Buffers_Agroinsumos[[#This Row],[CODIGO ]],TABLACONSOLIDADA[Bodega]&amp;TABLACONSOLIDADA[Codigo],0)),"")</f>
        <v>511</v>
      </c>
      <c r="O175" s="157">
        <f t="array" ref="O17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1311</v>
      </c>
      <c r="P17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75" s="19">
        <f>IFERROR(SUM(Tabla_Buffers_Agroinsumos[[#This Row],[MP-C]:[MP-VL]]),"")</f>
        <v>0</v>
      </c>
      <c r="R175" s="92">
        <f>IFERROR(Tabla_Buffers_Agroinsumos[[#This Row],[INV FIS MATERIA PRIMA]]-Tabla_Buffers_Agroinsumos[[#This Row],[BUFFER MATERIA PRIMA]],"")</f>
        <v>-989</v>
      </c>
      <c r="S17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-989</v>
      </c>
      <c r="T175" s="19"/>
      <c r="U175" s="19"/>
      <c r="V175" s="19"/>
      <c r="W175" s="19"/>
      <c r="X175" s="19"/>
      <c r="Y175" s="19"/>
      <c r="Z175" s="19"/>
      <c r="AA175" s="19"/>
      <c r="AB175" s="19"/>
      <c r="AC175" s="152" t="str">
        <f t="array" ref="AC175">IFERROR(INDEX(TABLACONSOLIDADA[Buff Act],MATCH("AGROINSUMOSCENTRAL"&amp;Tabla_Buffers_Agroinsumos[[#This Row],[CODIGO ]],TABLACONSOLIDADA[Bodega]&amp;TABLACONSOLIDADA[Codigo],0)),"")</f>
        <v/>
      </c>
      <c r="AD175" s="157" t="str">
        <f t="array" ref="AD175">IFERROR(INDEX(TABLACONSOLIDADA[Inv Fís Act],MATCH("AGROINSUMOSCENTRAL"&amp;Tabla_Buffers_Agroinsumos[[#This Row],[CODIGO ]],TABLACONSOLIDADA[Bodega]&amp;TABLACONSOLIDADA[Codigo],0)),"")</f>
        <v/>
      </c>
      <c r="AE175" s="157" t="str">
        <f t="array" ref="AE17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7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75" s="91">
        <f>IFERROR(SUM(Tabla_Buffers_Agroinsumos[[#This Row],[C-MP]:[C-VL]]),"")</f>
        <v>0</v>
      </c>
      <c r="AH175" s="92" t="str">
        <f>IFERROR(Tabla_Buffers_Agroinsumos[[#This Row],[INV FIS CENTRAL]]-Tabla_Buffers_Agroinsumos[[#This Row],[BUFFER CENTRAL]],"")</f>
        <v/>
      </c>
      <c r="AI17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75" s="134"/>
      <c r="AK175" s="134"/>
      <c r="AL175" s="134"/>
      <c r="AM175" s="134"/>
      <c r="AN175" s="134"/>
      <c r="AO175" s="134"/>
      <c r="AP175" s="134"/>
      <c r="AQ175" s="134"/>
      <c r="AR175" s="134"/>
      <c r="AS175" s="134" t="str">
        <f t="array" ref="AS175">IFERROR(INDEX(TABLACONSOLIDADA[Buff Act],MATCH("AGROINSUMOScentralPROPIA"&amp;Tabla_Buffers_Agroinsumos[[#This Row],[CODIGO ]],TABLACONSOLIDADA[Bodega]&amp;TABLACONSOLIDADA[Codigo],0)),"")</f>
        <v/>
      </c>
      <c r="AT175" s="157" t="str">
        <f t="array" ref="AT175">IFERROR(INDEX(TABLACONSOLIDADA[Inv Fís Act],MATCH("AGROINSUMOScentralPROPIA"&amp;Tabla_Buffers_Agroinsumos[[#This Row],[CODIGO ]],TABLACONSOLIDADA[Bodega]&amp;TABLACONSOLIDADA[Codigo],0)),"")</f>
        <v/>
      </c>
      <c r="AU175" s="157" t="str">
        <f t="array" ref="AU17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7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75" s="134">
        <f>IFERROR(SUM(Tabla_Buffers_Agroinsumos[[#This Row],[P-MP]:[P-VL]]),"")</f>
        <v>0</v>
      </c>
      <c r="AX175" s="92" t="str">
        <f>IFERROR(Tabla_Buffers_Agroinsumos[[#This Row],[INV FIS PROPIA]]-Tabla_Buffers_Agroinsumos[[#This Row],[BUFFER PROPIA]],"")</f>
        <v/>
      </c>
      <c r="AY17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75" s="134"/>
      <c r="BA175" s="134"/>
      <c r="BB175" s="134"/>
      <c r="BC175" s="134"/>
      <c r="BD175" s="134"/>
      <c r="BE175" s="134"/>
      <c r="BF175" s="134"/>
      <c r="BG175" s="134"/>
      <c r="BH175" s="134"/>
      <c r="BI175" s="91" t="str">
        <f t="array" ref="BI175">IFERROR(INDEX(TABLACONSOLIDADA[Buff Act],MATCH("AGROINSUMOSSTODOMINGO"&amp;Tabla_Buffers_Agroinsumos[[#This Row],[CODIGO ]],TABLACONSOLIDADA[Bodega]&amp;TABLACONSOLIDADA[Codigo],0)),"")</f>
        <v/>
      </c>
      <c r="BJ175" s="157" t="str">
        <f t="array" ref="BJ175">IFERROR(INDEX(TABLACONSOLIDADA[Inv Fís Act],MATCH("AGROINSUMOSSTODOMINGO"&amp;Tabla_Buffers_Agroinsumos[[#This Row],[CODIGO ]],TABLACONSOLIDADA[Bodega]&amp;TABLACONSOLIDADA[Codigo],0)),"")</f>
        <v/>
      </c>
      <c r="BK175" s="157" t="str">
        <f t="array" ref="BK17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7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75" s="91">
        <f>IFERROR(SUM(Tabla_Buffers_Agroinsumos[[#This Row],[SD-MP]:[SD-VL]]),"")</f>
        <v>0</v>
      </c>
      <c r="BN175" s="92"/>
      <c r="BO175" s="92"/>
      <c r="BP175" s="134"/>
      <c r="BQ175" s="134"/>
      <c r="BR175" s="134"/>
      <c r="BS175" s="134"/>
      <c r="BT175" s="134"/>
      <c r="BU175" s="134"/>
      <c r="BV175" s="134"/>
      <c r="BW175" s="134"/>
      <c r="BX175" s="134"/>
      <c r="BY175" s="134" t="str">
        <f t="array" ref="BY175">IFERROR(INDEX(TABLACONSOLIDADA[Buff Act],MATCH("AGROINSUMOSMONCAYOLOPEZ"&amp;Tabla_Buffers_Agroinsumos[[#This Row],[CODIGO ]],TABLACONSOLIDADA[Bodega]&amp;TABLACONSOLIDADA[Codigo],0)),"")</f>
        <v/>
      </c>
      <c r="BZ175" s="157" t="str">
        <f t="array" ref="BZ175">IFERROR(INDEX(TABLACONSOLIDADA[Inv Fís Act],MATCH("AGROINSUMOSMONCAYOLOPEZ"&amp;Tabla_Buffers_Agroinsumos[[#This Row],[CODIGO ]],TABLACONSOLIDADA[Bodega]&amp;TABLACONSOLIDADA[Codigo],0)),"")</f>
        <v/>
      </c>
      <c r="CA175" s="157" t="str">
        <f t="array" ref="CA17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7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75" s="134">
        <f>IFERROR(SUM(Tabla_Buffers_Agroinsumos[[#This Row],[ML-MP]:[ML-VL]]),"")</f>
        <v>0</v>
      </c>
      <c r="CD175" s="92" t="str">
        <f>IFERROR(Tabla_Buffers_Agroinsumos[[#This Row],[INV FIS ML]]-Tabla_Buffers_Agroinsumos[[#This Row],[BUFFER ML]],"")</f>
        <v/>
      </c>
      <c r="CE17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75" s="134"/>
      <c r="CG175" s="134"/>
      <c r="CH175" s="134"/>
      <c r="CI175" s="134"/>
      <c r="CJ175" s="134"/>
      <c r="CK175" s="134"/>
      <c r="CL175" s="134"/>
      <c r="CM175" s="134"/>
      <c r="CN175" s="134"/>
      <c r="CO175" s="134" t="str">
        <f t="array" ref="CO175">IFERROR(INDEX(TABLACONSOLIDADA[Buff Act],MATCH("AGROINSUMOSAGROHERMANOSLEON"&amp;Tabla_Buffers_Agroinsumos[[#This Row],[CODIGO ]],TABLACONSOLIDADA[Bodega]&amp;TABLACONSOLIDADA[Codigo],0)),"")</f>
        <v/>
      </c>
      <c r="CP175" s="157" t="str">
        <f t="array" ref="CP175">IFERROR(INDEX(TABLACONSOLIDADA[Inv Fís Act],MATCH("AGROINSUMOSAGROHERMANOSLEON"&amp;Tabla_Buffers_Agroinsumos[[#This Row],[CODIGO ]],TABLACONSOLIDADA[Bodega]&amp;TABLACONSOLIDADA[Codigo],0)),"")</f>
        <v/>
      </c>
      <c r="CQ175" s="157" t="str">
        <f t="array" ref="CQ17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7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75" s="134">
        <f>IFERROR(SUM(Tabla_Buffers_Agroinsumos[[#This Row],[AL-MP]:[AL-VL]]),"")</f>
        <v>0</v>
      </c>
      <c r="CT175" s="92" t="str">
        <f>IFERROR(Tabla_Buffers_Agroinsumos[[#This Row],[INV FIS AL]]-Tabla_Buffers_Agroinsumos[[#This Row],[BUFFER AL]],"")</f>
        <v/>
      </c>
      <c r="CU17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75" s="134"/>
      <c r="CW175" s="134"/>
      <c r="CX175" s="134"/>
      <c r="CY175" s="134"/>
      <c r="CZ175" s="134"/>
      <c r="DA175" s="134"/>
      <c r="DB175" s="134"/>
      <c r="DC175" s="134"/>
      <c r="DD175" s="134"/>
      <c r="DE175" s="134" t="str">
        <f t="array" ref="DE175">IFERROR(INDEX(TABLACONSOLIDADA[Buff Act],MATCH("AGROINSUMOSAGRONUEVO"&amp;Tabla_Buffers_Agroinsumos[[#This Row],[CODIGO ]],TABLACONSOLIDADA[Bodega]&amp;TABLACONSOLIDADA[Codigo],0)),"")</f>
        <v/>
      </c>
      <c r="DF175" s="157" t="str">
        <f t="array" ref="DF175">IFERROR(INDEX(TABLACONSOLIDADA[Inv Fís Act],MATCH("AGROINSUMOSAGRONUEVO"&amp;Tabla_Buffers_Agroinsumos[[#This Row],[CODIGO ]],TABLACONSOLIDADA[Bodega]&amp;TABLACONSOLIDADA[Codigo],0)),"")</f>
        <v/>
      </c>
      <c r="DG175" s="157" t="str">
        <f t="array" ref="DG17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7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75" s="134">
        <f>IFERROR(SUM(Tabla_Buffers_Agroinsumos[[#This Row],[AN-MP]:[AN-VL]]),"")</f>
        <v>0</v>
      </c>
      <c r="DJ175" s="92" t="str">
        <f>IFERROR(Tabla_Buffers_Agroinsumos[[#This Row],[INV FIS AN]]-Tabla_Buffers_Agroinsumos[[#This Row],[BUFFER AN]],"")</f>
        <v/>
      </c>
      <c r="DK17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75" s="134"/>
      <c r="DM175" s="134"/>
      <c r="DN175" s="134"/>
      <c r="DO175" s="134"/>
      <c r="DP175" s="134"/>
      <c r="DQ175" s="134"/>
      <c r="DR175" s="134"/>
      <c r="DS175" s="134"/>
      <c r="DT175" s="134"/>
      <c r="DU175" s="134" t="str">
        <f t="array" ref="DU175">IFERROR(INDEX(TABLACONSOLIDADA[Buff Act],MATCH("AGROINSUMOSAGROQUIMICOSSUR"&amp;Tabla_Buffers_Agroinsumos[[#This Row],[CODIGO ]],TABLACONSOLIDADA[Bodega]&amp;TABLACONSOLIDADA[Codigo],0)),"")</f>
        <v/>
      </c>
      <c r="DV175" s="157" t="str">
        <f t="array" ref="DV175">IFERROR(INDEX(TABLACONSOLIDADA[Inv Fís Act],MATCH("AGROINSUMOSAGROQUIMICOSSUR"&amp;Tabla_Buffers_Agroinsumos[[#This Row],[CODIGO ]],TABLACONSOLIDADA[Bodega]&amp;TABLACONSOLIDADA[Codigo],0)),"")</f>
        <v/>
      </c>
      <c r="DW175" s="157" t="str">
        <f t="array" ref="DW17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7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75" s="134">
        <f>IFERROR(SUM(Tabla_Buffers_Agroinsumos[[#This Row],[AS-MP]:[AS-VL]]),"")</f>
        <v>0</v>
      </c>
      <c r="DZ175" s="92" t="str">
        <f>IFERROR(Tabla_Buffers_Agroinsumos[[#This Row],[INV FIS AS]]-Tabla_Buffers_Agroinsumos[[#This Row],[BUFFER AS]],"")</f>
        <v/>
      </c>
      <c r="EA17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75" s="134"/>
      <c r="EC175" s="134"/>
      <c r="ED175" s="134"/>
      <c r="EE175" s="134"/>
      <c r="EF175" s="134"/>
      <c r="EG175" s="134"/>
      <c r="EH175" s="134"/>
      <c r="EI175" s="134"/>
      <c r="EJ175" s="134"/>
      <c r="EK175" s="134" t="str">
        <f t="array" ref="EK175">IFERROR(INDEX(TABLACONSOLIDADA[Buff Act],MATCH("AGROINSUMOSLAFINCA"&amp;Tabla_Buffers_Agroinsumos[[#This Row],[CODIGO ]],TABLACONSOLIDADA[Bodega]&amp;TABLACONSOLIDADA[Codigo],0)),"")</f>
        <v/>
      </c>
      <c r="EL175" s="157" t="str">
        <f t="array" ref="EL175">IFERROR(INDEX(TABLACONSOLIDADA[Inv Fís Act],MATCH("AGROINSUMOSLAFINCA"&amp;Tabla_Buffers_Agroinsumos[[#This Row],[CODIGO ]],TABLACONSOLIDADA[Bodega]&amp;TABLACONSOLIDADA[Codigo],0)),"")</f>
        <v/>
      </c>
      <c r="EM175" s="157" t="str">
        <f t="array" ref="EM17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7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75" s="134">
        <f>IFERROR(SUM(Tabla_Buffers_Agroinsumos[[#This Row],[LF-MP]:[LF-VL]]),"")</f>
        <v>0</v>
      </c>
      <c r="EP175" s="92" t="str">
        <f>IFERROR(Tabla_Buffers_Agroinsumos[[#This Row],[INV FIS LF]]-Tabla_Buffers_Agroinsumos[[#This Row],[BUFFER LF]],"")</f>
        <v/>
      </c>
      <c r="EQ17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75" s="134"/>
      <c r="ES175" s="134"/>
      <c r="ET175" s="134"/>
      <c r="EU175" s="134"/>
      <c r="EV175" s="134"/>
      <c r="EW175" s="134"/>
      <c r="EX175" s="134"/>
      <c r="EY175" s="134"/>
      <c r="EZ175" s="134"/>
      <c r="FA175" s="134" t="str">
        <f t="array" ref="FA175">IFERROR(INDEX(TABLACONSOLIDADA[Buff Act],MATCH("AGROINSUMOSVERONICALEDESMA"&amp;Tabla_Buffers_Agroinsumos[[#This Row],[CODIGO ]],TABLACONSOLIDADA[Bodega]&amp;TABLACONSOLIDADA[Codigo],0)),"")</f>
        <v/>
      </c>
      <c r="FB175" s="157" t="str">
        <f t="array" ref="FB175">IFERROR(INDEX(TABLACONSOLIDADA[Inv Fís Act],MATCH("AGROINSUMOSVERONICALEDESMA"&amp;Tabla_Buffers_Agroinsumos[[#This Row],[CODIGO ]],TABLACONSOLIDADA[Bodega]&amp;TABLACONSOLIDADA[Codigo],0)),"")</f>
        <v/>
      </c>
      <c r="FC175" s="157" t="str">
        <f t="array" ref="FC17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7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75" s="134">
        <f>IFERROR(SUM(Tabla_Buffers_Agroinsumos[[#This Row],[VL-MP]:[VL-LF]]),"")</f>
        <v>0</v>
      </c>
      <c r="FF175" s="92" t="str">
        <f>IFERROR(Tabla_Buffers_Agroinsumos[[#This Row],[INV FIS VL]]-Tabla_Buffers_Agroinsumos[[#This Row],[BUFFER VL]],"")</f>
        <v/>
      </c>
      <c r="FG17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75" s="134"/>
      <c r="FI175" s="134"/>
      <c r="FJ175" s="134"/>
      <c r="FK175" s="134"/>
      <c r="FL175" s="134"/>
      <c r="FM175" s="134"/>
      <c r="FN175" s="134"/>
      <c r="FO175" s="134"/>
      <c r="FP175" s="134"/>
    </row>
    <row r="176" spans="1:172">
      <c r="A176" s="7" t="s">
        <v>314</v>
      </c>
      <c r="B176" s="7" t="s">
        <v>315</v>
      </c>
      <c r="C176" s="7" t="s">
        <v>716</v>
      </c>
      <c r="D176" s="7" t="s">
        <v>718</v>
      </c>
      <c r="E176" s="7" t="s">
        <v>863</v>
      </c>
      <c r="F176" s="19" t="s">
        <v>808</v>
      </c>
      <c r="G176" s="19" t="s">
        <v>802</v>
      </c>
      <c r="H176" s="19">
        <f>VLOOKUP(Tabla_Buffers_Agroinsumos[[#This Row],[CODIGO ]],TABLACONSOLIDADA[[Codigo]:[PV]],6,0)</f>
        <v>0</v>
      </c>
      <c r="I176" s="19">
        <f>VLOOKUP(Tabla_Buffers_Agroinsumos[[#This Row],[CODIGO ]],TABLACONSOLIDADA[[Codigo]:[PV]],5,0)</f>
        <v>0.13</v>
      </c>
      <c r="J176" s="19">
        <v>4</v>
      </c>
      <c r="K176" s="19">
        <v>6</v>
      </c>
      <c r="L176" s="19">
        <f>IFERROR(Tabla_Buffers_Agroinsumos[[#This Row],[BUFFER CENTRAL]]/((Tabla_Buffers_Agroinsumos[[#This Row],[TIEMPO REPOSICION ]]/Tabla_Buffers_Agroinsumos[[#This Row],[FRECUENCIA]])+1),0)</f>
        <v>0</v>
      </c>
      <c r="M176" s="19">
        <f t="array" ref="M176">IFERROR(INDEX(TABLACONSOLIDADA[Buff Act],MATCH("AGROINSUMOSMATERIAPRIMA"&amp;Tabla_Buffers_Agroinsumos[[#This Row],[CODIGO ]],TABLACONSOLIDADA[Bodega]&amp;TABLACONSOLIDADA[Codigo],0)),"")</f>
        <v>1500</v>
      </c>
      <c r="N176" s="157">
        <f t="array" ref="N176">IFERROR(INDEX(TABLACONSOLIDADA[Inv Fís Act],MATCH("AGROINSUMOSMATERIAPRIMA"&amp;Tabla_Buffers_Agroinsumos[[#This Row],[CODIGO ]],TABLACONSOLIDADA[Bodega]&amp;TABLACONSOLIDADA[Codigo],0)),"")</f>
        <v>1721</v>
      </c>
      <c r="O176" s="157">
        <f t="array" ref="O17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1721</v>
      </c>
      <c r="P17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76" s="19">
        <f>IFERROR(SUM(Tabla_Buffers_Agroinsumos[[#This Row],[MP-C]:[MP-VL]]),"")</f>
        <v>0</v>
      </c>
      <c r="R176" s="92">
        <f>IFERROR(Tabla_Buffers_Agroinsumos[[#This Row],[INV FIS MATERIA PRIMA]]-Tabla_Buffers_Agroinsumos[[#This Row],[BUFFER MATERIA PRIMA]],"")</f>
        <v>221</v>
      </c>
      <c r="S17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221</v>
      </c>
      <c r="T176" s="19"/>
      <c r="U176" s="19"/>
      <c r="V176" s="19"/>
      <c r="W176" s="19"/>
      <c r="X176" s="19"/>
      <c r="Y176" s="19"/>
      <c r="Z176" s="19"/>
      <c r="AA176" s="19"/>
      <c r="AB176" s="19"/>
      <c r="AC176" s="152" t="str">
        <f t="array" ref="AC176">IFERROR(INDEX(TABLACONSOLIDADA[Buff Act],MATCH("AGROINSUMOSCENTRAL"&amp;Tabla_Buffers_Agroinsumos[[#This Row],[CODIGO ]],TABLACONSOLIDADA[Bodega]&amp;TABLACONSOLIDADA[Codigo],0)),"")</f>
        <v/>
      </c>
      <c r="AD176" s="157" t="str">
        <f t="array" ref="AD176">IFERROR(INDEX(TABLACONSOLIDADA[Inv Fís Act],MATCH("AGROINSUMOSCENTRAL"&amp;Tabla_Buffers_Agroinsumos[[#This Row],[CODIGO ]],TABLACONSOLIDADA[Bodega]&amp;TABLACONSOLIDADA[Codigo],0)),"")</f>
        <v/>
      </c>
      <c r="AE176" s="157" t="str">
        <f t="array" ref="AE17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7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76" s="91">
        <f>IFERROR(SUM(Tabla_Buffers_Agroinsumos[[#This Row],[C-MP]:[C-VL]]),"")</f>
        <v>0</v>
      </c>
      <c r="AH176" s="92" t="str">
        <f>IFERROR(Tabla_Buffers_Agroinsumos[[#This Row],[INV FIS CENTRAL]]-Tabla_Buffers_Agroinsumos[[#This Row],[BUFFER CENTRAL]],"")</f>
        <v/>
      </c>
      <c r="AI17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76" s="134"/>
      <c r="AK176" s="134"/>
      <c r="AL176" s="134"/>
      <c r="AM176" s="134"/>
      <c r="AN176" s="134"/>
      <c r="AO176" s="134"/>
      <c r="AP176" s="134"/>
      <c r="AQ176" s="134"/>
      <c r="AR176" s="134"/>
      <c r="AS176" s="134" t="str">
        <f t="array" ref="AS176">IFERROR(INDEX(TABLACONSOLIDADA[Buff Act],MATCH("AGROINSUMOScentralPROPIA"&amp;Tabla_Buffers_Agroinsumos[[#This Row],[CODIGO ]],TABLACONSOLIDADA[Bodega]&amp;TABLACONSOLIDADA[Codigo],0)),"")</f>
        <v/>
      </c>
      <c r="AT176" s="157" t="str">
        <f t="array" ref="AT176">IFERROR(INDEX(TABLACONSOLIDADA[Inv Fís Act],MATCH("AGROINSUMOScentralPROPIA"&amp;Tabla_Buffers_Agroinsumos[[#This Row],[CODIGO ]],TABLACONSOLIDADA[Bodega]&amp;TABLACONSOLIDADA[Codigo],0)),"")</f>
        <v/>
      </c>
      <c r="AU176" s="157" t="str">
        <f t="array" ref="AU17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7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76" s="134">
        <f>IFERROR(SUM(Tabla_Buffers_Agroinsumos[[#This Row],[P-MP]:[P-VL]]),"")</f>
        <v>0</v>
      </c>
      <c r="AX176" s="92" t="str">
        <f>IFERROR(Tabla_Buffers_Agroinsumos[[#This Row],[INV FIS PROPIA]]-Tabla_Buffers_Agroinsumos[[#This Row],[BUFFER PROPIA]],"")</f>
        <v/>
      </c>
      <c r="AY17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76" s="134"/>
      <c r="BA176" s="134"/>
      <c r="BB176" s="134"/>
      <c r="BC176" s="134"/>
      <c r="BD176" s="134"/>
      <c r="BE176" s="134"/>
      <c r="BF176" s="134"/>
      <c r="BG176" s="134"/>
      <c r="BH176" s="134"/>
      <c r="BI176" s="91" t="str">
        <f t="array" ref="BI176">IFERROR(INDEX(TABLACONSOLIDADA[Buff Act],MATCH("AGROINSUMOSSTODOMINGO"&amp;Tabla_Buffers_Agroinsumos[[#This Row],[CODIGO ]],TABLACONSOLIDADA[Bodega]&amp;TABLACONSOLIDADA[Codigo],0)),"")</f>
        <v/>
      </c>
      <c r="BJ176" s="157" t="str">
        <f t="array" ref="BJ176">IFERROR(INDEX(TABLACONSOLIDADA[Inv Fís Act],MATCH("AGROINSUMOSSTODOMINGO"&amp;Tabla_Buffers_Agroinsumos[[#This Row],[CODIGO ]],TABLACONSOLIDADA[Bodega]&amp;TABLACONSOLIDADA[Codigo],0)),"")</f>
        <v/>
      </c>
      <c r="BK176" s="157" t="str">
        <f t="array" ref="BK17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7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76" s="91">
        <f>IFERROR(SUM(Tabla_Buffers_Agroinsumos[[#This Row],[SD-MP]:[SD-VL]]),"")</f>
        <v>0</v>
      </c>
      <c r="BN176" s="92"/>
      <c r="BO176" s="92"/>
      <c r="BP176" s="134"/>
      <c r="BQ176" s="134"/>
      <c r="BR176" s="134"/>
      <c r="BS176" s="134"/>
      <c r="BT176" s="134"/>
      <c r="BU176" s="134"/>
      <c r="BV176" s="134"/>
      <c r="BW176" s="134"/>
      <c r="BX176" s="134"/>
      <c r="BY176" s="134" t="str">
        <f t="array" ref="BY176">IFERROR(INDEX(TABLACONSOLIDADA[Buff Act],MATCH("AGROINSUMOSMONCAYOLOPEZ"&amp;Tabla_Buffers_Agroinsumos[[#This Row],[CODIGO ]],TABLACONSOLIDADA[Bodega]&amp;TABLACONSOLIDADA[Codigo],0)),"")</f>
        <v/>
      </c>
      <c r="BZ176" s="157" t="str">
        <f t="array" ref="BZ176">IFERROR(INDEX(TABLACONSOLIDADA[Inv Fís Act],MATCH("AGROINSUMOSMONCAYOLOPEZ"&amp;Tabla_Buffers_Agroinsumos[[#This Row],[CODIGO ]],TABLACONSOLIDADA[Bodega]&amp;TABLACONSOLIDADA[Codigo],0)),"")</f>
        <v/>
      </c>
      <c r="CA176" s="157" t="str">
        <f t="array" ref="CA17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7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76" s="134">
        <f>IFERROR(SUM(Tabla_Buffers_Agroinsumos[[#This Row],[ML-MP]:[ML-VL]]),"")</f>
        <v>0</v>
      </c>
      <c r="CD176" s="92" t="str">
        <f>IFERROR(Tabla_Buffers_Agroinsumos[[#This Row],[INV FIS ML]]-Tabla_Buffers_Agroinsumos[[#This Row],[BUFFER ML]],"")</f>
        <v/>
      </c>
      <c r="CE17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76" s="134"/>
      <c r="CG176" s="134"/>
      <c r="CH176" s="134"/>
      <c r="CI176" s="134"/>
      <c r="CJ176" s="134"/>
      <c r="CK176" s="134"/>
      <c r="CL176" s="134"/>
      <c r="CM176" s="134"/>
      <c r="CN176" s="134"/>
      <c r="CO176" s="134" t="str">
        <f t="array" ref="CO176">IFERROR(INDEX(TABLACONSOLIDADA[Buff Act],MATCH("AGROINSUMOSAGROHERMANOSLEON"&amp;Tabla_Buffers_Agroinsumos[[#This Row],[CODIGO ]],TABLACONSOLIDADA[Bodega]&amp;TABLACONSOLIDADA[Codigo],0)),"")</f>
        <v/>
      </c>
      <c r="CP176" s="157" t="str">
        <f t="array" ref="CP176">IFERROR(INDEX(TABLACONSOLIDADA[Inv Fís Act],MATCH("AGROINSUMOSAGROHERMANOSLEON"&amp;Tabla_Buffers_Agroinsumos[[#This Row],[CODIGO ]],TABLACONSOLIDADA[Bodega]&amp;TABLACONSOLIDADA[Codigo],0)),"")</f>
        <v/>
      </c>
      <c r="CQ176" s="157" t="str">
        <f t="array" ref="CQ17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7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76" s="134">
        <f>IFERROR(SUM(Tabla_Buffers_Agroinsumos[[#This Row],[AL-MP]:[AL-VL]]),"")</f>
        <v>0</v>
      </c>
      <c r="CT176" s="92" t="str">
        <f>IFERROR(Tabla_Buffers_Agroinsumos[[#This Row],[INV FIS AL]]-Tabla_Buffers_Agroinsumos[[#This Row],[BUFFER AL]],"")</f>
        <v/>
      </c>
      <c r="CU17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76" s="134"/>
      <c r="CW176" s="134"/>
      <c r="CX176" s="134"/>
      <c r="CY176" s="134"/>
      <c r="CZ176" s="134"/>
      <c r="DA176" s="134"/>
      <c r="DB176" s="134"/>
      <c r="DC176" s="134"/>
      <c r="DD176" s="134"/>
      <c r="DE176" s="134" t="str">
        <f t="array" ref="DE176">IFERROR(INDEX(TABLACONSOLIDADA[Buff Act],MATCH("AGROINSUMOSAGRONUEVO"&amp;Tabla_Buffers_Agroinsumos[[#This Row],[CODIGO ]],TABLACONSOLIDADA[Bodega]&amp;TABLACONSOLIDADA[Codigo],0)),"")</f>
        <v/>
      </c>
      <c r="DF176" s="157" t="str">
        <f t="array" ref="DF176">IFERROR(INDEX(TABLACONSOLIDADA[Inv Fís Act],MATCH("AGROINSUMOSAGRONUEVO"&amp;Tabla_Buffers_Agroinsumos[[#This Row],[CODIGO ]],TABLACONSOLIDADA[Bodega]&amp;TABLACONSOLIDADA[Codigo],0)),"")</f>
        <v/>
      </c>
      <c r="DG176" s="157" t="str">
        <f t="array" ref="DG17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7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76" s="134">
        <f>IFERROR(SUM(Tabla_Buffers_Agroinsumos[[#This Row],[AN-MP]:[AN-VL]]),"")</f>
        <v>0</v>
      </c>
      <c r="DJ176" s="92" t="str">
        <f>IFERROR(Tabla_Buffers_Agroinsumos[[#This Row],[INV FIS AN]]-Tabla_Buffers_Agroinsumos[[#This Row],[BUFFER AN]],"")</f>
        <v/>
      </c>
      <c r="DK17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76" s="134"/>
      <c r="DM176" s="134"/>
      <c r="DN176" s="134"/>
      <c r="DO176" s="134"/>
      <c r="DP176" s="134"/>
      <c r="DQ176" s="134"/>
      <c r="DR176" s="134"/>
      <c r="DS176" s="134"/>
      <c r="DT176" s="134"/>
      <c r="DU176" s="134" t="str">
        <f t="array" ref="DU176">IFERROR(INDEX(TABLACONSOLIDADA[Buff Act],MATCH("AGROINSUMOSAGROQUIMICOSSUR"&amp;Tabla_Buffers_Agroinsumos[[#This Row],[CODIGO ]],TABLACONSOLIDADA[Bodega]&amp;TABLACONSOLIDADA[Codigo],0)),"")</f>
        <v/>
      </c>
      <c r="DV176" s="157" t="str">
        <f t="array" ref="DV176">IFERROR(INDEX(TABLACONSOLIDADA[Inv Fís Act],MATCH("AGROINSUMOSAGROQUIMICOSSUR"&amp;Tabla_Buffers_Agroinsumos[[#This Row],[CODIGO ]],TABLACONSOLIDADA[Bodega]&amp;TABLACONSOLIDADA[Codigo],0)),"")</f>
        <v/>
      </c>
      <c r="DW176" s="157" t="str">
        <f t="array" ref="DW17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7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76" s="134">
        <f>IFERROR(SUM(Tabla_Buffers_Agroinsumos[[#This Row],[AS-MP]:[AS-VL]]),"")</f>
        <v>0</v>
      </c>
      <c r="DZ176" s="92" t="str">
        <f>IFERROR(Tabla_Buffers_Agroinsumos[[#This Row],[INV FIS AS]]-Tabla_Buffers_Agroinsumos[[#This Row],[BUFFER AS]],"")</f>
        <v/>
      </c>
      <c r="EA17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76" s="134"/>
      <c r="EC176" s="134"/>
      <c r="ED176" s="134"/>
      <c r="EE176" s="134"/>
      <c r="EF176" s="134"/>
      <c r="EG176" s="134"/>
      <c r="EH176" s="134"/>
      <c r="EI176" s="134"/>
      <c r="EJ176" s="134"/>
      <c r="EK176" s="134" t="str">
        <f t="array" ref="EK176">IFERROR(INDEX(TABLACONSOLIDADA[Buff Act],MATCH("AGROINSUMOSLAFINCA"&amp;Tabla_Buffers_Agroinsumos[[#This Row],[CODIGO ]],TABLACONSOLIDADA[Bodega]&amp;TABLACONSOLIDADA[Codigo],0)),"")</f>
        <v/>
      </c>
      <c r="EL176" s="157" t="str">
        <f t="array" ref="EL176">IFERROR(INDEX(TABLACONSOLIDADA[Inv Fís Act],MATCH("AGROINSUMOSLAFINCA"&amp;Tabla_Buffers_Agroinsumos[[#This Row],[CODIGO ]],TABLACONSOLIDADA[Bodega]&amp;TABLACONSOLIDADA[Codigo],0)),"")</f>
        <v/>
      </c>
      <c r="EM176" s="157" t="str">
        <f t="array" ref="EM17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7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76" s="134">
        <f>IFERROR(SUM(Tabla_Buffers_Agroinsumos[[#This Row],[LF-MP]:[LF-VL]]),"")</f>
        <v>0</v>
      </c>
      <c r="EP176" s="92" t="str">
        <f>IFERROR(Tabla_Buffers_Agroinsumos[[#This Row],[INV FIS LF]]-Tabla_Buffers_Agroinsumos[[#This Row],[BUFFER LF]],"")</f>
        <v/>
      </c>
      <c r="EQ17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76" s="134"/>
      <c r="ES176" s="134"/>
      <c r="ET176" s="134"/>
      <c r="EU176" s="134"/>
      <c r="EV176" s="134"/>
      <c r="EW176" s="134"/>
      <c r="EX176" s="134"/>
      <c r="EY176" s="134"/>
      <c r="EZ176" s="134"/>
      <c r="FA176" s="134" t="str">
        <f t="array" ref="FA176">IFERROR(INDEX(TABLACONSOLIDADA[Buff Act],MATCH("AGROINSUMOSVERONICALEDESMA"&amp;Tabla_Buffers_Agroinsumos[[#This Row],[CODIGO ]],TABLACONSOLIDADA[Bodega]&amp;TABLACONSOLIDADA[Codigo],0)),"")</f>
        <v/>
      </c>
      <c r="FB176" s="157" t="str">
        <f t="array" ref="FB176">IFERROR(INDEX(TABLACONSOLIDADA[Inv Fís Act],MATCH("AGROINSUMOSVERONICALEDESMA"&amp;Tabla_Buffers_Agroinsumos[[#This Row],[CODIGO ]],TABLACONSOLIDADA[Bodega]&amp;TABLACONSOLIDADA[Codigo],0)),"")</f>
        <v/>
      </c>
      <c r="FC176" s="157" t="str">
        <f t="array" ref="FC17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7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76" s="134">
        <f>IFERROR(SUM(Tabla_Buffers_Agroinsumos[[#This Row],[VL-MP]:[VL-LF]]),"")</f>
        <v>0</v>
      </c>
      <c r="FF176" s="92" t="str">
        <f>IFERROR(Tabla_Buffers_Agroinsumos[[#This Row],[INV FIS VL]]-Tabla_Buffers_Agroinsumos[[#This Row],[BUFFER VL]],"")</f>
        <v/>
      </c>
      <c r="FG17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76" s="134"/>
      <c r="FI176" s="134"/>
      <c r="FJ176" s="134"/>
      <c r="FK176" s="134"/>
      <c r="FL176" s="134"/>
      <c r="FM176" s="134"/>
      <c r="FN176" s="134"/>
      <c r="FO176" s="134"/>
      <c r="FP176" s="134"/>
    </row>
    <row r="177" spans="1:172">
      <c r="A177" s="7" t="s">
        <v>316</v>
      </c>
      <c r="B177" s="7" t="s">
        <v>317</v>
      </c>
      <c r="C177" s="7" t="s">
        <v>716</v>
      </c>
      <c r="D177" s="7" t="s">
        <v>718</v>
      </c>
      <c r="E177" s="7" t="s">
        <v>863</v>
      </c>
      <c r="F177" s="19" t="s">
        <v>808</v>
      </c>
      <c r="G177" s="19" t="s">
        <v>802</v>
      </c>
      <c r="H177" s="19">
        <f>VLOOKUP(Tabla_Buffers_Agroinsumos[[#This Row],[CODIGO ]],TABLACONSOLIDADA[[Codigo]:[PV]],6,0)</f>
        <v>0</v>
      </c>
      <c r="I177" s="19">
        <f>VLOOKUP(Tabla_Buffers_Agroinsumos[[#This Row],[CODIGO ]],TABLACONSOLIDADA[[Codigo]:[PV]],5,0)</f>
        <v>0.08</v>
      </c>
      <c r="J177" s="19">
        <v>4</v>
      </c>
      <c r="K177" s="19">
        <v>6</v>
      </c>
      <c r="L177" s="19">
        <f>IFERROR(Tabla_Buffers_Agroinsumos[[#This Row],[BUFFER CENTRAL]]/((Tabla_Buffers_Agroinsumos[[#This Row],[TIEMPO REPOSICION ]]/Tabla_Buffers_Agroinsumos[[#This Row],[FRECUENCIA]])+1),0)</f>
        <v>0</v>
      </c>
      <c r="M177" s="19">
        <f t="array" ref="M177">IFERROR(INDEX(TABLACONSOLIDADA[Buff Act],MATCH("AGROINSUMOSMATERIAPRIMA"&amp;Tabla_Buffers_Agroinsumos[[#This Row],[CODIGO ]],TABLACONSOLIDADA[Bodega]&amp;TABLACONSOLIDADA[Codigo],0)),"")</f>
        <v>1500</v>
      </c>
      <c r="N177" s="157">
        <f t="array" ref="N177">IFERROR(INDEX(TABLACONSOLIDADA[Inv Fís Act],MATCH("AGROINSUMOSMATERIAPRIMA"&amp;Tabla_Buffers_Agroinsumos[[#This Row],[CODIGO ]],TABLACONSOLIDADA[Bodega]&amp;TABLACONSOLIDADA[Codigo],0)),"")</f>
        <v>9</v>
      </c>
      <c r="O177" s="157">
        <f t="array" ref="O17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1509</v>
      </c>
      <c r="P17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77" s="19">
        <f>IFERROR(SUM(Tabla_Buffers_Agroinsumos[[#This Row],[MP-C]:[MP-VL]]),"")</f>
        <v>0</v>
      </c>
      <c r="R177" s="92">
        <f>IFERROR(Tabla_Buffers_Agroinsumos[[#This Row],[INV FIS MATERIA PRIMA]]-Tabla_Buffers_Agroinsumos[[#This Row],[BUFFER MATERIA PRIMA]],"")</f>
        <v>-1491</v>
      </c>
      <c r="S17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-1491</v>
      </c>
      <c r="T177" s="19"/>
      <c r="U177" s="19"/>
      <c r="V177" s="19"/>
      <c r="W177" s="19"/>
      <c r="X177" s="19"/>
      <c r="Y177" s="19"/>
      <c r="Z177" s="19"/>
      <c r="AA177" s="19"/>
      <c r="AB177" s="19"/>
      <c r="AC177" s="152" t="str">
        <f t="array" ref="AC177">IFERROR(INDEX(TABLACONSOLIDADA[Buff Act],MATCH("AGROINSUMOSCENTRAL"&amp;Tabla_Buffers_Agroinsumos[[#This Row],[CODIGO ]],TABLACONSOLIDADA[Bodega]&amp;TABLACONSOLIDADA[Codigo],0)),"")</f>
        <v/>
      </c>
      <c r="AD177" s="157" t="str">
        <f t="array" ref="AD177">IFERROR(INDEX(TABLACONSOLIDADA[Inv Fís Act],MATCH("AGROINSUMOSCENTRAL"&amp;Tabla_Buffers_Agroinsumos[[#This Row],[CODIGO ]],TABLACONSOLIDADA[Bodega]&amp;TABLACONSOLIDADA[Codigo],0)),"")</f>
        <v/>
      </c>
      <c r="AE177" s="157" t="str">
        <f t="array" ref="AE17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7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77" s="91">
        <f>IFERROR(SUM(Tabla_Buffers_Agroinsumos[[#This Row],[C-MP]:[C-VL]]),"")</f>
        <v>0</v>
      </c>
      <c r="AH177" s="92" t="str">
        <f>IFERROR(Tabla_Buffers_Agroinsumos[[#This Row],[INV FIS CENTRAL]]-Tabla_Buffers_Agroinsumos[[#This Row],[BUFFER CENTRAL]],"")</f>
        <v/>
      </c>
      <c r="AI17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4" t="str">
        <f t="array" ref="AS177">IFERROR(INDEX(TABLACONSOLIDADA[Buff Act],MATCH("AGROINSUMOScentralPROPIA"&amp;Tabla_Buffers_Agroinsumos[[#This Row],[CODIGO ]],TABLACONSOLIDADA[Bodega]&amp;TABLACONSOLIDADA[Codigo],0)),"")</f>
        <v/>
      </c>
      <c r="AT177" s="157" t="str">
        <f t="array" ref="AT177">IFERROR(INDEX(TABLACONSOLIDADA[Inv Fís Act],MATCH("AGROINSUMOScentralPROPIA"&amp;Tabla_Buffers_Agroinsumos[[#This Row],[CODIGO ]],TABLACONSOLIDADA[Bodega]&amp;TABLACONSOLIDADA[Codigo],0)),"")</f>
        <v/>
      </c>
      <c r="AU177" s="157" t="str">
        <f t="array" ref="AU17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7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77" s="134">
        <f>IFERROR(SUM(Tabla_Buffers_Agroinsumos[[#This Row],[P-MP]:[P-VL]]),"")</f>
        <v>0</v>
      </c>
      <c r="AX177" s="92" t="str">
        <f>IFERROR(Tabla_Buffers_Agroinsumos[[#This Row],[INV FIS PROPIA]]-Tabla_Buffers_Agroinsumos[[#This Row],[BUFFER PROPIA]],"")</f>
        <v/>
      </c>
      <c r="AY17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77" s="134"/>
      <c r="BA177" s="134"/>
      <c r="BB177" s="134"/>
      <c r="BC177" s="134"/>
      <c r="BD177" s="134"/>
      <c r="BE177" s="134"/>
      <c r="BF177" s="134"/>
      <c r="BG177" s="134"/>
      <c r="BH177" s="134"/>
      <c r="BI177" s="91" t="str">
        <f t="array" ref="BI177">IFERROR(INDEX(TABLACONSOLIDADA[Buff Act],MATCH("AGROINSUMOSSTODOMINGO"&amp;Tabla_Buffers_Agroinsumos[[#This Row],[CODIGO ]],TABLACONSOLIDADA[Bodega]&amp;TABLACONSOLIDADA[Codigo],0)),"")</f>
        <v/>
      </c>
      <c r="BJ177" s="157" t="str">
        <f t="array" ref="BJ177">IFERROR(INDEX(TABLACONSOLIDADA[Inv Fís Act],MATCH("AGROINSUMOSSTODOMINGO"&amp;Tabla_Buffers_Agroinsumos[[#This Row],[CODIGO ]],TABLACONSOLIDADA[Bodega]&amp;TABLACONSOLIDADA[Codigo],0)),"")</f>
        <v/>
      </c>
      <c r="BK177" s="157" t="str">
        <f t="array" ref="BK17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7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77" s="91">
        <f>IFERROR(SUM(Tabla_Buffers_Agroinsumos[[#This Row],[SD-MP]:[SD-VL]]),"")</f>
        <v>0</v>
      </c>
      <c r="BN177" s="92"/>
      <c r="BO177" s="92"/>
      <c r="BP177" s="134"/>
      <c r="BQ177" s="134"/>
      <c r="BR177" s="134"/>
      <c r="BS177" s="134"/>
      <c r="BT177" s="134"/>
      <c r="BU177" s="134"/>
      <c r="BV177" s="134"/>
      <c r="BW177" s="134"/>
      <c r="BX177" s="134"/>
      <c r="BY177" s="134" t="str">
        <f t="array" ref="BY177">IFERROR(INDEX(TABLACONSOLIDADA[Buff Act],MATCH("AGROINSUMOSMONCAYOLOPEZ"&amp;Tabla_Buffers_Agroinsumos[[#This Row],[CODIGO ]],TABLACONSOLIDADA[Bodega]&amp;TABLACONSOLIDADA[Codigo],0)),"")</f>
        <v/>
      </c>
      <c r="BZ177" s="157" t="str">
        <f t="array" ref="BZ177">IFERROR(INDEX(TABLACONSOLIDADA[Inv Fís Act],MATCH("AGROINSUMOSMONCAYOLOPEZ"&amp;Tabla_Buffers_Agroinsumos[[#This Row],[CODIGO ]],TABLACONSOLIDADA[Bodega]&amp;TABLACONSOLIDADA[Codigo],0)),"")</f>
        <v/>
      </c>
      <c r="CA177" s="157" t="str">
        <f t="array" ref="CA17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7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77" s="134">
        <f>IFERROR(SUM(Tabla_Buffers_Agroinsumos[[#This Row],[ML-MP]:[ML-VL]]),"")</f>
        <v>0</v>
      </c>
      <c r="CD177" s="92" t="str">
        <f>IFERROR(Tabla_Buffers_Agroinsumos[[#This Row],[INV FIS ML]]-Tabla_Buffers_Agroinsumos[[#This Row],[BUFFER ML]],"")</f>
        <v/>
      </c>
      <c r="CE17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77" s="134"/>
      <c r="CG177" s="134"/>
      <c r="CH177" s="134"/>
      <c r="CI177" s="134"/>
      <c r="CJ177" s="134"/>
      <c r="CK177" s="134"/>
      <c r="CL177" s="134"/>
      <c r="CM177" s="134"/>
      <c r="CN177" s="134"/>
      <c r="CO177" s="134" t="str">
        <f t="array" ref="CO177">IFERROR(INDEX(TABLACONSOLIDADA[Buff Act],MATCH("AGROINSUMOSAGROHERMANOSLEON"&amp;Tabla_Buffers_Agroinsumos[[#This Row],[CODIGO ]],TABLACONSOLIDADA[Bodega]&amp;TABLACONSOLIDADA[Codigo],0)),"")</f>
        <v/>
      </c>
      <c r="CP177" s="157" t="str">
        <f t="array" ref="CP177">IFERROR(INDEX(TABLACONSOLIDADA[Inv Fís Act],MATCH("AGROINSUMOSAGROHERMANOSLEON"&amp;Tabla_Buffers_Agroinsumos[[#This Row],[CODIGO ]],TABLACONSOLIDADA[Bodega]&amp;TABLACONSOLIDADA[Codigo],0)),"")</f>
        <v/>
      </c>
      <c r="CQ177" s="157" t="str">
        <f t="array" ref="CQ17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7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77" s="134">
        <f>IFERROR(SUM(Tabla_Buffers_Agroinsumos[[#This Row],[AL-MP]:[AL-VL]]),"")</f>
        <v>0</v>
      </c>
      <c r="CT177" s="92" t="str">
        <f>IFERROR(Tabla_Buffers_Agroinsumos[[#This Row],[INV FIS AL]]-Tabla_Buffers_Agroinsumos[[#This Row],[BUFFER AL]],"")</f>
        <v/>
      </c>
      <c r="CU17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77" s="134"/>
      <c r="CW177" s="134"/>
      <c r="CX177" s="134"/>
      <c r="CY177" s="134"/>
      <c r="CZ177" s="134"/>
      <c r="DA177" s="134"/>
      <c r="DB177" s="134"/>
      <c r="DC177" s="134"/>
      <c r="DD177" s="134"/>
      <c r="DE177" s="134" t="str">
        <f t="array" ref="DE177">IFERROR(INDEX(TABLACONSOLIDADA[Buff Act],MATCH("AGROINSUMOSAGRONUEVO"&amp;Tabla_Buffers_Agroinsumos[[#This Row],[CODIGO ]],TABLACONSOLIDADA[Bodega]&amp;TABLACONSOLIDADA[Codigo],0)),"")</f>
        <v/>
      </c>
      <c r="DF177" s="157" t="str">
        <f t="array" ref="DF177">IFERROR(INDEX(TABLACONSOLIDADA[Inv Fís Act],MATCH("AGROINSUMOSAGRONUEVO"&amp;Tabla_Buffers_Agroinsumos[[#This Row],[CODIGO ]],TABLACONSOLIDADA[Bodega]&amp;TABLACONSOLIDADA[Codigo],0)),"")</f>
        <v/>
      </c>
      <c r="DG177" s="157" t="str">
        <f t="array" ref="DG17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7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77" s="134">
        <f>IFERROR(SUM(Tabla_Buffers_Agroinsumos[[#This Row],[AN-MP]:[AN-VL]]),"")</f>
        <v>0</v>
      </c>
      <c r="DJ177" s="92" t="str">
        <f>IFERROR(Tabla_Buffers_Agroinsumos[[#This Row],[INV FIS AN]]-Tabla_Buffers_Agroinsumos[[#This Row],[BUFFER AN]],"")</f>
        <v/>
      </c>
      <c r="DK17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77" s="134"/>
      <c r="DM177" s="134"/>
      <c r="DN177" s="134"/>
      <c r="DO177" s="134"/>
      <c r="DP177" s="134"/>
      <c r="DQ177" s="134"/>
      <c r="DR177" s="134"/>
      <c r="DS177" s="134"/>
      <c r="DT177" s="134"/>
      <c r="DU177" s="134" t="str">
        <f t="array" ref="DU177">IFERROR(INDEX(TABLACONSOLIDADA[Buff Act],MATCH("AGROINSUMOSAGROQUIMICOSSUR"&amp;Tabla_Buffers_Agroinsumos[[#This Row],[CODIGO ]],TABLACONSOLIDADA[Bodega]&amp;TABLACONSOLIDADA[Codigo],0)),"")</f>
        <v/>
      </c>
      <c r="DV177" s="157" t="str">
        <f t="array" ref="DV177">IFERROR(INDEX(TABLACONSOLIDADA[Inv Fís Act],MATCH("AGROINSUMOSAGROQUIMICOSSUR"&amp;Tabla_Buffers_Agroinsumos[[#This Row],[CODIGO ]],TABLACONSOLIDADA[Bodega]&amp;TABLACONSOLIDADA[Codigo],0)),"")</f>
        <v/>
      </c>
      <c r="DW177" s="157" t="str">
        <f t="array" ref="DW17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7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77" s="134">
        <f>IFERROR(SUM(Tabla_Buffers_Agroinsumos[[#This Row],[AS-MP]:[AS-VL]]),"")</f>
        <v>0</v>
      </c>
      <c r="DZ177" s="92" t="str">
        <f>IFERROR(Tabla_Buffers_Agroinsumos[[#This Row],[INV FIS AS]]-Tabla_Buffers_Agroinsumos[[#This Row],[BUFFER AS]],"")</f>
        <v/>
      </c>
      <c r="EA17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77" s="134"/>
      <c r="EC177" s="134"/>
      <c r="ED177" s="134"/>
      <c r="EE177" s="134"/>
      <c r="EF177" s="134"/>
      <c r="EG177" s="134"/>
      <c r="EH177" s="134"/>
      <c r="EI177" s="134"/>
      <c r="EJ177" s="134"/>
      <c r="EK177" s="134" t="str">
        <f t="array" ref="EK177">IFERROR(INDEX(TABLACONSOLIDADA[Buff Act],MATCH("AGROINSUMOSLAFINCA"&amp;Tabla_Buffers_Agroinsumos[[#This Row],[CODIGO ]],TABLACONSOLIDADA[Bodega]&amp;TABLACONSOLIDADA[Codigo],0)),"")</f>
        <v/>
      </c>
      <c r="EL177" s="157" t="str">
        <f t="array" ref="EL177">IFERROR(INDEX(TABLACONSOLIDADA[Inv Fís Act],MATCH("AGROINSUMOSLAFINCA"&amp;Tabla_Buffers_Agroinsumos[[#This Row],[CODIGO ]],TABLACONSOLIDADA[Bodega]&amp;TABLACONSOLIDADA[Codigo],0)),"")</f>
        <v/>
      </c>
      <c r="EM177" s="157" t="str">
        <f t="array" ref="EM17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7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77" s="134">
        <f>IFERROR(SUM(Tabla_Buffers_Agroinsumos[[#This Row],[LF-MP]:[LF-VL]]),"")</f>
        <v>0</v>
      </c>
      <c r="EP177" s="92" t="str">
        <f>IFERROR(Tabla_Buffers_Agroinsumos[[#This Row],[INV FIS LF]]-Tabla_Buffers_Agroinsumos[[#This Row],[BUFFER LF]],"")</f>
        <v/>
      </c>
      <c r="EQ17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77" s="134"/>
      <c r="ES177" s="134"/>
      <c r="ET177" s="134"/>
      <c r="EU177" s="134"/>
      <c r="EV177" s="134"/>
      <c r="EW177" s="134"/>
      <c r="EX177" s="134"/>
      <c r="EY177" s="134"/>
      <c r="EZ177" s="134"/>
      <c r="FA177" s="134" t="str">
        <f t="array" ref="FA177">IFERROR(INDEX(TABLACONSOLIDADA[Buff Act],MATCH("AGROINSUMOSVERONICALEDESMA"&amp;Tabla_Buffers_Agroinsumos[[#This Row],[CODIGO ]],TABLACONSOLIDADA[Bodega]&amp;TABLACONSOLIDADA[Codigo],0)),"")</f>
        <v/>
      </c>
      <c r="FB177" s="157" t="str">
        <f t="array" ref="FB177">IFERROR(INDEX(TABLACONSOLIDADA[Inv Fís Act],MATCH("AGROINSUMOSVERONICALEDESMA"&amp;Tabla_Buffers_Agroinsumos[[#This Row],[CODIGO ]],TABLACONSOLIDADA[Bodega]&amp;TABLACONSOLIDADA[Codigo],0)),"")</f>
        <v/>
      </c>
      <c r="FC177" s="157" t="str">
        <f t="array" ref="FC17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7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77" s="134">
        <f>IFERROR(SUM(Tabla_Buffers_Agroinsumos[[#This Row],[VL-MP]:[VL-LF]]),"")</f>
        <v>0</v>
      </c>
      <c r="FF177" s="92" t="str">
        <f>IFERROR(Tabla_Buffers_Agroinsumos[[#This Row],[INV FIS VL]]-Tabla_Buffers_Agroinsumos[[#This Row],[BUFFER VL]],"")</f>
        <v/>
      </c>
      <c r="FG17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77" s="134"/>
      <c r="FI177" s="134"/>
      <c r="FJ177" s="134"/>
      <c r="FK177" s="134"/>
      <c r="FL177" s="134"/>
      <c r="FM177" s="134"/>
      <c r="FN177" s="134"/>
      <c r="FO177" s="134"/>
      <c r="FP177" s="134"/>
    </row>
    <row r="178" spans="1:172">
      <c r="A178" s="7" t="s">
        <v>318</v>
      </c>
      <c r="B178" s="7" t="s">
        <v>319</v>
      </c>
      <c r="C178" s="7" t="s">
        <v>716</v>
      </c>
      <c r="D178" s="7" t="s">
        <v>718</v>
      </c>
      <c r="E178" s="7" t="s">
        <v>863</v>
      </c>
      <c r="F178" s="19" t="s">
        <v>808</v>
      </c>
      <c r="G178" s="19" t="s">
        <v>802</v>
      </c>
      <c r="H178" s="19">
        <f>VLOOKUP(Tabla_Buffers_Agroinsumos[[#This Row],[CODIGO ]],TABLACONSOLIDADA[[Codigo]:[PV]],6,0)</f>
        <v>0</v>
      </c>
      <c r="I178" s="19">
        <f>VLOOKUP(Tabla_Buffers_Agroinsumos[[#This Row],[CODIGO ]],TABLACONSOLIDADA[[Codigo]:[PV]],5,0)</f>
        <v>0.1</v>
      </c>
      <c r="J178" s="19">
        <v>4</v>
      </c>
      <c r="K178" s="19">
        <v>6</v>
      </c>
      <c r="L178" s="19">
        <f>IFERROR(Tabla_Buffers_Agroinsumos[[#This Row],[BUFFER CENTRAL]]/((Tabla_Buffers_Agroinsumos[[#This Row],[TIEMPO REPOSICION ]]/Tabla_Buffers_Agroinsumos[[#This Row],[FRECUENCIA]])+1),0)</f>
        <v>0</v>
      </c>
      <c r="M178" s="19">
        <f t="array" ref="M178">IFERROR(INDEX(TABLACONSOLIDADA[Buff Act],MATCH("AGROINSUMOSMATERIAPRIMA"&amp;Tabla_Buffers_Agroinsumos[[#This Row],[CODIGO ]],TABLACONSOLIDADA[Bodega]&amp;TABLACONSOLIDADA[Codigo],0)),"")</f>
        <v>600</v>
      </c>
      <c r="N178" s="157">
        <f t="array" ref="N178">IFERROR(INDEX(TABLACONSOLIDADA[Inv Fís Act],MATCH("AGROINSUMOSMATERIAPRIMA"&amp;Tabla_Buffers_Agroinsumos[[#This Row],[CODIGO ]],TABLACONSOLIDADA[Bodega]&amp;TABLACONSOLIDADA[Codigo],0)),"")</f>
        <v>1059</v>
      </c>
      <c r="O178" s="157">
        <f t="array" ref="O17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1059</v>
      </c>
      <c r="P17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78" s="19">
        <f>IFERROR(SUM(Tabla_Buffers_Agroinsumos[[#This Row],[MP-C]:[MP-VL]]),"")</f>
        <v>0</v>
      </c>
      <c r="R178" s="92">
        <f>IFERROR(Tabla_Buffers_Agroinsumos[[#This Row],[INV FIS MATERIA PRIMA]]-Tabla_Buffers_Agroinsumos[[#This Row],[BUFFER MATERIA PRIMA]],"")</f>
        <v>459</v>
      </c>
      <c r="S17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459</v>
      </c>
      <c r="T178" s="19"/>
      <c r="U178" s="19"/>
      <c r="V178" s="19"/>
      <c r="W178" s="19"/>
      <c r="X178" s="19"/>
      <c r="Y178" s="19"/>
      <c r="Z178" s="19"/>
      <c r="AA178" s="19"/>
      <c r="AB178" s="19"/>
      <c r="AC178" s="152" t="str">
        <f t="array" ref="AC178">IFERROR(INDEX(TABLACONSOLIDADA[Buff Act],MATCH("AGROINSUMOSCENTRAL"&amp;Tabla_Buffers_Agroinsumos[[#This Row],[CODIGO ]],TABLACONSOLIDADA[Bodega]&amp;TABLACONSOLIDADA[Codigo],0)),"")</f>
        <v/>
      </c>
      <c r="AD178" s="157" t="str">
        <f t="array" ref="AD178">IFERROR(INDEX(TABLACONSOLIDADA[Inv Fís Act],MATCH("AGROINSUMOSCENTRAL"&amp;Tabla_Buffers_Agroinsumos[[#This Row],[CODIGO ]],TABLACONSOLIDADA[Bodega]&amp;TABLACONSOLIDADA[Codigo],0)),"")</f>
        <v/>
      </c>
      <c r="AE178" s="157" t="str">
        <f t="array" ref="AE17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7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78" s="91">
        <f>IFERROR(SUM(Tabla_Buffers_Agroinsumos[[#This Row],[C-MP]:[C-VL]]),"")</f>
        <v>0</v>
      </c>
      <c r="AH178" s="92" t="str">
        <f>IFERROR(Tabla_Buffers_Agroinsumos[[#This Row],[INV FIS CENTRAL]]-Tabla_Buffers_Agroinsumos[[#This Row],[BUFFER CENTRAL]],"")</f>
        <v/>
      </c>
      <c r="AI17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78" s="134"/>
      <c r="AK178" s="134"/>
      <c r="AL178" s="134"/>
      <c r="AM178" s="134"/>
      <c r="AN178" s="134"/>
      <c r="AO178" s="134"/>
      <c r="AP178" s="134"/>
      <c r="AQ178" s="134"/>
      <c r="AR178" s="134"/>
      <c r="AS178" s="134" t="str">
        <f t="array" ref="AS178">IFERROR(INDEX(TABLACONSOLIDADA[Buff Act],MATCH("AGROINSUMOScentralPROPIA"&amp;Tabla_Buffers_Agroinsumos[[#This Row],[CODIGO ]],TABLACONSOLIDADA[Bodega]&amp;TABLACONSOLIDADA[Codigo],0)),"")</f>
        <v/>
      </c>
      <c r="AT178" s="157" t="str">
        <f t="array" ref="AT178">IFERROR(INDEX(TABLACONSOLIDADA[Inv Fís Act],MATCH("AGROINSUMOScentralPROPIA"&amp;Tabla_Buffers_Agroinsumos[[#This Row],[CODIGO ]],TABLACONSOLIDADA[Bodega]&amp;TABLACONSOLIDADA[Codigo],0)),"")</f>
        <v/>
      </c>
      <c r="AU178" s="157" t="str">
        <f t="array" ref="AU17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7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78" s="134">
        <f>IFERROR(SUM(Tabla_Buffers_Agroinsumos[[#This Row],[P-MP]:[P-VL]]),"")</f>
        <v>0</v>
      </c>
      <c r="AX178" s="92" t="str">
        <f>IFERROR(Tabla_Buffers_Agroinsumos[[#This Row],[INV FIS PROPIA]]-Tabla_Buffers_Agroinsumos[[#This Row],[BUFFER PROPIA]],"")</f>
        <v/>
      </c>
      <c r="AY17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78" s="134"/>
      <c r="BA178" s="134"/>
      <c r="BB178" s="134"/>
      <c r="BC178" s="134"/>
      <c r="BD178" s="134"/>
      <c r="BE178" s="134"/>
      <c r="BF178" s="134"/>
      <c r="BG178" s="134"/>
      <c r="BH178" s="134"/>
      <c r="BI178" s="91" t="str">
        <f t="array" ref="BI178">IFERROR(INDEX(TABLACONSOLIDADA[Buff Act],MATCH("AGROINSUMOSSTODOMINGO"&amp;Tabla_Buffers_Agroinsumos[[#This Row],[CODIGO ]],TABLACONSOLIDADA[Bodega]&amp;TABLACONSOLIDADA[Codigo],0)),"")</f>
        <v/>
      </c>
      <c r="BJ178" s="157" t="str">
        <f t="array" ref="BJ178">IFERROR(INDEX(TABLACONSOLIDADA[Inv Fís Act],MATCH("AGROINSUMOSSTODOMINGO"&amp;Tabla_Buffers_Agroinsumos[[#This Row],[CODIGO ]],TABLACONSOLIDADA[Bodega]&amp;TABLACONSOLIDADA[Codigo],0)),"")</f>
        <v/>
      </c>
      <c r="BK178" s="157" t="str">
        <f t="array" ref="BK17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7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78" s="91">
        <f>IFERROR(SUM(Tabla_Buffers_Agroinsumos[[#This Row],[SD-MP]:[SD-VL]]),"")</f>
        <v>0</v>
      </c>
      <c r="BN178" s="92"/>
      <c r="BO178" s="92"/>
      <c r="BP178" s="134"/>
      <c r="BQ178" s="134"/>
      <c r="BR178" s="134"/>
      <c r="BS178" s="134"/>
      <c r="BT178" s="134"/>
      <c r="BU178" s="134"/>
      <c r="BV178" s="134"/>
      <c r="BW178" s="134"/>
      <c r="BX178" s="134"/>
      <c r="BY178" s="134" t="str">
        <f t="array" ref="BY178">IFERROR(INDEX(TABLACONSOLIDADA[Buff Act],MATCH("AGROINSUMOSMONCAYOLOPEZ"&amp;Tabla_Buffers_Agroinsumos[[#This Row],[CODIGO ]],TABLACONSOLIDADA[Bodega]&amp;TABLACONSOLIDADA[Codigo],0)),"")</f>
        <v/>
      </c>
      <c r="BZ178" s="157" t="str">
        <f t="array" ref="BZ178">IFERROR(INDEX(TABLACONSOLIDADA[Inv Fís Act],MATCH("AGROINSUMOSMONCAYOLOPEZ"&amp;Tabla_Buffers_Agroinsumos[[#This Row],[CODIGO ]],TABLACONSOLIDADA[Bodega]&amp;TABLACONSOLIDADA[Codigo],0)),"")</f>
        <v/>
      </c>
      <c r="CA178" s="157" t="str">
        <f t="array" ref="CA17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7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78" s="134">
        <f>IFERROR(SUM(Tabla_Buffers_Agroinsumos[[#This Row],[ML-MP]:[ML-VL]]),"")</f>
        <v>0</v>
      </c>
      <c r="CD178" s="92" t="str">
        <f>IFERROR(Tabla_Buffers_Agroinsumos[[#This Row],[INV FIS ML]]-Tabla_Buffers_Agroinsumos[[#This Row],[BUFFER ML]],"")</f>
        <v/>
      </c>
      <c r="CE17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78" s="134"/>
      <c r="CG178" s="134"/>
      <c r="CH178" s="134"/>
      <c r="CI178" s="134"/>
      <c r="CJ178" s="134"/>
      <c r="CK178" s="134"/>
      <c r="CL178" s="134"/>
      <c r="CM178" s="134"/>
      <c r="CN178" s="134"/>
      <c r="CO178" s="134" t="str">
        <f t="array" ref="CO178">IFERROR(INDEX(TABLACONSOLIDADA[Buff Act],MATCH("AGROINSUMOSAGROHERMANOSLEON"&amp;Tabla_Buffers_Agroinsumos[[#This Row],[CODIGO ]],TABLACONSOLIDADA[Bodega]&amp;TABLACONSOLIDADA[Codigo],0)),"")</f>
        <v/>
      </c>
      <c r="CP178" s="157" t="str">
        <f t="array" ref="CP178">IFERROR(INDEX(TABLACONSOLIDADA[Inv Fís Act],MATCH("AGROINSUMOSAGROHERMANOSLEON"&amp;Tabla_Buffers_Agroinsumos[[#This Row],[CODIGO ]],TABLACONSOLIDADA[Bodega]&amp;TABLACONSOLIDADA[Codigo],0)),"")</f>
        <v/>
      </c>
      <c r="CQ178" s="157" t="str">
        <f t="array" ref="CQ17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7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78" s="134">
        <f>IFERROR(SUM(Tabla_Buffers_Agroinsumos[[#This Row],[AL-MP]:[AL-VL]]),"")</f>
        <v>0</v>
      </c>
      <c r="CT178" s="92" t="str">
        <f>IFERROR(Tabla_Buffers_Agroinsumos[[#This Row],[INV FIS AL]]-Tabla_Buffers_Agroinsumos[[#This Row],[BUFFER AL]],"")</f>
        <v/>
      </c>
      <c r="CU17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78" s="134"/>
      <c r="CW178" s="134"/>
      <c r="CX178" s="134"/>
      <c r="CY178" s="134"/>
      <c r="CZ178" s="134"/>
      <c r="DA178" s="134"/>
      <c r="DB178" s="134"/>
      <c r="DC178" s="134"/>
      <c r="DD178" s="134"/>
      <c r="DE178" s="134" t="str">
        <f t="array" ref="DE178">IFERROR(INDEX(TABLACONSOLIDADA[Buff Act],MATCH("AGROINSUMOSAGRONUEVO"&amp;Tabla_Buffers_Agroinsumos[[#This Row],[CODIGO ]],TABLACONSOLIDADA[Bodega]&amp;TABLACONSOLIDADA[Codigo],0)),"")</f>
        <v/>
      </c>
      <c r="DF178" s="157" t="str">
        <f t="array" ref="DF178">IFERROR(INDEX(TABLACONSOLIDADA[Inv Fís Act],MATCH("AGROINSUMOSAGRONUEVO"&amp;Tabla_Buffers_Agroinsumos[[#This Row],[CODIGO ]],TABLACONSOLIDADA[Bodega]&amp;TABLACONSOLIDADA[Codigo],0)),"")</f>
        <v/>
      </c>
      <c r="DG178" s="157" t="str">
        <f t="array" ref="DG17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7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78" s="134">
        <f>IFERROR(SUM(Tabla_Buffers_Agroinsumos[[#This Row],[AN-MP]:[AN-VL]]),"")</f>
        <v>0</v>
      </c>
      <c r="DJ178" s="92" t="str">
        <f>IFERROR(Tabla_Buffers_Agroinsumos[[#This Row],[INV FIS AN]]-Tabla_Buffers_Agroinsumos[[#This Row],[BUFFER AN]],"")</f>
        <v/>
      </c>
      <c r="DK17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78" s="134"/>
      <c r="DM178" s="134"/>
      <c r="DN178" s="134"/>
      <c r="DO178" s="134"/>
      <c r="DP178" s="134"/>
      <c r="DQ178" s="134"/>
      <c r="DR178" s="134"/>
      <c r="DS178" s="134"/>
      <c r="DT178" s="134"/>
      <c r="DU178" s="134" t="str">
        <f t="array" ref="DU178">IFERROR(INDEX(TABLACONSOLIDADA[Buff Act],MATCH("AGROINSUMOSAGROQUIMICOSSUR"&amp;Tabla_Buffers_Agroinsumos[[#This Row],[CODIGO ]],TABLACONSOLIDADA[Bodega]&amp;TABLACONSOLIDADA[Codigo],0)),"")</f>
        <v/>
      </c>
      <c r="DV178" s="157" t="str">
        <f t="array" ref="DV178">IFERROR(INDEX(TABLACONSOLIDADA[Inv Fís Act],MATCH("AGROINSUMOSAGROQUIMICOSSUR"&amp;Tabla_Buffers_Agroinsumos[[#This Row],[CODIGO ]],TABLACONSOLIDADA[Bodega]&amp;TABLACONSOLIDADA[Codigo],0)),"")</f>
        <v/>
      </c>
      <c r="DW178" s="157" t="str">
        <f t="array" ref="DW17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7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78" s="134">
        <f>IFERROR(SUM(Tabla_Buffers_Agroinsumos[[#This Row],[AS-MP]:[AS-VL]]),"")</f>
        <v>0</v>
      </c>
      <c r="DZ178" s="92" t="str">
        <f>IFERROR(Tabla_Buffers_Agroinsumos[[#This Row],[INV FIS AS]]-Tabla_Buffers_Agroinsumos[[#This Row],[BUFFER AS]],"")</f>
        <v/>
      </c>
      <c r="EA17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78" s="134"/>
      <c r="EC178" s="134"/>
      <c r="ED178" s="134"/>
      <c r="EE178" s="134"/>
      <c r="EF178" s="134"/>
      <c r="EG178" s="134"/>
      <c r="EH178" s="134"/>
      <c r="EI178" s="134"/>
      <c r="EJ178" s="134"/>
      <c r="EK178" s="134" t="str">
        <f t="array" ref="EK178">IFERROR(INDEX(TABLACONSOLIDADA[Buff Act],MATCH("AGROINSUMOSLAFINCA"&amp;Tabla_Buffers_Agroinsumos[[#This Row],[CODIGO ]],TABLACONSOLIDADA[Bodega]&amp;TABLACONSOLIDADA[Codigo],0)),"")</f>
        <v/>
      </c>
      <c r="EL178" s="157" t="str">
        <f t="array" ref="EL178">IFERROR(INDEX(TABLACONSOLIDADA[Inv Fís Act],MATCH("AGROINSUMOSLAFINCA"&amp;Tabla_Buffers_Agroinsumos[[#This Row],[CODIGO ]],TABLACONSOLIDADA[Bodega]&amp;TABLACONSOLIDADA[Codigo],0)),"")</f>
        <v/>
      </c>
      <c r="EM178" s="157" t="str">
        <f t="array" ref="EM17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7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78" s="134">
        <f>IFERROR(SUM(Tabla_Buffers_Agroinsumos[[#This Row],[LF-MP]:[LF-VL]]),"")</f>
        <v>0</v>
      </c>
      <c r="EP178" s="92" t="str">
        <f>IFERROR(Tabla_Buffers_Agroinsumos[[#This Row],[INV FIS LF]]-Tabla_Buffers_Agroinsumos[[#This Row],[BUFFER LF]],"")</f>
        <v/>
      </c>
      <c r="EQ17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78" s="134"/>
      <c r="ES178" s="134"/>
      <c r="ET178" s="134"/>
      <c r="EU178" s="134"/>
      <c r="EV178" s="134"/>
      <c r="EW178" s="134"/>
      <c r="EX178" s="134"/>
      <c r="EY178" s="134"/>
      <c r="EZ178" s="134"/>
      <c r="FA178" s="134" t="str">
        <f t="array" ref="FA178">IFERROR(INDEX(TABLACONSOLIDADA[Buff Act],MATCH("AGROINSUMOSVERONICALEDESMA"&amp;Tabla_Buffers_Agroinsumos[[#This Row],[CODIGO ]],TABLACONSOLIDADA[Bodega]&amp;TABLACONSOLIDADA[Codigo],0)),"")</f>
        <v/>
      </c>
      <c r="FB178" s="157" t="str">
        <f t="array" ref="FB178">IFERROR(INDEX(TABLACONSOLIDADA[Inv Fís Act],MATCH("AGROINSUMOSVERONICALEDESMA"&amp;Tabla_Buffers_Agroinsumos[[#This Row],[CODIGO ]],TABLACONSOLIDADA[Bodega]&amp;TABLACONSOLIDADA[Codigo],0)),"")</f>
        <v/>
      </c>
      <c r="FC178" s="157" t="str">
        <f t="array" ref="FC17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7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78" s="134">
        <f>IFERROR(SUM(Tabla_Buffers_Agroinsumos[[#This Row],[VL-MP]:[VL-LF]]),"")</f>
        <v>0</v>
      </c>
      <c r="FF178" s="92" t="str">
        <f>IFERROR(Tabla_Buffers_Agroinsumos[[#This Row],[INV FIS VL]]-Tabla_Buffers_Agroinsumos[[#This Row],[BUFFER VL]],"")</f>
        <v/>
      </c>
      <c r="FG17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78" s="134"/>
      <c r="FI178" s="134"/>
      <c r="FJ178" s="134"/>
      <c r="FK178" s="134"/>
      <c r="FL178" s="134"/>
      <c r="FM178" s="134"/>
      <c r="FN178" s="134"/>
      <c r="FO178" s="134"/>
      <c r="FP178" s="134"/>
    </row>
    <row r="179" spans="1:172">
      <c r="A179" s="7" t="s">
        <v>320</v>
      </c>
      <c r="B179" s="7" t="s">
        <v>321</v>
      </c>
      <c r="C179" s="7" t="s">
        <v>716</v>
      </c>
      <c r="D179" s="7" t="s">
        <v>718</v>
      </c>
      <c r="E179" s="7" t="s">
        <v>863</v>
      </c>
      <c r="F179" s="19" t="s">
        <v>808</v>
      </c>
      <c r="G179" s="19" t="s">
        <v>802</v>
      </c>
      <c r="H179" s="19">
        <f>VLOOKUP(Tabla_Buffers_Agroinsumos[[#This Row],[CODIGO ]],TABLACONSOLIDADA[[Codigo]:[PV]],6,0)</f>
        <v>0</v>
      </c>
      <c r="I179" s="19">
        <f>VLOOKUP(Tabla_Buffers_Agroinsumos[[#This Row],[CODIGO ]],TABLACONSOLIDADA[[Codigo]:[PV]],5,0)</f>
        <v>0.27</v>
      </c>
      <c r="J179" s="19">
        <v>4</v>
      </c>
      <c r="K179" s="19">
        <v>6</v>
      </c>
      <c r="L179" s="19">
        <f>IFERROR(Tabla_Buffers_Agroinsumos[[#This Row],[BUFFER CENTRAL]]/((Tabla_Buffers_Agroinsumos[[#This Row],[TIEMPO REPOSICION ]]/Tabla_Buffers_Agroinsumos[[#This Row],[FRECUENCIA]])+1),0)</f>
        <v>0</v>
      </c>
      <c r="M179" s="19">
        <f t="array" ref="M179">IFERROR(INDEX(TABLACONSOLIDADA[Buff Act],MATCH("AGROINSUMOSMATERIAPRIMA"&amp;Tabla_Buffers_Agroinsumos[[#This Row],[CODIGO ]],TABLACONSOLIDADA[Bodega]&amp;TABLACONSOLIDADA[Codigo],0)),"")</f>
        <v>500</v>
      </c>
      <c r="N179" s="157">
        <f t="array" ref="N179">IFERROR(INDEX(TABLACONSOLIDADA[Inv Fís Act],MATCH("AGROINSUMOSMATERIAPRIMA"&amp;Tabla_Buffers_Agroinsumos[[#This Row],[CODIGO ]],TABLACONSOLIDADA[Bodega]&amp;TABLACONSOLIDADA[Codigo],0)),"")</f>
        <v>737</v>
      </c>
      <c r="O179" s="157">
        <f t="array" ref="O17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737</v>
      </c>
      <c r="P17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79" s="19">
        <f>IFERROR(SUM(Tabla_Buffers_Agroinsumos[[#This Row],[MP-C]:[MP-VL]]),"")</f>
        <v>0</v>
      </c>
      <c r="R179" s="92">
        <f>IFERROR(Tabla_Buffers_Agroinsumos[[#This Row],[INV FIS MATERIA PRIMA]]-Tabla_Buffers_Agroinsumos[[#This Row],[BUFFER MATERIA PRIMA]],"")</f>
        <v>237</v>
      </c>
      <c r="S17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237</v>
      </c>
      <c r="T179" s="19"/>
      <c r="U179" s="19"/>
      <c r="V179" s="19"/>
      <c r="W179" s="19"/>
      <c r="X179" s="19"/>
      <c r="Y179" s="19"/>
      <c r="Z179" s="19"/>
      <c r="AA179" s="19"/>
      <c r="AB179" s="19"/>
      <c r="AC179" s="152" t="str">
        <f t="array" ref="AC179">IFERROR(INDEX(TABLACONSOLIDADA[Buff Act],MATCH("AGROINSUMOSCENTRAL"&amp;Tabla_Buffers_Agroinsumos[[#This Row],[CODIGO ]],TABLACONSOLIDADA[Bodega]&amp;TABLACONSOLIDADA[Codigo],0)),"")</f>
        <v/>
      </c>
      <c r="AD179" s="157" t="str">
        <f t="array" ref="AD179">IFERROR(INDEX(TABLACONSOLIDADA[Inv Fís Act],MATCH("AGROINSUMOSCENTRAL"&amp;Tabla_Buffers_Agroinsumos[[#This Row],[CODIGO ]],TABLACONSOLIDADA[Bodega]&amp;TABLACONSOLIDADA[Codigo],0)),"")</f>
        <v/>
      </c>
      <c r="AE179" s="157" t="str">
        <f t="array" ref="AE17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7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79" s="91">
        <f>IFERROR(SUM(Tabla_Buffers_Agroinsumos[[#This Row],[C-MP]:[C-VL]]),"")</f>
        <v>0</v>
      </c>
      <c r="AH179" s="92" t="str">
        <f>IFERROR(Tabla_Buffers_Agroinsumos[[#This Row],[INV FIS CENTRAL]]-Tabla_Buffers_Agroinsumos[[#This Row],[BUFFER CENTRAL]],"")</f>
        <v/>
      </c>
      <c r="AI17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79" s="134"/>
      <c r="AK179" s="134"/>
      <c r="AL179" s="134"/>
      <c r="AM179" s="134"/>
      <c r="AN179" s="134"/>
      <c r="AO179" s="134"/>
      <c r="AP179" s="134"/>
      <c r="AQ179" s="134"/>
      <c r="AR179" s="134"/>
      <c r="AS179" s="134" t="str">
        <f t="array" ref="AS179">IFERROR(INDEX(TABLACONSOLIDADA[Buff Act],MATCH("AGROINSUMOScentralPROPIA"&amp;Tabla_Buffers_Agroinsumos[[#This Row],[CODIGO ]],TABLACONSOLIDADA[Bodega]&amp;TABLACONSOLIDADA[Codigo],0)),"")</f>
        <v/>
      </c>
      <c r="AT179" s="157" t="str">
        <f t="array" ref="AT179">IFERROR(INDEX(TABLACONSOLIDADA[Inv Fís Act],MATCH("AGROINSUMOScentralPROPIA"&amp;Tabla_Buffers_Agroinsumos[[#This Row],[CODIGO ]],TABLACONSOLIDADA[Bodega]&amp;TABLACONSOLIDADA[Codigo],0)),"")</f>
        <v/>
      </c>
      <c r="AU179" s="157" t="str">
        <f t="array" ref="AU17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7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79" s="134">
        <f>IFERROR(SUM(Tabla_Buffers_Agroinsumos[[#This Row],[P-MP]:[P-VL]]),"")</f>
        <v>0</v>
      </c>
      <c r="AX179" s="92" t="str">
        <f>IFERROR(Tabla_Buffers_Agroinsumos[[#This Row],[INV FIS PROPIA]]-Tabla_Buffers_Agroinsumos[[#This Row],[BUFFER PROPIA]],"")</f>
        <v/>
      </c>
      <c r="AY17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79" s="134"/>
      <c r="BA179" s="134"/>
      <c r="BB179" s="134"/>
      <c r="BC179" s="134"/>
      <c r="BD179" s="134"/>
      <c r="BE179" s="134"/>
      <c r="BF179" s="134"/>
      <c r="BG179" s="134"/>
      <c r="BH179" s="134"/>
      <c r="BI179" s="91" t="str">
        <f t="array" ref="BI179">IFERROR(INDEX(TABLACONSOLIDADA[Buff Act],MATCH("AGROINSUMOSSTODOMINGO"&amp;Tabla_Buffers_Agroinsumos[[#This Row],[CODIGO ]],TABLACONSOLIDADA[Bodega]&amp;TABLACONSOLIDADA[Codigo],0)),"")</f>
        <v/>
      </c>
      <c r="BJ179" s="157" t="str">
        <f t="array" ref="BJ179">IFERROR(INDEX(TABLACONSOLIDADA[Inv Fís Act],MATCH("AGROINSUMOSSTODOMINGO"&amp;Tabla_Buffers_Agroinsumos[[#This Row],[CODIGO ]],TABLACONSOLIDADA[Bodega]&amp;TABLACONSOLIDADA[Codigo],0)),"")</f>
        <v/>
      </c>
      <c r="BK179" s="157" t="str">
        <f t="array" ref="BK17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7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79" s="91">
        <f>IFERROR(SUM(Tabla_Buffers_Agroinsumos[[#This Row],[SD-MP]:[SD-VL]]),"")</f>
        <v>0</v>
      </c>
      <c r="BN179" s="92"/>
      <c r="BO179" s="92"/>
      <c r="BP179" s="134"/>
      <c r="BQ179" s="134"/>
      <c r="BR179" s="134"/>
      <c r="BS179" s="134"/>
      <c r="BT179" s="134"/>
      <c r="BU179" s="134"/>
      <c r="BV179" s="134"/>
      <c r="BW179" s="134"/>
      <c r="BX179" s="134"/>
      <c r="BY179" s="134" t="str">
        <f t="array" ref="BY179">IFERROR(INDEX(TABLACONSOLIDADA[Buff Act],MATCH("AGROINSUMOSMONCAYOLOPEZ"&amp;Tabla_Buffers_Agroinsumos[[#This Row],[CODIGO ]],TABLACONSOLIDADA[Bodega]&amp;TABLACONSOLIDADA[Codigo],0)),"")</f>
        <v/>
      </c>
      <c r="BZ179" s="157" t="str">
        <f t="array" ref="BZ179">IFERROR(INDEX(TABLACONSOLIDADA[Inv Fís Act],MATCH("AGROINSUMOSMONCAYOLOPEZ"&amp;Tabla_Buffers_Agroinsumos[[#This Row],[CODIGO ]],TABLACONSOLIDADA[Bodega]&amp;TABLACONSOLIDADA[Codigo],0)),"")</f>
        <v/>
      </c>
      <c r="CA179" s="157" t="str">
        <f t="array" ref="CA17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7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79" s="134">
        <f>IFERROR(SUM(Tabla_Buffers_Agroinsumos[[#This Row],[ML-MP]:[ML-VL]]),"")</f>
        <v>0</v>
      </c>
      <c r="CD179" s="92" t="str">
        <f>IFERROR(Tabla_Buffers_Agroinsumos[[#This Row],[INV FIS ML]]-Tabla_Buffers_Agroinsumos[[#This Row],[BUFFER ML]],"")</f>
        <v/>
      </c>
      <c r="CE17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79" s="134"/>
      <c r="CG179" s="134"/>
      <c r="CH179" s="134"/>
      <c r="CI179" s="134"/>
      <c r="CJ179" s="134"/>
      <c r="CK179" s="134"/>
      <c r="CL179" s="134"/>
      <c r="CM179" s="134"/>
      <c r="CN179" s="134"/>
      <c r="CO179" s="134" t="str">
        <f t="array" ref="CO179">IFERROR(INDEX(TABLACONSOLIDADA[Buff Act],MATCH("AGROINSUMOSAGROHERMANOSLEON"&amp;Tabla_Buffers_Agroinsumos[[#This Row],[CODIGO ]],TABLACONSOLIDADA[Bodega]&amp;TABLACONSOLIDADA[Codigo],0)),"")</f>
        <v/>
      </c>
      <c r="CP179" s="157" t="str">
        <f t="array" ref="CP179">IFERROR(INDEX(TABLACONSOLIDADA[Inv Fís Act],MATCH("AGROINSUMOSAGROHERMANOSLEON"&amp;Tabla_Buffers_Agroinsumos[[#This Row],[CODIGO ]],TABLACONSOLIDADA[Bodega]&amp;TABLACONSOLIDADA[Codigo],0)),"")</f>
        <v/>
      </c>
      <c r="CQ179" s="157" t="str">
        <f t="array" ref="CQ17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7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79" s="134">
        <f>IFERROR(SUM(Tabla_Buffers_Agroinsumos[[#This Row],[AL-MP]:[AL-VL]]),"")</f>
        <v>0</v>
      </c>
      <c r="CT179" s="92" t="str">
        <f>IFERROR(Tabla_Buffers_Agroinsumos[[#This Row],[INV FIS AL]]-Tabla_Buffers_Agroinsumos[[#This Row],[BUFFER AL]],"")</f>
        <v/>
      </c>
      <c r="CU17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79" s="134"/>
      <c r="CW179" s="134"/>
      <c r="CX179" s="134"/>
      <c r="CY179" s="134"/>
      <c r="CZ179" s="134"/>
      <c r="DA179" s="134"/>
      <c r="DB179" s="134"/>
      <c r="DC179" s="134"/>
      <c r="DD179" s="134"/>
      <c r="DE179" s="134" t="str">
        <f t="array" ref="DE179">IFERROR(INDEX(TABLACONSOLIDADA[Buff Act],MATCH("AGROINSUMOSAGRONUEVO"&amp;Tabla_Buffers_Agroinsumos[[#This Row],[CODIGO ]],TABLACONSOLIDADA[Bodega]&amp;TABLACONSOLIDADA[Codigo],0)),"")</f>
        <v/>
      </c>
      <c r="DF179" s="157" t="str">
        <f t="array" ref="DF179">IFERROR(INDEX(TABLACONSOLIDADA[Inv Fís Act],MATCH("AGROINSUMOSAGRONUEVO"&amp;Tabla_Buffers_Agroinsumos[[#This Row],[CODIGO ]],TABLACONSOLIDADA[Bodega]&amp;TABLACONSOLIDADA[Codigo],0)),"")</f>
        <v/>
      </c>
      <c r="DG179" s="157" t="str">
        <f t="array" ref="DG17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7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79" s="134">
        <f>IFERROR(SUM(Tabla_Buffers_Agroinsumos[[#This Row],[AN-MP]:[AN-VL]]),"")</f>
        <v>0</v>
      </c>
      <c r="DJ179" s="92" t="str">
        <f>IFERROR(Tabla_Buffers_Agroinsumos[[#This Row],[INV FIS AN]]-Tabla_Buffers_Agroinsumos[[#This Row],[BUFFER AN]],"")</f>
        <v/>
      </c>
      <c r="DK17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79" s="134"/>
      <c r="DM179" s="134"/>
      <c r="DN179" s="134"/>
      <c r="DO179" s="134"/>
      <c r="DP179" s="134"/>
      <c r="DQ179" s="134"/>
      <c r="DR179" s="134"/>
      <c r="DS179" s="134"/>
      <c r="DT179" s="134"/>
      <c r="DU179" s="134" t="str">
        <f t="array" ref="DU179">IFERROR(INDEX(TABLACONSOLIDADA[Buff Act],MATCH("AGROINSUMOSAGROQUIMICOSSUR"&amp;Tabla_Buffers_Agroinsumos[[#This Row],[CODIGO ]],TABLACONSOLIDADA[Bodega]&amp;TABLACONSOLIDADA[Codigo],0)),"")</f>
        <v/>
      </c>
      <c r="DV179" s="157" t="str">
        <f t="array" ref="DV179">IFERROR(INDEX(TABLACONSOLIDADA[Inv Fís Act],MATCH("AGROINSUMOSAGROQUIMICOSSUR"&amp;Tabla_Buffers_Agroinsumos[[#This Row],[CODIGO ]],TABLACONSOLIDADA[Bodega]&amp;TABLACONSOLIDADA[Codigo],0)),"")</f>
        <v/>
      </c>
      <c r="DW179" s="157" t="str">
        <f t="array" ref="DW17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7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79" s="134">
        <f>IFERROR(SUM(Tabla_Buffers_Agroinsumos[[#This Row],[AS-MP]:[AS-VL]]),"")</f>
        <v>0</v>
      </c>
      <c r="DZ179" s="92" t="str">
        <f>IFERROR(Tabla_Buffers_Agroinsumos[[#This Row],[INV FIS AS]]-Tabla_Buffers_Agroinsumos[[#This Row],[BUFFER AS]],"")</f>
        <v/>
      </c>
      <c r="EA17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79" s="134"/>
      <c r="EC179" s="134"/>
      <c r="ED179" s="134"/>
      <c r="EE179" s="134"/>
      <c r="EF179" s="134"/>
      <c r="EG179" s="134"/>
      <c r="EH179" s="134"/>
      <c r="EI179" s="134"/>
      <c r="EJ179" s="134"/>
      <c r="EK179" s="134" t="str">
        <f t="array" ref="EK179">IFERROR(INDEX(TABLACONSOLIDADA[Buff Act],MATCH("AGROINSUMOSLAFINCA"&amp;Tabla_Buffers_Agroinsumos[[#This Row],[CODIGO ]],TABLACONSOLIDADA[Bodega]&amp;TABLACONSOLIDADA[Codigo],0)),"")</f>
        <v/>
      </c>
      <c r="EL179" s="157" t="str">
        <f t="array" ref="EL179">IFERROR(INDEX(TABLACONSOLIDADA[Inv Fís Act],MATCH("AGROINSUMOSLAFINCA"&amp;Tabla_Buffers_Agroinsumos[[#This Row],[CODIGO ]],TABLACONSOLIDADA[Bodega]&amp;TABLACONSOLIDADA[Codigo],0)),"")</f>
        <v/>
      </c>
      <c r="EM179" s="157" t="str">
        <f t="array" ref="EM17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7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79" s="134">
        <f>IFERROR(SUM(Tabla_Buffers_Agroinsumos[[#This Row],[LF-MP]:[LF-VL]]),"")</f>
        <v>0</v>
      </c>
      <c r="EP179" s="92" t="str">
        <f>IFERROR(Tabla_Buffers_Agroinsumos[[#This Row],[INV FIS LF]]-Tabla_Buffers_Agroinsumos[[#This Row],[BUFFER LF]],"")</f>
        <v/>
      </c>
      <c r="EQ17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79" s="134"/>
      <c r="ES179" s="134"/>
      <c r="ET179" s="134"/>
      <c r="EU179" s="134"/>
      <c r="EV179" s="134"/>
      <c r="EW179" s="134"/>
      <c r="EX179" s="134"/>
      <c r="EY179" s="134"/>
      <c r="EZ179" s="134"/>
      <c r="FA179" s="134" t="str">
        <f t="array" ref="FA179">IFERROR(INDEX(TABLACONSOLIDADA[Buff Act],MATCH("AGROINSUMOSVERONICALEDESMA"&amp;Tabla_Buffers_Agroinsumos[[#This Row],[CODIGO ]],TABLACONSOLIDADA[Bodega]&amp;TABLACONSOLIDADA[Codigo],0)),"")</f>
        <v/>
      </c>
      <c r="FB179" s="157" t="str">
        <f t="array" ref="FB179">IFERROR(INDEX(TABLACONSOLIDADA[Inv Fís Act],MATCH("AGROINSUMOSVERONICALEDESMA"&amp;Tabla_Buffers_Agroinsumos[[#This Row],[CODIGO ]],TABLACONSOLIDADA[Bodega]&amp;TABLACONSOLIDADA[Codigo],0)),"")</f>
        <v/>
      </c>
      <c r="FC179" s="157" t="str">
        <f t="array" ref="FC17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7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79" s="134">
        <f>IFERROR(SUM(Tabla_Buffers_Agroinsumos[[#This Row],[VL-MP]:[VL-LF]]),"")</f>
        <v>0</v>
      </c>
      <c r="FF179" s="92" t="str">
        <f>IFERROR(Tabla_Buffers_Agroinsumos[[#This Row],[INV FIS VL]]-Tabla_Buffers_Agroinsumos[[#This Row],[BUFFER VL]],"")</f>
        <v/>
      </c>
      <c r="FG17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79" s="134"/>
      <c r="FI179" s="134"/>
      <c r="FJ179" s="134"/>
      <c r="FK179" s="134"/>
      <c r="FL179" s="134"/>
      <c r="FM179" s="134"/>
      <c r="FN179" s="134"/>
      <c r="FO179" s="134"/>
      <c r="FP179" s="134"/>
    </row>
    <row r="180" spans="1:172">
      <c r="A180" s="7" t="s">
        <v>322</v>
      </c>
      <c r="B180" s="7" t="s">
        <v>323</v>
      </c>
      <c r="C180" s="7" t="s">
        <v>716</v>
      </c>
      <c r="D180" s="7" t="s">
        <v>718</v>
      </c>
      <c r="E180" s="7" t="s">
        <v>863</v>
      </c>
      <c r="F180" s="19" t="s">
        <v>808</v>
      </c>
      <c r="G180" s="19" t="s">
        <v>802</v>
      </c>
      <c r="H180" s="19">
        <f>VLOOKUP(Tabla_Buffers_Agroinsumos[[#This Row],[CODIGO ]],TABLACONSOLIDADA[[Codigo]:[PV]],6,0)</f>
        <v>0</v>
      </c>
      <c r="I180" s="19">
        <f>VLOOKUP(Tabla_Buffers_Agroinsumos[[#This Row],[CODIGO ]],TABLACONSOLIDADA[[Codigo]:[PV]],5,0)</f>
        <v>0.19</v>
      </c>
      <c r="J180" s="19">
        <v>4</v>
      </c>
      <c r="K180" s="19">
        <v>6</v>
      </c>
      <c r="L180" s="19">
        <f>IFERROR(Tabla_Buffers_Agroinsumos[[#This Row],[BUFFER CENTRAL]]/((Tabla_Buffers_Agroinsumos[[#This Row],[TIEMPO REPOSICION ]]/Tabla_Buffers_Agroinsumos[[#This Row],[FRECUENCIA]])+1),0)</f>
        <v>0</v>
      </c>
      <c r="M180" s="19">
        <f t="array" ref="M180">IFERROR(INDEX(TABLACONSOLIDADA[Buff Act],MATCH("AGROINSUMOSMATERIAPRIMA"&amp;Tabla_Buffers_Agroinsumos[[#This Row],[CODIGO ]],TABLACONSOLIDADA[Bodega]&amp;TABLACONSOLIDADA[Codigo],0)),"")</f>
        <v>500</v>
      </c>
      <c r="N180" s="157">
        <f t="array" ref="N180">IFERROR(INDEX(TABLACONSOLIDADA[Inv Fís Act],MATCH("AGROINSUMOSMATERIAPRIMA"&amp;Tabla_Buffers_Agroinsumos[[#This Row],[CODIGO ]],TABLACONSOLIDADA[Bodega]&amp;TABLACONSOLIDADA[Codigo],0)),"")</f>
        <v>985</v>
      </c>
      <c r="O180" s="157">
        <f t="array" ref="O18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985</v>
      </c>
      <c r="P18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80" s="19">
        <f>IFERROR(SUM(Tabla_Buffers_Agroinsumos[[#This Row],[MP-C]:[MP-VL]]),"")</f>
        <v>0</v>
      </c>
      <c r="R180" s="92">
        <f>IFERROR(Tabla_Buffers_Agroinsumos[[#This Row],[INV FIS MATERIA PRIMA]]-Tabla_Buffers_Agroinsumos[[#This Row],[BUFFER MATERIA PRIMA]],"")</f>
        <v>485</v>
      </c>
      <c r="S18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485</v>
      </c>
      <c r="T180" s="19"/>
      <c r="U180" s="19"/>
      <c r="V180" s="19"/>
      <c r="W180" s="19"/>
      <c r="X180" s="19"/>
      <c r="Y180" s="19"/>
      <c r="Z180" s="19"/>
      <c r="AA180" s="19"/>
      <c r="AB180" s="19"/>
      <c r="AC180" s="152" t="str">
        <f t="array" ref="AC180">IFERROR(INDEX(TABLACONSOLIDADA[Buff Act],MATCH("AGROINSUMOSCENTRAL"&amp;Tabla_Buffers_Agroinsumos[[#This Row],[CODIGO ]],TABLACONSOLIDADA[Bodega]&amp;TABLACONSOLIDADA[Codigo],0)),"")</f>
        <v/>
      </c>
      <c r="AD180" s="157" t="str">
        <f t="array" ref="AD180">IFERROR(INDEX(TABLACONSOLIDADA[Inv Fís Act],MATCH("AGROINSUMOSCENTRAL"&amp;Tabla_Buffers_Agroinsumos[[#This Row],[CODIGO ]],TABLACONSOLIDADA[Bodega]&amp;TABLACONSOLIDADA[Codigo],0)),"")</f>
        <v/>
      </c>
      <c r="AE180" s="157" t="str">
        <f t="array" ref="AE18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8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80" s="91">
        <f>IFERROR(SUM(Tabla_Buffers_Agroinsumos[[#This Row],[C-MP]:[C-VL]]),"")</f>
        <v>0</v>
      </c>
      <c r="AH180" s="92" t="str">
        <f>IFERROR(Tabla_Buffers_Agroinsumos[[#This Row],[INV FIS CENTRAL]]-Tabla_Buffers_Agroinsumos[[#This Row],[BUFFER CENTRAL]],"")</f>
        <v/>
      </c>
      <c r="AI18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80" s="134"/>
      <c r="AK180" s="134"/>
      <c r="AL180" s="134"/>
      <c r="AM180" s="134"/>
      <c r="AN180" s="134"/>
      <c r="AO180" s="134"/>
      <c r="AP180" s="134"/>
      <c r="AQ180" s="134"/>
      <c r="AR180" s="134"/>
      <c r="AS180" s="134" t="str">
        <f t="array" ref="AS180">IFERROR(INDEX(TABLACONSOLIDADA[Buff Act],MATCH("AGROINSUMOScentralPROPIA"&amp;Tabla_Buffers_Agroinsumos[[#This Row],[CODIGO ]],TABLACONSOLIDADA[Bodega]&amp;TABLACONSOLIDADA[Codigo],0)),"")</f>
        <v/>
      </c>
      <c r="AT180" s="157" t="str">
        <f t="array" ref="AT180">IFERROR(INDEX(TABLACONSOLIDADA[Inv Fís Act],MATCH("AGROINSUMOScentralPROPIA"&amp;Tabla_Buffers_Agroinsumos[[#This Row],[CODIGO ]],TABLACONSOLIDADA[Bodega]&amp;TABLACONSOLIDADA[Codigo],0)),"")</f>
        <v/>
      </c>
      <c r="AU180" s="157" t="str">
        <f t="array" ref="AU18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8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80" s="134">
        <f>IFERROR(SUM(Tabla_Buffers_Agroinsumos[[#This Row],[P-MP]:[P-VL]]),"")</f>
        <v>0</v>
      </c>
      <c r="AX180" s="92" t="str">
        <f>IFERROR(Tabla_Buffers_Agroinsumos[[#This Row],[INV FIS PROPIA]]-Tabla_Buffers_Agroinsumos[[#This Row],[BUFFER PROPIA]],"")</f>
        <v/>
      </c>
      <c r="AY18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80" s="134"/>
      <c r="BA180" s="134"/>
      <c r="BB180" s="134"/>
      <c r="BC180" s="134"/>
      <c r="BD180" s="134"/>
      <c r="BE180" s="134"/>
      <c r="BF180" s="134"/>
      <c r="BG180" s="134"/>
      <c r="BH180" s="134"/>
      <c r="BI180" s="91" t="str">
        <f t="array" ref="BI180">IFERROR(INDEX(TABLACONSOLIDADA[Buff Act],MATCH("AGROINSUMOSSTODOMINGO"&amp;Tabla_Buffers_Agroinsumos[[#This Row],[CODIGO ]],TABLACONSOLIDADA[Bodega]&amp;TABLACONSOLIDADA[Codigo],0)),"")</f>
        <v/>
      </c>
      <c r="BJ180" s="157" t="str">
        <f t="array" ref="BJ180">IFERROR(INDEX(TABLACONSOLIDADA[Inv Fís Act],MATCH("AGROINSUMOSSTODOMINGO"&amp;Tabla_Buffers_Agroinsumos[[#This Row],[CODIGO ]],TABLACONSOLIDADA[Bodega]&amp;TABLACONSOLIDADA[Codigo],0)),"")</f>
        <v/>
      </c>
      <c r="BK180" s="157" t="str">
        <f t="array" ref="BK18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8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80" s="91">
        <f>IFERROR(SUM(Tabla_Buffers_Agroinsumos[[#This Row],[SD-MP]:[SD-VL]]),"")</f>
        <v>0</v>
      </c>
      <c r="BN180" s="92"/>
      <c r="BO180" s="92"/>
      <c r="BP180" s="134"/>
      <c r="BQ180" s="134"/>
      <c r="BR180" s="134"/>
      <c r="BS180" s="134"/>
      <c r="BT180" s="134"/>
      <c r="BU180" s="134"/>
      <c r="BV180" s="134"/>
      <c r="BW180" s="134"/>
      <c r="BX180" s="134"/>
      <c r="BY180" s="134" t="str">
        <f t="array" ref="BY180">IFERROR(INDEX(TABLACONSOLIDADA[Buff Act],MATCH("AGROINSUMOSMONCAYOLOPEZ"&amp;Tabla_Buffers_Agroinsumos[[#This Row],[CODIGO ]],TABLACONSOLIDADA[Bodega]&amp;TABLACONSOLIDADA[Codigo],0)),"")</f>
        <v/>
      </c>
      <c r="BZ180" s="157" t="str">
        <f t="array" ref="BZ180">IFERROR(INDEX(TABLACONSOLIDADA[Inv Fís Act],MATCH("AGROINSUMOSMONCAYOLOPEZ"&amp;Tabla_Buffers_Agroinsumos[[#This Row],[CODIGO ]],TABLACONSOLIDADA[Bodega]&amp;TABLACONSOLIDADA[Codigo],0)),"")</f>
        <v/>
      </c>
      <c r="CA180" s="157" t="str">
        <f t="array" ref="CA18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8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80" s="134">
        <f>IFERROR(SUM(Tabla_Buffers_Agroinsumos[[#This Row],[ML-MP]:[ML-VL]]),"")</f>
        <v>0</v>
      </c>
      <c r="CD180" s="92" t="str">
        <f>IFERROR(Tabla_Buffers_Agroinsumos[[#This Row],[INV FIS ML]]-Tabla_Buffers_Agroinsumos[[#This Row],[BUFFER ML]],"")</f>
        <v/>
      </c>
      <c r="CE18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80" s="134"/>
      <c r="CG180" s="134"/>
      <c r="CH180" s="134"/>
      <c r="CI180" s="134"/>
      <c r="CJ180" s="134"/>
      <c r="CK180" s="134"/>
      <c r="CL180" s="134"/>
      <c r="CM180" s="134"/>
      <c r="CN180" s="134"/>
      <c r="CO180" s="134" t="str">
        <f t="array" ref="CO180">IFERROR(INDEX(TABLACONSOLIDADA[Buff Act],MATCH("AGROINSUMOSAGROHERMANOSLEON"&amp;Tabla_Buffers_Agroinsumos[[#This Row],[CODIGO ]],TABLACONSOLIDADA[Bodega]&amp;TABLACONSOLIDADA[Codigo],0)),"")</f>
        <v/>
      </c>
      <c r="CP180" s="157" t="str">
        <f t="array" ref="CP180">IFERROR(INDEX(TABLACONSOLIDADA[Inv Fís Act],MATCH("AGROINSUMOSAGROHERMANOSLEON"&amp;Tabla_Buffers_Agroinsumos[[#This Row],[CODIGO ]],TABLACONSOLIDADA[Bodega]&amp;TABLACONSOLIDADA[Codigo],0)),"")</f>
        <v/>
      </c>
      <c r="CQ180" s="157" t="str">
        <f t="array" ref="CQ18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8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80" s="134">
        <f>IFERROR(SUM(Tabla_Buffers_Agroinsumos[[#This Row],[AL-MP]:[AL-VL]]),"")</f>
        <v>0</v>
      </c>
      <c r="CT180" s="92" t="str">
        <f>IFERROR(Tabla_Buffers_Agroinsumos[[#This Row],[INV FIS AL]]-Tabla_Buffers_Agroinsumos[[#This Row],[BUFFER AL]],"")</f>
        <v/>
      </c>
      <c r="CU18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80" s="134"/>
      <c r="CW180" s="134"/>
      <c r="CX180" s="134"/>
      <c r="CY180" s="134"/>
      <c r="CZ180" s="134"/>
      <c r="DA180" s="134"/>
      <c r="DB180" s="134"/>
      <c r="DC180" s="134"/>
      <c r="DD180" s="134"/>
      <c r="DE180" s="134" t="str">
        <f t="array" ref="DE180">IFERROR(INDEX(TABLACONSOLIDADA[Buff Act],MATCH("AGROINSUMOSAGRONUEVO"&amp;Tabla_Buffers_Agroinsumos[[#This Row],[CODIGO ]],TABLACONSOLIDADA[Bodega]&amp;TABLACONSOLIDADA[Codigo],0)),"")</f>
        <v/>
      </c>
      <c r="DF180" s="157" t="str">
        <f t="array" ref="DF180">IFERROR(INDEX(TABLACONSOLIDADA[Inv Fís Act],MATCH("AGROINSUMOSAGRONUEVO"&amp;Tabla_Buffers_Agroinsumos[[#This Row],[CODIGO ]],TABLACONSOLIDADA[Bodega]&amp;TABLACONSOLIDADA[Codigo],0)),"")</f>
        <v/>
      </c>
      <c r="DG180" s="157" t="str">
        <f t="array" ref="DG18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8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80" s="134">
        <f>IFERROR(SUM(Tabla_Buffers_Agroinsumos[[#This Row],[AN-MP]:[AN-VL]]),"")</f>
        <v>0</v>
      </c>
      <c r="DJ180" s="92" t="str">
        <f>IFERROR(Tabla_Buffers_Agroinsumos[[#This Row],[INV FIS AN]]-Tabla_Buffers_Agroinsumos[[#This Row],[BUFFER AN]],"")</f>
        <v/>
      </c>
      <c r="DK18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80" s="134"/>
      <c r="DM180" s="134"/>
      <c r="DN180" s="134"/>
      <c r="DO180" s="134"/>
      <c r="DP180" s="134"/>
      <c r="DQ180" s="134"/>
      <c r="DR180" s="134"/>
      <c r="DS180" s="134"/>
      <c r="DT180" s="134"/>
      <c r="DU180" s="134" t="str">
        <f t="array" ref="DU180">IFERROR(INDEX(TABLACONSOLIDADA[Buff Act],MATCH("AGROINSUMOSAGROQUIMICOSSUR"&amp;Tabla_Buffers_Agroinsumos[[#This Row],[CODIGO ]],TABLACONSOLIDADA[Bodega]&amp;TABLACONSOLIDADA[Codigo],0)),"")</f>
        <v/>
      </c>
      <c r="DV180" s="157" t="str">
        <f t="array" ref="DV180">IFERROR(INDEX(TABLACONSOLIDADA[Inv Fís Act],MATCH("AGROINSUMOSAGROQUIMICOSSUR"&amp;Tabla_Buffers_Agroinsumos[[#This Row],[CODIGO ]],TABLACONSOLIDADA[Bodega]&amp;TABLACONSOLIDADA[Codigo],0)),"")</f>
        <v/>
      </c>
      <c r="DW180" s="157" t="str">
        <f t="array" ref="DW18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8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80" s="134">
        <f>IFERROR(SUM(Tabla_Buffers_Agroinsumos[[#This Row],[AS-MP]:[AS-VL]]),"")</f>
        <v>0</v>
      </c>
      <c r="DZ180" s="92" t="str">
        <f>IFERROR(Tabla_Buffers_Agroinsumos[[#This Row],[INV FIS AS]]-Tabla_Buffers_Agroinsumos[[#This Row],[BUFFER AS]],"")</f>
        <v/>
      </c>
      <c r="EA18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80" s="134"/>
      <c r="EC180" s="134"/>
      <c r="ED180" s="134"/>
      <c r="EE180" s="134"/>
      <c r="EF180" s="134"/>
      <c r="EG180" s="134"/>
      <c r="EH180" s="134"/>
      <c r="EI180" s="134"/>
      <c r="EJ180" s="134"/>
      <c r="EK180" s="134" t="str">
        <f t="array" ref="EK180">IFERROR(INDEX(TABLACONSOLIDADA[Buff Act],MATCH("AGROINSUMOSLAFINCA"&amp;Tabla_Buffers_Agroinsumos[[#This Row],[CODIGO ]],TABLACONSOLIDADA[Bodega]&amp;TABLACONSOLIDADA[Codigo],0)),"")</f>
        <v/>
      </c>
      <c r="EL180" s="157" t="str">
        <f t="array" ref="EL180">IFERROR(INDEX(TABLACONSOLIDADA[Inv Fís Act],MATCH("AGROINSUMOSLAFINCA"&amp;Tabla_Buffers_Agroinsumos[[#This Row],[CODIGO ]],TABLACONSOLIDADA[Bodega]&amp;TABLACONSOLIDADA[Codigo],0)),"")</f>
        <v/>
      </c>
      <c r="EM180" s="157" t="str">
        <f t="array" ref="EM18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8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80" s="134">
        <f>IFERROR(SUM(Tabla_Buffers_Agroinsumos[[#This Row],[LF-MP]:[LF-VL]]),"")</f>
        <v>0</v>
      </c>
      <c r="EP180" s="92" t="str">
        <f>IFERROR(Tabla_Buffers_Agroinsumos[[#This Row],[INV FIS LF]]-Tabla_Buffers_Agroinsumos[[#This Row],[BUFFER LF]],"")</f>
        <v/>
      </c>
      <c r="EQ18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80" s="134"/>
      <c r="ES180" s="134"/>
      <c r="ET180" s="134"/>
      <c r="EU180" s="134"/>
      <c r="EV180" s="134"/>
      <c r="EW180" s="134"/>
      <c r="EX180" s="134"/>
      <c r="EY180" s="134"/>
      <c r="EZ180" s="134"/>
      <c r="FA180" s="134" t="str">
        <f t="array" ref="FA180">IFERROR(INDEX(TABLACONSOLIDADA[Buff Act],MATCH("AGROINSUMOSVERONICALEDESMA"&amp;Tabla_Buffers_Agroinsumos[[#This Row],[CODIGO ]],TABLACONSOLIDADA[Bodega]&amp;TABLACONSOLIDADA[Codigo],0)),"")</f>
        <v/>
      </c>
      <c r="FB180" s="157" t="str">
        <f t="array" ref="FB180">IFERROR(INDEX(TABLACONSOLIDADA[Inv Fís Act],MATCH("AGROINSUMOSVERONICALEDESMA"&amp;Tabla_Buffers_Agroinsumos[[#This Row],[CODIGO ]],TABLACONSOLIDADA[Bodega]&amp;TABLACONSOLIDADA[Codigo],0)),"")</f>
        <v/>
      </c>
      <c r="FC180" s="157" t="str">
        <f t="array" ref="FC18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8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80" s="134">
        <f>IFERROR(SUM(Tabla_Buffers_Agroinsumos[[#This Row],[VL-MP]:[VL-LF]]),"")</f>
        <v>0</v>
      </c>
      <c r="FF180" s="92" t="str">
        <f>IFERROR(Tabla_Buffers_Agroinsumos[[#This Row],[INV FIS VL]]-Tabla_Buffers_Agroinsumos[[#This Row],[BUFFER VL]],"")</f>
        <v/>
      </c>
      <c r="FG18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80" s="134"/>
      <c r="FI180" s="134"/>
      <c r="FJ180" s="134"/>
      <c r="FK180" s="134"/>
      <c r="FL180" s="134"/>
      <c r="FM180" s="134"/>
      <c r="FN180" s="134"/>
      <c r="FO180" s="134"/>
      <c r="FP180" s="134"/>
    </row>
    <row r="181" spans="1:172">
      <c r="A181" s="7" t="s">
        <v>324</v>
      </c>
      <c r="B181" s="7" t="s">
        <v>325</v>
      </c>
      <c r="C181" s="7" t="s">
        <v>716</v>
      </c>
      <c r="D181" s="7" t="s">
        <v>718</v>
      </c>
      <c r="E181" s="7" t="s">
        <v>863</v>
      </c>
      <c r="F181" s="19" t="s">
        <v>808</v>
      </c>
      <c r="G181" s="19" t="s">
        <v>802</v>
      </c>
      <c r="H181" s="19">
        <f>VLOOKUP(Tabla_Buffers_Agroinsumos[[#This Row],[CODIGO ]],TABLACONSOLIDADA[[Codigo]:[PV]],6,0)</f>
        <v>0</v>
      </c>
      <c r="I181" s="19">
        <f>VLOOKUP(Tabla_Buffers_Agroinsumos[[#This Row],[CODIGO ]],TABLACONSOLIDADA[[Codigo]:[PV]],5,0)</f>
        <v>0.14000000000000001</v>
      </c>
      <c r="J181" s="19">
        <v>4</v>
      </c>
      <c r="K181" s="19">
        <v>6</v>
      </c>
      <c r="L181" s="19">
        <f>IFERROR(Tabla_Buffers_Agroinsumos[[#This Row],[BUFFER CENTRAL]]/((Tabla_Buffers_Agroinsumos[[#This Row],[TIEMPO REPOSICION ]]/Tabla_Buffers_Agroinsumos[[#This Row],[FRECUENCIA]])+1),0)</f>
        <v>0</v>
      </c>
      <c r="M181" s="19">
        <f t="array" ref="M181">IFERROR(INDEX(TABLACONSOLIDADA[Buff Act],MATCH("AGROINSUMOSMATERIAPRIMA"&amp;Tabla_Buffers_Agroinsumos[[#This Row],[CODIGO ]],TABLACONSOLIDADA[Bodega]&amp;TABLACONSOLIDADA[Codigo],0)),"")</f>
        <v>500</v>
      </c>
      <c r="N181" s="157">
        <f t="array" ref="N181">IFERROR(INDEX(TABLACONSOLIDADA[Inv Fís Act],MATCH("AGROINSUMOSMATERIAPRIMA"&amp;Tabla_Buffers_Agroinsumos[[#This Row],[CODIGO ]],TABLACONSOLIDADA[Bodega]&amp;TABLACONSOLIDADA[Codigo],0)),"")</f>
        <v>749</v>
      </c>
      <c r="O181" s="157">
        <f t="array" ref="O18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749</v>
      </c>
      <c r="P18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81" s="19">
        <f>IFERROR(SUM(Tabla_Buffers_Agroinsumos[[#This Row],[MP-C]:[MP-VL]]),"")</f>
        <v>0</v>
      </c>
      <c r="R181" s="92">
        <f>IFERROR(Tabla_Buffers_Agroinsumos[[#This Row],[INV FIS MATERIA PRIMA]]-Tabla_Buffers_Agroinsumos[[#This Row],[BUFFER MATERIA PRIMA]],"")</f>
        <v>249</v>
      </c>
      <c r="S18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249</v>
      </c>
      <c r="T181" s="19"/>
      <c r="U181" s="19"/>
      <c r="V181" s="19"/>
      <c r="W181" s="19"/>
      <c r="X181" s="19"/>
      <c r="Y181" s="19"/>
      <c r="Z181" s="19"/>
      <c r="AA181" s="19"/>
      <c r="AB181" s="19"/>
      <c r="AC181" s="152" t="str">
        <f t="array" ref="AC181">IFERROR(INDEX(TABLACONSOLIDADA[Buff Act],MATCH("AGROINSUMOSCENTRAL"&amp;Tabla_Buffers_Agroinsumos[[#This Row],[CODIGO ]],TABLACONSOLIDADA[Bodega]&amp;TABLACONSOLIDADA[Codigo],0)),"")</f>
        <v/>
      </c>
      <c r="AD181" s="157" t="str">
        <f t="array" ref="AD181">IFERROR(INDEX(TABLACONSOLIDADA[Inv Fís Act],MATCH("AGROINSUMOSCENTRAL"&amp;Tabla_Buffers_Agroinsumos[[#This Row],[CODIGO ]],TABLACONSOLIDADA[Bodega]&amp;TABLACONSOLIDADA[Codigo],0)),"")</f>
        <v/>
      </c>
      <c r="AE181" s="157" t="str">
        <f t="array" ref="AE18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8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81" s="91">
        <f>IFERROR(SUM(Tabla_Buffers_Agroinsumos[[#This Row],[C-MP]:[C-VL]]),"")</f>
        <v>0</v>
      </c>
      <c r="AH181" s="92" t="str">
        <f>IFERROR(Tabla_Buffers_Agroinsumos[[#This Row],[INV FIS CENTRAL]]-Tabla_Buffers_Agroinsumos[[#This Row],[BUFFER CENTRAL]],"")</f>
        <v/>
      </c>
      <c r="AI18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81" s="134"/>
      <c r="AK181" s="134"/>
      <c r="AL181" s="134"/>
      <c r="AM181" s="134"/>
      <c r="AN181" s="134"/>
      <c r="AO181" s="134"/>
      <c r="AP181" s="134"/>
      <c r="AQ181" s="134"/>
      <c r="AR181" s="134"/>
      <c r="AS181" s="134" t="str">
        <f t="array" ref="AS181">IFERROR(INDEX(TABLACONSOLIDADA[Buff Act],MATCH("AGROINSUMOScentralPROPIA"&amp;Tabla_Buffers_Agroinsumos[[#This Row],[CODIGO ]],TABLACONSOLIDADA[Bodega]&amp;TABLACONSOLIDADA[Codigo],0)),"")</f>
        <v/>
      </c>
      <c r="AT181" s="157" t="str">
        <f t="array" ref="AT181">IFERROR(INDEX(TABLACONSOLIDADA[Inv Fís Act],MATCH("AGROINSUMOScentralPROPIA"&amp;Tabla_Buffers_Agroinsumos[[#This Row],[CODIGO ]],TABLACONSOLIDADA[Bodega]&amp;TABLACONSOLIDADA[Codigo],0)),"")</f>
        <v/>
      </c>
      <c r="AU181" s="157" t="str">
        <f t="array" ref="AU18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8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81" s="134">
        <f>IFERROR(SUM(Tabla_Buffers_Agroinsumos[[#This Row],[P-MP]:[P-VL]]),"")</f>
        <v>0</v>
      </c>
      <c r="AX181" s="92" t="str">
        <f>IFERROR(Tabla_Buffers_Agroinsumos[[#This Row],[INV FIS PROPIA]]-Tabla_Buffers_Agroinsumos[[#This Row],[BUFFER PROPIA]],"")</f>
        <v/>
      </c>
      <c r="AY18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81" s="134"/>
      <c r="BA181" s="134"/>
      <c r="BB181" s="134"/>
      <c r="BC181" s="134"/>
      <c r="BD181" s="134"/>
      <c r="BE181" s="134"/>
      <c r="BF181" s="134"/>
      <c r="BG181" s="134"/>
      <c r="BH181" s="134"/>
      <c r="BI181" s="91" t="str">
        <f t="array" ref="BI181">IFERROR(INDEX(TABLACONSOLIDADA[Buff Act],MATCH("AGROINSUMOSSTODOMINGO"&amp;Tabla_Buffers_Agroinsumos[[#This Row],[CODIGO ]],TABLACONSOLIDADA[Bodega]&amp;TABLACONSOLIDADA[Codigo],0)),"")</f>
        <v/>
      </c>
      <c r="BJ181" s="157" t="str">
        <f t="array" ref="BJ181">IFERROR(INDEX(TABLACONSOLIDADA[Inv Fís Act],MATCH("AGROINSUMOSSTODOMINGO"&amp;Tabla_Buffers_Agroinsumos[[#This Row],[CODIGO ]],TABLACONSOLIDADA[Bodega]&amp;TABLACONSOLIDADA[Codigo],0)),"")</f>
        <v/>
      </c>
      <c r="BK181" s="157" t="str">
        <f t="array" ref="BK18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8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81" s="91">
        <f>IFERROR(SUM(Tabla_Buffers_Agroinsumos[[#This Row],[SD-MP]:[SD-VL]]),"")</f>
        <v>0</v>
      </c>
      <c r="BN181" s="92"/>
      <c r="BO181" s="92"/>
      <c r="BP181" s="134"/>
      <c r="BQ181" s="134"/>
      <c r="BR181" s="134"/>
      <c r="BS181" s="134"/>
      <c r="BT181" s="134"/>
      <c r="BU181" s="134"/>
      <c r="BV181" s="134"/>
      <c r="BW181" s="134"/>
      <c r="BX181" s="134"/>
      <c r="BY181" s="134" t="str">
        <f t="array" ref="BY181">IFERROR(INDEX(TABLACONSOLIDADA[Buff Act],MATCH("AGROINSUMOSMONCAYOLOPEZ"&amp;Tabla_Buffers_Agroinsumos[[#This Row],[CODIGO ]],TABLACONSOLIDADA[Bodega]&amp;TABLACONSOLIDADA[Codigo],0)),"")</f>
        <v/>
      </c>
      <c r="BZ181" s="157" t="str">
        <f t="array" ref="BZ181">IFERROR(INDEX(TABLACONSOLIDADA[Inv Fís Act],MATCH("AGROINSUMOSMONCAYOLOPEZ"&amp;Tabla_Buffers_Agroinsumos[[#This Row],[CODIGO ]],TABLACONSOLIDADA[Bodega]&amp;TABLACONSOLIDADA[Codigo],0)),"")</f>
        <v/>
      </c>
      <c r="CA181" s="157" t="str">
        <f t="array" ref="CA18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8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81" s="134">
        <f>IFERROR(SUM(Tabla_Buffers_Agroinsumos[[#This Row],[ML-MP]:[ML-VL]]),"")</f>
        <v>0</v>
      </c>
      <c r="CD181" s="92" t="str">
        <f>IFERROR(Tabla_Buffers_Agroinsumos[[#This Row],[INV FIS ML]]-Tabla_Buffers_Agroinsumos[[#This Row],[BUFFER ML]],"")</f>
        <v/>
      </c>
      <c r="CE18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81" s="134"/>
      <c r="CG181" s="134"/>
      <c r="CH181" s="134"/>
      <c r="CI181" s="134"/>
      <c r="CJ181" s="134"/>
      <c r="CK181" s="134"/>
      <c r="CL181" s="134"/>
      <c r="CM181" s="134"/>
      <c r="CN181" s="134"/>
      <c r="CO181" s="134" t="str">
        <f t="array" ref="CO181">IFERROR(INDEX(TABLACONSOLIDADA[Buff Act],MATCH("AGROINSUMOSAGROHERMANOSLEON"&amp;Tabla_Buffers_Agroinsumos[[#This Row],[CODIGO ]],TABLACONSOLIDADA[Bodega]&amp;TABLACONSOLIDADA[Codigo],0)),"")</f>
        <v/>
      </c>
      <c r="CP181" s="157" t="str">
        <f t="array" ref="CP181">IFERROR(INDEX(TABLACONSOLIDADA[Inv Fís Act],MATCH("AGROINSUMOSAGROHERMANOSLEON"&amp;Tabla_Buffers_Agroinsumos[[#This Row],[CODIGO ]],TABLACONSOLIDADA[Bodega]&amp;TABLACONSOLIDADA[Codigo],0)),"")</f>
        <v/>
      </c>
      <c r="CQ181" s="157" t="str">
        <f t="array" ref="CQ18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8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81" s="134">
        <f>IFERROR(SUM(Tabla_Buffers_Agroinsumos[[#This Row],[AL-MP]:[AL-VL]]),"")</f>
        <v>0</v>
      </c>
      <c r="CT181" s="92" t="str">
        <f>IFERROR(Tabla_Buffers_Agroinsumos[[#This Row],[INV FIS AL]]-Tabla_Buffers_Agroinsumos[[#This Row],[BUFFER AL]],"")</f>
        <v/>
      </c>
      <c r="CU18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81" s="134"/>
      <c r="CW181" s="134"/>
      <c r="CX181" s="134"/>
      <c r="CY181" s="134"/>
      <c r="CZ181" s="134"/>
      <c r="DA181" s="134"/>
      <c r="DB181" s="134"/>
      <c r="DC181" s="134"/>
      <c r="DD181" s="134"/>
      <c r="DE181" s="134" t="str">
        <f t="array" ref="DE181">IFERROR(INDEX(TABLACONSOLIDADA[Buff Act],MATCH("AGROINSUMOSAGRONUEVO"&amp;Tabla_Buffers_Agroinsumos[[#This Row],[CODIGO ]],TABLACONSOLIDADA[Bodega]&amp;TABLACONSOLIDADA[Codigo],0)),"")</f>
        <v/>
      </c>
      <c r="DF181" s="157" t="str">
        <f t="array" ref="DF181">IFERROR(INDEX(TABLACONSOLIDADA[Inv Fís Act],MATCH("AGROINSUMOSAGRONUEVO"&amp;Tabla_Buffers_Agroinsumos[[#This Row],[CODIGO ]],TABLACONSOLIDADA[Bodega]&amp;TABLACONSOLIDADA[Codigo],0)),"")</f>
        <v/>
      </c>
      <c r="DG181" s="157" t="str">
        <f t="array" ref="DG18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8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81" s="134">
        <f>IFERROR(SUM(Tabla_Buffers_Agroinsumos[[#This Row],[AN-MP]:[AN-VL]]),"")</f>
        <v>0</v>
      </c>
      <c r="DJ181" s="92" t="str">
        <f>IFERROR(Tabla_Buffers_Agroinsumos[[#This Row],[INV FIS AN]]-Tabla_Buffers_Agroinsumos[[#This Row],[BUFFER AN]],"")</f>
        <v/>
      </c>
      <c r="DK18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81" s="134"/>
      <c r="DM181" s="134"/>
      <c r="DN181" s="134"/>
      <c r="DO181" s="134"/>
      <c r="DP181" s="134"/>
      <c r="DQ181" s="134"/>
      <c r="DR181" s="134"/>
      <c r="DS181" s="134"/>
      <c r="DT181" s="134"/>
      <c r="DU181" s="134" t="str">
        <f t="array" ref="DU181">IFERROR(INDEX(TABLACONSOLIDADA[Buff Act],MATCH("AGROINSUMOSAGROQUIMICOSSUR"&amp;Tabla_Buffers_Agroinsumos[[#This Row],[CODIGO ]],TABLACONSOLIDADA[Bodega]&amp;TABLACONSOLIDADA[Codigo],0)),"")</f>
        <v/>
      </c>
      <c r="DV181" s="157" t="str">
        <f t="array" ref="DV181">IFERROR(INDEX(TABLACONSOLIDADA[Inv Fís Act],MATCH("AGROINSUMOSAGROQUIMICOSSUR"&amp;Tabla_Buffers_Agroinsumos[[#This Row],[CODIGO ]],TABLACONSOLIDADA[Bodega]&amp;TABLACONSOLIDADA[Codigo],0)),"")</f>
        <v/>
      </c>
      <c r="DW181" s="157" t="str">
        <f t="array" ref="DW18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8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81" s="134">
        <f>IFERROR(SUM(Tabla_Buffers_Agroinsumos[[#This Row],[AS-MP]:[AS-VL]]),"")</f>
        <v>0</v>
      </c>
      <c r="DZ181" s="92" t="str">
        <f>IFERROR(Tabla_Buffers_Agroinsumos[[#This Row],[INV FIS AS]]-Tabla_Buffers_Agroinsumos[[#This Row],[BUFFER AS]],"")</f>
        <v/>
      </c>
      <c r="EA18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81" s="134"/>
      <c r="EC181" s="134"/>
      <c r="ED181" s="134"/>
      <c r="EE181" s="134"/>
      <c r="EF181" s="134"/>
      <c r="EG181" s="134"/>
      <c r="EH181" s="134"/>
      <c r="EI181" s="134"/>
      <c r="EJ181" s="134"/>
      <c r="EK181" s="134" t="str">
        <f t="array" ref="EK181">IFERROR(INDEX(TABLACONSOLIDADA[Buff Act],MATCH("AGROINSUMOSLAFINCA"&amp;Tabla_Buffers_Agroinsumos[[#This Row],[CODIGO ]],TABLACONSOLIDADA[Bodega]&amp;TABLACONSOLIDADA[Codigo],0)),"")</f>
        <v/>
      </c>
      <c r="EL181" s="157" t="str">
        <f t="array" ref="EL181">IFERROR(INDEX(TABLACONSOLIDADA[Inv Fís Act],MATCH("AGROINSUMOSLAFINCA"&amp;Tabla_Buffers_Agroinsumos[[#This Row],[CODIGO ]],TABLACONSOLIDADA[Bodega]&amp;TABLACONSOLIDADA[Codigo],0)),"")</f>
        <v/>
      </c>
      <c r="EM181" s="157" t="str">
        <f t="array" ref="EM18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8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81" s="134">
        <f>IFERROR(SUM(Tabla_Buffers_Agroinsumos[[#This Row],[LF-MP]:[LF-VL]]),"")</f>
        <v>0</v>
      </c>
      <c r="EP181" s="92" t="str">
        <f>IFERROR(Tabla_Buffers_Agroinsumos[[#This Row],[INV FIS LF]]-Tabla_Buffers_Agroinsumos[[#This Row],[BUFFER LF]],"")</f>
        <v/>
      </c>
      <c r="EQ18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81" s="134"/>
      <c r="ES181" s="134"/>
      <c r="ET181" s="134"/>
      <c r="EU181" s="134"/>
      <c r="EV181" s="134"/>
      <c r="EW181" s="134"/>
      <c r="EX181" s="134"/>
      <c r="EY181" s="134"/>
      <c r="EZ181" s="134"/>
      <c r="FA181" s="134" t="str">
        <f t="array" ref="FA181">IFERROR(INDEX(TABLACONSOLIDADA[Buff Act],MATCH("AGROINSUMOSVERONICALEDESMA"&amp;Tabla_Buffers_Agroinsumos[[#This Row],[CODIGO ]],TABLACONSOLIDADA[Bodega]&amp;TABLACONSOLIDADA[Codigo],0)),"")</f>
        <v/>
      </c>
      <c r="FB181" s="157" t="str">
        <f t="array" ref="FB181">IFERROR(INDEX(TABLACONSOLIDADA[Inv Fís Act],MATCH("AGROINSUMOSVERONICALEDESMA"&amp;Tabla_Buffers_Agroinsumos[[#This Row],[CODIGO ]],TABLACONSOLIDADA[Bodega]&amp;TABLACONSOLIDADA[Codigo],0)),"")</f>
        <v/>
      </c>
      <c r="FC181" s="157" t="str">
        <f t="array" ref="FC18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8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81" s="134">
        <f>IFERROR(SUM(Tabla_Buffers_Agroinsumos[[#This Row],[VL-MP]:[VL-LF]]),"")</f>
        <v>0</v>
      </c>
      <c r="FF181" s="92" t="str">
        <f>IFERROR(Tabla_Buffers_Agroinsumos[[#This Row],[INV FIS VL]]-Tabla_Buffers_Agroinsumos[[#This Row],[BUFFER VL]],"")</f>
        <v/>
      </c>
      <c r="FG18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81" s="134"/>
      <c r="FI181" s="134"/>
      <c r="FJ181" s="134"/>
      <c r="FK181" s="134"/>
      <c r="FL181" s="134"/>
      <c r="FM181" s="134"/>
      <c r="FN181" s="134"/>
      <c r="FO181" s="134"/>
      <c r="FP181" s="134"/>
    </row>
    <row r="182" spans="1:172">
      <c r="A182" s="20" t="s">
        <v>1244</v>
      </c>
      <c r="B182" s="20" t="s">
        <v>1242</v>
      </c>
      <c r="C182" s="20" t="s">
        <v>716</v>
      </c>
      <c r="D182" s="20" t="s">
        <v>718</v>
      </c>
      <c r="E182" s="20" t="s">
        <v>863</v>
      </c>
      <c r="F182" s="111" t="s">
        <v>808</v>
      </c>
      <c r="G182" s="111" t="s">
        <v>802</v>
      </c>
      <c r="H182" s="111" t="e">
        <f>VLOOKUP(Tabla_Buffers_Agroinsumos[[#This Row],[CODIGO ]],TABLACONSOLIDADA[[Codigo]:[PV]],6,0)</f>
        <v>#N/A</v>
      </c>
      <c r="I182" s="111" t="e">
        <f>VLOOKUP(Tabla_Buffers_Agroinsumos[[#This Row],[CODIGO ]],TABLACONSOLIDADA[[Codigo]:[PV]],5,0)</f>
        <v>#N/A</v>
      </c>
      <c r="J182" s="111"/>
      <c r="K182" s="111"/>
      <c r="L182" s="111">
        <f>IFERROR(Tabla_Buffers_Agroinsumos[[#This Row],[BUFFER CENTRAL]]/((Tabla_Buffers_Agroinsumos[[#This Row],[TIEMPO REPOSICION ]]/Tabla_Buffers_Agroinsumos[[#This Row],[FRECUENCIA]])+1),0)</f>
        <v>0</v>
      </c>
      <c r="M182" s="111">
        <v>500</v>
      </c>
      <c r="N182" s="111" t="str">
        <f t="array" ref="N182">IFERROR(INDEX(TABLACONSOLIDADA[Inv Fís Act],MATCH("AGROINSUMOSMATERIAPRIMA"&amp;Tabla_Buffers_Agroinsumos[[#This Row],[CODIGO ]],TABLACONSOLIDADA[Bodega]&amp;TABLACONSOLIDADA[Codigo],0)),"")</f>
        <v/>
      </c>
      <c r="O182" s="181" t="str">
        <f t="array" ref="O18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82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82" s="111">
        <f>IFERROR(SUM(Tabla_Buffers_Agroinsumos[[#This Row],[MP-C]:[MP-VL]]),"")</f>
        <v>0</v>
      </c>
      <c r="R182" s="154" t="str">
        <f>IFERROR(Tabla_Buffers_Agroinsumos[[#This Row],[INV FIS MATERIA PRIMA]]-Tabla_Buffers_Agroinsumos[[#This Row],[BUFFER MATERIA PRIMA]],"")</f>
        <v/>
      </c>
      <c r="S182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82" s="111"/>
      <c r="U182" s="111"/>
      <c r="V182" s="111"/>
      <c r="W182" s="111"/>
      <c r="X182" s="111"/>
      <c r="Y182" s="111"/>
      <c r="Z182" s="111"/>
      <c r="AA182" s="111"/>
      <c r="AB182" s="111"/>
      <c r="AC182" s="152" t="str">
        <f t="array" ref="AC182">IFERROR(INDEX(TABLACONSOLIDADA[Buff Act],MATCH("AGROINSUMOSCENTRAL"&amp;Tabla_Buffers_Agroinsumos[[#This Row],[CODIGO ]],TABLACONSOLIDADA[Bodega]&amp;TABLACONSOLIDADA[Codigo],0)),"")</f>
        <v/>
      </c>
      <c r="AD182" s="111" t="str">
        <f t="array" ref="AD182">IFERROR(INDEX(TABLACONSOLIDADA[Inv Fís Act],MATCH("AGROINSUMOSCENTRAL"&amp;Tabla_Buffers_Agroinsumos[[#This Row],[CODIGO ]],TABLACONSOLIDADA[Bodega]&amp;TABLACONSOLIDADA[Codigo],0)),"")</f>
        <v/>
      </c>
      <c r="AE182" s="181" t="str">
        <f t="array" ref="AE18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82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82" s="153">
        <f>IFERROR(SUM(Tabla_Buffers_Agroinsumos[[#This Row],[C-MP]:[C-VL]]),"")</f>
        <v>0</v>
      </c>
      <c r="AH182" s="154" t="str">
        <f>IFERROR(Tabla_Buffers_Agroinsumos[[#This Row],[INV FIS CENTRAL]]-Tabla_Buffers_Agroinsumos[[#This Row],[BUFFER CENTRAL]],"")</f>
        <v/>
      </c>
      <c r="AI182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82" s="135"/>
      <c r="AK182" s="135"/>
      <c r="AL182" s="135"/>
      <c r="AM182" s="135"/>
      <c r="AN182" s="135"/>
      <c r="AO182" s="135"/>
      <c r="AP182" s="135"/>
      <c r="AQ182" s="135"/>
      <c r="AR182" s="135"/>
      <c r="AS182" s="135" t="str">
        <f t="array" ref="AS182">IFERROR(INDEX(TABLACONSOLIDADA[Buff Act],MATCH("AGROINSUMOScentralPROPIA"&amp;Tabla_Buffers_Agroinsumos[[#This Row],[CODIGO ]],TABLACONSOLIDADA[Bodega]&amp;TABLACONSOLIDADA[Codigo],0)),"")</f>
        <v/>
      </c>
      <c r="AT182" s="111" t="str">
        <f t="array" ref="AT182">IFERROR(INDEX(TABLACONSOLIDADA[Inv Fís Act],MATCH("AGROINSUMOScentralPROPIA"&amp;Tabla_Buffers_Agroinsumos[[#This Row],[CODIGO ]],TABLACONSOLIDADA[Bodega]&amp;TABLACONSOLIDADA[Codigo],0)),"")</f>
        <v/>
      </c>
      <c r="AU182" s="181" t="str">
        <f t="array" ref="AU18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82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82" s="135">
        <f>IFERROR(SUM(Tabla_Buffers_Agroinsumos[[#This Row],[P-MP]:[P-VL]]),"")</f>
        <v>0</v>
      </c>
      <c r="AX182" s="154" t="str">
        <f>IFERROR(Tabla_Buffers_Agroinsumos[[#This Row],[INV FIS PROPIA]]-Tabla_Buffers_Agroinsumos[[#This Row],[BUFFER PROPIA]],"")</f>
        <v/>
      </c>
      <c r="AY182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82" s="135"/>
      <c r="BA182" s="135"/>
      <c r="BB182" s="135"/>
      <c r="BC182" s="135"/>
      <c r="BD182" s="135"/>
      <c r="BE182" s="135"/>
      <c r="BF182" s="135"/>
      <c r="BG182" s="135"/>
      <c r="BH182" s="135"/>
      <c r="BI182" s="153" t="str">
        <f t="array" ref="BI182">IFERROR(INDEX(TABLACONSOLIDADA[Buff Act],MATCH("AGROINSUMOSSTODOMINGO"&amp;Tabla_Buffers_Agroinsumos[[#This Row],[CODIGO ]],TABLACONSOLIDADA[Bodega]&amp;TABLACONSOLIDADA[Codigo],0)),"")</f>
        <v/>
      </c>
      <c r="BJ182" s="111" t="str">
        <f t="array" ref="BJ182">IFERROR(INDEX(TABLACONSOLIDADA[Inv Fís Act],MATCH("AGROINSUMOSSTODOMINGO"&amp;Tabla_Buffers_Agroinsumos[[#This Row],[CODIGO ]],TABLACONSOLIDADA[Bodega]&amp;TABLACONSOLIDADA[Codigo],0)),"")</f>
        <v/>
      </c>
      <c r="BK182" s="181" t="str">
        <f t="array" ref="BK18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82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82" s="153">
        <f>IFERROR(SUM(Tabla_Buffers_Agroinsumos[[#This Row],[SD-MP]:[SD-VL]]),"")</f>
        <v>0</v>
      </c>
      <c r="BN182" s="154"/>
      <c r="BO182" s="154"/>
      <c r="BP182" s="135"/>
      <c r="BQ182" s="135"/>
      <c r="BR182" s="135"/>
      <c r="BS182" s="135"/>
      <c r="BT182" s="135"/>
      <c r="BU182" s="135"/>
      <c r="BV182" s="135"/>
      <c r="BW182" s="135"/>
      <c r="BX182" s="135"/>
      <c r="BY182" s="135" t="str">
        <f t="array" ref="BY182">IFERROR(INDEX(TABLACONSOLIDADA[Buff Act],MATCH("AGROINSUMOSMONCAYOLOPEZ"&amp;Tabla_Buffers_Agroinsumos[[#This Row],[CODIGO ]],TABLACONSOLIDADA[Bodega]&amp;TABLACONSOLIDADA[Codigo],0)),"")</f>
        <v/>
      </c>
      <c r="BZ182" s="111" t="str">
        <f t="array" ref="BZ182">IFERROR(INDEX(TABLACONSOLIDADA[Inv Fís Act],MATCH("AGROINSUMOSMONCAYOLOPEZ"&amp;Tabla_Buffers_Agroinsumos[[#This Row],[CODIGO ]],TABLACONSOLIDADA[Bodega]&amp;TABLACONSOLIDADA[Codigo],0)),"")</f>
        <v/>
      </c>
      <c r="CA182" s="181" t="str">
        <f t="array" ref="CA18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82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82" s="135">
        <f>IFERROR(SUM(Tabla_Buffers_Agroinsumos[[#This Row],[ML-MP]:[ML-VL]]),"")</f>
        <v>0</v>
      </c>
      <c r="CD182" s="154" t="str">
        <f>IFERROR(Tabla_Buffers_Agroinsumos[[#This Row],[INV FIS ML]]-Tabla_Buffers_Agroinsumos[[#This Row],[BUFFER ML]],"")</f>
        <v/>
      </c>
      <c r="CE182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82" s="135"/>
      <c r="CG182" s="135"/>
      <c r="CH182" s="135"/>
      <c r="CI182" s="135"/>
      <c r="CJ182" s="135"/>
      <c r="CK182" s="135"/>
      <c r="CL182" s="135"/>
      <c r="CM182" s="135"/>
      <c r="CN182" s="135"/>
      <c r="CO182" s="135" t="str">
        <f t="array" ref="CO182">IFERROR(INDEX(TABLACONSOLIDADA[Buff Act],MATCH("AGROINSUMOSAGROHERMANOSLEON"&amp;Tabla_Buffers_Agroinsumos[[#This Row],[CODIGO ]],TABLACONSOLIDADA[Bodega]&amp;TABLACONSOLIDADA[Codigo],0)),"")</f>
        <v/>
      </c>
      <c r="CP182" s="111" t="str">
        <f t="array" ref="CP182">IFERROR(INDEX(TABLACONSOLIDADA[Inv Fís Act],MATCH("AGROINSUMOSAGROHERMANOSLEON"&amp;Tabla_Buffers_Agroinsumos[[#This Row],[CODIGO ]],TABLACONSOLIDADA[Bodega]&amp;TABLACONSOLIDADA[Codigo],0)),"")</f>
        <v/>
      </c>
      <c r="CQ182" s="181" t="str">
        <f t="array" ref="CQ18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82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82" s="135">
        <f>IFERROR(SUM(Tabla_Buffers_Agroinsumos[[#This Row],[AL-MP]:[AL-VL]]),"")</f>
        <v>0</v>
      </c>
      <c r="CT182" s="154" t="str">
        <f>IFERROR(Tabla_Buffers_Agroinsumos[[#This Row],[INV FIS AL]]-Tabla_Buffers_Agroinsumos[[#This Row],[BUFFER AL]],"")</f>
        <v/>
      </c>
      <c r="CU182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82" s="135"/>
      <c r="CW182" s="135"/>
      <c r="CX182" s="135"/>
      <c r="CY182" s="135"/>
      <c r="CZ182" s="135"/>
      <c r="DA182" s="135"/>
      <c r="DB182" s="135"/>
      <c r="DC182" s="135"/>
      <c r="DD182" s="135"/>
      <c r="DE182" s="135" t="str">
        <f t="array" ref="DE182">IFERROR(INDEX(TABLACONSOLIDADA[Buff Act],MATCH("AGROINSUMOSAGRONUEVO"&amp;Tabla_Buffers_Agroinsumos[[#This Row],[CODIGO ]],TABLACONSOLIDADA[Bodega]&amp;TABLACONSOLIDADA[Codigo],0)),"")</f>
        <v/>
      </c>
      <c r="DF182" s="111" t="str">
        <f t="array" ref="DF182">IFERROR(INDEX(TABLACONSOLIDADA[Inv Fís Act],MATCH("AGROINSUMOSAGRONUEVO"&amp;Tabla_Buffers_Agroinsumos[[#This Row],[CODIGO ]],TABLACONSOLIDADA[Bodega]&amp;TABLACONSOLIDADA[Codigo],0)),"")</f>
        <v/>
      </c>
      <c r="DG182" s="181" t="str">
        <f t="array" ref="DG18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82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82" s="135">
        <f>IFERROR(SUM(Tabla_Buffers_Agroinsumos[[#This Row],[AN-MP]:[AN-VL]]),"")</f>
        <v>0</v>
      </c>
      <c r="DJ182" s="154" t="str">
        <f>IFERROR(Tabla_Buffers_Agroinsumos[[#This Row],[INV FIS AN]]-Tabla_Buffers_Agroinsumos[[#This Row],[BUFFER AN]],"")</f>
        <v/>
      </c>
      <c r="DK182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82" s="135"/>
      <c r="DM182" s="135"/>
      <c r="DN182" s="135"/>
      <c r="DO182" s="135"/>
      <c r="DP182" s="135"/>
      <c r="DQ182" s="135"/>
      <c r="DR182" s="135"/>
      <c r="DS182" s="135"/>
      <c r="DT182" s="135"/>
      <c r="DU182" s="135" t="str">
        <f t="array" ref="DU182">IFERROR(INDEX(TABLACONSOLIDADA[Buff Act],MATCH("AGROINSUMOSAGROQUIMICOSSUR"&amp;Tabla_Buffers_Agroinsumos[[#This Row],[CODIGO ]],TABLACONSOLIDADA[Bodega]&amp;TABLACONSOLIDADA[Codigo],0)),"")</f>
        <v/>
      </c>
      <c r="DV182" s="111" t="str">
        <f t="array" ref="DV182">IFERROR(INDEX(TABLACONSOLIDADA[Inv Fís Act],MATCH("AGROINSUMOSAGROQUIMICOSSUR"&amp;Tabla_Buffers_Agroinsumos[[#This Row],[CODIGO ]],TABLACONSOLIDADA[Bodega]&amp;TABLACONSOLIDADA[Codigo],0)),"")</f>
        <v/>
      </c>
      <c r="DW182" s="181" t="str">
        <f t="array" ref="DW18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82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82" s="135">
        <f>IFERROR(SUM(Tabla_Buffers_Agroinsumos[[#This Row],[AS-MP]:[AS-VL]]),"")</f>
        <v>0</v>
      </c>
      <c r="DZ182" s="154" t="str">
        <f>IFERROR(Tabla_Buffers_Agroinsumos[[#This Row],[INV FIS AS]]-Tabla_Buffers_Agroinsumos[[#This Row],[BUFFER AS]],"")</f>
        <v/>
      </c>
      <c r="EA182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82" s="135"/>
      <c r="EC182" s="135"/>
      <c r="ED182" s="135"/>
      <c r="EE182" s="135"/>
      <c r="EF182" s="135"/>
      <c r="EG182" s="135"/>
      <c r="EH182" s="135"/>
      <c r="EI182" s="135"/>
      <c r="EJ182" s="135"/>
      <c r="EK182" s="135" t="str">
        <f t="array" ref="EK182">IFERROR(INDEX(TABLACONSOLIDADA[Buff Act],MATCH("AGROINSUMOSLAFINCA"&amp;Tabla_Buffers_Agroinsumos[[#This Row],[CODIGO ]],TABLACONSOLIDADA[Bodega]&amp;TABLACONSOLIDADA[Codigo],0)),"")</f>
        <v/>
      </c>
      <c r="EL182" s="111" t="str">
        <f t="array" ref="EL182">IFERROR(INDEX(TABLACONSOLIDADA[Inv Fís Act],MATCH("AGROINSUMOSLAFINCA"&amp;Tabla_Buffers_Agroinsumos[[#This Row],[CODIGO ]],TABLACONSOLIDADA[Bodega]&amp;TABLACONSOLIDADA[Codigo],0)),"")</f>
        <v/>
      </c>
      <c r="EM182" s="181" t="str">
        <f t="array" ref="EM18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82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82" s="135">
        <f>IFERROR(SUM(Tabla_Buffers_Agroinsumos[[#This Row],[LF-MP]:[LF-VL]]),"")</f>
        <v>0</v>
      </c>
      <c r="EP182" s="154" t="str">
        <f>IFERROR(Tabla_Buffers_Agroinsumos[[#This Row],[INV FIS LF]]-Tabla_Buffers_Agroinsumos[[#This Row],[BUFFER LF]],"")</f>
        <v/>
      </c>
      <c r="EQ182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82" s="135"/>
      <c r="ES182" s="135"/>
      <c r="ET182" s="135"/>
      <c r="EU182" s="135"/>
      <c r="EV182" s="135"/>
      <c r="EW182" s="135"/>
      <c r="EX182" s="135"/>
      <c r="EY182" s="135"/>
      <c r="EZ182" s="135"/>
      <c r="FA182" s="135" t="str">
        <f t="array" ref="FA182">IFERROR(INDEX(TABLACONSOLIDADA[Buff Act],MATCH("AGROINSUMOSVERONICALEDESMA"&amp;Tabla_Buffers_Agroinsumos[[#This Row],[CODIGO ]],TABLACONSOLIDADA[Bodega]&amp;TABLACONSOLIDADA[Codigo],0)),"")</f>
        <v/>
      </c>
      <c r="FB182" s="111" t="str">
        <f t="array" ref="FB182">IFERROR(INDEX(TABLACONSOLIDADA[Inv Fís Act],MATCH("AGROINSUMOSVERONICALEDESMA"&amp;Tabla_Buffers_Agroinsumos[[#This Row],[CODIGO ]],TABLACONSOLIDADA[Bodega]&amp;TABLACONSOLIDADA[Codigo],0)),"")</f>
        <v/>
      </c>
      <c r="FC182" s="181" t="str">
        <f t="array" ref="FC18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82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82" s="135">
        <f>IFERROR(SUM(Tabla_Buffers_Agroinsumos[[#This Row],[VL-MP]:[VL-LF]]),"")</f>
        <v>0</v>
      </c>
      <c r="FF182" s="154" t="str">
        <f>IFERROR(Tabla_Buffers_Agroinsumos[[#This Row],[INV FIS VL]]-Tabla_Buffers_Agroinsumos[[#This Row],[BUFFER VL]],"")</f>
        <v/>
      </c>
      <c r="FG182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82" s="135"/>
      <c r="FI182" s="135"/>
      <c r="FJ182" s="135"/>
      <c r="FK182" s="135"/>
      <c r="FL182" s="135"/>
      <c r="FM182" s="135"/>
      <c r="FN182" s="135"/>
      <c r="FO182" s="135"/>
      <c r="FP182" s="135"/>
    </row>
    <row r="183" spans="1:172">
      <c r="A183" s="7" t="s">
        <v>1237</v>
      </c>
      <c r="B183" s="7" t="s">
        <v>1238</v>
      </c>
      <c r="C183" s="7" t="s">
        <v>716</v>
      </c>
      <c r="D183" s="7" t="s">
        <v>718</v>
      </c>
      <c r="E183" s="7" t="s">
        <v>863</v>
      </c>
      <c r="F183" s="19" t="s">
        <v>808</v>
      </c>
      <c r="G183" s="19" t="s">
        <v>802</v>
      </c>
      <c r="H183" s="19" t="e">
        <f>VLOOKUP(Tabla_Buffers_Agroinsumos[[#This Row],[CODIGO ]],TABLACONSOLIDADA[[Codigo]:[PV]],6,0)</f>
        <v>#N/A</v>
      </c>
      <c r="I183" s="19" t="e">
        <f>VLOOKUP(Tabla_Buffers_Agroinsumos[[#This Row],[CODIGO ]],TABLACONSOLIDADA[[Codigo]:[PV]],5,0)</f>
        <v>#N/A</v>
      </c>
      <c r="J183" s="19"/>
      <c r="K183" s="19"/>
      <c r="L183" s="19">
        <f>IFERROR(Tabla_Buffers_Agroinsumos[[#This Row],[BUFFER CENTRAL]]/((Tabla_Buffers_Agroinsumos[[#This Row],[TIEMPO REPOSICION ]]/Tabla_Buffers_Agroinsumos[[#This Row],[FRECUENCIA]])+1),0)</f>
        <v>0</v>
      </c>
      <c r="M183" s="19">
        <v>500</v>
      </c>
      <c r="N183" s="19" t="str">
        <f t="array" ref="N183">IFERROR(INDEX(TABLACONSOLIDADA[Inv Fís Act],MATCH("AGROINSUMOSMATERIAPRIMA"&amp;Tabla_Buffers_Agroinsumos[[#This Row],[CODIGO ]],TABLACONSOLIDADA[Bodega]&amp;TABLACONSOLIDADA[Codigo],0)),"")</f>
        <v/>
      </c>
      <c r="O183" s="180" t="str">
        <f t="array" ref="O18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8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83" s="19">
        <f>IFERROR(SUM(Tabla_Buffers_Agroinsumos[[#This Row],[MP-C]:[MP-VL]]),"")</f>
        <v>0</v>
      </c>
      <c r="R183" s="92" t="str">
        <f>IFERROR(Tabla_Buffers_Agroinsumos[[#This Row],[INV FIS MATERIA PRIMA]]-Tabla_Buffers_Agroinsumos[[#This Row],[BUFFER MATERIA PRIMA]],"")</f>
        <v/>
      </c>
      <c r="S18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83" s="19"/>
      <c r="U183" s="19"/>
      <c r="V183" s="19"/>
      <c r="W183" s="19"/>
      <c r="X183" s="19"/>
      <c r="Y183" s="19"/>
      <c r="Z183" s="19"/>
      <c r="AA183" s="19"/>
      <c r="AB183" s="19"/>
      <c r="AC183" s="152" t="str">
        <f t="array" ref="AC183">IFERROR(INDEX(TABLACONSOLIDADA[Buff Act],MATCH("AGROINSUMOSCENTRAL"&amp;Tabla_Buffers_Agroinsumos[[#This Row],[CODIGO ]],TABLACONSOLIDADA[Bodega]&amp;TABLACONSOLIDADA[Codigo],0)),"")</f>
        <v/>
      </c>
      <c r="AD183" s="19" t="str">
        <f t="array" ref="AD183">IFERROR(INDEX(TABLACONSOLIDADA[Inv Fís Act],MATCH("AGROINSUMOSCENTRAL"&amp;Tabla_Buffers_Agroinsumos[[#This Row],[CODIGO ]],TABLACONSOLIDADA[Bodega]&amp;TABLACONSOLIDADA[Codigo],0)),"")</f>
        <v/>
      </c>
      <c r="AE183" s="180" t="str">
        <f t="array" ref="AE18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8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83" s="91">
        <f>IFERROR(SUM(Tabla_Buffers_Agroinsumos[[#This Row],[C-MP]:[C-VL]]),"")</f>
        <v>0</v>
      </c>
      <c r="AH183" s="92" t="str">
        <f>IFERROR(Tabla_Buffers_Agroinsumos[[#This Row],[INV FIS CENTRAL]]-Tabla_Buffers_Agroinsumos[[#This Row],[BUFFER CENTRAL]],"")</f>
        <v/>
      </c>
      <c r="AI18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4" t="str">
        <f t="array" ref="AS183">IFERROR(INDEX(TABLACONSOLIDADA[Buff Act],MATCH("AGROINSUMOScentralPROPIA"&amp;Tabla_Buffers_Agroinsumos[[#This Row],[CODIGO ]],TABLACONSOLIDADA[Bodega]&amp;TABLACONSOLIDADA[Codigo],0)),"")</f>
        <v/>
      </c>
      <c r="AT183" s="19" t="str">
        <f t="array" ref="AT183">IFERROR(INDEX(TABLACONSOLIDADA[Inv Fís Act],MATCH("AGROINSUMOScentralPROPIA"&amp;Tabla_Buffers_Agroinsumos[[#This Row],[CODIGO ]],TABLACONSOLIDADA[Bodega]&amp;TABLACONSOLIDADA[Codigo],0)),"")</f>
        <v/>
      </c>
      <c r="AU183" s="180" t="str">
        <f t="array" ref="AU18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8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83" s="134">
        <f>IFERROR(SUM(Tabla_Buffers_Agroinsumos[[#This Row],[P-MP]:[P-VL]]),"")</f>
        <v>0</v>
      </c>
      <c r="AX183" s="92" t="str">
        <f>IFERROR(Tabla_Buffers_Agroinsumos[[#This Row],[INV FIS PROPIA]]-Tabla_Buffers_Agroinsumos[[#This Row],[BUFFER PROPIA]],"")</f>
        <v/>
      </c>
      <c r="AY18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83" s="134"/>
      <c r="BA183" s="134"/>
      <c r="BB183" s="134"/>
      <c r="BC183" s="134"/>
      <c r="BD183" s="134"/>
      <c r="BE183" s="134"/>
      <c r="BF183" s="134"/>
      <c r="BG183" s="134"/>
      <c r="BH183" s="134"/>
      <c r="BI183" s="91" t="str">
        <f t="array" ref="BI183">IFERROR(INDEX(TABLACONSOLIDADA[Buff Act],MATCH("AGROINSUMOSSTODOMINGO"&amp;Tabla_Buffers_Agroinsumos[[#This Row],[CODIGO ]],TABLACONSOLIDADA[Bodega]&amp;TABLACONSOLIDADA[Codigo],0)),"")</f>
        <v/>
      </c>
      <c r="BJ183" s="19" t="str">
        <f t="array" ref="BJ183">IFERROR(INDEX(TABLACONSOLIDADA[Inv Fís Act],MATCH("AGROINSUMOSSTODOMINGO"&amp;Tabla_Buffers_Agroinsumos[[#This Row],[CODIGO ]],TABLACONSOLIDADA[Bodega]&amp;TABLACONSOLIDADA[Codigo],0)),"")</f>
        <v/>
      </c>
      <c r="BK183" s="180" t="str">
        <f t="array" ref="BK18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8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83" s="91">
        <f>IFERROR(SUM(Tabla_Buffers_Agroinsumos[[#This Row],[SD-MP]:[SD-VL]]),"")</f>
        <v>0</v>
      </c>
      <c r="BN183" s="92"/>
      <c r="BO183" s="92"/>
      <c r="BP183" s="134"/>
      <c r="BQ183" s="134"/>
      <c r="BR183" s="134"/>
      <c r="BS183" s="134"/>
      <c r="BT183" s="134"/>
      <c r="BU183" s="134"/>
      <c r="BV183" s="134"/>
      <c r="BW183" s="134"/>
      <c r="BX183" s="134"/>
      <c r="BY183" s="134" t="str">
        <f t="array" ref="BY183">IFERROR(INDEX(TABLACONSOLIDADA[Buff Act],MATCH("AGROINSUMOSMONCAYOLOPEZ"&amp;Tabla_Buffers_Agroinsumos[[#This Row],[CODIGO ]],TABLACONSOLIDADA[Bodega]&amp;TABLACONSOLIDADA[Codigo],0)),"")</f>
        <v/>
      </c>
      <c r="BZ183" s="19" t="str">
        <f t="array" ref="BZ183">IFERROR(INDEX(TABLACONSOLIDADA[Inv Fís Act],MATCH("AGROINSUMOSMONCAYOLOPEZ"&amp;Tabla_Buffers_Agroinsumos[[#This Row],[CODIGO ]],TABLACONSOLIDADA[Bodega]&amp;TABLACONSOLIDADA[Codigo],0)),"")</f>
        <v/>
      </c>
      <c r="CA183" s="180" t="str">
        <f t="array" ref="CA18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8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83" s="134">
        <f>IFERROR(SUM(Tabla_Buffers_Agroinsumos[[#This Row],[ML-MP]:[ML-VL]]),"")</f>
        <v>0</v>
      </c>
      <c r="CD183" s="92" t="str">
        <f>IFERROR(Tabla_Buffers_Agroinsumos[[#This Row],[INV FIS ML]]-Tabla_Buffers_Agroinsumos[[#This Row],[BUFFER ML]],"")</f>
        <v/>
      </c>
      <c r="CE18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83" s="134"/>
      <c r="CG183" s="134"/>
      <c r="CH183" s="134"/>
      <c r="CI183" s="134"/>
      <c r="CJ183" s="134"/>
      <c r="CK183" s="134"/>
      <c r="CL183" s="134"/>
      <c r="CM183" s="134"/>
      <c r="CN183" s="134"/>
      <c r="CO183" s="134" t="str">
        <f t="array" ref="CO183">IFERROR(INDEX(TABLACONSOLIDADA[Buff Act],MATCH("AGROINSUMOSAGROHERMANOSLEON"&amp;Tabla_Buffers_Agroinsumos[[#This Row],[CODIGO ]],TABLACONSOLIDADA[Bodega]&amp;TABLACONSOLIDADA[Codigo],0)),"")</f>
        <v/>
      </c>
      <c r="CP183" s="19" t="str">
        <f t="array" ref="CP183">IFERROR(INDEX(TABLACONSOLIDADA[Inv Fís Act],MATCH("AGROINSUMOSAGROHERMANOSLEON"&amp;Tabla_Buffers_Agroinsumos[[#This Row],[CODIGO ]],TABLACONSOLIDADA[Bodega]&amp;TABLACONSOLIDADA[Codigo],0)),"")</f>
        <v/>
      </c>
      <c r="CQ183" s="180" t="str">
        <f t="array" ref="CQ18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8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83" s="134">
        <f>IFERROR(SUM(Tabla_Buffers_Agroinsumos[[#This Row],[AL-MP]:[AL-VL]]),"")</f>
        <v>0</v>
      </c>
      <c r="CT183" s="92" t="str">
        <f>IFERROR(Tabla_Buffers_Agroinsumos[[#This Row],[INV FIS AL]]-Tabla_Buffers_Agroinsumos[[#This Row],[BUFFER AL]],"")</f>
        <v/>
      </c>
      <c r="CU18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83" s="134"/>
      <c r="CW183" s="134"/>
      <c r="CX183" s="134"/>
      <c r="CY183" s="134"/>
      <c r="CZ183" s="134"/>
      <c r="DA183" s="134"/>
      <c r="DB183" s="134"/>
      <c r="DC183" s="134"/>
      <c r="DD183" s="134"/>
      <c r="DE183" s="134" t="str">
        <f t="array" ref="DE183">IFERROR(INDEX(TABLACONSOLIDADA[Buff Act],MATCH("AGROINSUMOSAGRONUEVO"&amp;Tabla_Buffers_Agroinsumos[[#This Row],[CODIGO ]],TABLACONSOLIDADA[Bodega]&amp;TABLACONSOLIDADA[Codigo],0)),"")</f>
        <v/>
      </c>
      <c r="DF183" s="19" t="str">
        <f t="array" ref="DF183">IFERROR(INDEX(TABLACONSOLIDADA[Inv Fís Act],MATCH("AGROINSUMOSAGRONUEVO"&amp;Tabla_Buffers_Agroinsumos[[#This Row],[CODIGO ]],TABLACONSOLIDADA[Bodega]&amp;TABLACONSOLIDADA[Codigo],0)),"")</f>
        <v/>
      </c>
      <c r="DG183" s="180" t="str">
        <f t="array" ref="DG18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8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83" s="134">
        <f>IFERROR(SUM(Tabla_Buffers_Agroinsumos[[#This Row],[AN-MP]:[AN-VL]]),"")</f>
        <v>0</v>
      </c>
      <c r="DJ183" s="92" t="str">
        <f>IFERROR(Tabla_Buffers_Agroinsumos[[#This Row],[INV FIS AN]]-Tabla_Buffers_Agroinsumos[[#This Row],[BUFFER AN]],"")</f>
        <v/>
      </c>
      <c r="DK18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83" s="134"/>
      <c r="DM183" s="134"/>
      <c r="DN183" s="134"/>
      <c r="DO183" s="134"/>
      <c r="DP183" s="134"/>
      <c r="DQ183" s="134"/>
      <c r="DR183" s="134"/>
      <c r="DS183" s="134"/>
      <c r="DT183" s="134"/>
      <c r="DU183" s="134" t="str">
        <f t="array" ref="DU183">IFERROR(INDEX(TABLACONSOLIDADA[Buff Act],MATCH("AGROINSUMOSAGROQUIMICOSSUR"&amp;Tabla_Buffers_Agroinsumos[[#This Row],[CODIGO ]],TABLACONSOLIDADA[Bodega]&amp;TABLACONSOLIDADA[Codigo],0)),"")</f>
        <v/>
      </c>
      <c r="DV183" s="19" t="str">
        <f t="array" ref="DV183">IFERROR(INDEX(TABLACONSOLIDADA[Inv Fís Act],MATCH("AGROINSUMOSAGROQUIMICOSSUR"&amp;Tabla_Buffers_Agroinsumos[[#This Row],[CODIGO ]],TABLACONSOLIDADA[Bodega]&amp;TABLACONSOLIDADA[Codigo],0)),"")</f>
        <v/>
      </c>
      <c r="DW183" s="180" t="str">
        <f t="array" ref="DW18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8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83" s="134">
        <f>IFERROR(SUM(Tabla_Buffers_Agroinsumos[[#This Row],[AS-MP]:[AS-VL]]),"")</f>
        <v>0</v>
      </c>
      <c r="DZ183" s="92" t="str">
        <f>IFERROR(Tabla_Buffers_Agroinsumos[[#This Row],[INV FIS AS]]-Tabla_Buffers_Agroinsumos[[#This Row],[BUFFER AS]],"")</f>
        <v/>
      </c>
      <c r="EA18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83" s="134"/>
      <c r="EC183" s="134"/>
      <c r="ED183" s="134"/>
      <c r="EE183" s="134"/>
      <c r="EF183" s="134"/>
      <c r="EG183" s="134"/>
      <c r="EH183" s="134"/>
      <c r="EI183" s="134"/>
      <c r="EJ183" s="134"/>
      <c r="EK183" s="134" t="str">
        <f t="array" ref="EK183">IFERROR(INDEX(TABLACONSOLIDADA[Buff Act],MATCH("AGROINSUMOSLAFINCA"&amp;Tabla_Buffers_Agroinsumos[[#This Row],[CODIGO ]],TABLACONSOLIDADA[Bodega]&amp;TABLACONSOLIDADA[Codigo],0)),"")</f>
        <v/>
      </c>
      <c r="EL183" s="19" t="str">
        <f t="array" ref="EL183">IFERROR(INDEX(TABLACONSOLIDADA[Inv Fís Act],MATCH("AGROINSUMOSLAFINCA"&amp;Tabla_Buffers_Agroinsumos[[#This Row],[CODIGO ]],TABLACONSOLIDADA[Bodega]&amp;TABLACONSOLIDADA[Codigo],0)),"")</f>
        <v/>
      </c>
      <c r="EM183" s="180" t="str">
        <f t="array" ref="EM18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8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83" s="134">
        <f>IFERROR(SUM(Tabla_Buffers_Agroinsumos[[#This Row],[LF-MP]:[LF-VL]]),"")</f>
        <v>0</v>
      </c>
      <c r="EP183" s="92" t="str">
        <f>IFERROR(Tabla_Buffers_Agroinsumos[[#This Row],[INV FIS LF]]-Tabla_Buffers_Agroinsumos[[#This Row],[BUFFER LF]],"")</f>
        <v/>
      </c>
      <c r="EQ18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83" s="134"/>
      <c r="ES183" s="134"/>
      <c r="ET183" s="134"/>
      <c r="EU183" s="134"/>
      <c r="EV183" s="134"/>
      <c r="EW183" s="134"/>
      <c r="EX183" s="134"/>
      <c r="EY183" s="134"/>
      <c r="EZ183" s="134"/>
      <c r="FA183" s="134" t="str">
        <f t="array" ref="FA183">IFERROR(INDEX(TABLACONSOLIDADA[Buff Act],MATCH("AGROINSUMOSVERONICALEDESMA"&amp;Tabla_Buffers_Agroinsumos[[#This Row],[CODIGO ]],TABLACONSOLIDADA[Bodega]&amp;TABLACONSOLIDADA[Codigo],0)),"")</f>
        <v/>
      </c>
      <c r="FB183" s="19" t="str">
        <f t="array" ref="FB183">IFERROR(INDEX(TABLACONSOLIDADA[Inv Fís Act],MATCH("AGROINSUMOSVERONICALEDESMA"&amp;Tabla_Buffers_Agroinsumos[[#This Row],[CODIGO ]],TABLACONSOLIDADA[Bodega]&amp;TABLACONSOLIDADA[Codigo],0)),"")</f>
        <v/>
      </c>
      <c r="FC183" s="180" t="str">
        <f t="array" ref="FC18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8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83" s="134">
        <f>IFERROR(SUM(Tabla_Buffers_Agroinsumos[[#This Row],[VL-MP]:[VL-LF]]),"")</f>
        <v>0</v>
      </c>
      <c r="FF183" s="92" t="str">
        <f>IFERROR(Tabla_Buffers_Agroinsumos[[#This Row],[INV FIS VL]]-Tabla_Buffers_Agroinsumos[[#This Row],[BUFFER VL]],"")</f>
        <v/>
      </c>
      <c r="FG18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83" s="134"/>
      <c r="FI183" s="134"/>
      <c r="FJ183" s="134"/>
      <c r="FK183" s="134"/>
      <c r="FL183" s="134"/>
      <c r="FM183" s="134"/>
      <c r="FN183" s="134"/>
      <c r="FO183" s="134"/>
      <c r="FP183" s="134"/>
    </row>
    <row r="184" spans="1:172">
      <c r="A184" s="7" t="s">
        <v>1240</v>
      </c>
      <c r="B184" s="7" t="s">
        <v>1239</v>
      </c>
      <c r="C184" s="7" t="s">
        <v>716</v>
      </c>
      <c r="D184" s="7" t="s">
        <v>718</v>
      </c>
      <c r="E184" s="7" t="s">
        <v>863</v>
      </c>
      <c r="F184" s="19" t="s">
        <v>808</v>
      </c>
      <c r="G184" s="19" t="s">
        <v>802</v>
      </c>
      <c r="H184" s="19" t="e">
        <f>VLOOKUP(Tabla_Buffers_Agroinsumos[[#This Row],[CODIGO ]],TABLACONSOLIDADA[[Codigo]:[PV]],6,0)</f>
        <v>#N/A</v>
      </c>
      <c r="I184" s="19" t="e">
        <f>VLOOKUP(Tabla_Buffers_Agroinsumos[[#This Row],[CODIGO ]],TABLACONSOLIDADA[[Codigo]:[PV]],5,0)</f>
        <v>#N/A</v>
      </c>
      <c r="J184" s="19"/>
      <c r="K184" s="19"/>
      <c r="L184" s="19">
        <f>IFERROR(Tabla_Buffers_Agroinsumos[[#This Row],[BUFFER CENTRAL]]/((Tabla_Buffers_Agroinsumos[[#This Row],[TIEMPO REPOSICION ]]/Tabla_Buffers_Agroinsumos[[#This Row],[FRECUENCIA]])+1),0)</f>
        <v>0</v>
      </c>
      <c r="M184" s="19">
        <v>500</v>
      </c>
      <c r="N184" s="19" t="str">
        <f t="array" ref="N184">IFERROR(INDEX(TABLACONSOLIDADA[Inv Fís Act],MATCH("AGROINSUMOSMATERIAPRIMA"&amp;Tabla_Buffers_Agroinsumos[[#This Row],[CODIGO ]],TABLACONSOLIDADA[Bodega]&amp;TABLACONSOLIDADA[Codigo],0)),"")</f>
        <v/>
      </c>
      <c r="O184" s="180" t="str">
        <f t="array" ref="O18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8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84" s="19">
        <f>IFERROR(SUM(Tabla_Buffers_Agroinsumos[[#This Row],[MP-C]:[MP-VL]]),"")</f>
        <v>0</v>
      </c>
      <c r="R184" s="92" t="str">
        <f>IFERROR(Tabla_Buffers_Agroinsumos[[#This Row],[INV FIS MATERIA PRIMA]]-Tabla_Buffers_Agroinsumos[[#This Row],[BUFFER MATERIA PRIMA]],"")</f>
        <v/>
      </c>
      <c r="S18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84" s="19"/>
      <c r="U184" s="19"/>
      <c r="V184" s="19"/>
      <c r="W184" s="19"/>
      <c r="X184" s="19"/>
      <c r="Y184" s="19"/>
      <c r="Z184" s="19"/>
      <c r="AA184" s="19"/>
      <c r="AB184" s="19"/>
      <c r="AC184" s="152" t="str">
        <f t="array" ref="AC184">IFERROR(INDEX(TABLACONSOLIDADA[Buff Act],MATCH("AGROINSUMOSCENTRAL"&amp;Tabla_Buffers_Agroinsumos[[#This Row],[CODIGO ]],TABLACONSOLIDADA[Bodega]&amp;TABLACONSOLIDADA[Codigo],0)),"")</f>
        <v/>
      </c>
      <c r="AD184" s="19" t="str">
        <f t="array" ref="AD184">IFERROR(INDEX(TABLACONSOLIDADA[Inv Fís Act],MATCH("AGROINSUMOSCENTRAL"&amp;Tabla_Buffers_Agroinsumos[[#This Row],[CODIGO ]],TABLACONSOLIDADA[Bodega]&amp;TABLACONSOLIDADA[Codigo],0)),"")</f>
        <v/>
      </c>
      <c r="AE184" s="180" t="str">
        <f t="array" ref="AE18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8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84" s="91">
        <f>IFERROR(SUM(Tabla_Buffers_Agroinsumos[[#This Row],[C-MP]:[C-VL]]),"")</f>
        <v>0</v>
      </c>
      <c r="AH184" s="92" t="str">
        <f>IFERROR(Tabla_Buffers_Agroinsumos[[#This Row],[INV FIS CENTRAL]]-Tabla_Buffers_Agroinsumos[[#This Row],[BUFFER CENTRAL]],"")</f>
        <v/>
      </c>
      <c r="AI18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4" t="str">
        <f t="array" ref="AS184">IFERROR(INDEX(TABLACONSOLIDADA[Buff Act],MATCH("AGROINSUMOScentralPROPIA"&amp;Tabla_Buffers_Agroinsumos[[#This Row],[CODIGO ]],TABLACONSOLIDADA[Bodega]&amp;TABLACONSOLIDADA[Codigo],0)),"")</f>
        <v/>
      </c>
      <c r="AT184" s="19" t="str">
        <f t="array" ref="AT184">IFERROR(INDEX(TABLACONSOLIDADA[Inv Fís Act],MATCH("AGROINSUMOScentralPROPIA"&amp;Tabla_Buffers_Agroinsumos[[#This Row],[CODIGO ]],TABLACONSOLIDADA[Bodega]&amp;TABLACONSOLIDADA[Codigo],0)),"")</f>
        <v/>
      </c>
      <c r="AU184" s="180" t="str">
        <f t="array" ref="AU18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8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84" s="134">
        <f>IFERROR(SUM(Tabla_Buffers_Agroinsumos[[#This Row],[P-MP]:[P-VL]]),"")</f>
        <v>0</v>
      </c>
      <c r="AX184" s="92" t="str">
        <f>IFERROR(Tabla_Buffers_Agroinsumos[[#This Row],[INV FIS PROPIA]]-Tabla_Buffers_Agroinsumos[[#This Row],[BUFFER PROPIA]],"")</f>
        <v/>
      </c>
      <c r="AY18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84" s="134"/>
      <c r="BA184" s="134"/>
      <c r="BB184" s="134"/>
      <c r="BC184" s="134"/>
      <c r="BD184" s="134"/>
      <c r="BE184" s="134"/>
      <c r="BF184" s="134"/>
      <c r="BG184" s="134"/>
      <c r="BH184" s="134"/>
      <c r="BI184" s="91" t="str">
        <f t="array" ref="BI184">IFERROR(INDEX(TABLACONSOLIDADA[Buff Act],MATCH("AGROINSUMOSSTODOMINGO"&amp;Tabla_Buffers_Agroinsumos[[#This Row],[CODIGO ]],TABLACONSOLIDADA[Bodega]&amp;TABLACONSOLIDADA[Codigo],0)),"")</f>
        <v/>
      </c>
      <c r="BJ184" s="19" t="str">
        <f t="array" ref="BJ184">IFERROR(INDEX(TABLACONSOLIDADA[Inv Fís Act],MATCH("AGROINSUMOSSTODOMINGO"&amp;Tabla_Buffers_Agroinsumos[[#This Row],[CODIGO ]],TABLACONSOLIDADA[Bodega]&amp;TABLACONSOLIDADA[Codigo],0)),"")</f>
        <v/>
      </c>
      <c r="BK184" s="180" t="str">
        <f t="array" ref="BK18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8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84" s="91">
        <f>IFERROR(SUM(Tabla_Buffers_Agroinsumos[[#This Row],[SD-MP]:[SD-VL]]),"")</f>
        <v>0</v>
      </c>
      <c r="BN184" s="92"/>
      <c r="BO184" s="92"/>
      <c r="BP184" s="134"/>
      <c r="BQ184" s="134"/>
      <c r="BR184" s="134"/>
      <c r="BS184" s="134"/>
      <c r="BT184" s="134"/>
      <c r="BU184" s="134"/>
      <c r="BV184" s="134"/>
      <c r="BW184" s="134"/>
      <c r="BX184" s="134"/>
      <c r="BY184" s="134" t="str">
        <f t="array" ref="BY184">IFERROR(INDEX(TABLACONSOLIDADA[Buff Act],MATCH("AGROINSUMOSMONCAYOLOPEZ"&amp;Tabla_Buffers_Agroinsumos[[#This Row],[CODIGO ]],TABLACONSOLIDADA[Bodega]&amp;TABLACONSOLIDADA[Codigo],0)),"")</f>
        <v/>
      </c>
      <c r="BZ184" s="19" t="str">
        <f t="array" ref="BZ184">IFERROR(INDEX(TABLACONSOLIDADA[Inv Fís Act],MATCH("AGROINSUMOSMONCAYOLOPEZ"&amp;Tabla_Buffers_Agroinsumos[[#This Row],[CODIGO ]],TABLACONSOLIDADA[Bodega]&amp;TABLACONSOLIDADA[Codigo],0)),"")</f>
        <v/>
      </c>
      <c r="CA184" s="180" t="str">
        <f t="array" ref="CA18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8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84" s="134">
        <f>IFERROR(SUM(Tabla_Buffers_Agroinsumos[[#This Row],[ML-MP]:[ML-VL]]),"")</f>
        <v>0</v>
      </c>
      <c r="CD184" s="92" t="str">
        <f>IFERROR(Tabla_Buffers_Agroinsumos[[#This Row],[INV FIS ML]]-Tabla_Buffers_Agroinsumos[[#This Row],[BUFFER ML]],"")</f>
        <v/>
      </c>
      <c r="CE18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84" s="134"/>
      <c r="CG184" s="134"/>
      <c r="CH184" s="134"/>
      <c r="CI184" s="134"/>
      <c r="CJ184" s="134"/>
      <c r="CK184" s="134"/>
      <c r="CL184" s="134"/>
      <c r="CM184" s="134"/>
      <c r="CN184" s="134"/>
      <c r="CO184" s="134" t="str">
        <f t="array" ref="CO184">IFERROR(INDEX(TABLACONSOLIDADA[Buff Act],MATCH("AGROINSUMOSAGROHERMANOSLEON"&amp;Tabla_Buffers_Agroinsumos[[#This Row],[CODIGO ]],TABLACONSOLIDADA[Bodega]&amp;TABLACONSOLIDADA[Codigo],0)),"")</f>
        <v/>
      </c>
      <c r="CP184" s="19" t="str">
        <f t="array" ref="CP184">IFERROR(INDEX(TABLACONSOLIDADA[Inv Fís Act],MATCH("AGROINSUMOSAGROHERMANOSLEON"&amp;Tabla_Buffers_Agroinsumos[[#This Row],[CODIGO ]],TABLACONSOLIDADA[Bodega]&amp;TABLACONSOLIDADA[Codigo],0)),"")</f>
        <v/>
      </c>
      <c r="CQ184" s="180" t="str">
        <f t="array" ref="CQ18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8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84" s="134">
        <f>IFERROR(SUM(Tabla_Buffers_Agroinsumos[[#This Row],[AL-MP]:[AL-VL]]),"")</f>
        <v>0</v>
      </c>
      <c r="CT184" s="92" t="str">
        <f>IFERROR(Tabla_Buffers_Agroinsumos[[#This Row],[INV FIS AL]]-Tabla_Buffers_Agroinsumos[[#This Row],[BUFFER AL]],"")</f>
        <v/>
      </c>
      <c r="CU18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84" s="134"/>
      <c r="CW184" s="134"/>
      <c r="CX184" s="134"/>
      <c r="CY184" s="134"/>
      <c r="CZ184" s="134"/>
      <c r="DA184" s="134"/>
      <c r="DB184" s="134"/>
      <c r="DC184" s="134"/>
      <c r="DD184" s="134"/>
      <c r="DE184" s="134" t="str">
        <f t="array" ref="DE184">IFERROR(INDEX(TABLACONSOLIDADA[Buff Act],MATCH("AGROINSUMOSAGRONUEVO"&amp;Tabla_Buffers_Agroinsumos[[#This Row],[CODIGO ]],TABLACONSOLIDADA[Bodega]&amp;TABLACONSOLIDADA[Codigo],0)),"")</f>
        <v/>
      </c>
      <c r="DF184" s="19" t="str">
        <f t="array" ref="DF184">IFERROR(INDEX(TABLACONSOLIDADA[Inv Fís Act],MATCH("AGROINSUMOSAGRONUEVO"&amp;Tabla_Buffers_Agroinsumos[[#This Row],[CODIGO ]],TABLACONSOLIDADA[Bodega]&amp;TABLACONSOLIDADA[Codigo],0)),"")</f>
        <v/>
      </c>
      <c r="DG184" s="180" t="str">
        <f t="array" ref="DG18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8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84" s="134">
        <f>IFERROR(SUM(Tabla_Buffers_Agroinsumos[[#This Row],[AN-MP]:[AN-VL]]),"")</f>
        <v>0</v>
      </c>
      <c r="DJ184" s="92" t="str">
        <f>IFERROR(Tabla_Buffers_Agroinsumos[[#This Row],[INV FIS AN]]-Tabla_Buffers_Agroinsumos[[#This Row],[BUFFER AN]],"")</f>
        <v/>
      </c>
      <c r="DK18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84" s="134"/>
      <c r="DM184" s="134"/>
      <c r="DN184" s="134"/>
      <c r="DO184" s="134"/>
      <c r="DP184" s="134"/>
      <c r="DQ184" s="134"/>
      <c r="DR184" s="134"/>
      <c r="DS184" s="134"/>
      <c r="DT184" s="134"/>
      <c r="DU184" s="134" t="str">
        <f t="array" ref="DU184">IFERROR(INDEX(TABLACONSOLIDADA[Buff Act],MATCH("AGROINSUMOSAGROQUIMICOSSUR"&amp;Tabla_Buffers_Agroinsumos[[#This Row],[CODIGO ]],TABLACONSOLIDADA[Bodega]&amp;TABLACONSOLIDADA[Codigo],0)),"")</f>
        <v/>
      </c>
      <c r="DV184" s="19" t="str">
        <f t="array" ref="DV184">IFERROR(INDEX(TABLACONSOLIDADA[Inv Fís Act],MATCH("AGROINSUMOSAGROQUIMICOSSUR"&amp;Tabla_Buffers_Agroinsumos[[#This Row],[CODIGO ]],TABLACONSOLIDADA[Bodega]&amp;TABLACONSOLIDADA[Codigo],0)),"")</f>
        <v/>
      </c>
      <c r="DW184" s="180" t="str">
        <f t="array" ref="DW18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8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84" s="134">
        <f>IFERROR(SUM(Tabla_Buffers_Agroinsumos[[#This Row],[AS-MP]:[AS-VL]]),"")</f>
        <v>0</v>
      </c>
      <c r="DZ184" s="92" t="str">
        <f>IFERROR(Tabla_Buffers_Agroinsumos[[#This Row],[INV FIS AS]]-Tabla_Buffers_Agroinsumos[[#This Row],[BUFFER AS]],"")</f>
        <v/>
      </c>
      <c r="EA18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84" s="134"/>
      <c r="EC184" s="134"/>
      <c r="ED184" s="134"/>
      <c r="EE184" s="134"/>
      <c r="EF184" s="134"/>
      <c r="EG184" s="134"/>
      <c r="EH184" s="134"/>
      <c r="EI184" s="134"/>
      <c r="EJ184" s="134"/>
      <c r="EK184" s="134" t="str">
        <f t="array" ref="EK184">IFERROR(INDEX(TABLACONSOLIDADA[Buff Act],MATCH("AGROINSUMOSLAFINCA"&amp;Tabla_Buffers_Agroinsumos[[#This Row],[CODIGO ]],TABLACONSOLIDADA[Bodega]&amp;TABLACONSOLIDADA[Codigo],0)),"")</f>
        <v/>
      </c>
      <c r="EL184" s="19" t="str">
        <f t="array" ref="EL184">IFERROR(INDEX(TABLACONSOLIDADA[Inv Fís Act],MATCH("AGROINSUMOSLAFINCA"&amp;Tabla_Buffers_Agroinsumos[[#This Row],[CODIGO ]],TABLACONSOLIDADA[Bodega]&amp;TABLACONSOLIDADA[Codigo],0)),"")</f>
        <v/>
      </c>
      <c r="EM184" s="180" t="str">
        <f t="array" ref="EM18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8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84" s="134">
        <f>IFERROR(SUM(Tabla_Buffers_Agroinsumos[[#This Row],[LF-MP]:[LF-VL]]),"")</f>
        <v>0</v>
      </c>
      <c r="EP184" s="92" t="str">
        <f>IFERROR(Tabla_Buffers_Agroinsumos[[#This Row],[INV FIS LF]]-Tabla_Buffers_Agroinsumos[[#This Row],[BUFFER LF]],"")</f>
        <v/>
      </c>
      <c r="EQ18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84" s="134"/>
      <c r="ES184" s="134"/>
      <c r="ET184" s="134"/>
      <c r="EU184" s="134"/>
      <c r="EV184" s="134"/>
      <c r="EW184" s="134"/>
      <c r="EX184" s="134"/>
      <c r="EY184" s="134"/>
      <c r="EZ184" s="134"/>
      <c r="FA184" s="134" t="str">
        <f t="array" ref="FA184">IFERROR(INDEX(TABLACONSOLIDADA[Buff Act],MATCH("AGROINSUMOSVERONICALEDESMA"&amp;Tabla_Buffers_Agroinsumos[[#This Row],[CODIGO ]],TABLACONSOLIDADA[Bodega]&amp;TABLACONSOLIDADA[Codigo],0)),"")</f>
        <v/>
      </c>
      <c r="FB184" s="19" t="str">
        <f t="array" ref="FB184">IFERROR(INDEX(TABLACONSOLIDADA[Inv Fís Act],MATCH("AGROINSUMOSVERONICALEDESMA"&amp;Tabla_Buffers_Agroinsumos[[#This Row],[CODIGO ]],TABLACONSOLIDADA[Bodega]&amp;TABLACONSOLIDADA[Codigo],0)),"")</f>
        <v/>
      </c>
      <c r="FC184" s="180" t="str">
        <f t="array" ref="FC18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8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84" s="134">
        <f>IFERROR(SUM(Tabla_Buffers_Agroinsumos[[#This Row],[VL-MP]:[VL-LF]]),"")</f>
        <v>0</v>
      </c>
      <c r="FF184" s="92" t="str">
        <f>IFERROR(Tabla_Buffers_Agroinsumos[[#This Row],[INV FIS VL]]-Tabla_Buffers_Agroinsumos[[#This Row],[BUFFER VL]],"")</f>
        <v/>
      </c>
      <c r="FG18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84" s="134"/>
      <c r="FI184" s="134"/>
      <c r="FJ184" s="134"/>
      <c r="FK184" s="134"/>
      <c r="FL184" s="134"/>
      <c r="FM184" s="134"/>
      <c r="FN184" s="134"/>
      <c r="FO184" s="134"/>
      <c r="FP184" s="134"/>
    </row>
    <row r="185" spans="1:172">
      <c r="A185" s="20" t="s">
        <v>1273</v>
      </c>
      <c r="B185" s="20" t="s">
        <v>1272</v>
      </c>
      <c r="C185" s="20" t="s">
        <v>716</v>
      </c>
      <c r="D185" s="20" t="s">
        <v>718</v>
      </c>
      <c r="E185" s="20" t="s">
        <v>863</v>
      </c>
      <c r="F185" s="111" t="s">
        <v>808</v>
      </c>
      <c r="G185" s="111" t="s">
        <v>802</v>
      </c>
      <c r="H185" s="111" t="e">
        <f>VLOOKUP(Tabla_Buffers_Agroinsumos[[#This Row],[CODIGO ]],TABLACONSOLIDADA[[Codigo]:[PV]],6,0)</f>
        <v>#N/A</v>
      </c>
      <c r="I185" s="111" t="e">
        <f>VLOOKUP(Tabla_Buffers_Agroinsumos[[#This Row],[CODIGO ]],TABLACONSOLIDADA[[Codigo]:[PV]],5,0)</f>
        <v>#N/A</v>
      </c>
      <c r="J185" s="111"/>
      <c r="K185" s="111"/>
      <c r="L185" s="111">
        <f>IFERROR(Tabla_Buffers_Agroinsumos[[#This Row],[BUFFER CENTRAL]]/((Tabla_Buffers_Agroinsumos[[#This Row],[TIEMPO REPOSICION ]]/Tabla_Buffers_Agroinsumos[[#This Row],[FRECUENCIA]])+1),0)</f>
        <v>0</v>
      </c>
      <c r="M185" s="111">
        <v>500</v>
      </c>
      <c r="N185" s="111" t="str">
        <f t="array" ref="N185">IFERROR(INDEX(TABLACONSOLIDADA[Inv Fís Act],MATCH("AGROINSUMOSMATERIAPRIMA"&amp;Tabla_Buffers_Agroinsumos[[#This Row],[CODIGO ]],TABLACONSOLIDADA[Bodega]&amp;TABLACONSOLIDADA[Codigo],0)),"")</f>
        <v/>
      </c>
      <c r="O185" s="183" t="str">
        <f t="array" ref="O18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85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85" s="111">
        <f>IFERROR(SUM(Tabla_Buffers_Agroinsumos[[#This Row],[MP-C]:[MP-VL]]),"")</f>
        <v>0</v>
      </c>
      <c r="R185" s="154" t="str">
        <f>IFERROR(Tabla_Buffers_Agroinsumos[[#This Row],[INV FIS MATERIA PRIMA]]-Tabla_Buffers_Agroinsumos[[#This Row],[BUFFER MATERIA PRIMA]],"")</f>
        <v/>
      </c>
      <c r="S185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85" s="111"/>
      <c r="U185" s="111"/>
      <c r="V185" s="111"/>
      <c r="W185" s="111"/>
      <c r="X185" s="111"/>
      <c r="Y185" s="111"/>
      <c r="Z185" s="111"/>
      <c r="AA185" s="111"/>
      <c r="AB185" s="111"/>
      <c r="AC185" s="152" t="str">
        <f t="array" ref="AC185">IFERROR(INDEX(TABLACONSOLIDADA[Buff Act],MATCH("AGROINSUMOSCENTRAL"&amp;Tabla_Buffers_Agroinsumos[[#This Row],[CODIGO ]],TABLACONSOLIDADA[Bodega]&amp;TABLACONSOLIDADA[Codigo],0)),"")</f>
        <v/>
      </c>
      <c r="AD185" s="111" t="str">
        <f t="array" ref="AD185">IFERROR(INDEX(TABLACONSOLIDADA[Inv Fís Act],MATCH("AGROINSUMOSCENTRAL"&amp;Tabla_Buffers_Agroinsumos[[#This Row],[CODIGO ]],TABLACONSOLIDADA[Bodega]&amp;TABLACONSOLIDADA[Codigo],0)),"")</f>
        <v/>
      </c>
      <c r="AE185" s="183" t="str">
        <f t="array" ref="AE18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85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85" s="153">
        <f>IFERROR(SUM(Tabla_Buffers_Agroinsumos[[#This Row],[C-MP]:[C-VL]]),"")</f>
        <v>0</v>
      </c>
      <c r="AH185" s="154" t="str">
        <f>IFERROR(Tabla_Buffers_Agroinsumos[[#This Row],[INV FIS CENTRAL]]-Tabla_Buffers_Agroinsumos[[#This Row],[BUFFER CENTRAL]],"")</f>
        <v/>
      </c>
      <c r="AI185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85" s="135"/>
      <c r="AK185" s="135"/>
      <c r="AL185" s="135"/>
      <c r="AM185" s="135"/>
      <c r="AN185" s="135"/>
      <c r="AO185" s="135"/>
      <c r="AP185" s="135"/>
      <c r="AQ185" s="135"/>
      <c r="AR185" s="135"/>
      <c r="AS185" s="135" t="str">
        <f t="array" ref="AS185">IFERROR(INDEX(TABLACONSOLIDADA[Buff Act],MATCH("AGROINSUMOScentralPROPIA"&amp;Tabla_Buffers_Agroinsumos[[#This Row],[CODIGO ]],TABLACONSOLIDADA[Bodega]&amp;TABLACONSOLIDADA[Codigo],0)),"")</f>
        <v/>
      </c>
      <c r="AT185" s="111" t="str">
        <f t="array" ref="AT185">IFERROR(INDEX(TABLACONSOLIDADA[Inv Fís Act],MATCH("AGROINSUMOScentralPROPIA"&amp;Tabla_Buffers_Agroinsumos[[#This Row],[CODIGO ]],TABLACONSOLIDADA[Bodega]&amp;TABLACONSOLIDADA[Codigo],0)),"")</f>
        <v/>
      </c>
      <c r="AU185" s="183" t="str">
        <f t="array" ref="AU18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85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85" s="135">
        <f>IFERROR(SUM(Tabla_Buffers_Agroinsumos[[#This Row],[P-MP]:[P-VL]]),"")</f>
        <v>0</v>
      </c>
      <c r="AX185" s="154" t="str">
        <f>IFERROR(Tabla_Buffers_Agroinsumos[[#This Row],[INV FIS PROPIA]]-Tabla_Buffers_Agroinsumos[[#This Row],[BUFFER PROPIA]],"")</f>
        <v/>
      </c>
      <c r="AY185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85" s="135"/>
      <c r="BA185" s="135"/>
      <c r="BB185" s="135"/>
      <c r="BC185" s="135"/>
      <c r="BD185" s="135"/>
      <c r="BE185" s="135"/>
      <c r="BF185" s="135"/>
      <c r="BG185" s="135"/>
      <c r="BH185" s="135"/>
      <c r="BI185" s="153" t="str">
        <f t="array" ref="BI185">IFERROR(INDEX(TABLACONSOLIDADA[Buff Act],MATCH("AGROINSUMOSSTODOMINGO"&amp;Tabla_Buffers_Agroinsumos[[#This Row],[CODIGO ]],TABLACONSOLIDADA[Bodega]&amp;TABLACONSOLIDADA[Codigo],0)),"")</f>
        <v/>
      </c>
      <c r="BJ185" s="111" t="str">
        <f t="array" ref="BJ185">IFERROR(INDEX(TABLACONSOLIDADA[Inv Fís Act],MATCH("AGROINSUMOSSTODOMINGO"&amp;Tabla_Buffers_Agroinsumos[[#This Row],[CODIGO ]],TABLACONSOLIDADA[Bodega]&amp;TABLACONSOLIDADA[Codigo],0)),"")</f>
        <v/>
      </c>
      <c r="BK185" s="183" t="str">
        <f t="array" ref="BK18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85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85" s="153">
        <f>IFERROR(SUM(Tabla_Buffers_Agroinsumos[[#This Row],[SD-MP]:[SD-VL]]),"")</f>
        <v>0</v>
      </c>
      <c r="BN185" s="154"/>
      <c r="BO185" s="154"/>
      <c r="BP185" s="135"/>
      <c r="BQ185" s="135"/>
      <c r="BR185" s="135"/>
      <c r="BS185" s="135"/>
      <c r="BT185" s="135"/>
      <c r="BU185" s="135"/>
      <c r="BV185" s="135"/>
      <c r="BW185" s="135"/>
      <c r="BX185" s="135"/>
      <c r="BY185" s="135" t="str">
        <f t="array" ref="BY185">IFERROR(INDEX(TABLACONSOLIDADA[Buff Act],MATCH("AGROINSUMOSMONCAYOLOPEZ"&amp;Tabla_Buffers_Agroinsumos[[#This Row],[CODIGO ]],TABLACONSOLIDADA[Bodega]&amp;TABLACONSOLIDADA[Codigo],0)),"")</f>
        <v/>
      </c>
      <c r="BZ185" s="111" t="str">
        <f t="array" ref="BZ185">IFERROR(INDEX(TABLACONSOLIDADA[Inv Fís Act],MATCH("AGROINSUMOSMONCAYOLOPEZ"&amp;Tabla_Buffers_Agroinsumos[[#This Row],[CODIGO ]],TABLACONSOLIDADA[Bodega]&amp;TABLACONSOLIDADA[Codigo],0)),"")</f>
        <v/>
      </c>
      <c r="CA185" s="183" t="str">
        <f t="array" ref="CA18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85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85" s="135">
        <f>IFERROR(SUM(Tabla_Buffers_Agroinsumos[[#This Row],[ML-MP]:[ML-VL]]),"")</f>
        <v>0</v>
      </c>
      <c r="CD185" s="154" t="str">
        <f>IFERROR(Tabla_Buffers_Agroinsumos[[#This Row],[INV FIS ML]]-Tabla_Buffers_Agroinsumos[[#This Row],[BUFFER ML]],"")</f>
        <v/>
      </c>
      <c r="CE185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85" s="135"/>
      <c r="CG185" s="135"/>
      <c r="CH185" s="135"/>
      <c r="CI185" s="135"/>
      <c r="CJ185" s="135"/>
      <c r="CK185" s="135"/>
      <c r="CL185" s="135"/>
      <c r="CM185" s="135"/>
      <c r="CN185" s="135"/>
      <c r="CO185" s="135" t="str">
        <f t="array" ref="CO185">IFERROR(INDEX(TABLACONSOLIDADA[Buff Act],MATCH("AGROINSUMOSAGROHERMANOSLEON"&amp;Tabla_Buffers_Agroinsumos[[#This Row],[CODIGO ]],TABLACONSOLIDADA[Bodega]&amp;TABLACONSOLIDADA[Codigo],0)),"")</f>
        <v/>
      </c>
      <c r="CP185" s="111" t="str">
        <f t="array" ref="CP185">IFERROR(INDEX(TABLACONSOLIDADA[Inv Fís Act],MATCH("AGROINSUMOSAGROHERMANOSLEON"&amp;Tabla_Buffers_Agroinsumos[[#This Row],[CODIGO ]],TABLACONSOLIDADA[Bodega]&amp;TABLACONSOLIDADA[Codigo],0)),"")</f>
        <v/>
      </c>
      <c r="CQ185" s="183" t="str">
        <f t="array" ref="CQ18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85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85" s="135">
        <f>IFERROR(SUM(Tabla_Buffers_Agroinsumos[[#This Row],[AL-MP]:[AL-VL]]),"")</f>
        <v>0</v>
      </c>
      <c r="CT185" s="154" t="str">
        <f>IFERROR(Tabla_Buffers_Agroinsumos[[#This Row],[INV FIS AL]]-Tabla_Buffers_Agroinsumos[[#This Row],[BUFFER AL]],"")</f>
        <v/>
      </c>
      <c r="CU185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85" s="135"/>
      <c r="CW185" s="135"/>
      <c r="CX185" s="135"/>
      <c r="CY185" s="135"/>
      <c r="CZ185" s="135"/>
      <c r="DA185" s="135"/>
      <c r="DB185" s="135"/>
      <c r="DC185" s="135"/>
      <c r="DD185" s="135"/>
      <c r="DE185" s="135" t="str">
        <f t="array" ref="DE185">IFERROR(INDEX(TABLACONSOLIDADA[Buff Act],MATCH("AGROINSUMOSAGRONUEVO"&amp;Tabla_Buffers_Agroinsumos[[#This Row],[CODIGO ]],TABLACONSOLIDADA[Bodega]&amp;TABLACONSOLIDADA[Codigo],0)),"")</f>
        <v/>
      </c>
      <c r="DF185" s="111" t="str">
        <f t="array" ref="DF185">IFERROR(INDEX(TABLACONSOLIDADA[Inv Fís Act],MATCH("AGROINSUMOSAGRONUEVO"&amp;Tabla_Buffers_Agroinsumos[[#This Row],[CODIGO ]],TABLACONSOLIDADA[Bodega]&amp;TABLACONSOLIDADA[Codigo],0)),"")</f>
        <v/>
      </c>
      <c r="DG185" s="183" t="str">
        <f t="array" ref="DG18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85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85" s="135">
        <f>IFERROR(SUM(Tabla_Buffers_Agroinsumos[[#This Row],[AN-MP]:[AN-VL]]),"")</f>
        <v>0</v>
      </c>
      <c r="DJ185" s="154" t="str">
        <f>IFERROR(Tabla_Buffers_Agroinsumos[[#This Row],[INV FIS AN]]-Tabla_Buffers_Agroinsumos[[#This Row],[BUFFER AN]],"")</f>
        <v/>
      </c>
      <c r="DK185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85" s="135"/>
      <c r="DM185" s="135"/>
      <c r="DN185" s="135"/>
      <c r="DO185" s="135"/>
      <c r="DP185" s="135"/>
      <c r="DQ185" s="135"/>
      <c r="DR185" s="135"/>
      <c r="DS185" s="135"/>
      <c r="DT185" s="135"/>
      <c r="DU185" s="135" t="str">
        <f t="array" ref="DU185">IFERROR(INDEX(TABLACONSOLIDADA[Buff Act],MATCH("AGROINSUMOSAGROQUIMICOSSUR"&amp;Tabla_Buffers_Agroinsumos[[#This Row],[CODIGO ]],TABLACONSOLIDADA[Bodega]&amp;TABLACONSOLIDADA[Codigo],0)),"")</f>
        <v/>
      </c>
      <c r="DV185" s="111" t="str">
        <f t="array" ref="DV185">IFERROR(INDEX(TABLACONSOLIDADA[Inv Fís Act],MATCH("AGROINSUMOSAGROQUIMICOSSUR"&amp;Tabla_Buffers_Agroinsumos[[#This Row],[CODIGO ]],TABLACONSOLIDADA[Bodega]&amp;TABLACONSOLIDADA[Codigo],0)),"")</f>
        <v/>
      </c>
      <c r="DW185" s="183" t="str">
        <f t="array" ref="DW18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85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85" s="135">
        <f>IFERROR(SUM(Tabla_Buffers_Agroinsumos[[#This Row],[AS-MP]:[AS-VL]]),"")</f>
        <v>0</v>
      </c>
      <c r="DZ185" s="154" t="str">
        <f>IFERROR(Tabla_Buffers_Agroinsumos[[#This Row],[INV FIS AS]]-Tabla_Buffers_Agroinsumos[[#This Row],[BUFFER AS]],"")</f>
        <v/>
      </c>
      <c r="EA185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85" s="135"/>
      <c r="EC185" s="135"/>
      <c r="ED185" s="135"/>
      <c r="EE185" s="135"/>
      <c r="EF185" s="135"/>
      <c r="EG185" s="135"/>
      <c r="EH185" s="135"/>
      <c r="EI185" s="135"/>
      <c r="EJ185" s="135"/>
      <c r="EK185" s="135" t="str">
        <f t="array" ref="EK185">IFERROR(INDEX(TABLACONSOLIDADA[Buff Act],MATCH("AGROINSUMOSLAFINCA"&amp;Tabla_Buffers_Agroinsumos[[#This Row],[CODIGO ]],TABLACONSOLIDADA[Bodega]&amp;TABLACONSOLIDADA[Codigo],0)),"")</f>
        <v/>
      </c>
      <c r="EL185" s="111" t="str">
        <f t="array" ref="EL185">IFERROR(INDEX(TABLACONSOLIDADA[Inv Fís Act],MATCH("AGROINSUMOSLAFINCA"&amp;Tabla_Buffers_Agroinsumos[[#This Row],[CODIGO ]],TABLACONSOLIDADA[Bodega]&amp;TABLACONSOLIDADA[Codigo],0)),"")</f>
        <v/>
      </c>
      <c r="EM185" s="183" t="str">
        <f t="array" ref="EM18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85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85" s="135">
        <f>IFERROR(SUM(Tabla_Buffers_Agroinsumos[[#This Row],[LF-MP]:[LF-VL]]),"")</f>
        <v>0</v>
      </c>
      <c r="EP185" s="154" t="str">
        <f>IFERROR(Tabla_Buffers_Agroinsumos[[#This Row],[INV FIS LF]]-Tabla_Buffers_Agroinsumos[[#This Row],[BUFFER LF]],"")</f>
        <v/>
      </c>
      <c r="EQ185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85" s="135"/>
      <c r="ES185" s="135"/>
      <c r="ET185" s="135"/>
      <c r="EU185" s="135"/>
      <c r="EV185" s="135"/>
      <c r="EW185" s="135"/>
      <c r="EX185" s="135"/>
      <c r="EY185" s="135"/>
      <c r="EZ185" s="135"/>
      <c r="FA185" s="135" t="str">
        <f t="array" ref="FA185">IFERROR(INDEX(TABLACONSOLIDADA[Buff Act],MATCH("AGROINSUMOSVERONICALEDESMA"&amp;Tabla_Buffers_Agroinsumos[[#This Row],[CODIGO ]],TABLACONSOLIDADA[Bodega]&amp;TABLACONSOLIDADA[Codigo],0)),"")</f>
        <v/>
      </c>
      <c r="FB185" s="111" t="str">
        <f t="array" ref="FB185">IFERROR(INDEX(TABLACONSOLIDADA[Inv Fís Act],MATCH("AGROINSUMOSVERONICALEDESMA"&amp;Tabla_Buffers_Agroinsumos[[#This Row],[CODIGO ]],TABLACONSOLIDADA[Bodega]&amp;TABLACONSOLIDADA[Codigo],0)),"")</f>
        <v/>
      </c>
      <c r="FC185" s="183" t="str">
        <f t="array" ref="FC18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85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85" s="135">
        <f>IFERROR(SUM(Tabla_Buffers_Agroinsumos[[#This Row],[VL-MP]:[VL-LF]]),"")</f>
        <v>0</v>
      </c>
      <c r="FF185" s="154" t="str">
        <f>IFERROR(Tabla_Buffers_Agroinsumos[[#This Row],[INV FIS VL]]-Tabla_Buffers_Agroinsumos[[#This Row],[BUFFER VL]],"")</f>
        <v/>
      </c>
      <c r="FG185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85" s="135"/>
      <c r="FI185" s="135"/>
      <c r="FJ185" s="135"/>
      <c r="FK185" s="135"/>
      <c r="FL185" s="135"/>
      <c r="FM185" s="135"/>
      <c r="FN185" s="135"/>
      <c r="FO185" s="135"/>
      <c r="FP185" s="135"/>
    </row>
    <row r="186" spans="1:172">
      <c r="A186" s="7" t="s">
        <v>1243</v>
      </c>
      <c r="B186" s="7" t="s">
        <v>1241</v>
      </c>
      <c r="C186" s="7" t="s">
        <v>716</v>
      </c>
      <c r="D186" s="7" t="s">
        <v>718</v>
      </c>
      <c r="E186" s="7" t="s">
        <v>863</v>
      </c>
      <c r="F186" s="19" t="s">
        <v>808</v>
      </c>
      <c r="G186" s="19" t="s">
        <v>802</v>
      </c>
      <c r="H186" s="19" t="e">
        <f>VLOOKUP(Tabla_Buffers_Agroinsumos[[#This Row],[CODIGO ]],TABLACONSOLIDADA[[Codigo]:[PV]],6,0)</f>
        <v>#N/A</v>
      </c>
      <c r="I186" s="19" t="e">
        <f>VLOOKUP(Tabla_Buffers_Agroinsumos[[#This Row],[CODIGO ]],TABLACONSOLIDADA[[Codigo]:[PV]],5,0)</f>
        <v>#N/A</v>
      </c>
      <c r="J186" s="19"/>
      <c r="K186" s="19"/>
      <c r="L186" s="19">
        <f>IFERROR(Tabla_Buffers_Agroinsumos[[#This Row],[BUFFER CENTRAL]]/((Tabla_Buffers_Agroinsumos[[#This Row],[TIEMPO REPOSICION ]]/Tabla_Buffers_Agroinsumos[[#This Row],[FRECUENCIA]])+1),0)</f>
        <v>0</v>
      </c>
      <c r="M186" s="19">
        <v>500</v>
      </c>
      <c r="N186" s="19" t="str">
        <f t="array" ref="N186">IFERROR(INDEX(TABLACONSOLIDADA[Inv Fís Act],MATCH("AGROINSUMOSMATERIAPRIMA"&amp;Tabla_Buffers_Agroinsumos[[#This Row],[CODIGO ]],TABLACONSOLIDADA[Bodega]&amp;TABLACONSOLIDADA[Codigo],0)),"")</f>
        <v/>
      </c>
      <c r="O186" s="180" t="str">
        <f t="array" ref="O18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18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86" s="19">
        <f>IFERROR(SUM(Tabla_Buffers_Agroinsumos[[#This Row],[MP-C]:[MP-VL]]),"")</f>
        <v>0</v>
      </c>
      <c r="R186" s="92" t="str">
        <f>IFERROR(Tabla_Buffers_Agroinsumos[[#This Row],[INV FIS MATERIA PRIMA]]-Tabla_Buffers_Agroinsumos[[#This Row],[BUFFER MATERIA PRIMA]],"")</f>
        <v/>
      </c>
      <c r="S18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186" s="19"/>
      <c r="U186" s="19"/>
      <c r="V186" s="19"/>
      <c r="W186" s="19"/>
      <c r="X186" s="19"/>
      <c r="Y186" s="19"/>
      <c r="Z186" s="19"/>
      <c r="AA186" s="19"/>
      <c r="AB186" s="19"/>
      <c r="AC186" s="152" t="str">
        <f t="array" ref="AC186">IFERROR(INDEX(TABLACONSOLIDADA[Buff Act],MATCH("AGROINSUMOSCENTRAL"&amp;Tabla_Buffers_Agroinsumos[[#This Row],[CODIGO ]],TABLACONSOLIDADA[Bodega]&amp;TABLACONSOLIDADA[Codigo],0)),"")</f>
        <v/>
      </c>
      <c r="AD186" s="19" t="str">
        <f t="array" ref="AD186">IFERROR(INDEX(TABLACONSOLIDADA[Inv Fís Act],MATCH("AGROINSUMOSCENTRAL"&amp;Tabla_Buffers_Agroinsumos[[#This Row],[CODIGO ]],TABLACONSOLIDADA[Bodega]&amp;TABLACONSOLIDADA[Codigo],0)),"")</f>
        <v/>
      </c>
      <c r="AE186" s="180" t="str">
        <f t="array" ref="AE18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8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86" s="91">
        <f>IFERROR(SUM(Tabla_Buffers_Agroinsumos[[#This Row],[C-MP]:[C-VL]]),"")</f>
        <v>0</v>
      </c>
      <c r="AH186" s="92" t="str">
        <f>IFERROR(Tabla_Buffers_Agroinsumos[[#This Row],[INV FIS CENTRAL]]-Tabla_Buffers_Agroinsumos[[#This Row],[BUFFER CENTRAL]],"")</f>
        <v/>
      </c>
      <c r="AI18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86" s="134"/>
      <c r="AK186" s="134"/>
      <c r="AL186" s="134"/>
      <c r="AM186" s="134"/>
      <c r="AN186" s="134"/>
      <c r="AO186" s="134"/>
      <c r="AP186" s="134"/>
      <c r="AQ186" s="134"/>
      <c r="AR186" s="134"/>
      <c r="AS186" s="134" t="str">
        <f t="array" ref="AS186">IFERROR(INDEX(TABLACONSOLIDADA[Buff Act],MATCH("AGROINSUMOScentralPROPIA"&amp;Tabla_Buffers_Agroinsumos[[#This Row],[CODIGO ]],TABLACONSOLIDADA[Bodega]&amp;TABLACONSOLIDADA[Codigo],0)),"")</f>
        <v/>
      </c>
      <c r="AT186" s="19" t="str">
        <f t="array" ref="AT186">IFERROR(INDEX(TABLACONSOLIDADA[Inv Fís Act],MATCH("AGROINSUMOScentralPROPIA"&amp;Tabla_Buffers_Agroinsumos[[#This Row],[CODIGO ]],TABLACONSOLIDADA[Bodega]&amp;TABLACONSOLIDADA[Codigo],0)),"")</f>
        <v/>
      </c>
      <c r="AU186" s="180" t="str">
        <f t="array" ref="AU18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8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86" s="134">
        <f>IFERROR(SUM(Tabla_Buffers_Agroinsumos[[#This Row],[P-MP]:[P-VL]]),"")</f>
        <v>0</v>
      </c>
      <c r="AX186" s="92" t="str">
        <f>IFERROR(Tabla_Buffers_Agroinsumos[[#This Row],[INV FIS PROPIA]]-Tabla_Buffers_Agroinsumos[[#This Row],[BUFFER PROPIA]],"")</f>
        <v/>
      </c>
      <c r="AY18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86" s="134"/>
      <c r="BA186" s="134"/>
      <c r="BB186" s="134"/>
      <c r="BC186" s="134"/>
      <c r="BD186" s="134"/>
      <c r="BE186" s="134"/>
      <c r="BF186" s="134"/>
      <c r="BG186" s="134"/>
      <c r="BH186" s="134"/>
      <c r="BI186" s="91" t="str">
        <f t="array" ref="BI186">IFERROR(INDEX(TABLACONSOLIDADA[Buff Act],MATCH("AGROINSUMOSSTODOMINGO"&amp;Tabla_Buffers_Agroinsumos[[#This Row],[CODIGO ]],TABLACONSOLIDADA[Bodega]&amp;TABLACONSOLIDADA[Codigo],0)),"")</f>
        <v/>
      </c>
      <c r="BJ186" s="19" t="str">
        <f t="array" ref="BJ186">IFERROR(INDEX(TABLACONSOLIDADA[Inv Fís Act],MATCH("AGROINSUMOSSTODOMINGO"&amp;Tabla_Buffers_Agroinsumos[[#This Row],[CODIGO ]],TABLACONSOLIDADA[Bodega]&amp;TABLACONSOLIDADA[Codigo],0)),"")</f>
        <v/>
      </c>
      <c r="BK186" s="180" t="str">
        <f t="array" ref="BK18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8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86" s="91">
        <f>IFERROR(SUM(Tabla_Buffers_Agroinsumos[[#This Row],[SD-MP]:[SD-VL]]),"")</f>
        <v>0</v>
      </c>
      <c r="BN186" s="92"/>
      <c r="BO186" s="92"/>
      <c r="BP186" s="134"/>
      <c r="BQ186" s="134"/>
      <c r="BR186" s="134"/>
      <c r="BS186" s="134"/>
      <c r="BT186" s="134"/>
      <c r="BU186" s="134"/>
      <c r="BV186" s="134"/>
      <c r="BW186" s="134"/>
      <c r="BX186" s="134"/>
      <c r="BY186" s="134" t="str">
        <f t="array" ref="BY186">IFERROR(INDEX(TABLACONSOLIDADA[Buff Act],MATCH("AGROINSUMOSMONCAYOLOPEZ"&amp;Tabla_Buffers_Agroinsumos[[#This Row],[CODIGO ]],TABLACONSOLIDADA[Bodega]&amp;TABLACONSOLIDADA[Codigo],0)),"")</f>
        <v/>
      </c>
      <c r="BZ186" s="19" t="str">
        <f t="array" ref="BZ186">IFERROR(INDEX(TABLACONSOLIDADA[Inv Fís Act],MATCH("AGROINSUMOSMONCAYOLOPEZ"&amp;Tabla_Buffers_Agroinsumos[[#This Row],[CODIGO ]],TABLACONSOLIDADA[Bodega]&amp;TABLACONSOLIDADA[Codigo],0)),"")</f>
        <v/>
      </c>
      <c r="CA186" s="180" t="str">
        <f t="array" ref="CA18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8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86" s="134">
        <f>IFERROR(SUM(Tabla_Buffers_Agroinsumos[[#This Row],[ML-MP]:[ML-VL]]),"")</f>
        <v>0</v>
      </c>
      <c r="CD186" s="92" t="str">
        <f>IFERROR(Tabla_Buffers_Agroinsumos[[#This Row],[INV FIS ML]]-Tabla_Buffers_Agroinsumos[[#This Row],[BUFFER ML]],"")</f>
        <v/>
      </c>
      <c r="CE18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86" s="134"/>
      <c r="CG186" s="134"/>
      <c r="CH186" s="134"/>
      <c r="CI186" s="134"/>
      <c r="CJ186" s="134"/>
      <c r="CK186" s="134"/>
      <c r="CL186" s="134"/>
      <c r="CM186" s="134"/>
      <c r="CN186" s="134"/>
      <c r="CO186" s="134" t="str">
        <f t="array" ref="CO186">IFERROR(INDEX(TABLACONSOLIDADA[Buff Act],MATCH("AGROINSUMOSAGROHERMANOSLEON"&amp;Tabla_Buffers_Agroinsumos[[#This Row],[CODIGO ]],TABLACONSOLIDADA[Bodega]&amp;TABLACONSOLIDADA[Codigo],0)),"")</f>
        <v/>
      </c>
      <c r="CP186" s="19" t="str">
        <f t="array" ref="CP186">IFERROR(INDEX(TABLACONSOLIDADA[Inv Fís Act],MATCH("AGROINSUMOSAGROHERMANOSLEON"&amp;Tabla_Buffers_Agroinsumos[[#This Row],[CODIGO ]],TABLACONSOLIDADA[Bodega]&amp;TABLACONSOLIDADA[Codigo],0)),"")</f>
        <v/>
      </c>
      <c r="CQ186" s="180" t="str">
        <f t="array" ref="CQ18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8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86" s="134">
        <f>IFERROR(SUM(Tabla_Buffers_Agroinsumos[[#This Row],[AL-MP]:[AL-VL]]),"")</f>
        <v>0</v>
      </c>
      <c r="CT186" s="92" t="str">
        <f>IFERROR(Tabla_Buffers_Agroinsumos[[#This Row],[INV FIS AL]]-Tabla_Buffers_Agroinsumos[[#This Row],[BUFFER AL]],"")</f>
        <v/>
      </c>
      <c r="CU18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86" s="134"/>
      <c r="CW186" s="134"/>
      <c r="CX186" s="134"/>
      <c r="CY186" s="134"/>
      <c r="CZ186" s="134"/>
      <c r="DA186" s="134"/>
      <c r="DB186" s="134"/>
      <c r="DC186" s="134"/>
      <c r="DD186" s="134"/>
      <c r="DE186" s="134" t="str">
        <f t="array" ref="DE186">IFERROR(INDEX(TABLACONSOLIDADA[Buff Act],MATCH("AGROINSUMOSAGRONUEVO"&amp;Tabla_Buffers_Agroinsumos[[#This Row],[CODIGO ]],TABLACONSOLIDADA[Bodega]&amp;TABLACONSOLIDADA[Codigo],0)),"")</f>
        <v/>
      </c>
      <c r="DF186" s="19" t="str">
        <f t="array" ref="DF186">IFERROR(INDEX(TABLACONSOLIDADA[Inv Fís Act],MATCH("AGROINSUMOSAGRONUEVO"&amp;Tabla_Buffers_Agroinsumos[[#This Row],[CODIGO ]],TABLACONSOLIDADA[Bodega]&amp;TABLACONSOLIDADA[Codigo],0)),"")</f>
        <v/>
      </c>
      <c r="DG186" s="180" t="str">
        <f t="array" ref="DG18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8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86" s="134">
        <f>IFERROR(SUM(Tabla_Buffers_Agroinsumos[[#This Row],[AN-MP]:[AN-VL]]),"")</f>
        <v>0</v>
      </c>
      <c r="DJ186" s="92" t="str">
        <f>IFERROR(Tabla_Buffers_Agroinsumos[[#This Row],[INV FIS AN]]-Tabla_Buffers_Agroinsumos[[#This Row],[BUFFER AN]],"")</f>
        <v/>
      </c>
      <c r="DK18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86" s="134"/>
      <c r="DM186" s="134"/>
      <c r="DN186" s="134"/>
      <c r="DO186" s="134"/>
      <c r="DP186" s="134"/>
      <c r="DQ186" s="134"/>
      <c r="DR186" s="134"/>
      <c r="DS186" s="134"/>
      <c r="DT186" s="134"/>
      <c r="DU186" s="134" t="str">
        <f t="array" ref="DU186">IFERROR(INDEX(TABLACONSOLIDADA[Buff Act],MATCH("AGROINSUMOSAGROQUIMICOSSUR"&amp;Tabla_Buffers_Agroinsumos[[#This Row],[CODIGO ]],TABLACONSOLIDADA[Bodega]&amp;TABLACONSOLIDADA[Codigo],0)),"")</f>
        <v/>
      </c>
      <c r="DV186" s="19" t="str">
        <f t="array" ref="DV186">IFERROR(INDEX(TABLACONSOLIDADA[Inv Fís Act],MATCH("AGROINSUMOSAGROQUIMICOSSUR"&amp;Tabla_Buffers_Agroinsumos[[#This Row],[CODIGO ]],TABLACONSOLIDADA[Bodega]&amp;TABLACONSOLIDADA[Codigo],0)),"")</f>
        <v/>
      </c>
      <c r="DW186" s="180" t="str">
        <f t="array" ref="DW18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8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86" s="134">
        <f>IFERROR(SUM(Tabla_Buffers_Agroinsumos[[#This Row],[AS-MP]:[AS-VL]]),"")</f>
        <v>0</v>
      </c>
      <c r="DZ186" s="92" t="str">
        <f>IFERROR(Tabla_Buffers_Agroinsumos[[#This Row],[INV FIS AS]]-Tabla_Buffers_Agroinsumos[[#This Row],[BUFFER AS]],"")</f>
        <v/>
      </c>
      <c r="EA18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86" s="134"/>
      <c r="EC186" s="134"/>
      <c r="ED186" s="134"/>
      <c r="EE186" s="134"/>
      <c r="EF186" s="134"/>
      <c r="EG186" s="134"/>
      <c r="EH186" s="134"/>
      <c r="EI186" s="134"/>
      <c r="EJ186" s="134"/>
      <c r="EK186" s="134" t="str">
        <f t="array" ref="EK186">IFERROR(INDEX(TABLACONSOLIDADA[Buff Act],MATCH("AGROINSUMOSLAFINCA"&amp;Tabla_Buffers_Agroinsumos[[#This Row],[CODIGO ]],TABLACONSOLIDADA[Bodega]&amp;TABLACONSOLIDADA[Codigo],0)),"")</f>
        <v/>
      </c>
      <c r="EL186" s="19" t="str">
        <f t="array" ref="EL186">IFERROR(INDEX(TABLACONSOLIDADA[Inv Fís Act],MATCH("AGROINSUMOSLAFINCA"&amp;Tabla_Buffers_Agroinsumos[[#This Row],[CODIGO ]],TABLACONSOLIDADA[Bodega]&amp;TABLACONSOLIDADA[Codigo],0)),"")</f>
        <v/>
      </c>
      <c r="EM186" s="180" t="str">
        <f t="array" ref="EM18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8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86" s="134">
        <f>IFERROR(SUM(Tabla_Buffers_Agroinsumos[[#This Row],[LF-MP]:[LF-VL]]),"")</f>
        <v>0</v>
      </c>
      <c r="EP186" s="92" t="str">
        <f>IFERROR(Tabla_Buffers_Agroinsumos[[#This Row],[INV FIS LF]]-Tabla_Buffers_Agroinsumos[[#This Row],[BUFFER LF]],"")</f>
        <v/>
      </c>
      <c r="EQ18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86" s="134"/>
      <c r="ES186" s="134"/>
      <c r="ET186" s="134"/>
      <c r="EU186" s="134"/>
      <c r="EV186" s="134"/>
      <c r="EW186" s="134"/>
      <c r="EX186" s="134"/>
      <c r="EY186" s="134"/>
      <c r="EZ186" s="134"/>
      <c r="FA186" s="134" t="str">
        <f t="array" ref="FA186">IFERROR(INDEX(TABLACONSOLIDADA[Buff Act],MATCH("AGROINSUMOSVERONICALEDESMA"&amp;Tabla_Buffers_Agroinsumos[[#This Row],[CODIGO ]],TABLACONSOLIDADA[Bodega]&amp;TABLACONSOLIDADA[Codigo],0)),"")</f>
        <v/>
      </c>
      <c r="FB186" s="19" t="str">
        <f t="array" ref="FB186">IFERROR(INDEX(TABLACONSOLIDADA[Inv Fís Act],MATCH("AGROINSUMOSVERONICALEDESMA"&amp;Tabla_Buffers_Agroinsumos[[#This Row],[CODIGO ]],TABLACONSOLIDADA[Bodega]&amp;TABLACONSOLIDADA[Codigo],0)),"")</f>
        <v/>
      </c>
      <c r="FC186" s="180" t="str">
        <f t="array" ref="FC18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8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86" s="134">
        <f>IFERROR(SUM(Tabla_Buffers_Agroinsumos[[#This Row],[VL-MP]:[VL-LF]]),"")</f>
        <v>0</v>
      </c>
      <c r="FF186" s="92" t="str">
        <f>IFERROR(Tabla_Buffers_Agroinsumos[[#This Row],[INV FIS VL]]-Tabla_Buffers_Agroinsumos[[#This Row],[BUFFER VL]],"")</f>
        <v/>
      </c>
      <c r="FG18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86" s="134"/>
      <c r="FI186" s="134"/>
      <c r="FJ186" s="134"/>
      <c r="FK186" s="134"/>
      <c r="FL186" s="134"/>
      <c r="FM186" s="134"/>
      <c r="FN186" s="134"/>
      <c r="FO186" s="134"/>
      <c r="FP186" s="134"/>
    </row>
    <row r="187" spans="1:172">
      <c r="A187" s="7" t="s">
        <v>326</v>
      </c>
      <c r="B187" s="7" t="s">
        <v>327</v>
      </c>
      <c r="C187" s="7" t="s">
        <v>716</v>
      </c>
      <c r="D187" s="7" t="s">
        <v>718</v>
      </c>
      <c r="E187" s="7" t="s">
        <v>863</v>
      </c>
      <c r="F187" s="19" t="s">
        <v>808</v>
      </c>
      <c r="G187" s="19" t="s">
        <v>802</v>
      </c>
      <c r="H187" s="19">
        <f>VLOOKUP(Tabla_Buffers_Agroinsumos[[#This Row],[CODIGO ]],TABLACONSOLIDADA[[Codigo]:[PV]],6,0)</f>
        <v>0</v>
      </c>
      <c r="I187" s="19">
        <f>VLOOKUP(Tabla_Buffers_Agroinsumos[[#This Row],[CODIGO ]],TABLACONSOLIDADA[[Codigo]:[PV]],5,0)</f>
        <v>0.12</v>
      </c>
      <c r="J187" s="19">
        <v>4</v>
      </c>
      <c r="K187" s="19">
        <v>6</v>
      </c>
      <c r="L187" s="19">
        <f>IFERROR(Tabla_Buffers_Agroinsumos[[#This Row],[BUFFER CENTRAL]]/((Tabla_Buffers_Agroinsumos[[#This Row],[TIEMPO REPOSICION ]]/Tabla_Buffers_Agroinsumos[[#This Row],[FRECUENCIA]])+1),0)</f>
        <v>0</v>
      </c>
      <c r="M187" s="19">
        <f t="array" ref="M187">IFERROR(INDEX(TABLACONSOLIDADA[Buff Act],MATCH("AGROINSUMOSMATERIAPRIMA"&amp;Tabla_Buffers_Agroinsumos[[#This Row],[CODIGO ]],TABLACONSOLIDADA[Bodega]&amp;TABLACONSOLIDADA[Codigo],0)),"")</f>
        <v>700</v>
      </c>
      <c r="N187" s="157">
        <f t="array" ref="N187">IFERROR(INDEX(TABLACONSOLIDADA[Inv Fís Act],MATCH("AGROINSUMOSMATERIAPRIMA"&amp;Tabla_Buffers_Agroinsumos[[#This Row],[CODIGO ]],TABLACONSOLIDADA[Bodega]&amp;TABLACONSOLIDADA[Codigo],0)),"")</f>
        <v>361</v>
      </c>
      <c r="O187" s="157">
        <f t="array" ref="O18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861</v>
      </c>
      <c r="P18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87" s="19">
        <f>IFERROR(SUM(Tabla_Buffers_Agroinsumos[[#This Row],[MP-C]:[MP-VL]]),"")</f>
        <v>0</v>
      </c>
      <c r="R187" s="92">
        <f>IFERROR(Tabla_Buffers_Agroinsumos[[#This Row],[INV FIS MATERIA PRIMA]]-Tabla_Buffers_Agroinsumos[[#This Row],[BUFFER MATERIA PRIMA]],"")</f>
        <v>-339</v>
      </c>
      <c r="S18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-339</v>
      </c>
      <c r="T187" s="19"/>
      <c r="U187" s="19"/>
      <c r="V187" s="19"/>
      <c r="W187" s="19"/>
      <c r="X187" s="19"/>
      <c r="Y187" s="19"/>
      <c r="Z187" s="19"/>
      <c r="AA187" s="19"/>
      <c r="AB187" s="19"/>
      <c r="AC187" s="152" t="str">
        <f t="array" ref="AC187">IFERROR(INDEX(TABLACONSOLIDADA[Buff Act],MATCH("AGROINSUMOSCENTRAL"&amp;Tabla_Buffers_Agroinsumos[[#This Row],[CODIGO ]],TABLACONSOLIDADA[Bodega]&amp;TABLACONSOLIDADA[Codigo],0)),"")</f>
        <v/>
      </c>
      <c r="AD187" s="157" t="str">
        <f t="array" ref="AD187">IFERROR(INDEX(TABLACONSOLIDADA[Inv Fís Act],MATCH("AGROINSUMOSCENTRAL"&amp;Tabla_Buffers_Agroinsumos[[#This Row],[CODIGO ]],TABLACONSOLIDADA[Bodega]&amp;TABLACONSOLIDADA[Codigo],0)),"")</f>
        <v/>
      </c>
      <c r="AE187" s="157" t="str">
        <f t="array" ref="AE18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8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87" s="91">
        <f>IFERROR(SUM(Tabla_Buffers_Agroinsumos[[#This Row],[C-MP]:[C-VL]]),"")</f>
        <v>0</v>
      </c>
      <c r="AH187" s="92" t="str">
        <f>IFERROR(Tabla_Buffers_Agroinsumos[[#This Row],[INV FIS CENTRAL]]-Tabla_Buffers_Agroinsumos[[#This Row],[BUFFER CENTRAL]],"")</f>
        <v/>
      </c>
      <c r="AI18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87" s="134"/>
      <c r="AK187" s="134"/>
      <c r="AL187" s="134"/>
      <c r="AM187" s="134"/>
      <c r="AN187" s="134"/>
      <c r="AO187" s="134"/>
      <c r="AP187" s="134"/>
      <c r="AQ187" s="134"/>
      <c r="AR187" s="134"/>
      <c r="AS187" s="134" t="str">
        <f t="array" ref="AS187">IFERROR(INDEX(TABLACONSOLIDADA[Buff Act],MATCH("AGROINSUMOScentralPROPIA"&amp;Tabla_Buffers_Agroinsumos[[#This Row],[CODIGO ]],TABLACONSOLIDADA[Bodega]&amp;TABLACONSOLIDADA[Codigo],0)),"")</f>
        <v/>
      </c>
      <c r="AT187" s="157" t="str">
        <f t="array" ref="AT187">IFERROR(INDEX(TABLACONSOLIDADA[Inv Fís Act],MATCH("AGROINSUMOScentralPROPIA"&amp;Tabla_Buffers_Agroinsumos[[#This Row],[CODIGO ]],TABLACONSOLIDADA[Bodega]&amp;TABLACONSOLIDADA[Codigo],0)),"")</f>
        <v/>
      </c>
      <c r="AU187" s="157" t="str">
        <f t="array" ref="AU18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8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87" s="134">
        <f>IFERROR(SUM(Tabla_Buffers_Agroinsumos[[#This Row],[P-MP]:[P-VL]]),"")</f>
        <v>0</v>
      </c>
      <c r="AX187" s="92" t="str">
        <f>IFERROR(Tabla_Buffers_Agroinsumos[[#This Row],[INV FIS PROPIA]]-Tabla_Buffers_Agroinsumos[[#This Row],[BUFFER PROPIA]],"")</f>
        <v/>
      </c>
      <c r="AY18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87" s="134"/>
      <c r="BA187" s="134"/>
      <c r="BB187" s="134"/>
      <c r="BC187" s="134"/>
      <c r="BD187" s="134"/>
      <c r="BE187" s="134"/>
      <c r="BF187" s="134"/>
      <c r="BG187" s="134"/>
      <c r="BH187" s="134"/>
      <c r="BI187" s="91" t="str">
        <f t="array" ref="BI187">IFERROR(INDEX(TABLACONSOLIDADA[Buff Act],MATCH("AGROINSUMOSSTODOMINGO"&amp;Tabla_Buffers_Agroinsumos[[#This Row],[CODIGO ]],TABLACONSOLIDADA[Bodega]&amp;TABLACONSOLIDADA[Codigo],0)),"")</f>
        <v/>
      </c>
      <c r="BJ187" s="157" t="str">
        <f t="array" ref="BJ187">IFERROR(INDEX(TABLACONSOLIDADA[Inv Fís Act],MATCH("AGROINSUMOSSTODOMINGO"&amp;Tabla_Buffers_Agroinsumos[[#This Row],[CODIGO ]],TABLACONSOLIDADA[Bodega]&amp;TABLACONSOLIDADA[Codigo],0)),"")</f>
        <v/>
      </c>
      <c r="BK187" s="157" t="str">
        <f t="array" ref="BK18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8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87" s="91">
        <f>IFERROR(SUM(Tabla_Buffers_Agroinsumos[[#This Row],[SD-MP]:[SD-VL]]),"")</f>
        <v>0</v>
      </c>
      <c r="BN187" s="92"/>
      <c r="BO187" s="92"/>
      <c r="BP187" s="134"/>
      <c r="BQ187" s="134"/>
      <c r="BR187" s="134"/>
      <c r="BS187" s="134"/>
      <c r="BT187" s="134"/>
      <c r="BU187" s="134"/>
      <c r="BV187" s="134"/>
      <c r="BW187" s="134"/>
      <c r="BX187" s="134"/>
      <c r="BY187" s="134" t="str">
        <f t="array" ref="BY187">IFERROR(INDEX(TABLACONSOLIDADA[Buff Act],MATCH("AGROINSUMOSMONCAYOLOPEZ"&amp;Tabla_Buffers_Agroinsumos[[#This Row],[CODIGO ]],TABLACONSOLIDADA[Bodega]&amp;TABLACONSOLIDADA[Codigo],0)),"")</f>
        <v/>
      </c>
      <c r="BZ187" s="157" t="str">
        <f t="array" ref="BZ187">IFERROR(INDEX(TABLACONSOLIDADA[Inv Fís Act],MATCH("AGROINSUMOSMONCAYOLOPEZ"&amp;Tabla_Buffers_Agroinsumos[[#This Row],[CODIGO ]],TABLACONSOLIDADA[Bodega]&amp;TABLACONSOLIDADA[Codigo],0)),"")</f>
        <v/>
      </c>
      <c r="CA187" s="157" t="str">
        <f t="array" ref="CA18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8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87" s="134">
        <f>IFERROR(SUM(Tabla_Buffers_Agroinsumos[[#This Row],[ML-MP]:[ML-VL]]),"")</f>
        <v>0</v>
      </c>
      <c r="CD187" s="92" t="str">
        <f>IFERROR(Tabla_Buffers_Agroinsumos[[#This Row],[INV FIS ML]]-Tabla_Buffers_Agroinsumos[[#This Row],[BUFFER ML]],"")</f>
        <v/>
      </c>
      <c r="CE18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87" s="134"/>
      <c r="CG187" s="134"/>
      <c r="CH187" s="134"/>
      <c r="CI187" s="134"/>
      <c r="CJ187" s="134"/>
      <c r="CK187" s="134"/>
      <c r="CL187" s="134"/>
      <c r="CM187" s="134"/>
      <c r="CN187" s="134"/>
      <c r="CO187" s="134" t="str">
        <f t="array" ref="CO187">IFERROR(INDEX(TABLACONSOLIDADA[Buff Act],MATCH("AGROINSUMOSAGROHERMANOSLEON"&amp;Tabla_Buffers_Agroinsumos[[#This Row],[CODIGO ]],TABLACONSOLIDADA[Bodega]&amp;TABLACONSOLIDADA[Codigo],0)),"")</f>
        <v/>
      </c>
      <c r="CP187" s="157" t="str">
        <f t="array" ref="CP187">IFERROR(INDEX(TABLACONSOLIDADA[Inv Fís Act],MATCH("AGROINSUMOSAGROHERMANOSLEON"&amp;Tabla_Buffers_Agroinsumos[[#This Row],[CODIGO ]],TABLACONSOLIDADA[Bodega]&amp;TABLACONSOLIDADA[Codigo],0)),"")</f>
        <v/>
      </c>
      <c r="CQ187" s="157" t="str">
        <f t="array" ref="CQ18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8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87" s="134">
        <f>IFERROR(SUM(Tabla_Buffers_Agroinsumos[[#This Row],[AL-MP]:[AL-VL]]),"")</f>
        <v>0</v>
      </c>
      <c r="CT187" s="92" t="str">
        <f>IFERROR(Tabla_Buffers_Agroinsumos[[#This Row],[INV FIS AL]]-Tabla_Buffers_Agroinsumos[[#This Row],[BUFFER AL]],"")</f>
        <v/>
      </c>
      <c r="CU18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87" s="134"/>
      <c r="CW187" s="134"/>
      <c r="CX187" s="134"/>
      <c r="CY187" s="134"/>
      <c r="CZ187" s="134"/>
      <c r="DA187" s="134"/>
      <c r="DB187" s="134"/>
      <c r="DC187" s="134"/>
      <c r="DD187" s="134"/>
      <c r="DE187" s="134" t="str">
        <f t="array" ref="DE187">IFERROR(INDEX(TABLACONSOLIDADA[Buff Act],MATCH("AGROINSUMOSAGRONUEVO"&amp;Tabla_Buffers_Agroinsumos[[#This Row],[CODIGO ]],TABLACONSOLIDADA[Bodega]&amp;TABLACONSOLIDADA[Codigo],0)),"")</f>
        <v/>
      </c>
      <c r="DF187" s="157" t="str">
        <f t="array" ref="DF187">IFERROR(INDEX(TABLACONSOLIDADA[Inv Fís Act],MATCH("AGROINSUMOSAGRONUEVO"&amp;Tabla_Buffers_Agroinsumos[[#This Row],[CODIGO ]],TABLACONSOLIDADA[Bodega]&amp;TABLACONSOLIDADA[Codigo],0)),"")</f>
        <v/>
      </c>
      <c r="DG187" s="157" t="str">
        <f t="array" ref="DG18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8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87" s="134">
        <f>IFERROR(SUM(Tabla_Buffers_Agroinsumos[[#This Row],[AN-MP]:[AN-VL]]),"")</f>
        <v>0</v>
      </c>
      <c r="DJ187" s="92" t="str">
        <f>IFERROR(Tabla_Buffers_Agroinsumos[[#This Row],[INV FIS AN]]-Tabla_Buffers_Agroinsumos[[#This Row],[BUFFER AN]],"")</f>
        <v/>
      </c>
      <c r="DK18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87" s="134"/>
      <c r="DM187" s="134"/>
      <c r="DN187" s="134"/>
      <c r="DO187" s="134"/>
      <c r="DP187" s="134"/>
      <c r="DQ187" s="134"/>
      <c r="DR187" s="134"/>
      <c r="DS187" s="134"/>
      <c r="DT187" s="134"/>
      <c r="DU187" s="134" t="str">
        <f t="array" ref="DU187">IFERROR(INDEX(TABLACONSOLIDADA[Buff Act],MATCH("AGROINSUMOSAGROQUIMICOSSUR"&amp;Tabla_Buffers_Agroinsumos[[#This Row],[CODIGO ]],TABLACONSOLIDADA[Bodega]&amp;TABLACONSOLIDADA[Codigo],0)),"")</f>
        <v/>
      </c>
      <c r="DV187" s="157" t="str">
        <f t="array" ref="DV187">IFERROR(INDEX(TABLACONSOLIDADA[Inv Fís Act],MATCH("AGROINSUMOSAGROQUIMICOSSUR"&amp;Tabla_Buffers_Agroinsumos[[#This Row],[CODIGO ]],TABLACONSOLIDADA[Bodega]&amp;TABLACONSOLIDADA[Codigo],0)),"")</f>
        <v/>
      </c>
      <c r="DW187" s="157" t="str">
        <f t="array" ref="DW18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8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87" s="134">
        <f>IFERROR(SUM(Tabla_Buffers_Agroinsumos[[#This Row],[AS-MP]:[AS-VL]]),"")</f>
        <v>0</v>
      </c>
      <c r="DZ187" s="92" t="str">
        <f>IFERROR(Tabla_Buffers_Agroinsumos[[#This Row],[INV FIS AS]]-Tabla_Buffers_Agroinsumos[[#This Row],[BUFFER AS]],"")</f>
        <v/>
      </c>
      <c r="EA18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87" s="134"/>
      <c r="EC187" s="134"/>
      <c r="ED187" s="134"/>
      <c r="EE187" s="134"/>
      <c r="EF187" s="134"/>
      <c r="EG187" s="134"/>
      <c r="EH187" s="134"/>
      <c r="EI187" s="134"/>
      <c r="EJ187" s="134"/>
      <c r="EK187" s="134" t="str">
        <f t="array" ref="EK187">IFERROR(INDEX(TABLACONSOLIDADA[Buff Act],MATCH("AGROINSUMOSLAFINCA"&amp;Tabla_Buffers_Agroinsumos[[#This Row],[CODIGO ]],TABLACONSOLIDADA[Bodega]&amp;TABLACONSOLIDADA[Codigo],0)),"")</f>
        <v/>
      </c>
      <c r="EL187" s="157" t="str">
        <f t="array" ref="EL187">IFERROR(INDEX(TABLACONSOLIDADA[Inv Fís Act],MATCH("AGROINSUMOSLAFINCA"&amp;Tabla_Buffers_Agroinsumos[[#This Row],[CODIGO ]],TABLACONSOLIDADA[Bodega]&amp;TABLACONSOLIDADA[Codigo],0)),"")</f>
        <v/>
      </c>
      <c r="EM187" s="157" t="str">
        <f t="array" ref="EM18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8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87" s="134">
        <f>IFERROR(SUM(Tabla_Buffers_Agroinsumos[[#This Row],[LF-MP]:[LF-VL]]),"")</f>
        <v>0</v>
      </c>
      <c r="EP187" s="92" t="str">
        <f>IFERROR(Tabla_Buffers_Agroinsumos[[#This Row],[INV FIS LF]]-Tabla_Buffers_Agroinsumos[[#This Row],[BUFFER LF]],"")</f>
        <v/>
      </c>
      <c r="EQ18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87" s="134"/>
      <c r="ES187" s="134"/>
      <c r="ET187" s="134"/>
      <c r="EU187" s="134"/>
      <c r="EV187" s="134"/>
      <c r="EW187" s="134"/>
      <c r="EX187" s="134"/>
      <c r="EY187" s="134"/>
      <c r="EZ187" s="134"/>
      <c r="FA187" s="134" t="str">
        <f t="array" ref="FA187">IFERROR(INDEX(TABLACONSOLIDADA[Buff Act],MATCH("AGROINSUMOSVERONICALEDESMA"&amp;Tabla_Buffers_Agroinsumos[[#This Row],[CODIGO ]],TABLACONSOLIDADA[Bodega]&amp;TABLACONSOLIDADA[Codigo],0)),"")</f>
        <v/>
      </c>
      <c r="FB187" s="157" t="str">
        <f t="array" ref="FB187">IFERROR(INDEX(TABLACONSOLIDADA[Inv Fís Act],MATCH("AGROINSUMOSVERONICALEDESMA"&amp;Tabla_Buffers_Agroinsumos[[#This Row],[CODIGO ]],TABLACONSOLIDADA[Bodega]&amp;TABLACONSOLIDADA[Codigo],0)),"")</f>
        <v/>
      </c>
      <c r="FC187" s="157" t="str">
        <f t="array" ref="FC18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8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87" s="134">
        <f>IFERROR(SUM(Tabla_Buffers_Agroinsumos[[#This Row],[VL-MP]:[VL-LF]]),"")</f>
        <v>0</v>
      </c>
      <c r="FF187" s="92" t="str">
        <f>IFERROR(Tabla_Buffers_Agroinsumos[[#This Row],[INV FIS VL]]-Tabla_Buffers_Agroinsumos[[#This Row],[BUFFER VL]],"")</f>
        <v/>
      </c>
      <c r="FG18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87" s="134"/>
      <c r="FI187" s="134"/>
      <c r="FJ187" s="134"/>
      <c r="FK187" s="134"/>
      <c r="FL187" s="134"/>
      <c r="FM187" s="134"/>
      <c r="FN187" s="134"/>
      <c r="FO187" s="134"/>
      <c r="FP187" s="134"/>
    </row>
    <row r="188" spans="1:172">
      <c r="A188" s="7" t="s">
        <v>328</v>
      </c>
      <c r="B188" s="7" t="s">
        <v>329</v>
      </c>
      <c r="C188" s="7" t="s">
        <v>716</v>
      </c>
      <c r="D188" s="7" t="s">
        <v>718</v>
      </c>
      <c r="E188" s="7" t="s">
        <v>863</v>
      </c>
      <c r="F188" s="19" t="s">
        <v>808</v>
      </c>
      <c r="G188" s="19" t="s">
        <v>802</v>
      </c>
      <c r="H188" s="19">
        <f>VLOOKUP(Tabla_Buffers_Agroinsumos[[#This Row],[CODIGO ]],TABLACONSOLIDADA[[Codigo]:[PV]],6,0)</f>
        <v>0</v>
      </c>
      <c r="I188" s="19">
        <f>VLOOKUP(Tabla_Buffers_Agroinsumos[[#This Row],[CODIGO ]],TABLACONSOLIDADA[[Codigo]:[PV]],5,0)</f>
        <v>0.13</v>
      </c>
      <c r="J188" s="19">
        <v>4</v>
      </c>
      <c r="K188" s="19">
        <v>6</v>
      </c>
      <c r="L188" s="19">
        <f>IFERROR(Tabla_Buffers_Agroinsumos[[#This Row],[BUFFER CENTRAL]]/((Tabla_Buffers_Agroinsumos[[#This Row],[TIEMPO REPOSICION ]]/Tabla_Buffers_Agroinsumos[[#This Row],[FRECUENCIA]])+1),0)</f>
        <v>0</v>
      </c>
      <c r="M188" s="19">
        <f t="array" ref="M188">IFERROR(INDEX(TABLACONSOLIDADA[Buff Act],MATCH("AGROINSUMOSMATERIAPRIMA"&amp;Tabla_Buffers_Agroinsumos[[#This Row],[CODIGO ]],TABLACONSOLIDADA[Bodega]&amp;TABLACONSOLIDADA[Codigo],0)),"")</f>
        <v>600</v>
      </c>
      <c r="N188" s="157">
        <f t="array" ref="N188">IFERROR(INDEX(TABLACONSOLIDADA[Inv Fís Act],MATCH("AGROINSUMOSMATERIAPRIMA"&amp;Tabla_Buffers_Agroinsumos[[#This Row],[CODIGO ]],TABLACONSOLIDADA[Bodega]&amp;TABLACONSOLIDADA[Codigo],0)),"")</f>
        <v>664</v>
      </c>
      <c r="O188" s="157">
        <f t="array" ref="O18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664</v>
      </c>
      <c r="P18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88" s="19">
        <f>IFERROR(SUM(Tabla_Buffers_Agroinsumos[[#This Row],[MP-C]:[MP-VL]]),"")</f>
        <v>0</v>
      </c>
      <c r="R188" s="92">
        <f>IFERROR(Tabla_Buffers_Agroinsumos[[#This Row],[INV FIS MATERIA PRIMA]]-Tabla_Buffers_Agroinsumos[[#This Row],[BUFFER MATERIA PRIMA]],"")</f>
        <v>64</v>
      </c>
      <c r="S18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64</v>
      </c>
      <c r="T188" s="19"/>
      <c r="U188" s="19"/>
      <c r="V188" s="19"/>
      <c r="W188" s="19"/>
      <c r="X188" s="19"/>
      <c r="Y188" s="19"/>
      <c r="Z188" s="19"/>
      <c r="AA188" s="19"/>
      <c r="AB188" s="19"/>
      <c r="AC188" s="152" t="str">
        <f t="array" ref="AC188">IFERROR(INDEX(TABLACONSOLIDADA[Buff Act],MATCH("AGROINSUMOSCENTRAL"&amp;Tabla_Buffers_Agroinsumos[[#This Row],[CODIGO ]],TABLACONSOLIDADA[Bodega]&amp;TABLACONSOLIDADA[Codigo],0)),"")</f>
        <v/>
      </c>
      <c r="AD188" s="157" t="str">
        <f t="array" ref="AD188">IFERROR(INDEX(TABLACONSOLIDADA[Inv Fís Act],MATCH("AGROINSUMOSCENTRAL"&amp;Tabla_Buffers_Agroinsumos[[#This Row],[CODIGO ]],TABLACONSOLIDADA[Bodega]&amp;TABLACONSOLIDADA[Codigo],0)),"")</f>
        <v/>
      </c>
      <c r="AE188" s="157" t="str">
        <f t="array" ref="AE18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8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88" s="91">
        <f>IFERROR(SUM(Tabla_Buffers_Agroinsumos[[#This Row],[C-MP]:[C-VL]]),"")</f>
        <v>0</v>
      </c>
      <c r="AH188" s="92" t="str">
        <f>IFERROR(Tabla_Buffers_Agroinsumos[[#This Row],[INV FIS CENTRAL]]-Tabla_Buffers_Agroinsumos[[#This Row],[BUFFER CENTRAL]],"")</f>
        <v/>
      </c>
      <c r="AI18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88" s="134"/>
      <c r="AK188" s="134"/>
      <c r="AL188" s="134"/>
      <c r="AM188" s="134"/>
      <c r="AN188" s="134"/>
      <c r="AO188" s="134"/>
      <c r="AP188" s="134"/>
      <c r="AQ188" s="134"/>
      <c r="AR188" s="134"/>
      <c r="AS188" s="134" t="str">
        <f t="array" ref="AS188">IFERROR(INDEX(TABLACONSOLIDADA[Buff Act],MATCH("AGROINSUMOScentralPROPIA"&amp;Tabla_Buffers_Agroinsumos[[#This Row],[CODIGO ]],TABLACONSOLIDADA[Bodega]&amp;TABLACONSOLIDADA[Codigo],0)),"")</f>
        <v/>
      </c>
      <c r="AT188" s="157" t="str">
        <f t="array" ref="AT188">IFERROR(INDEX(TABLACONSOLIDADA[Inv Fís Act],MATCH("AGROINSUMOScentralPROPIA"&amp;Tabla_Buffers_Agroinsumos[[#This Row],[CODIGO ]],TABLACONSOLIDADA[Bodega]&amp;TABLACONSOLIDADA[Codigo],0)),"")</f>
        <v/>
      </c>
      <c r="AU188" s="157" t="str">
        <f t="array" ref="AU18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8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88" s="134">
        <f>IFERROR(SUM(Tabla_Buffers_Agroinsumos[[#This Row],[P-MP]:[P-VL]]),"")</f>
        <v>0</v>
      </c>
      <c r="AX188" s="92" t="str">
        <f>IFERROR(Tabla_Buffers_Agroinsumos[[#This Row],[INV FIS PROPIA]]-Tabla_Buffers_Agroinsumos[[#This Row],[BUFFER PROPIA]],"")</f>
        <v/>
      </c>
      <c r="AY18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88" s="134"/>
      <c r="BA188" s="134"/>
      <c r="BB188" s="134"/>
      <c r="BC188" s="134"/>
      <c r="BD188" s="134"/>
      <c r="BE188" s="134"/>
      <c r="BF188" s="134"/>
      <c r="BG188" s="134"/>
      <c r="BH188" s="134"/>
      <c r="BI188" s="91" t="str">
        <f t="array" ref="BI188">IFERROR(INDEX(TABLACONSOLIDADA[Buff Act],MATCH("AGROINSUMOSSTODOMINGO"&amp;Tabla_Buffers_Agroinsumos[[#This Row],[CODIGO ]],TABLACONSOLIDADA[Bodega]&amp;TABLACONSOLIDADA[Codigo],0)),"")</f>
        <v/>
      </c>
      <c r="BJ188" s="157" t="str">
        <f t="array" ref="BJ188">IFERROR(INDEX(TABLACONSOLIDADA[Inv Fís Act],MATCH("AGROINSUMOSSTODOMINGO"&amp;Tabla_Buffers_Agroinsumos[[#This Row],[CODIGO ]],TABLACONSOLIDADA[Bodega]&amp;TABLACONSOLIDADA[Codigo],0)),"")</f>
        <v/>
      </c>
      <c r="BK188" s="157" t="str">
        <f t="array" ref="BK18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8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88" s="91">
        <f>IFERROR(SUM(Tabla_Buffers_Agroinsumos[[#This Row],[SD-MP]:[SD-VL]]),"")</f>
        <v>0</v>
      </c>
      <c r="BN188" s="92"/>
      <c r="BO188" s="92"/>
      <c r="BP188" s="134"/>
      <c r="BQ188" s="134"/>
      <c r="BR188" s="134"/>
      <c r="BS188" s="134"/>
      <c r="BT188" s="134"/>
      <c r="BU188" s="134"/>
      <c r="BV188" s="134"/>
      <c r="BW188" s="134"/>
      <c r="BX188" s="134"/>
      <c r="BY188" s="134" t="str">
        <f t="array" ref="BY188">IFERROR(INDEX(TABLACONSOLIDADA[Buff Act],MATCH("AGROINSUMOSMONCAYOLOPEZ"&amp;Tabla_Buffers_Agroinsumos[[#This Row],[CODIGO ]],TABLACONSOLIDADA[Bodega]&amp;TABLACONSOLIDADA[Codigo],0)),"")</f>
        <v/>
      </c>
      <c r="BZ188" s="157" t="str">
        <f t="array" ref="BZ188">IFERROR(INDEX(TABLACONSOLIDADA[Inv Fís Act],MATCH("AGROINSUMOSMONCAYOLOPEZ"&amp;Tabla_Buffers_Agroinsumos[[#This Row],[CODIGO ]],TABLACONSOLIDADA[Bodega]&amp;TABLACONSOLIDADA[Codigo],0)),"")</f>
        <v/>
      </c>
      <c r="CA188" s="157" t="str">
        <f t="array" ref="CA18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8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88" s="134">
        <f>IFERROR(SUM(Tabla_Buffers_Agroinsumos[[#This Row],[ML-MP]:[ML-VL]]),"")</f>
        <v>0</v>
      </c>
      <c r="CD188" s="92" t="str">
        <f>IFERROR(Tabla_Buffers_Agroinsumos[[#This Row],[INV FIS ML]]-Tabla_Buffers_Agroinsumos[[#This Row],[BUFFER ML]],"")</f>
        <v/>
      </c>
      <c r="CE18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88" s="134"/>
      <c r="CG188" s="134"/>
      <c r="CH188" s="134"/>
      <c r="CI188" s="134"/>
      <c r="CJ188" s="134"/>
      <c r="CK188" s="134"/>
      <c r="CL188" s="134"/>
      <c r="CM188" s="134"/>
      <c r="CN188" s="134"/>
      <c r="CO188" s="134" t="str">
        <f t="array" ref="CO188">IFERROR(INDEX(TABLACONSOLIDADA[Buff Act],MATCH("AGROINSUMOSAGROHERMANOSLEON"&amp;Tabla_Buffers_Agroinsumos[[#This Row],[CODIGO ]],TABLACONSOLIDADA[Bodega]&amp;TABLACONSOLIDADA[Codigo],0)),"")</f>
        <v/>
      </c>
      <c r="CP188" s="157" t="str">
        <f t="array" ref="CP188">IFERROR(INDEX(TABLACONSOLIDADA[Inv Fís Act],MATCH("AGROINSUMOSAGROHERMANOSLEON"&amp;Tabla_Buffers_Agroinsumos[[#This Row],[CODIGO ]],TABLACONSOLIDADA[Bodega]&amp;TABLACONSOLIDADA[Codigo],0)),"")</f>
        <v/>
      </c>
      <c r="CQ188" s="157" t="str">
        <f t="array" ref="CQ18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8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88" s="134">
        <f>IFERROR(SUM(Tabla_Buffers_Agroinsumos[[#This Row],[AL-MP]:[AL-VL]]),"")</f>
        <v>0</v>
      </c>
      <c r="CT188" s="92" t="str">
        <f>IFERROR(Tabla_Buffers_Agroinsumos[[#This Row],[INV FIS AL]]-Tabla_Buffers_Agroinsumos[[#This Row],[BUFFER AL]],"")</f>
        <v/>
      </c>
      <c r="CU18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88" s="134"/>
      <c r="CW188" s="134"/>
      <c r="CX188" s="134"/>
      <c r="CY188" s="134"/>
      <c r="CZ188" s="134"/>
      <c r="DA188" s="134"/>
      <c r="DB188" s="134"/>
      <c r="DC188" s="134"/>
      <c r="DD188" s="134"/>
      <c r="DE188" s="134" t="str">
        <f t="array" ref="DE188">IFERROR(INDEX(TABLACONSOLIDADA[Buff Act],MATCH("AGROINSUMOSAGRONUEVO"&amp;Tabla_Buffers_Agroinsumos[[#This Row],[CODIGO ]],TABLACONSOLIDADA[Bodega]&amp;TABLACONSOLIDADA[Codigo],0)),"")</f>
        <v/>
      </c>
      <c r="DF188" s="157" t="str">
        <f t="array" ref="DF188">IFERROR(INDEX(TABLACONSOLIDADA[Inv Fís Act],MATCH("AGROINSUMOSAGRONUEVO"&amp;Tabla_Buffers_Agroinsumos[[#This Row],[CODIGO ]],TABLACONSOLIDADA[Bodega]&amp;TABLACONSOLIDADA[Codigo],0)),"")</f>
        <v/>
      </c>
      <c r="DG188" s="157" t="str">
        <f t="array" ref="DG18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8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88" s="134">
        <f>IFERROR(SUM(Tabla_Buffers_Agroinsumos[[#This Row],[AN-MP]:[AN-VL]]),"")</f>
        <v>0</v>
      </c>
      <c r="DJ188" s="92" t="str">
        <f>IFERROR(Tabla_Buffers_Agroinsumos[[#This Row],[INV FIS AN]]-Tabla_Buffers_Agroinsumos[[#This Row],[BUFFER AN]],"")</f>
        <v/>
      </c>
      <c r="DK18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88" s="134"/>
      <c r="DM188" s="134"/>
      <c r="DN188" s="134"/>
      <c r="DO188" s="134"/>
      <c r="DP188" s="134"/>
      <c r="DQ188" s="134"/>
      <c r="DR188" s="134"/>
      <c r="DS188" s="134"/>
      <c r="DT188" s="134"/>
      <c r="DU188" s="134" t="str">
        <f t="array" ref="DU188">IFERROR(INDEX(TABLACONSOLIDADA[Buff Act],MATCH("AGROINSUMOSAGROQUIMICOSSUR"&amp;Tabla_Buffers_Agroinsumos[[#This Row],[CODIGO ]],TABLACONSOLIDADA[Bodega]&amp;TABLACONSOLIDADA[Codigo],0)),"")</f>
        <v/>
      </c>
      <c r="DV188" s="157" t="str">
        <f t="array" ref="DV188">IFERROR(INDEX(TABLACONSOLIDADA[Inv Fís Act],MATCH("AGROINSUMOSAGROQUIMICOSSUR"&amp;Tabla_Buffers_Agroinsumos[[#This Row],[CODIGO ]],TABLACONSOLIDADA[Bodega]&amp;TABLACONSOLIDADA[Codigo],0)),"")</f>
        <v/>
      </c>
      <c r="DW188" s="157" t="str">
        <f t="array" ref="DW18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8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88" s="134">
        <f>IFERROR(SUM(Tabla_Buffers_Agroinsumos[[#This Row],[AS-MP]:[AS-VL]]),"")</f>
        <v>0</v>
      </c>
      <c r="DZ188" s="92" t="str">
        <f>IFERROR(Tabla_Buffers_Agroinsumos[[#This Row],[INV FIS AS]]-Tabla_Buffers_Agroinsumos[[#This Row],[BUFFER AS]],"")</f>
        <v/>
      </c>
      <c r="EA18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88" s="134"/>
      <c r="EC188" s="134"/>
      <c r="ED188" s="134"/>
      <c r="EE188" s="134"/>
      <c r="EF188" s="134"/>
      <c r="EG188" s="134"/>
      <c r="EH188" s="134"/>
      <c r="EI188" s="134"/>
      <c r="EJ188" s="134"/>
      <c r="EK188" s="134" t="str">
        <f t="array" ref="EK188">IFERROR(INDEX(TABLACONSOLIDADA[Buff Act],MATCH("AGROINSUMOSLAFINCA"&amp;Tabla_Buffers_Agroinsumos[[#This Row],[CODIGO ]],TABLACONSOLIDADA[Bodega]&amp;TABLACONSOLIDADA[Codigo],0)),"")</f>
        <v/>
      </c>
      <c r="EL188" s="157" t="str">
        <f t="array" ref="EL188">IFERROR(INDEX(TABLACONSOLIDADA[Inv Fís Act],MATCH("AGROINSUMOSLAFINCA"&amp;Tabla_Buffers_Agroinsumos[[#This Row],[CODIGO ]],TABLACONSOLIDADA[Bodega]&amp;TABLACONSOLIDADA[Codigo],0)),"")</f>
        <v/>
      </c>
      <c r="EM188" s="157" t="str">
        <f t="array" ref="EM18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8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88" s="134">
        <f>IFERROR(SUM(Tabla_Buffers_Agroinsumos[[#This Row],[LF-MP]:[LF-VL]]),"")</f>
        <v>0</v>
      </c>
      <c r="EP188" s="92" t="str">
        <f>IFERROR(Tabla_Buffers_Agroinsumos[[#This Row],[INV FIS LF]]-Tabla_Buffers_Agroinsumos[[#This Row],[BUFFER LF]],"")</f>
        <v/>
      </c>
      <c r="EQ18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88" s="134"/>
      <c r="ES188" s="134"/>
      <c r="ET188" s="134"/>
      <c r="EU188" s="134"/>
      <c r="EV188" s="134"/>
      <c r="EW188" s="134"/>
      <c r="EX188" s="134"/>
      <c r="EY188" s="134"/>
      <c r="EZ188" s="134"/>
      <c r="FA188" s="134" t="str">
        <f t="array" ref="FA188">IFERROR(INDEX(TABLACONSOLIDADA[Buff Act],MATCH("AGROINSUMOSVERONICALEDESMA"&amp;Tabla_Buffers_Agroinsumos[[#This Row],[CODIGO ]],TABLACONSOLIDADA[Bodega]&amp;TABLACONSOLIDADA[Codigo],0)),"")</f>
        <v/>
      </c>
      <c r="FB188" s="157" t="str">
        <f t="array" ref="FB188">IFERROR(INDEX(TABLACONSOLIDADA[Inv Fís Act],MATCH("AGROINSUMOSVERONICALEDESMA"&amp;Tabla_Buffers_Agroinsumos[[#This Row],[CODIGO ]],TABLACONSOLIDADA[Bodega]&amp;TABLACONSOLIDADA[Codigo],0)),"")</f>
        <v/>
      </c>
      <c r="FC188" s="157" t="str">
        <f t="array" ref="FC18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8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88" s="134">
        <f>IFERROR(SUM(Tabla_Buffers_Agroinsumos[[#This Row],[VL-MP]:[VL-LF]]),"")</f>
        <v>0</v>
      </c>
      <c r="FF188" s="92" t="str">
        <f>IFERROR(Tabla_Buffers_Agroinsumos[[#This Row],[INV FIS VL]]-Tabla_Buffers_Agroinsumos[[#This Row],[BUFFER VL]],"")</f>
        <v/>
      </c>
      <c r="FG18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88" s="134"/>
      <c r="FI188" s="134"/>
      <c r="FJ188" s="134"/>
      <c r="FK188" s="134"/>
      <c r="FL188" s="134"/>
      <c r="FM188" s="134"/>
      <c r="FN188" s="134"/>
      <c r="FO188" s="134"/>
      <c r="FP188" s="134"/>
    </row>
    <row r="189" spans="1:172">
      <c r="A189" s="7" t="s">
        <v>330</v>
      </c>
      <c r="B189" s="7" t="s">
        <v>331</v>
      </c>
      <c r="C189" s="7" t="s">
        <v>716</v>
      </c>
      <c r="D189" s="7" t="s">
        <v>718</v>
      </c>
      <c r="E189" s="7" t="s">
        <v>863</v>
      </c>
      <c r="F189" s="19" t="s">
        <v>808</v>
      </c>
      <c r="G189" s="19" t="s">
        <v>802</v>
      </c>
      <c r="H189" s="19">
        <f>VLOOKUP(Tabla_Buffers_Agroinsumos[[#This Row],[CODIGO ]],TABLACONSOLIDADA[[Codigo]:[PV]],6,0)</f>
        <v>0</v>
      </c>
      <c r="I189" s="19">
        <f>VLOOKUP(Tabla_Buffers_Agroinsumos[[#This Row],[CODIGO ]],TABLACONSOLIDADA[[Codigo]:[PV]],5,0)</f>
        <v>0.19</v>
      </c>
      <c r="J189" s="19">
        <v>4</v>
      </c>
      <c r="K189" s="19">
        <v>6</v>
      </c>
      <c r="L189" s="19">
        <f>IFERROR(Tabla_Buffers_Agroinsumos[[#This Row],[BUFFER CENTRAL]]/((Tabla_Buffers_Agroinsumos[[#This Row],[TIEMPO REPOSICION ]]/Tabla_Buffers_Agroinsumos[[#This Row],[FRECUENCIA]])+1),0)</f>
        <v>0</v>
      </c>
      <c r="M189" s="19">
        <f t="array" ref="M189">IFERROR(INDEX(TABLACONSOLIDADA[Buff Act],MATCH("AGROINSUMOSMATERIAPRIMA"&amp;Tabla_Buffers_Agroinsumos[[#This Row],[CODIGO ]],TABLACONSOLIDADA[Bodega]&amp;TABLACONSOLIDADA[Codigo],0)),"")</f>
        <v>500</v>
      </c>
      <c r="N189" s="157">
        <f t="array" ref="N189">IFERROR(INDEX(TABLACONSOLIDADA[Inv Fís Act],MATCH("AGROINSUMOSMATERIAPRIMA"&amp;Tabla_Buffers_Agroinsumos[[#This Row],[CODIGO ]],TABLACONSOLIDADA[Bodega]&amp;TABLACONSOLIDADA[Codigo],0)),"")</f>
        <v>789</v>
      </c>
      <c r="O189" s="157">
        <f t="array" ref="O18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789</v>
      </c>
      <c r="P18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89" s="19">
        <f>IFERROR(SUM(Tabla_Buffers_Agroinsumos[[#This Row],[MP-C]:[MP-VL]]),"")</f>
        <v>0</v>
      </c>
      <c r="R189" s="92">
        <f>IFERROR(Tabla_Buffers_Agroinsumos[[#This Row],[INV FIS MATERIA PRIMA]]-Tabla_Buffers_Agroinsumos[[#This Row],[BUFFER MATERIA PRIMA]],"")</f>
        <v>289</v>
      </c>
      <c r="S18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289</v>
      </c>
      <c r="T189" s="19"/>
      <c r="U189" s="19"/>
      <c r="V189" s="19"/>
      <c r="W189" s="19"/>
      <c r="X189" s="19"/>
      <c r="Y189" s="19"/>
      <c r="Z189" s="19"/>
      <c r="AA189" s="19"/>
      <c r="AB189" s="19"/>
      <c r="AC189" s="152" t="str">
        <f t="array" ref="AC189">IFERROR(INDEX(TABLACONSOLIDADA[Buff Act],MATCH("AGROINSUMOSCENTRAL"&amp;Tabla_Buffers_Agroinsumos[[#This Row],[CODIGO ]],TABLACONSOLIDADA[Bodega]&amp;TABLACONSOLIDADA[Codigo],0)),"")</f>
        <v/>
      </c>
      <c r="AD189" s="157" t="str">
        <f t="array" ref="AD189">IFERROR(INDEX(TABLACONSOLIDADA[Inv Fís Act],MATCH("AGROINSUMOSCENTRAL"&amp;Tabla_Buffers_Agroinsumos[[#This Row],[CODIGO ]],TABLACONSOLIDADA[Bodega]&amp;TABLACONSOLIDADA[Codigo],0)),"")</f>
        <v/>
      </c>
      <c r="AE189" s="157" t="str">
        <f t="array" ref="AE18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8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89" s="91">
        <f>IFERROR(SUM(Tabla_Buffers_Agroinsumos[[#This Row],[C-MP]:[C-VL]]),"")</f>
        <v>0</v>
      </c>
      <c r="AH189" s="92" t="str">
        <f>IFERROR(Tabla_Buffers_Agroinsumos[[#This Row],[INV FIS CENTRAL]]-Tabla_Buffers_Agroinsumos[[#This Row],[BUFFER CENTRAL]],"")</f>
        <v/>
      </c>
      <c r="AI18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89" s="134"/>
      <c r="AK189" s="134"/>
      <c r="AL189" s="134"/>
      <c r="AM189" s="134"/>
      <c r="AN189" s="134"/>
      <c r="AO189" s="134"/>
      <c r="AP189" s="134"/>
      <c r="AQ189" s="134"/>
      <c r="AR189" s="134"/>
      <c r="AS189" s="134" t="str">
        <f t="array" ref="AS189">IFERROR(INDEX(TABLACONSOLIDADA[Buff Act],MATCH("AGROINSUMOScentralPROPIA"&amp;Tabla_Buffers_Agroinsumos[[#This Row],[CODIGO ]],TABLACONSOLIDADA[Bodega]&amp;TABLACONSOLIDADA[Codigo],0)),"")</f>
        <v/>
      </c>
      <c r="AT189" s="157" t="str">
        <f t="array" ref="AT189">IFERROR(INDEX(TABLACONSOLIDADA[Inv Fís Act],MATCH("AGROINSUMOScentralPROPIA"&amp;Tabla_Buffers_Agroinsumos[[#This Row],[CODIGO ]],TABLACONSOLIDADA[Bodega]&amp;TABLACONSOLIDADA[Codigo],0)),"")</f>
        <v/>
      </c>
      <c r="AU189" s="157" t="str">
        <f t="array" ref="AU18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8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89" s="134">
        <f>IFERROR(SUM(Tabla_Buffers_Agroinsumos[[#This Row],[P-MP]:[P-VL]]),"")</f>
        <v>0</v>
      </c>
      <c r="AX189" s="92" t="str">
        <f>IFERROR(Tabla_Buffers_Agroinsumos[[#This Row],[INV FIS PROPIA]]-Tabla_Buffers_Agroinsumos[[#This Row],[BUFFER PROPIA]],"")</f>
        <v/>
      </c>
      <c r="AY18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89" s="134"/>
      <c r="BA189" s="134"/>
      <c r="BB189" s="134"/>
      <c r="BC189" s="134"/>
      <c r="BD189" s="134"/>
      <c r="BE189" s="134"/>
      <c r="BF189" s="134"/>
      <c r="BG189" s="134"/>
      <c r="BH189" s="134"/>
      <c r="BI189" s="91" t="str">
        <f t="array" ref="BI189">IFERROR(INDEX(TABLACONSOLIDADA[Buff Act],MATCH("AGROINSUMOSSTODOMINGO"&amp;Tabla_Buffers_Agroinsumos[[#This Row],[CODIGO ]],TABLACONSOLIDADA[Bodega]&amp;TABLACONSOLIDADA[Codigo],0)),"")</f>
        <v/>
      </c>
      <c r="BJ189" s="157" t="str">
        <f t="array" ref="BJ189">IFERROR(INDEX(TABLACONSOLIDADA[Inv Fís Act],MATCH("AGROINSUMOSSTODOMINGO"&amp;Tabla_Buffers_Agroinsumos[[#This Row],[CODIGO ]],TABLACONSOLIDADA[Bodega]&amp;TABLACONSOLIDADA[Codigo],0)),"")</f>
        <v/>
      </c>
      <c r="BK189" s="157" t="str">
        <f t="array" ref="BK18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8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89" s="91">
        <f>IFERROR(SUM(Tabla_Buffers_Agroinsumos[[#This Row],[SD-MP]:[SD-VL]]),"")</f>
        <v>0</v>
      </c>
      <c r="BN189" s="92"/>
      <c r="BO189" s="92"/>
      <c r="BP189" s="134"/>
      <c r="BQ189" s="134"/>
      <c r="BR189" s="134"/>
      <c r="BS189" s="134"/>
      <c r="BT189" s="134"/>
      <c r="BU189" s="134"/>
      <c r="BV189" s="134"/>
      <c r="BW189" s="134"/>
      <c r="BX189" s="134"/>
      <c r="BY189" s="134" t="str">
        <f t="array" ref="BY189">IFERROR(INDEX(TABLACONSOLIDADA[Buff Act],MATCH("AGROINSUMOSMONCAYOLOPEZ"&amp;Tabla_Buffers_Agroinsumos[[#This Row],[CODIGO ]],TABLACONSOLIDADA[Bodega]&amp;TABLACONSOLIDADA[Codigo],0)),"")</f>
        <v/>
      </c>
      <c r="BZ189" s="157" t="str">
        <f t="array" ref="BZ189">IFERROR(INDEX(TABLACONSOLIDADA[Inv Fís Act],MATCH("AGROINSUMOSMONCAYOLOPEZ"&amp;Tabla_Buffers_Agroinsumos[[#This Row],[CODIGO ]],TABLACONSOLIDADA[Bodega]&amp;TABLACONSOLIDADA[Codigo],0)),"")</f>
        <v/>
      </c>
      <c r="CA189" s="157" t="str">
        <f t="array" ref="CA18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8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89" s="134">
        <f>IFERROR(SUM(Tabla_Buffers_Agroinsumos[[#This Row],[ML-MP]:[ML-VL]]),"")</f>
        <v>0</v>
      </c>
      <c r="CD189" s="92" t="str">
        <f>IFERROR(Tabla_Buffers_Agroinsumos[[#This Row],[INV FIS ML]]-Tabla_Buffers_Agroinsumos[[#This Row],[BUFFER ML]],"")</f>
        <v/>
      </c>
      <c r="CE18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89" s="134"/>
      <c r="CG189" s="134"/>
      <c r="CH189" s="134"/>
      <c r="CI189" s="134"/>
      <c r="CJ189" s="134"/>
      <c r="CK189" s="134"/>
      <c r="CL189" s="134"/>
      <c r="CM189" s="134"/>
      <c r="CN189" s="134"/>
      <c r="CO189" s="134" t="str">
        <f t="array" ref="CO189">IFERROR(INDEX(TABLACONSOLIDADA[Buff Act],MATCH("AGROINSUMOSAGROHERMANOSLEON"&amp;Tabla_Buffers_Agroinsumos[[#This Row],[CODIGO ]],TABLACONSOLIDADA[Bodega]&amp;TABLACONSOLIDADA[Codigo],0)),"")</f>
        <v/>
      </c>
      <c r="CP189" s="157" t="str">
        <f t="array" ref="CP189">IFERROR(INDEX(TABLACONSOLIDADA[Inv Fís Act],MATCH("AGROINSUMOSAGROHERMANOSLEON"&amp;Tabla_Buffers_Agroinsumos[[#This Row],[CODIGO ]],TABLACONSOLIDADA[Bodega]&amp;TABLACONSOLIDADA[Codigo],0)),"")</f>
        <v/>
      </c>
      <c r="CQ189" s="157" t="str">
        <f t="array" ref="CQ18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8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89" s="134">
        <f>IFERROR(SUM(Tabla_Buffers_Agroinsumos[[#This Row],[AL-MP]:[AL-VL]]),"")</f>
        <v>0</v>
      </c>
      <c r="CT189" s="92" t="str">
        <f>IFERROR(Tabla_Buffers_Agroinsumos[[#This Row],[INV FIS AL]]-Tabla_Buffers_Agroinsumos[[#This Row],[BUFFER AL]],"")</f>
        <v/>
      </c>
      <c r="CU18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89" s="134"/>
      <c r="CW189" s="134"/>
      <c r="CX189" s="134"/>
      <c r="CY189" s="134"/>
      <c r="CZ189" s="134"/>
      <c r="DA189" s="134"/>
      <c r="DB189" s="134"/>
      <c r="DC189" s="134"/>
      <c r="DD189" s="134"/>
      <c r="DE189" s="134" t="str">
        <f t="array" ref="DE189">IFERROR(INDEX(TABLACONSOLIDADA[Buff Act],MATCH("AGROINSUMOSAGRONUEVO"&amp;Tabla_Buffers_Agroinsumos[[#This Row],[CODIGO ]],TABLACONSOLIDADA[Bodega]&amp;TABLACONSOLIDADA[Codigo],0)),"")</f>
        <v/>
      </c>
      <c r="DF189" s="157" t="str">
        <f t="array" ref="DF189">IFERROR(INDEX(TABLACONSOLIDADA[Inv Fís Act],MATCH("AGROINSUMOSAGRONUEVO"&amp;Tabla_Buffers_Agroinsumos[[#This Row],[CODIGO ]],TABLACONSOLIDADA[Bodega]&amp;TABLACONSOLIDADA[Codigo],0)),"")</f>
        <v/>
      </c>
      <c r="DG189" s="157" t="str">
        <f t="array" ref="DG18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8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89" s="134">
        <f>IFERROR(SUM(Tabla_Buffers_Agroinsumos[[#This Row],[AN-MP]:[AN-VL]]),"")</f>
        <v>0</v>
      </c>
      <c r="DJ189" s="92" t="str">
        <f>IFERROR(Tabla_Buffers_Agroinsumos[[#This Row],[INV FIS AN]]-Tabla_Buffers_Agroinsumos[[#This Row],[BUFFER AN]],"")</f>
        <v/>
      </c>
      <c r="DK18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89" s="134"/>
      <c r="DM189" s="134"/>
      <c r="DN189" s="134"/>
      <c r="DO189" s="134"/>
      <c r="DP189" s="134"/>
      <c r="DQ189" s="134"/>
      <c r="DR189" s="134"/>
      <c r="DS189" s="134"/>
      <c r="DT189" s="134"/>
      <c r="DU189" s="134" t="str">
        <f t="array" ref="DU189">IFERROR(INDEX(TABLACONSOLIDADA[Buff Act],MATCH("AGROINSUMOSAGROQUIMICOSSUR"&amp;Tabla_Buffers_Agroinsumos[[#This Row],[CODIGO ]],TABLACONSOLIDADA[Bodega]&amp;TABLACONSOLIDADA[Codigo],0)),"")</f>
        <v/>
      </c>
      <c r="DV189" s="157" t="str">
        <f t="array" ref="DV189">IFERROR(INDEX(TABLACONSOLIDADA[Inv Fís Act],MATCH("AGROINSUMOSAGROQUIMICOSSUR"&amp;Tabla_Buffers_Agroinsumos[[#This Row],[CODIGO ]],TABLACONSOLIDADA[Bodega]&amp;TABLACONSOLIDADA[Codigo],0)),"")</f>
        <v/>
      </c>
      <c r="DW189" s="157" t="str">
        <f t="array" ref="DW18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8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89" s="134">
        <f>IFERROR(SUM(Tabla_Buffers_Agroinsumos[[#This Row],[AS-MP]:[AS-VL]]),"")</f>
        <v>0</v>
      </c>
      <c r="DZ189" s="92" t="str">
        <f>IFERROR(Tabla_Buffers_Agroinsumos[[#This Row],[INV FIS AS]]-Tabla_Buffers_Agroinsumos[[#This Row],[BUFFER AS]],"")</f>
        <v/>
      </c>
      <c r="EA18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89" s="134"/>
      <c r="EC189" s="134"/>
      <c r="ED189" s="134"/>
      <c r="EE189" s="134"/>
      <c r="EF189" s="134"/>
      <c r="EG189" s="134"/>
      <c r="EH189" s="134"/>
      <c r="EI189" s="134"/>
      <c r="EJ189" s="134"/>
      <c r="EK189" s="134" t="str">
        <f t="array" ref="EK189">IFERROR(INDEX(TABLACONSOLIDADA[Buff Act],MATCH("AGROINSUMOSLAFINCA"&amp;Tabla_Buffers_Agroinsumos[[#This Row],[CODIGO ]],TABLACONSOLIDADA[Bodega]&amp;TABLACONSOLIDADA[Codigo],0)),"")</f>
        <v/>
      </c>
      <c r="EL189" s="157" t="str">
        <f t="array" ref="EL189">IFERROR(INDEX(TABLACONSOLIDADA[Inv Fís Act],MATCH("AGROINSUMOSLAFINCA"&amp;Tabla_Buffers_Agroinsumos[[#This Row],[CODIGO ]],TABLACONSOLIDADA[Bodega]&amp;TABLACONSOLIDADA[Codigo],0)),"")</f>
        <v/>
      </c>
      <c r="EM189" s="157" t="str">
        <f t="array" ref="EM18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8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89" s="134">
        <f>IFERROR(SUM(Tabla_Buffers_Agroinsumos[[#This Row],[LF-MP]:[LF-VL]]),"")</f>
        <v>0</v>
      </c>
      <c r="EP189" s="92" t="str">
        <f>IFERROR(Tabla_Buffers_Agroinsumos[[#This Row],[INV FIS LF]]-Tabla_Buffers_Agroinsumos[[#This Row],[BUFFER LF]],"")</f>
        <v/>
      </c>
      <c r="EQ18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89" s="134"/>
      <c r="ES189" s="134"/>
      <c r="ET189" s="134"/>
      <c r="EU189" s="134"/>
      <c r="EV189" s="134"/>
      <c r="EW189" s="134"/>
      <c r="EX189" s="134"/>
      <c r="EY189" s="134"/>
      <c r="EZ189" s="134"/>
      <c r="FA189" s="134" t="str">
        <f t="array" ref="FA189">IFERROR(INDEX(TABLACONSOLIDADA[Buff Act],MATCH("AGROINSUMOSVERONICALEDESMA"&amp;Tabla_Buffers_Agroinsumos[[#This Row],[CODIGO ]],TABLACONSOLIDADA[Bodega]&amp;TABLACONSOLIDADA[Codigo],0)),"")</f>
        <v/>
      </c>
      <c r="FB189" s="157" t="str">
        <f t="array" ref="FB189">IFERROR(INDEX(TABLACONSOLIDADA[Inv Fís Act],MATCH("AGROINSUMOSVERONICALEDESMA"&amp;Tabla_Buffers_Agroinsumos[[#This Row],[CODIGO ]],TABLACONSOLIDADA[Bodega]&amp;TABLACONSOLIDADA[Codigo],0)),"")</f>
        <v/>
      </c>
      <c r="FC189" s="157" t="str">
        <f t="array" ref="FC18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8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89" s="134">
        <f>IFERROR(SUM(Tabla_Buffers_Agroinsumos[[#This Row],[VL-MP]:[VL-LF]]),"")</f>
        <v>0</v>
      </c>
      <c r="FF189" s="92" t="str">
        <f>IFERROR(Tabla_Buffers_Agroinsumos[[#This Row],[INV FIS VL]]-Tabla_Buffers_Agroinsumos[[#This Row],[BUFFER VL]],"")</f>
        <v/>
      </c>
      <c r="FG18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89" s="134"/>
      <c r="FI189" s="134"/>
      <c r="FJ189" s="134"/>
      <c r="FK189" s="134"/>
      <c r="FL189" s="134"/>
      <c r="FM189" s="134"/>
      <c r="FN189" s="134"/>
      <c r="FO189" s="134"/>
      <c r="FP189" s="134"/>
    </row>
    <row r="190" spans="1:172">
      <c r="A190" s="7" t="s">
        <v>332</v>
      </c>
      <c r="B190" s="7" t="s">
        <v>333</v>
      </c>
      <c r="C190" s="7" t="s">
        <v>716</v>
      </c>
      <c r="D190" s="7" t="s">
        <v>718</v>
      </c>
      <c r="E190" s="7" t="s">
        <v>863</v>
      </c>
      <c r="F190" s="19" t="s">
        <v>808</v>
      </c>
      <c r="G190" s="19" t="s">
        <v>802</v>
      </c>
      <c r="H190" s="19">
        <f>VLOOKUP(Tabla_Buffers_Agroinsumos[[#This Row],[CODIGO ]],TABLACONSOLIDADA[[Codigo]:[PV]],6,0)</f>
        <v>0</v>
      </c>
      <c r="I190" s="19">
        <f>VLOOKUP(Tabla_Buffers_Agroinsumos[[#This Row],[CODIGO ]],TABLACONSOLIDADA[[Codigo]:[PV]],5,0)</f>
        <v>7.0000000000000007E-2</v>
      </c>
      <c r="J190" s="19">
        <v>4</v>
      </c>
      <c r="K190" s="19">
        <v>6</v>
      </c>
      <c r="L190" s="19">
        <f>IFERROR(Tabla_Buffers_Agroinsumos[[#This Row],[BUFFER CENTRAL]]/((Tabla_Buffers_Agroinsumos[[#This Row],[TIEMPO REPOSICION ]]/Tabla_Buffers_Agroinsumos[[#This Row],[FRECUENCIA]])+1),0)</f>
        <v>0</v>
      </c>
      <c r="M190" s="19">
        <f t="array" ref="M190">IFERROR(INDEX(TABLACONSOLIDADA[Buff Act],MATCH("AGROINSUMOSMATERIAPRIMA"&amp;Tabla_Buffers_Agroinsumos[[#This Row],[CODIGO ]],TABLACONSOLIDADA[Bodega]&amp;TABLACONSOLIDADA[Codigo],0)),"")</f>
        <v>200</v>
      </c>
      <c r="N190" s="157">
        <f t="array" ref="N190">IFERROR(INDEX(TABLACONSOLIDADA[Inv Fís Act],MATCH("AGROINSUMOSMATERIAPRIMA"&amp;Tabla_Buffers_Agroinsumos[[#This Row],[CODIGO ]],TABLACONSOLIDADA[Bodega]&amp;TABLACONSOLIDADA[Codigo],0)),"")</f>
        <v>1048</v>
      </c>
      <c r="O190" s="157">
        <f t="array" ref="O19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1048</v>
      </c>
      <c r="P19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90" s="19">
        <f>IFERROR(SUM(Tabla_Buffers_Agroinsumos[[#This Row],[MP-C]:[MP-VL]]),"")</f>
        <v>0</v>
      </c>
      <c r="R190" s="92">
        <f>IFERROR(Tabla_Buffers_Agroinsumos[[#This Row],[INV FIS MATERIA PRIMA]]-Tabla_Buffers_Agroinsumos[[#This Row],[BUFFER MATERIA PRIMA]],"")</f>
        <v>848</v>
      </c>
      <c r="S19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848</v>
      </c>
      <c r="T190" s="19"/>
      <c r="U190" s="19"/>
      <c r="V190" s="19"/>
      <c r="W190" s="19"/>
      <c r="X190" s="19"/>
      <c r="Y190" s="19"/>
      <c r="Z190" s="19"/>
      <c r="AA190" s="19"/>
      <c r="AB190" s="19"/>
      <c r="AC190" s="152" t="str">
        <f t="array" ref="AC190">IFERROR(INDEX(TABLACONSOLIDADA[Buff Act],MATCH("AGROINSUMOSCENTRAL"&amp;Tabla_Buffers_Agroinsumos[[#This Row],[CODIGO ]],TABLACONSOLIDADA[Bodega]&amp;TABLACONSOLIDADA[Codigo],0)),"")</f>
        <v/>
      </c>
      <c r="AD190" s="157" t="str">
        <f t="array" ref="AD190">IFERROR(INDEX(TABLACONSOLIDADA[Inv Fís Act],MATCH("AGROINSUMOSCENTRAL"&amp;Tabla_Buffers_Agroinsumos[[#This Row],[CODIGO ]],TABLACONSOLIDADA[Bodega]&amp;TABLACONSOLIDADA[Codigo],0)),"")</f>
        <v/>
      </c>
      <c r="AE190" s="157" t="str">
        <f t="array" ref="AE19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9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90" s="91">
        <f>IFERROR(SUM(Tabla_Buffers_Agroinsumos[[#This Row],[C-MP]:[C-VL]]),"")</f>
        <v>0</v>
      </c>
      <c r="AH190" s="92" t="str">
        <f>IFERROR(Tabla_Buffers_Agroinsumos[[#This Row],[INV FIS CENTRAL]]-Tabla_Buffers_Agroinsumos[[#This Row],[BUFFER CENTRAL]],"")</f>
        <v/>
      </c>
      <c r="AI19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4" t="str">
        <f t="array" ref="AS190">IFERROR(INDEX(TABLACONSOLIDADA[Buff Act],MATCH("AGROINSUMOScentralPROPIA"&amp;Tabla_Buffers_Agroinsumos[[#This Row],[CODIGO ]],TABLACONSOLIDADA[Bodega]&amp;TABLACONSOLIDADA[Codigo],0)),"")</f>
        <v/>
      </c>
      <c r="AT190" s="157" t="str">
        <f t="array" ref="AT190">IFERROR(INDEX(TABLACONSOLIDADA[Inv Fís Act],MATCH("AGROINSUMOScentralPROPIA"&amp;Tabla_Buffers_Agroinsumos[[#This Row],[CODIGO ]],TABLACONSOLIDADA[Bodega]&amp;TABLACONSOLIDADA[Codigo],0)),"")</f>
        <v/>
      </c>
      <c r="AU190" s="157" t="str">
        <f t="array" ref="AU19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9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90" s="134">
        <f>IFERROR(SUM(Tabla_Buffers_Agroinsumos[[#This Row],[P-MP]:[P-VL]]),"")</f>
        <v>0</v>
      </c>
      <c r="AX190" s="92" t="str">
        <f>IFERROR(Tabla_Buffers_Agroinsumos[[#This Row],[INV FIS PROPIA]]-Tabla_Buffers_Agroinsumos[[#This Row],[BUFFER PROPIA]],"")</f>
        <v/>
      </c>
      <c r="AY19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90" s="134"/>
      <c r="BA190" s="134"/>
      <c r="BB190" s="134"/>
      <c r="BC190" s="134"/>
      <c r="BD190" s="134"/>
      <c r="BE190" s="134"/>
      <c r="BF190" s="134"/>
      <c r="BG190" s="134"/>
      <c r="BH190" s="134"/>
      <c r="BI190" s="91" t="str">
        <f t="array" ref="BI190">IFERROR(INDEX(TABLACONSOLIDADA[Buff Act],MATCH("AGROINSUMOSSTODOMINGO"&amp;Tabla_Buffers_Agroinsumos[[#This Row],[CODIGO ]],TABLACONSOLIDADA[Bodega]&amp;TABLACONSOLIDADA[Codigo],0)),"")</f>
        <v/>
      </c>
      <c r="BJ190" s="157" t="str">
        <f t="array" ref="BJ190">IFERROR(INDEX(TABLACONSOLIDADA[Inv Fís Act],MATCH("AGROINSUMOSSTODOMINGO"&amp;Tabla_Buffers_Agroinsumos[[#This Row],[CODIGO ]],TABLACONSOLIDADA[Bodega]&amp;TABLACONSOLIDADA[Codigo],0)),"")</f>
        <v/>
      </c>
      <c r="BK190" s="157" t="str">
        <f t="array" ref="BK19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9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90" s="91">
        <f>IFERROR(SUM(Tabla_Buffers_Agroinsumos[[#This Row],[SD-MP]:[SD-VL]]),"")</f>
        <v>0</v>
      </c>
      <c r="BN190" s="92"/>
      <c r="BO190" s="92"/>
      <c r="BP190" s="134"/>
      <c r="BQ190" s="134"/>
      <c r="BR190" s="134"/>
      <c r="BS190" s="134"/>
      <c r="BT190" s="134"/>
      <c r="BU190" s="134"/>
      <c r="BV190" s="134"/>
      <c r="BW190" s="134"/>
      <c r="BX190" s="134"/>
      <c r="BY190" s="134" t="str">
        <f t="array" ref="BY190">IFERROR(INDEX(TABLACONSOLIDADA[Buff Act],MATCH("AGROINSUMOSMONCAYOLOPEZ"&amp;Tabla_Buffers_Agroinsumos[[#This Row],[CODIGO ]],TABLACONSOLIDADA[Bodega]&amp;TABLACONSOLIDADA[Codigo],0)),"")</f>
        <v/>
      </c>
      <c r="BZ190" s="157" t="str">
        <f t="array" ref="BZ190">IFERROR(INDEX(TABLACONSOLIDADA[Inv Fís Act],MATCH("AGROINSUMOSMONCAYOLOPEZ"&amp;Tabla_Buffers_Agroinsumos[[#This Row],[CODIGO ]],TABLACONSOLIDADA[Bodega]&amp;TABLACONSOLIDADA[Codigo],0)),"")</f>
        <v/>
      </c>
      <c r="CA190" s="157" t="str">
        <f t="array" ref="CA19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9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90" s="134">
        <f>IFERROR(SUM(Tabla_Buffers_Agroinsumos[[#This Row],[ML-MP]:[ML-VL]]),"")</f>
        <v>0</v>
      </c>
      <c r="CD190" s="92" t="str">
        <f>IFERROR(Tabla_Buffers_Agroinsumos[[#This Row],[INV FIS ML]]-Tabla_Buffers_Agroinsumos[[#This Row],[BUFFER ML]],"")</f>
        <v/>
      </c>
      <c r="CE19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90" s="134"/>
      <c r="CG190" s="134"/>
      <c r="CH190" s="134"/>
      <c r="CI190" s="134"/>
      <c r="CJ190" s="134"/>
      <c r="CK190" s="134"/>
      <c r="CL190" s="134"/>
      <c r="CM190" s="134"/>
      <c r="CN190" s="134"/>
      <c r="CO190" s="134" t="str">
        <f t="array" ref="CO190">IFERROR(INDEX(TABLACONSOLIDADA[Buff Act],MATCH("AGROINSUMOSAGROHERMANOSLEON"&amp;Tabla_Buffers_Agroinsumos[[#This Row],[CODIGO ]],TABLACONSOLIDADA[Bodega]&amp;TABLACONSOLIDADA[Codigo],0)),"")</f>
        <v/>
      </c>
      <c r="CP190" s="157" t="str">
        <f t="array" ref="CP190">IFERROR(INDEX(TABLACONSOLIDADA[Inv Fís Act],MATCH("AGROINSUMOSAGROHERMANOSLEON"&amp;Tabla_Buffers_Agroinsumos[[#This Row],[CODIGO ]],TABLACONSOLIDADA[Bodega]&amp;TABLACONSOLIDADA[Codigo],0)),"")</f>
        <v/>
      </c>
      <c r="CQ190" s="157" t="str">
        <f t="array" ref="CQ19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9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90" s="134">
        <f>IFERROR(SUM(Tabla_Buffers_Agroinsumos[[#This Row],[AL-MP]:[AL-VL]]),"")</f>
        <v>0</v>
      </c>
      <c r="CT190" s="92" t="str">
        <f>IFERROR(Tabla_Buffers_Agroinsumos[[#This Row],[INV FIS AL]]-Tabla_Buffers_Agroinsumos[[#This Row],[BUFFER AL]],"")</f>
        <v/>
      </c>
      <c r="CU19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90" s="134"/>
      <c r="CW190" s="134"/>
      <c r="CX190" s="134"/>
      <c r="CY190" s="134"/>
      <c r="CZ190" s="134"/>
      <c r="DA190" s="134"/>
      <c r="DB190" s="134"/>
      <c r="DC190" s="134"/>
      <c r="DD190" s="134"/>
      <c r="DE190" s="134" t="str">
        <f t="array" ref="DE190">IFERROR(INDEX(TABLACONSOLIDADA[Buff Act],MATCH("AGROINSUMOSAGRONUEVO"&amp;Tabla_Buffers_Agroinsumos[[#This Row],[CODIGO ]],TABLACONSOLIDADA[Bodega]&amp;TABLACONSOLIDADA[Codigo],0)),"")</f>
        <v/>
      </c>
      <c r="DF190" s="157" t="str">
        <f t="array" ref="DF190">IFERROR(INDEX(TABLACONSOLIDADA[Inv Fís Act],MATCH("AGROINSUMOSAGRONUEVO"&amp;Tabla_Buffers_Agroinsumos[[#This Row],[CODIGO ]],TABLACONSOLIDADA[Bodega]&amp;TABLACONSOLIDADA[Codigo],0)),"")</f>
        <v/>
      </c>
      <c r="DG190" s="157" t="str">
        <f t="array" ref="DG19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9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90" s="134">
        <f>IFERROR(SUM(Tabla_Buffers_Agroinsumos[[#This Row],[AN-MP]:[AN-VL]]),"")</f>
        <v>0</v>
      </c>
      <c r="DJ190" s="92" t="str">
        <f>IFERROR(Tabla_Buffers_Agroinsumos[[#This Row],[INV FIS AN]]-Tabla_Buffers_Agroinsumos[[#This Row],[BUFFER AN]],"")</f>
        <v/>
      </c>
      <c r="DK19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90" s="134"/>
      <c r="DM190" s="134"/>
      <c r="DN190" s="134"/>
      <c r="DO190" s="134"/>
      <c r="DP190" s="134"/>
      <c r="DQ190" s="134"/>
      <c r="DR190" s="134"/>
      <c r="DS190" s="134"/>
      <c r="DT190" s="134"/>
      <c r="DU190" s="134" t="str">
        <f t="array" ref="DU190">IFERROR(INDEX(TABLACONSOLIDADA[Buff Act],MATCH("AGROINSUMOSAGROQUIMICOSSUR"&amp;Tabla_Buffers_Agroinsumos[[#This Row],[CODIGO ]],TABLACONSOLIDADA[Bodega]&amp;TABLACONSOLIDADA[Codigo],0)),"")</f>
        <v/>
      </c>
      <c r="DV190" s="157" t="str">
        <f t="array" ref="DV190">IFERROR(INDEX(TABLACONSOLIDADA[Inv Fís Act],MATCH("AGROINSUMOSAGROQUIMICOSSUR"&amp;Tabla_Buffers_Agroinsumos[[#This Row],[CODIGO ]],TABLACONSOLIDADA[Bodega]&amp;TABLACONSOLIDADA[Codigo],0)),"")</f>
        <v/>
      </c>
      <c r="DW190" s="157" t="str">
        <f t="array" ref="DW19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9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90" s="134">
        <f>IFERROR(SUM(Tabla_Buffers_Agroinsumos[[#This Row],[AS-MP]:[AS-VL]]),"")</f>
        <v>0</v>
      </c>
      <c r="DZ190" s="92" t="str">
        <f>IFERROR(Tabla_Buffers_Agroinsumos[[#This Row],[INV FIS AS]]-Tabla_Buffers_Agroinsumos[[#This Row],[BUFFER AS]],"")</f>
        <v/>
      </c>
      <c r="EA19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90" s="134"/>
      <c r="EC190" s="134"/>
      <c r="ED190" s="134"/>
      <c r="EE190" s="134"/>
      <c r="EF190" s="134"/>
      <c r="EG190" s="134"/>
      <c r="EH190" s="134"/>
      <c r="EI190" s="134"/>
      <c r="EJ190" s="134"/>
      <c r="EK190" s="134" t="str">
        <f t="array" ref="EK190">IFERROR(INDEX(TABLACONSOLIDADA[Buff Act],MATCH("AGROINSUMOSLAFINCA"&amp;Tabla_Buffers_Agroinsumos[[#This Row],[CODIGO ]],TABLACONSOLIDADA[Bodega]&amp;TABLACONSOLIDADA[Codigo],0)),"")</f>
        <v/>
      </c>
      <c r="EL190" s="157" t="str">
        <f t="array" ref="EL190">IFERROR(INDEX(TABLACONSOLIDADA[Inv Fís Act],MATCH("AGROINSUMOSLAFINCA"&amp;Tabla_Buffers_Agroinsumos[[#This Row],[CODIGO ]],TABLACONSOLIDADA[Bodega]&amp;TABLACONSOLIDADA[Codigo],0)),"")</f>
        <v/>
      </c>
      <c r="EM190" s="157" t="str">
        <f t="array" ref="EM19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9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90" s="134">
        <f>IFERROR(SUM(Tabla_Buffers_Agroinsumos[[#This Row],[LF-MP]:[LF-VL]]),"")</f>
        <v>0</v>
      </c>
      <c r="EP190" s="92" t="str">
        <f>IFERROR(Tabla_Buffers_Agroinsumos[[#This Row],[INV FIS LF]]-Tabla_Buffers_Agroinsumos[[#This Row],[BUFFER LF]],"")</f>
        <v/>
      </c>
      <c r="EQ19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90" s="134"/>
      <c r="ES190" s="134"/>
      <c r="ET190" s="134"/>
      <c r="EU190" s="134"/>
      <c r="EV190" s="134"/>
      <c r="EW190" s="134"/>
      <c r="EX190" s="134"/>
      <c r="EY190" s="134"/>
      <c r="EZ190" s="134"/>
      <c r="FA190" s="134" t="str">
        <f t="array" ref="FA190">IFERROR(INDEX(TABLACONSOLIDADA[Buff Act],MATCH("AGROINSUMOSVERONICALEDESMA"&amp;Tabla_Buffers_Agroinsumos[[#This Row],[CODIGO ]],TABLACONSOLIDADA[Bodega]&amp;TABLACONSOLIDADA[Codigo],0)),"")</f>
        <v/>
      </c>
      <c r="FB190" s="157" t="str">
        <f t="array" ref="FB190">IFERROR(INDEX(TABLACONSOLIDADA[Inv Fís Act],MATCH("AGROINSUMOSVERONICALEDESMA"&amp;Tabla_Buffers_Agroinsumos[[#This Row],[CODIGO ]],TABLACONSOLIDADA[Bodega]&amp;TABLACONSOLIDADA[Codigo],0)),"")</f>
        <v/>
      </c>
      <c r="FC190" s="157" t="str">
        <f t="array" ref="FC19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9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90" s="134">
        <f>IFERROR(SUM(Tabla_Buffers_Agroinsumos[[#This Row],[VL-MP]:[VL-LF]]),"")</f>
        <v>0</v>
      </c>
      <c r="FF190" s="92" t="str">
        <f>IFERROR(Tabla_Buffers_Agroinsumos[[#This Row],[INV FIS VL]]-Tabla_Buffers_Agroinsumos[[#This Row],[BUFFER VL]],"")</f>
        <v/>
      </c>
      <c r="FG19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90" s="134"/>
      <c r="FI190" s="134"/>
      <c r="FJ190" s="134"/>
      <c r="FK190" s="134"/>
      <c r="FL190" s="134"/>
      <c r="FM190" s="134"/>
      <c r="FN190" s="134"/>
      <c r="FO190" s="134"/>
      <c r="FP190" s="134"/>
    </row>
    <row r="191" spans="1:172">
      <c r="A191" s="7" t="s">
        <v>334</v>
      </c>
      <c r="B191" s="7" t="s">
        <v>335</v>
      </c>
      <c r="C191" s="7" t="s">
        <v>716</v>
      </c>
      <c r="D191" s="7" t="s">
        <v>718</v>
      </c>
      <c r="E191" s="7" t="s">
        <v>863</v>
      </c>
      <c r="F191" s="19" t="s">
        <v>808</v>
      </c>
      <c r="G191" s="19" t="s">
        <v>802</v>
      </c>
      <c r="H191" s="19">
        <f>VLOOKUP(Tabla_Buffers_Agroinsumos[[#This Row],[CODIGO ]],TABLACONSOLIDADA[[Codigo]:[PV]],6,0)</f>
        <v>0</v>
      </c>
      <c r="I191" s="19">
        <f>VLOOKUP(Tabla_Buffers_Agroinsumos[[#This Row],[CODIGO ]],TABLACONSOLIDADA[[Codigo]:[PV]],5,0)</f>
        <v>0.12</v>
      </c>
      <c r="J191" s="19">
        <v>4</v>
      </c>
      <c r="K191" s="19">
        <v>6</v>
      </c>
      <c r="L191" s="19">
        <f>IFERROR(Tabla_Buffers_Agroinsumos[[#This Row],[BUFFER CENTRAL]]/((Tabla_Buffers_Agroinsumos[[#This Row],[TIEMPO REPOSICION ]]/Tabla_Buffers_Agroinsumos[[#This Row],[FRECUENCIA]])+1),0)</f>
        <v>0</v>
      </c>
      <c r="M191" s="19">
        <f t="array" ref="M191">IFERROR(INDEX(TABLACONSOLIDADA[Buff Act],MATCH("AGROINSUMOSMATERIAPRIMA"&amp;Tabla_Buffers_Agroinsumos[[#This Row],[CODIGO ]],TABLACONSOLIDADA[Bodega]&amp;TABLACONSOLIDADA[Codigo],0)),"")</f>
        <v>200</v>
      </c>
      <c r="N191" s="157">
        <f t="array" ref="N191">IFERROR(INDEX(TABLACONSOLIDADA[Inv Fís Act],MATCH("AGROINSUMOSMATERIAPRIMA"&amp;Tabla_Buffers_Agroinsumos[[#This Row],[CODIGO ]],TABLACONSOLIDADA[Bodega]&amp;TABLACONSOLIDADA[Codigo],0)),"")</f>
        <v>1574</v>
      </c>
      <c r="O191" s="157">
        <f t="array" ref="O19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1574</v>
      </c>
      <c r="P19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91" s="19">
        <f>IFERROR(SUM(Tabla_Buffers_Agroinsumos[[#This Row],[MP-C]:[MP-VL]]),"")</f>
        <v>0</v>
      </c>
      <c r="R191" s="92">
        <f>IFERROR(Tabla_Buffers_Agroinsumos[[#This Row],[INV FIS MATERIA PRIMA]]-Tabla_Buffers_Agroinsumos[[#This Row],[BUFFER MATERIA PRIMA]],"")</f>
        <v>1374</v>
      </c>
      <c r="S19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1374</v>
      </c>
      <c r="T191" s="19"/>
      <c r="U191" s="19"/>
      <c r="V191" s="19"/>
      <c r="W191" s="19"/>
      <c r="X191" s="19"/>
      <c r="Y191" s="19"/>
      <c r="Z191" s="19"/>
      <c r="AA191" s="19"/>
      <c r="AB191" s="19"/>
      <c r="AC191" s="152" t="str">
        <f t="array" ref="AC191">IFERROR(INDEX(TABLACONSOLIDADA[Buff Act],MATCH("AGROINSUMOSCENTRAL"&amp;Tabla_Buffers_Agroinsumos[[#This Row],[CODIGO ]],TABLACONSOLIDADA[Bodega]&amp;TABLACONSOLIDADA[Codigo],0)),"")</f>
        <v/>
      </c>
      <c r="AD191" s="157" t="str">
        <f t="array" ref="AD191">IFERROR(INDEX(TABLACONSOLIDADA[Inv Fís Act],MATCH("AGROINSUMOSCENTRAL"&amp;Tabla_Buffers_Agroinsumos[[#This Row],[CODIGO ]],TABLACONSOLIDADA[Bodega]&amp;TABLACONSOLIDADA[Codigo],0)),"")</f>
        <v/>
      </c>
      <c r="AE191" s="157" t="str">
        <f t="array" ref="AE19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9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91" s="91">
        <f>IFERROR(SUM(Tabla_Buffers_Agroinsumos[[#This Row],[C-MP]:[C-VL]]),"")</f>
        <v>0</v>
      </c>
      <c r="AH191" s="92" t="str">
        <f>IFERROR(Tabla_Buffers_Agroinsumos[[#This Row],[INV FIS CENTRAL]]-Tabla_Buffers_Agroinsumos[[#This Row],[BUFFER CENTRAL]],"")</f>
        <v/>
      </c>
      <c r="AI19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91" s="134"/>
      <c r="AK191" s="134"/>
      <c r="AL191" s="134"/>
      <c r="AM191" s="134"/>
      <c r="AN191" s="134"/>
      <c r="AO191" s="134"/>
      <c r="AP191" s="134"/>
      <c r="AQ191" s="134"/>
      <c r="AR191" s="134"/>
      <c r="AS191" s="134" t="str">
        <f t="array" ref="AS191">IFERROR(INDEX(TABLACONSOLIDADA[Buff Act],MATCH("AGROINSUMOScentralPROPIA"&amp;Tabla_Buffers_Agroinsumos[[#This Row],[CODIGO ]],TABLACONSOLIDADA[Bodega]&amp;TABLACONSOLIDADA[Codigo],0)),"")</f>
        <v/>
      </c>
      <c r="AT191" s="157" t="str">
        <f t="array" ref="AT191">IFERROR(INDEX(TABLACONSOLIDADA[Inv Fís Act],MATCH("AGROINSUMOScentralPROPIA"&amp;Tabla_Buffers_Agroinsumos[[#This Row],[CODIGO ]],TABLACONSOLIDADA[Bodega]&amp;TABLACONSOLIDADA[Codigo],0)),"")</f>
        <v/>
      </c>
      <c r="AU191" s="157" t="str">
        <f t="array" ref="AU19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9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91" s="134">
        <f>IFERROR(SUM(Tabla_Buffers_Agroinsumos[[#This Row],[P-MP]:[P-VL]]),"")</f>
        <v>0</v>
      </c>
      <c r="AX191" s="92" t="str">
        <f>IFERROR(Tabla_Buffers_Agroinsumos[[#This Row],[INV FIS PROPIA]]-Tabla_Buffers_Agroinsumos[[#This Row],[BUFFER PROPIA]],"")</f>
        <v/>
      </c>
      <c r="AY19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91" s="134"/>
      <c r="BA191" s="134"/>
      <c r="BB191" s="134"/>
      <c r="BC191" s="134"/>
      <c r="BD191" s="134"/>
      <c r="BE191" s="134"/>
      <c r="BF191" s="134"/>
      <c r="BG191" s="134"/>
      <c r="BH191" s="134"/>
      <c r="BI191" s="91" t="str">
        <f t="array" ref="BI191">IFERROR(INDEX(TABLACONSOLIDADA[Buff Act],MATCH("AGROINSUMOSSTODOMINGO"&amp;Tabla_Buffers_Agroinsumos[[#This Row],[CODIGO ]],TABLACONSOLIDADA[Bodega]&amp;TABLACONSOLIDADA[Codigo],0)),"")</f>
        <v/>
      </c>
      <c r="BJ191" s="157" t="str">
        <f t="array" ref="BJ191">IFERROR(INDEX(TABLACONSOLIDADA[Inv Fís Act],MATCH("AGROINSUMOSSTODOMINGO"&amp;Tabla_Buffers_Agroinsumos[[#This Row],[CODIGO ]],TABLACONSOLIDADA[Bodega]&amp;TABLACONSOLIDADA[Codigo],0)),"")</f>
        <v/>
      </c>
      <c r="BK191" s="157" t="str">
        <f t="array" ref="BK19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9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91" s="91">
        <f>IFERROR(SUM(Tabla_Buffers_Agroinsumos[[#This Row],[SD-MP]:[SD-VL]]),"")</f>
        <v>0</v>
      </c>
      <c r="BN191" s="92"/>
      <c r="BO191" s="92"/>
      <c r="BP191" s="134"/>
      <c r="BQ191" s="134"/>
      <c r="BR191" s="134"/>
      <c r="BS191" s="134"/>
      <c r="BT191" s="134"/>
      <c r="BU191" s="134"/>
      <c r="BV191" s="134"/>
      <c r="BW191" s="134"/>
      <c r="BX191" s="134"/>
      <c r="BY191" s="134" t="str">
        <f t="array" ref="BY191">IFERROR(INDEX(TABLACONSOLIDADA[Buff Act],MATCH("AGROINSUMOSMONCAYOLOPEZ"&amp;Tabla_Buffers_Agroinsumos[[#This Row],[CODIGO ]],TABLACONSOLIDADA[Bodega]&amp;TABLACONSOLIDADA[Codigo],0)),"")</f>
        <v/>
      </c>
      <c r="BZ191" s="157" t="str">
        <f t="array" ref="BZ191">IFERROR(INDEX(TABLACONSOLIDADA[Inv Fís Act],MATCH("AGROINSUMOSMONCAYOLOPEZ"&amp;Tabla_Buffers_Agroinsumos[[#This Row],[CODIGO ]],TABLACONSOLIDADA[Bodega]&amp;TABLACONSOLIDADA[Codigo],0)),"")</f>
        <v/>
      </c>
      <c r="CA191" s="157" t="str">
        <f t="array" ref="CA19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9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91" s="134">
        <f>IFERROR(SUM(Tabla_Buffers_Agroinsumos[[#This Row],[ML-MP]:[ML-VL]]),"")</f>
        <v>0</v>
      </c>
      <c r="CD191" s="92" t="str">
        <f>IFERROR(Tabla_Buffers_Agroinsumos[[#This Row],[INV FIS ML]]-Tabla_Buffers_Agroinsumos[[#This Row],[BUFFER ML]],"")</f>
        <v/>
      </c>
      <c r="CE19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91" s="134"/>
      <c r="CG191" s="134"/>
      <c r="CH191" s="134"/>
      <c r="CI191" s="134"/>
      <c r="CJ191" s="134"/>
      <c r="CK191" s="134"/>
      <c r="CL191" s="134"/>
      <c r="CM191" s="134"/>
      <c r="CN191" s="134"/>
      <c r="CO191" s="134" t="str">
        <f t="array" ref="CO191">IFERROR(INDEX(TABLACONSOLIDADA[Buff Act],MATCH("AGROINSUMOSAGROHERMANOSLEON"&amp;Tabla_Buffers_Agroinsumos[[#This Row],[CODIGO ]],TABLACONSOLIDADA[Bodega]&amp;TABLACONSOLIDADA[Codigo],0)),"")</f>
        <v/>
      </c>
      <c r="CP191" s="157" t="str">
        <f t="array" ref="CP191">IFERROR(INDEX(TABLACONSOLIDADA[Inv Fís Act],MATCH("AGROINSUMOSAGROHERMANOSLEON"&amp;Tabla_Buffers_Agroinsumos[[#This Row],[CODIGO ]],TABLACONSOLIDADA[Bodega]&amp;TABLACONSOLIDADA[Codigo],0)),"")</f>
        <v/>
      </c>
      <c r="CQ191" s="157" t="str">
        <f t="array" ref="CQ19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9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91" s="134">
        <f>IFERROR(SUM(Tabla_Buffers_Agroinsumos[[#This Row],[AL-MP]:[AL-VL]]),"")</f>
        <v>0</v>
      </c>
      <c r="CT191" s="92" t="str">
        <f>IFERROR(Tabla_Buffers_Agroinsumos[[#This Row],[INV FIS AL]]-Tabla_Buffers_Agroinsumos[[#This Row],[BUFFER AL]],"")</f>
        <v/>
      </c>
      <c r="CU19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91" s="134"/>
      <c r="CW191" s="134"/>
      <c r="CX191" s="134"/>
      <c r="CY191" s="134"/>
      <c r="CZ191" s="134"/>
      <c r="DA191" s="134"/>
      <c r="DB191" s="134"/>
      <c r="DC191" s="134"/>
      <c r="DD191" s="134"/>
      <c r="DE191" s="134" t="str">
        <f t="array" ref="DE191">IFERROR(INDEX(TABLACONSOLIDADA[Buff Act],MATCH("AGROINSUMOSAGRONUEVO"&amp;Tabla_Buffers_Agroinsumos[[#This Row],[CODIGO ]],TABLACONSOLIDADA[Bodega]&amp;TABLACONSOLIDADA[Codigo],0)),"")</f>
        <v/>
      </c>
      <c r="DF191" s="157" t="str">
        <f t="array" ref="DF191">IFERROR(INDEX(TABLACONSOLIDADA[Inv Fís Act],MATCH("AGROINSUMOSAGRONUEVO"&amp;Tabla_Buffers_Agroinsumos[[#This Row],[CODIGO ]],TABLACONSOLIDADA[Bodega]&amp;TABLACONSOLIDADA[Codigo],0)),"")</f>
        <v/>
      </c>
      <c r="DG191" s="157" t="str">
        <f t="array" ref="DG19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9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91" s="134">
        <f>IFERROR(SUM(Tabla_Buffers_Agroinsumos[[#This Row],[AN-MP]:[AN-VL]]),"")</f>
        <v>0</v>
      </c>
      <c r="DJ191" s="92" t="str">
        <f>IFERROR(Tabla_Buffers_Agroinsumos[[#This Row],[INV FIS AN]]-Tabla_Buffers_Agroinsumos[[#This Row],[BUFFER AN]],"")</f>
        <v/>
      </c>
      <c r="DK19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91" s="134"/>
      <c r="DM191" s="134"/>
      <c r="DN191" s="134"/>
      <c r="DO191" s="134"/>
      <c r="DP191" s="134"/>
      <c r="DQ191" s="134"/>
      <c r="DR191" s="134"/>
      <c r="DS191" s="134"/>
      <c r="DT191" s="134"/>
      <c r="DU191" s="134" t="str">
        <f t="array" ref="DU191">IFERROR(INDEX(TABLACONSOLIDADA[Buff Act],MATCH("AGROINSUMOSAGROQUIMICOSSUR"&amp;Tabla_Buffers_Agroinsumos[[#This Row],[CODIGO ]],TABLACONSOLIDADA[Bodega]&amp;TABLACONSOLIDADA[Codigo],0)),"")</f>
        <v/>
      </c>
      <c r="DV191" s="157" t="str">
        <f t="array" ref="DV191">IFERROR(INDEX(TABLACONSOLIDADA[Inv Fís Act],MATCH("AGROINSUMOSAGROQUIMICOSSUR"&amp;Tabla_Buffers_Agroinsumos[[#This Row],[CODIGO ]],TABLACONSOLIDADA[Bodega]&amp;TABLACONSOLIDADA[Codigo],0)),"")</f>
        <v/>
      </c>
      <c r="DW191" s="157" t="str">
        <f t="array" ref="DW19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9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91" s="134">
        <f>IFERROR(SUM(Tabla_Buffers_Agroinsumos[[#This Row],[AS-MP]:[AS-VL]]),"")</f>
        <v>0</v>
      </c>
      <c r="DZ191" s="92" t="str">
        <f>IFERROR(Tabla_Buffers_Agroinsumos[[#This Row],[INV FIS AS]]-Tabla_Buffers_Agroinsumos[[#This Row],[BUFFER AS]],"")</f>
        <v/>
      </c>
      <c r="EA19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91" s="134"/>
      <c r="EC191" s="134"/>
      <c r="ED191" s="134"/>
      <c r="EE191" s="134"/>
      <c r="EF191" s="134"/>
      <c r="EG191" s="134"/>
      <c r="EH191" s="134"/>
      <c r="EI191" s="134"/>
      <c r="EJ191" s="134"/>
      <c r="EK191" s="134" t="str">
        <f t="array" ref="EK191">IFERROR(INDEX(TABLACONSOLIDADA[Buff Act],MATCH("AGROINSUMOSLAFINCA"&amp;Tabla_Buffers_Agroinsumos[[#This Row],[CODIGO ]],TABLACONSOLIDADA[Bodega]&amp;TABLACONSOLIDADA[Codigo],0)),"")</f>
        <v/>
      </c>
      <c r="EL191" s="157" t="str">
        <f t="array" ref="EL191">IFERROR(INDEX(TABLACONSOLIDADA[Inv Fís Act],MATCH("AGROINSUMOSLAFINCA"&amp;Tabla_Buffers_Agroinsumos[[#This Row],[CODIGO ]],TABLACONSOLIDADA[Bodega]&amp;TABLACONSOLIDADA[Codigo],0)),"")</f>
        <v/>
      </c>
      <c r="EM191" s="157" t="str">
        <f t="array" ref="EM19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9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91" s="134">
        <f>IFERROR(SUM(Tabla_Buffers_Agroinsumos[[#This Row],[LF-MP]:[LF-VL]]),"")</f>
        <v>0</v>
      </c>
      <c r="EP191" s="92" t="str">
        <f>IFERROR(Tabla_Buffers_Agroinsumos[[#This Row],[INV FIS LF]]-Tabla_Buffers_Agroinsumos[[#This Row],[BUFFER LF]],"")</f>
        <v/>
      </c>
      <c r="EQ19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91" s="134"/>
      <c r="ES191" s="134"/>
      <c r="ET191" s="134"/>
      <c r="EU191" s="134"/>
      <c r="EV191" s="134"/>
      <c r="EW191" s="134"/>
      <c r="EX191" s="134"/>
      <c r="EY191" s="134"/>
      <c r="EZ191" s="134"/>
      <c r="FA191" s="134" t="str">
        <f t="array" ref="FA191">IFERROR(INDEX(TABLACONSOLIDADA[Buff Act],MATCH("AGROINSUMOSVERONICALEDESMA"&amp;Tabla_Buffers_Agroinsumos[[#This Row],[CODIGO ]],TABLACONSOLIDADA[Bodega]&amp;TABLACONSOLIDADA[Codigo],0)),"")</f>
        <v/>
      </c>
      <c r="FB191" s="157" t="str">
        <f t="array" ref="FB191">IFERROR(INDEX(TABLACONSOLIDADA[Inv Fís Act],MATCH("AGROINSUMOSVERONICALEDESMA"&amp;Tabla_Buffers_Agroinsumos[[#This Row],[CODIGO ]],TABLACONSOLIDADA[Bodega]&amp;TABLACONSOLIDADA[Codigo],0)),"")</f>
        <v/>
      </c>
      <c r="FC191" s="157" t="str">
        <f t="array" ref="FC19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9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91" s="134">
        <f>IFERROR(SUM(Tabla_Buffers_Agroinsumos[[#This Row],[VL-MP]:[VL-LF]]),"")</f>
        <v>0</v>
      </c>
      <c r="FF191" s="92" t="str">
        <f>IFERROR(Tabla_Buffers_Agroinsumos[[#This Row],[INV FIS VL]]-Tabla_Buffers_Agroinsumos[[#This Row],[BUFFER VL]],"")</f>
        <v/>
      </c>
      <c r="FG19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91" s="134"/>
      <c r="FI191" s="134"/>
      <c r="FJ191" s="134"/>
      <c r="FK191" s="134"/>
      <c r="FL191" s="134"/>
      <c r="FM191" s="134"/>
      <c r="FN191" s="134"/>
      <c r="FO191" s="134"/>
      <c r="FP191" s="134"/>
    </row>
    <row r="192" spans="1:172">
      <c r="A192" s="7" t="s">
        <v>336</v>
      </c>
      <c r="B192" s="7" t="s">
        <v>337</v>
      </c>
      <c r="C192" s="7" t="s">
        <v>716</v>
      </c>
      <c r="D192" s="7" t="s">
        <v>718</v>
      </c>
      <c r="E192" s="7" t="s">
        <v>863</v>
      </c>
      <c r="F192" s="19" t="s">
        <v>808</v>
      </c>
      <c r="G192" s="19" t="s">
        <v>802</v>
      </c>
      <c r="H192" s="19">
        <f>VLOOKUP(Tabla_Buffers_Agroinsumos[[#This Row],[CODIGO ]],TABLACONSOLIDADA[[Codigo]:[PV]],6,0)</f>
        <v>0</v>
      </c>
      <c r="I192" s="19">
        <f>VLOOKUP(Tabla_Buffers_Agroinsumos[[#This Row],[CODIGO ]],TABLACONSOLIDADA[[Codigo]:[PV]],5,0)</f>
        <v>0.09</v>
      </c>
      <c r="J192" s="19">
        <v>4</v>
      </c>
      <c r="K192" s="19">
        <v>6</v>
      </c>
      <c r="L192" s="19">
        <f>IFERROR(Tabla_Buffers_Agroinsumos[[#This Row],[BUFFER CENTRAL]]/((Tabla_Buffers_Agroinsumos[[#This Row],[TIEMPO REPOSICION ]]/Tabla_Buffers_Agroinsumos[[#This Row],[FRECUENCIA]])+1),0)</f>
        <v>0</v>
      </c>
      <c r="M192" s="19">
        <f t="array" ref="M192">IFERROR(INDEX(TABLACONSOLIDADA[Buff Act],MATCH("AGROINSUMOSMATERIAPRIMA"&amp;Tabla_Buffers_Agroinsumos[[#This Row],[CODIGO ]],TABLACONSOLIDADA[Bodega]&amp;TABLACONSOLIDADA[Codigo],0)),"")</f>
        <v>500</v>
      </c>
      <c r="N192" s="157">
        <f t="array" ref="N192">IFERROR(INDEX(TABLACONSOLIDADA[Inv Fís Act],MATCH("AGROINSUMOSMATERIAPRIMA"&amp;Tabla_Buffers_Agroinsumos[[#This Row],[CODIGO ]],TABLACONSOLIDADA[Bodega]&amp;TABLACONSOLIDADA[Codigo],0)),"")</f>
        <v>905</v>
      </c>
      <c r="O192" s="157">
        <f t="array" ref="O19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905</v>
      </c>
      <c r="P19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92" s="19">
        <f>IFERROR(SUM(Tabla_Buffers_Agroinsumos[[#This Row],[MP-C]:[MP-VL]]),"")</f>
        <v>0</v>
      </c>
      <c r="R192" s="92">
        <f>IFERROR(Tabla_Buffers_Agroinsumos[[#This Row],[INV FIS MATERIA PRIMA]]-Tabla_Buffers_Agroinsumos[[#This Row],[BUFFER MATERIA PRIMA]],"")</f>
        <v>405</v>
      </c>
      <c r="S19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405</v>
      </c>
      <c r="T192" s="19"/>
      <c r="U192" s="19"/>
      <c r="V192" s="19"/>
      <c r="W192" s="19"/>
      <c r="X192" s="19"/>
      <c r="Y192" s="19"/>
      <c r="Z192" s="19"/>
      <c r="AA192" s="19"/>
      <c r="AB192" s="19"/>
      <c r="AC192" s="152" t="str">
        <f t="array" ref="AC192">IFERROR(INDEX(TABLACONSOLIDADA[Buff Act],MATCH("AGROINSUMOSCENTRAL"&amp;Tabla_Buffers_Agroinsumos[[#This Row],[CODIGO ]],TABLACONSOLIDADA[Bodega]&amp;TABLACONSOLIDADA[Codigo],0)),"")</f>
        <v/>
      </c>
      <c r="AD192" s="157" t="str">
        <f t="array" ref="AD192">IFERROR(INDEX(TABLACONSOLIDADA[Inv Fís Act],MATCH("AGROINSUMOSCENTRAL"&amp;Tabla_Buffers_Agroinsumos[[#This Row],[CODIGO ]],TABLACONSOLIDADA[Bodega]&amp;TABLACONSOLIDADA[Codigo],0)),"")</f>
        <v/>
      </c>
      <c r="AE192" s="157" t="str">
        <f t="array" ref="AE19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9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92" s="91">
        <f>IFERROR(SUM(Tabla_Buffers_Agroinsumos[[#This Row],[C-MP]:[C-VL]]),"")</f>
        <v>0</v>
      </c>
      <c r="AH192" s="92" t="str">
        <f>IFERROR(Tabla_Buffers_Agroinsumos[[#This Row],[INV FIS CENTRAL]]-Tabla_Buffers_Agroinsumos[[#This Row],[BUFFER CENTRAL]],"")</f>
        <v/>
      </c>
      <c r="AI19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92" s="134"/>
      <c r="AK192" s="134"/>
      <c r="AL192" s="134"/>
      <c r="AM192" s="134"/>
      <c r="AN192" s="134"/>
      <c r="AO192" s="134"/>
      <c r="AP192" s="134"/>
      <c r="AQ192" s="134"/>
      <c r="AR192" s="134"/>
      <c r="AS192" s="134" t="str">
        <f t="array" ref="AS192">IFERROR(INDEX(TABLACONSOLIDADA[Buff Act],MATCH("AGROINSUMOScentralPROPIA"&amp;Tabla_Buffers_Agroinsumos[[#This Row],[CODIGO ]],TABLACONSOLIDADA[Bodega]&amp;TABLACONSOLIDADA[Codigo],0)),"")</f>
        <v/>
      </c>
      <c r="AT192" s="157" t="str">
        <f t="array" ref="AT192">IFERROR(INDEX(TABLACONSOLIDADA[Inv Fís Act],MATCH("AGROINSUMOScentralPROPIA"&amp;Tabla_Buffers_Agroinsumos[[#This Row],[CODIGO ]],TABLACONSOLIDADA[Bodega]&amp;TABLACONSOLIDADA[Codigo],0)),"")</f>
        <v/>
      </c>
      <c r="AU192" s="157" t="str">
        <f t="array" ref="AU19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9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92" s="134">
        <f>IFERROR(SUM(Tabla_Buffers_Agroinsumos[[#This Row],[P-MP]:[P-VL]]),"")</f>
        <v>0</v>
      </c>
      <c r="AX192" s="92" t="str">
        <f>IFERROR(Tabla_Buffers_Agroinsumos[[#This Row],[INV FIS PROPIA]]-Tabla_Buffers_Agroinsumos[[#This Row],[BUFFER PROPIA]],"")</f>
        <v/>
      </c>
      <c r="AY19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92" s="134"/>
      <c r="BA192" s="134"/>
      <c r="BB192" s="134"/>
      <c r="BC192" s="134"/>
      <c r="BD192" s="134"/>
      <c r="BE192" s="134"/>
      <c r="BF192" s="134"/>
      <c r="BG192" s="134"/>
      <c r="BH192" s="134"/>
      <c r="BI192" s="91" t="str">
        <f t="array" ref="BI192">IFERROR(INDEX(TABLACONSOLIDADA[Buff Act],MATCH("AGROINSUMOSSTODOMINGO"&amp;Tabla_Buffers_Agroinsumos[[#This Row],[CODIGO ]],TABLACONSOLIDADA[Bodega]&amp;TABLACONSOLIDADA[Codigo],0)),"")</f>
        <v/>
      </c>
      <c r="BJ192" s="157" t="str">
        <f t="array" ref="BJ192">IFERROR(INDEX(TABLACONSOLIDADA[Inv Fís Act],MATCH("AGROINSUMOSSTODOMINGO"&amp;Tabla_Buffers_Agroinsumos[[#This Row],[CODIGO ]],TABLACONSOLIDADA[Bodega]&amp;TABLACONSOLIDADA[Codigo],0)),"")</f>
        <v/>
      </c>
      <c r="BK192" s="157" t="str">
        <f t="array" ref="BK19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9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92" s="91">
        <f>IFERROR(SUM(Tabla_Buffers_Agroinsumos[[#This Row],[SD-MP]:[SD-VL]]),"")</f>
        <v>0</v>
      </c>
      <c r="BN192" s="92"/>
      <c r="BO192" s="92"/>
      <c r="BP192" s="134"/>
      <c r="BQ192" s="134"/>
      <c r="BR192" s="134"/>
      <c r="BS192" s="134"/>
      <c r="BT192" s="134"/>
      <c r="BU192" s="134"/>
      <c r="BV192" s="134"/>
      <c r="BW192" s="134"/>
      <c r="BX192" s="134"/>
      <c r="BY192" s="134" t="str">
        <f t="array" ref="BY192">IFERROR(INDEX(TABLACONSOLIDADA[Buff Act],MATCH("AGROINSUMOSMONCAYOLOPEZ"&amp;Tabla_Buffers_Agroinsumos[[#This Row],[CODIGO ]],TABLACONSOLIDADA[Bodega]&amp;TABLACONSOLIDADA[Codigo],0)),"")</f>
        <v/>
      </c>
      <c r="BZ192" s="157" t="str">
        <f t="array" ref="BZ192">IFERROR(INDEX(TABLACONSOLIDADA[Inv Fís Act],MATCH("AGROINSUMOSMONCAYOLOPEZ"&amp;Tabla_Buffers_Agroinsumos[[#This Row],[CODIGO ]],TABLACONSOLIDADA[Bodega]&amp;TABLACONSOLIDADA[Codigo],0)),"")</f>
        <v/>
      </c>
      <c r="CA192" s="157" t="str">
        <f t="array" ref="CA19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9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92" s="134">
        <f>IFERROR(SUM(Tabla_Buffers_Agroinsumos[[#This Row],[ML-MP]:[ML-VL]]),"")</f>
        <v>0</v>
      </c>
      <c r="CD192" s="92" t="str">
        <f>IFERROR(Tabla_Buffers_Agroinsumos[[#This Row],[INV FIS ML]]-Tabla_Buffers_Agroinsumos[[#This Row],[BUFFER ML]],"")</f>
        <v/>
      </c>
      <c r="CE19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92" s="134"/>
      <c r="CG192" s="134"/>
      <c r="CH192" s="134"/>
      <c r="CI192" s="134"/>
      <c r="CJ192" s="134"/>
      <c r="CK192" s="134"/>
      <c r="CL192" s="134"/>
      <c r="CM192" s="134"/>
      <c r="CN192" s="134"/>
      <c r="CO192" s="134" t="str">
        <f t="array" ref="CO192">IFERROR(INDEX(TABLACONSOLIDADA[Buff Act],MATCH("AGROINSUMOSAGROHERMANOSLEON"&amp;Tabla_Buffers_Agroinsumos[[#This Row],[CODIGO ]],TABLACONSOLIDADA[Bodega]&amp;TABLACONSOLIDADA[Codigo],0)),"")</f>
        <v/>
      </c>
      <c r="CP192" s="157" t="str">
        <f t="array" ref="CP192">IFERROR(INDEX(TABLACONSOLIDADA[Inv Fís Act],MATCH("AGROINSUMOSAGROHERMANOSLEON"&amp;Tabla_Buffers_Agroinsumos[[#This Row],[CODIGO ]],TABLACONSOLIDADA[Bodega]&amp;TABLACONSOLIDADA[Codigo],0)),"")</f>
        <v/>
      </c>
      <c r="CQ192" s="157" t="str">
        <f t="array" ref="CQ19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9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92" s="134">
        <f>IFERROR(SUM(Tabla_Buffers_Agroinsumos[[#This Row],[AL-MP]:[AL-VL]]),"")</f>
        <v>0</v>
      </c>
      <c r="CT192" s="92" t="str">
        <f>IFERROR(Tabla_Buffers_Agroinsumos[[#This Row],[INV FIS AL]]-Tabla_Buffers_Agroinsumos[[#This Row],[BUFFER AL]],"")</f>
        <v/>
      </c>
      <c r="CU19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92" s="134"/>
      <c r="CW192" s="134"/>
      <c r="CX192" s="134"/>
      <c r="CY192" s="134"/>
      <c r="CZ192" s="134"/>
      <c r="DA192" s="134"/>
      <c r="DB192" s="134"/>
      <c r="DC192" s="134"/>
      <c r="DD192" s="134"/>
      <c r="DE192" s="134" t="str">
        <f t="array" ref="DE192">IFERROR(INDEX(TABLACONSOLIDADA[Buff Act],MATCH("AGROINSUMOSAGRONUEVO"&amp;Tabla_Buffers_Agroinsumos[[#This Row],[CODIGO ]],TABLACONSOLIDADA[Bodega]&amp;TABLACONSOLIDADA[Codigo],0)),"")</f>
        <v/>
      </c>
      <c r="DF192" s="157" t="str">
        <f t="array" ref="DF192">IFERROR(INDEX(TABLACONSOLIDADA[Inv Fís Act],MATCH("AGROINSUMOSAGRONUEVO"&amp;Tabla_Buffers_Agroinsumos[[#This Row],[CODIGO ]],TABLACONSOLIDADA[Bodega]&amp;TABLACONSOLIDADA[Codigo],0)),"")</f>
        <v/>
      </c>
      <c r="DG192" s="157" t="str">
        <f t="array" ref="DG19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9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92" s="134">
        <f>IFERROR(SUM(Tabla_Buffers_Agroinsumos[[#This Row],[AN-MP]:[AN-VL]]),"")</f>
        <v>0</v>
      </c>
      <c r="DJ192" s="92" t="str">
        <f>IFERROR(Tabla_Buffers_Agroinsumos[[#This Row],[INV FIS AN]]-Tabla_Buffers_Agroinsumos[[#This Row],[BUFFER AN]],"")</f>
        <v/>
      </c>
      <c r="DK19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92" s="134"/>
      <c r="DM192" s="134"/>
      <c r="DN192" s="134"/>
      <c r="DO192" s="134"/>
      <c r="DP192" s="134"/>
      <c r="DQ192" s="134"/>
      <c r="DR192" s="134"/>
      <c r="DS192" s="134"/>
      <c r="DT192" s="134"/>
      <c r="DU192" s="134" t="str">
        <f t="array" ref="DU192">IFERROR(INDEX(TABLACONSOLIDADA[Buff Act],MATCH("AGROINSUMOSAGROQUIMICOSSUR"&amp;Tabla_Buffers_Agroinsumos[[#This Row],[CODIGO ]],TABLACONSOLIDADA[Bodega]&amp;TABLACONSOLIDADA[Codigo],0)),"")</f>
        <v/>
      </c>
      <c r="DV192" s="157" t="str">
        <f t="array" ref="DV192">IFERROR(INDEX(TABLACONSOLIDADA[Inv Fís Act],MATCH("AGROINSUMOSAGROQUIMICOSSUR"&amp;Tabla_Buffers_Agroinsumos[[#This Row],[CODIGO ]],TABLACONSOLIDADA[Bodega]&amp;TABLACONSOLIDADA[Codigo],0)),"")</f>
        <v/>
      </c>
      <c r="DW192" s="157" t="str">
        <f t="array" ref="DW19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9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92" s="134">
        <f>IFERROR(SUM(Tabla_Buffers_Agroinsumos[[#This Row],[AS-MP]:[AS-VL]]),"")</f>
        <v>0</v>
      </c>
      <c r="DZ192" s="92" t="str">
        <f>IFERROR(Tabla_Buffers_Agroinsumos[[#This Row],[INV FIS AS]]-Tabla_Buffers_Agroinsumos[[#This Row],[BUFFER AS]],"")</f>
        <v/>
      </c>
      <c r="EA19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92" s="134"/>
      <c r="EC192" s="134"/>
      <c r="ED192" s="134"/>
      <c r="EE192" s="134"/>
      <c r="EF192" s="134"/>
      <c r="EG192" s="134"/>
      <c r="EH192" s="134"/>
      <c r="EI192" s="134"/>
      <c r="EJ192" s="134"/>
      <c r="EK192" s="134" t="str">
        <f t="array" ref="EK192">IFERROR(INDEX(TABLACONSOLIDADA[Buff Act],MATCH("AGROINSUMOSLAFINCA"&amp;Tabla_Buffers_Agroinsumos[[#This Row],[CODIGO ]],TABLACONSOLIDADA[Bodega]&amp;TABLACONSOLIDADA[Codigo],0)),"")</f>
        <v/>
      </c>
      <c r="EL192" s="157" t="str">
        <f t="array" ref="EL192">IFERROR(INDEX(TABLACONSOLIDADA[Inv Fís Act],MATCH("AGROINSUMOSLAFINCA"&amp;Tabla_Buffers_Agroinsumos[[#This Row],[CODIGO ]],TABLACONSOLIDADA[Bodega]&amp;TABLACONSOLIDADA[Codigo],0)),"")</f>
        <v/>
      </c>
      <c r="EM192" s="157" t="str">
        <f t="array" ref="EM19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9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92" s="134">
        <f>IFERROR(SUM(Tabla_Buffers_Agroinsumos[[#This Row],[LF-MP]:[LF-VL]]),"")</f>
        <v>0</v>
      </c>
      <c r="EP192" s="92" t="str">
        <f>IFERROR(Tabla_Buffers_Agroinsumos[[#This Row],[INV FIS LF]]-Tabla_Buffers_Agroinsumos[[#This Row],[BUFFER LF]],"")</f>
        <v/>
      </c>
      <c r="EQ19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92" s="134"/>
      <c r="ES192" s="134"/>
      <c r="ET192" s="134"/>
      <c r="EU192" s="134"/>
      <c r="EV192" s="134"/>
      <c r="EW192" s="134"/>
      <c r="EX192" s="134"/>
      <c r="EY192" s="134"/>
      <c r="EZ192" s="134"/>
      <c r="FA192" s="134" t="str">
        <f t="array" ref="FA192">IFERROR(INDEX(TABLACONSOLIDADA[Buff Act],MATCH("AGROINSUMOSVERONICALEDESMA"&amp;Tabla_Buffers_Agroinsumos[[#This Row],[CODIGO ]],TABLACONSOLIDADA[Bodega]&amp;TABLACONSOLIDADA[Codigo],0)),"")</f>
        <v/>
      </c>
      <c r="FB192" s="157" t="str">
        <f t="array" ref="FB192">IFERROR(INDEX(TABLACONSOLIDADA[Inv Fís Act],MATCH("AGROINSUMOSVERONICALEDESMA"&amp;Tabla_Buffers_Agroinsumos[[#This Row],[CODIGO ]],TABLACONSOLIDADA[Bodega]&amp;TABLACONSOLIDADA[Codigo],0)),"")</f>
        <v/>
      </c>
      <c r="FC192" s="157" t="str">
        <f t="array" ref="FC19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9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92" s="134">
        <f>IFERROR(SUM(Tabla_Buffers_Agroinsumos[[#This Row],[VL-MP]:[VL-LF]]),"")</f>
        <v>0</v>
      </c>
      <c r="FF192" s="92" t="str">
        <f>IFERROR(Tabla_Buffers_Agroinsumos[[#This Row],[INV FIS VL]]-Tabla_Buffers_Agroinsumos[[#This Row],[BUFFER VL]],"")</f>
        <v/>
      </c>
      <c r="FG19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92" s="134"/>
      <c r="FI192" s="134"/>
      <c r="FJ192" s="134"/>
      <c r="FK192" s="134"/>
      <c r="FL192" s="134"/>
      <c r="FM192" s="134"/>
      <c r="FN192" s="134"/>
      <c r="FO192" s="134"/>
      <c r="FP192" s="134"/>
    </row>
    <row r="193" spans="1:172">
      <c r="A193" s="7" t="s">
        <v>338</v>
      </c>
      <c r="B193" s="7" t="s">
        <v>339</v>
      </c>
      <c r="C193" s="7" t="s">
        <v>716</v>
      </c>
      <c r="D193" s="7" t="s">
        <v>718</v>
      </c>
      <c r="E193" s="7" t="s">
        <v>863</v>
      </c>
      <c r="F193" s="19" t="s">
        <v>808</v>
      </c>
      <c r="G193" s="19" t="s">
        <v>802</v>
      </c>
      <c r="H193" s="19">
        <f>VLOOKUP(Tabla_Buffers_Agroinsumos[[#This Row],[CODIGO ]],TABLACONSOLIDADA[[Codigo]:[PV]],6,0)</f>
        <v>0</v>
      </c>
      <c r="I193" s="19">
        <f>VLOOKUP(Tabla_Buffers_Agroinsumos[[#This Row],[CODIGO ]],TABLACONSOLIDADA[[Codigo]:[PV]],5,0)</f>
        <v>0.14000000000000001</v>
      </c>
      <c r="J193" s="19">
        <v>4</v>
      </c>
      <c r="K193" s="19">
        <v>6</v>
      </c>
      <c r="L193" s="19">
        <f>IFERROR(Tabla_Buffers_Agroinsumos[[#This Row],[BUFFER CENTRAL]]/((Tabla_Buffers_Agroinsumos[[#This Row],[TIEMPO REPOSICION ]]/Tabla_Buffers_Agroinsumos[[#This Row],[FRECUENCIA]])+1),0)</f>
        <v>0</v>
      </c>
      <c r="M193" s="19">
        <f t="array" ref="M193">IFERROR(INDEX(TABLACONSOLIDADA[Buff Act],MATCH("AGROINSUMOSMATERIAPRIMA"&amp;Tabla_Buffers_Agroinsumos[[#This Row],[CODIGO ]],TABLACONSOLIDADA[Bodega]&amp;TABLACONSOLIDADA[Codigo],0)),"")</f>
        <v>200</v>
      </c>
      <c r="N193" s="157">
        <f t="array" ref="N193">IFERROR(INDEX(TABLACONSOLIDADA[Inv Fís Act],MATCH("AGROINSUMOSMATERIAPRIMA"&amp;Tabla_Buffers_Agroinsumos[[#This Row],[CODIGO ]],TABLACONSOLIDADA[Bodega]&amp;TABLACONSOLIDADA[Codigo],0)),"")</f>
        <v>1329</v>
      </c>
      <c r="O193" s="157">
        <f t="array" ref="O19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1329</v>
      </c>
      <c r="P19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93" s="19">
        <f>IFERROR(SUM(Tabla_Buffers_Agroinsumos[[#This Row],[MP-C]:[MP-VL]]),"")</f>
        <v>0</v>
      </c>
      <c r="R193" s="92">
        <f>IFERROR(Tabla_Buffers_Agroinsumos[[#This Row],[INV FIS MATERIA PRIMA]]-Tabla_Buffers_Agroinsumos[[#This Row],[BUFFER MATERIA PRIMA]],"")</f>
        <v>1129</v>
      </c>
      <c r="S19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1129</v>
      </c>
      <c r="T193" s="19"/>
      <c r="U193" s="19"/>
      <c r="V193" s="19"/>
      <c r="W193" s="19"/>
      <c r="X193" s="19"/>
      <c r="Y193" s="19"/>
      <c r="Z193" s="19"/>
      <c r="AA193" s="19"/>
      <c r="AB193" s="19"/>
      <c r="AC193" s="152" t="str">
        <f t="array" ref="AC193">IFERROR(INDEX(TABLACONSOLIDADA[Buff Act],MATCH("AGROINSUMOSCENTRAL"&amp;Tabla_Buffers_Agroinsumos[[#This Row],[CODIGO ]],TABLACONSOLIDADA[Bodega]&amp;TABLACONSOLIDADA[Codigo],0)),"")</f>
        <v/>
      </c>
      <c r="AD193" s="157" t="str">
        <f t="array" ref="AD193">IFERROR(INDEX(TABLACONSOLIDADA[Inv Fís Act],MATCH("AGROINSUMOSCENTRAL"&amp;Tabla_Buffers_Agroinsumos[[#This Row],[CODIGO ]],TABLACONSOLIDADA[Bodega]&amp;TABLACONSOLIDADA[Codigo],0)),"")</f>
        <v/>
      </c>
      <c r="AE193" s="157" t="str">
        <f t="array" ref="AE19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9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93" s="91">
        <f>IFERROR(SUM(Tabla_Buffers_Agroinsumos[[#This Row],[C-MP]:[C-VL]]),"")</f>
        <v>0</v>
      </c>
      <c r="AH193" s="92" t="str">
        <f>IFERROR(Tabla_Buffers_Agroinsumos[[#This Row],[INV FIS CENTRAL]]-Tabla_Buffers_Agroinsumos[[#This Row],[BUFFER CENTRAL]],"")</f>
        <v/>
      </c>
      <c r="AI19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93" s="134"/>
      <c r="AK193" s="134"/>
      <c r="AL193" s="134"/>
      <c r="AM193" s="134"/>
      <c r="AN193" s="134"/>
      <c r="AO193" s="134"/>
      <c r="AP193" s="134"/>
      <c r="AQ193" s="134"/>
      <c r="AR193" s="134"/>
      <c r="AS193" s="134" t="str">
        <f t="array" ref="AS193">IFERROR(INDEX(TABLACONSOLIDADA[Buff Act],MATCH("AGROINSUMOScentralPROPIA"&amp;Tabla_Buffers_Agroinsumos[[#This Row],[CODIGO ]],TABLACONSOLIDADA[Bodega]&amp;TABLACONSOLIDADA[Codigo],0)),"")</f>
        <v/>
      </c>
      <c r="AT193" s="157" t="str">
        <f t="array" ref="AT193">IFERROR(INDEX(TABLACONSOLIDADA[Inv Fís Act],MATCH("AGROINSUMOScentralPROPIA"&amp;Tabla_Buffers_Agroinsumos[[#This Row],[CODIGO ]],TABLACONSOLIDADA[Bodega]&amp;TABLACONSOLIDADA[Codigo],0)),"")</f>
        <v/>
      </c>
      <c r="AU193" s="157" t="str">
        <f t="array" ref="AU19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9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93" s="134">
        <f>IFERROR(SUM(Tabla_Buffers_Agroinsumos[[#This Row],[P-MP]:[P-VL]]),"")</f>
        <v>0</v>
      </c>
      <c r="AX193" s="92" t="str">
        <f>IFERROR(Tabla_Buffers_Agroinsumos[[#This Row],[INV FIS PROPIA]]-Tabla_Buffers_Agroinsumos[[#This Row],[BUFFER PROPIA]],"")</f>
        <v/>
      </c>
      <c r="AY19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93" s="134"/>
      <c r="BA193" s="134"/>
      <c r="BB193" s="134"/>
      <c r="BC193" s="134"/>
      <c r="BD193" s="134"/>
      <c r="BE193" s="134"/>
      <c r="BF193" s="134"/>
      <c r="BG193" s="134"/>
      <c r="BH193" s="134"/>
      <c r="BI193" s="91" t="str">
        <f t="array" ref="BI193">IFERROR(INDEX(TABLACONSOLIDADA[Buff Act],MATCH("AGROINSUMOSSTODOMINGO"&amp;Tabla_Buffers_Agroinsumos[[#This Row],[CODIGO ]],TABLACONSOLIDADA[Bodega]&amp;TABLACONSOLIDADA[Codigo],0)),"")</f>
        <v/>
      </c>
      <c r="BJ193" s="157" t="str">
        <f t="array" ref="BJ193">IFERROR(INDEX(TABLACONSOLIDADA[Inv Fís Act],MATCH("AGROINSUMOSSTODOMINGO"&amp;Tabla_Buffers_Agroinsumos[[#This Row],[CODIGO ]],TABLACONSOLIDADA[Bodega]&amp;TABLACONSOLIDADA[Codigo],0)),"")</f>
        <v/>
      </c>
      <c r="BK193" s="157" t="str">
        <f t="array" ref="BK19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9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93" s="91">
        <f>IFERROR(SUM(Tabla_Buffers_Agroinsumos[[#This Row],[SD-MP]:[SD-VL]]),"")</f>
        <v>0</v>
      </c>
      <c r="BN193" s="92"/>
      <c r="BO193" s="92"/>
      <c r="BP193" s="134"/>
      <c r="BQ193" s="134"/>
      <c r="BR193" s="134"/>
      <c r="BS193" s="134"/>
      <c r="BT193" s="134"/>
      <c r="BU193" s="134"/>
      <c r="BV193" s="134"/>
      <c r="BW193" s="134"/>
      <c r="BX193" s="134"/>
      <c r="BY193" s="134" t="str">
        <f t="array" ref="BY193">IFERROR(INDEX(TABLACONSOLIDADA[Buff Act],MATCH("AGROINSUMOSMONCAYOLOPEZ"&amp;Tabla_Buffers_Agroinsumos[[#This Row],[CODIGO ]],TABLACONSOLIDADA[Bodega]&amp;TABLACONSOLIDADA[Codigo],0)),"")</f>
        <v/>
      </c>
      <c r="BZ193" s="157" t="str">
        <f t="array" ref="BZ193">IFERROR(INDEX(TABLACONSOLIDADA[Inv Fís Act],MATCH("AGROINSUMOSMONCAYOLOPEZ"&amp;Tabla_Buffers_Agroinsumos[[#This Row],[CODIGO ]],TABLACONSOLIDADA[Bodega]&amp;TABLACONSOLIDADA[Codigo],0)),"")</f>
        <v/>
      </c>
      <c r="CA193" s="157" t="str">
        <f t="array" ref="CA19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9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93" s="134">
        <f>IFERROR(SUM(Tabla_Buffers_Agroinsumos[[#This Row],[ML-MP]:[ML-VL]]),"")</f>
        <v>0</v>
      </c>
      <c r="CD193" s="92" t="str">
        <f>IFERROR(Tabla_Buffers_Agroinsumos[[#This Row],[INV FIS ML]]-Tabla_Buffers_Agroinsumos[[#This Row],[BUFFER ML]],"")</f>
        <v/>
      </c>
      <c r="CE19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93" s="134"/>
      <c r="CG193" s="134"/>
      <c r="CH193" s="134"/>
      <c r="CI193" s="134"/>
      <c r="CJ193" s="134"/>
      <c r="CK193" s="134"/>
      <c r="CL193" s="134"/>
      <c r="CM193" s="134"/>
      <c r="CN193" s="134"/>
      <c r="CO193" s="134" t="str">
        <f t="array" ref="CO193">IFERROR(INDEX(TABLACONSOLIDADA[Buff Act],MATCH("AGROINSUMOSAGROHERMANOSLEON"&amp;Tabla_Buffers_Agroinsumos[[#This Row],[CODIGO ]],TABLACONSOLIDADA[Bodega]&amp;TABLACONSOLIDADA[Codigo],0)),"")</f>
        <v/>
      </c>
      <c r="CP193" s="157" t="str">
        <f t="array" ref="CP193">IFERROR(INDEX(TABLACONSOLIDADA[Inv Fís Act],MATCH("AGROINSUMOSAGROHERMANOSLEON"&amp;Tabla_Buffers_Agroinsumos[[#This Row],[CODIGO ]],TABLACONSOLIDADA[Bodega]&amp;TABLACONSOLIDADA[Codigo],0)),"")</f>
        <v/>
      </c>
      <c r="CQ193" s="157" t="str">
        <f t="array" ref="CQ19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9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93" s="134">
        <f>IFERROR(SUM(Tabla_Buffers_Agroinsumos[[#This Row],[AL-MP]:[AL-VL]]),"")</f>
        <v>0</v>
      </c>
      <c r="CT193" s="92" t="str">
        <f>IFERROR(Tabla_Buffers_Agroinsumos[[#This Row],[INV FIS AL]]-Tabla_Buffers_Agroinsumos[[#This Row],[BUFFER AL]],"")</f>
        <v/>
      </c>
      <c r="CU19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93" s="134"/>
      <c r="CW193" s="134"/>
      <c r="CX193" s="134"/>
      <c r="CY193" s="134"/>
      <c r="CZ193" s="134"/>
      <c r="DA193" s="134"/>
      <c r="DB193" s="134"/>
      <c r="DC193" s="134"/>
      <c r="DD193" s="134"/>
      <c r="DE193" s="134" t="str">
        <f t="array" ref="DE193">IFERROR(INDEX(TABLACONSOLIDADA[Buff Act],MATCH("AGROINSUMOSAGRONUEVO"&amp;Tabla_Buffers_Agroinsumos[[#This Row],[CODIGO ]],TABLACONSOLIDADA[Bodega]&amp;TABLACONSOLIDADA[Codigo],0)),"")</f>
        <v/>
      </c>
      <c r="DF193" s="157" t="str">
        <f t="array" ref="DF193">IFERROR(INDEX(TABLACONSOLIDADA[Inv Fís Act],MATCH("AGROINSUMOSAGRONUEVO"&amp;Tabla_Buffers_Agroinsumos[[#This Row],[CODIGO ]],TABLACONSOLIDADA[Bodega]&amp;TABLACONSOLIDADA[Codigo],0)),"")</f>
        <v/>
      </c>
      <c r="DG193" s="157" t="str">
        <f t="array" ref="DG19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9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93" s="134">
        <f>IFERROR(SUM(Tabla_Buffers_Agroinsumos[[#This Row],[AN-MP]:[AN-VL]]),"")</f>
        <v>0</v>
      </c>
      <c r="DJ193" s="92" t="str">
        <f>IFERROR(Tabla_Buffers_Agroinsumos[[#This Row],[INV FIS AN]]-Tabla_Buffers_Agroinsumos[[#This Row],[BUFFER AN]],"")</f>
        <v/>
      </c>
      <c r="DK19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93" s="134"/>
      <c r="DM193" s="134"/>
      <c r="DN193" s="134"/>
      <c r="DO193" s="134"/>
      <c r="DP193" s="134"/>
      <c r="DQ193" s="134"/>
      <c r="DR193" s="134"/>
      <c r="DS193" s="134"/>
      <c r="DT193" s="134"/>
      <c r="DU193" s="134" t="str">
        <f t="array" ref="DU193">IFERROR(INDEX(TABLACONSOLIDADA[Buff Act],MATCH("AGROINSUMOSAGROQUIMICOSSUR"&amp;Tabla_Buffers_Agroinsumos[[#This Row],[CODIGO ]],TABLACONSOLIDADA[Bodega]&amp;TABLACONSOLIDADA[Codigo],0)),"")</f>
        <v/>
      </c>
      <c r="DV193" s="157" t="str">
        <f t="array" ref="DV193">IFERROR(INDEX(TABLACONSOLIDADA[Inv Fís Act],MATCH("AGROINSUMOSAGROQUIMICOSSUR"&amp;Tabla_Buffers_Agroinsumos[[#This Row],[CODIGO ]],TABLACONSOLIDADA[Bodega]&amp;TABLACONSOLIDADA[Codigo],0)),"")</f>
        <v/>
      </c>
      <c r="DW193" s="157" t="str">
        <f t="array" ref="DW19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9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93" s="134">
        <f>IFERROR(SUM(Tabla_Buffers_Agroinsumos[[#This Row],[AS-MP]:[AS-VL]]),"")</f>
        <v>0</v>
      </c>
      <c r="DZ193" s="92" t="str">
        <f>IFERROR(Tabla_Buffers_Agroinsumos[[#This Row],[INV FIS AS]]-Tabla_Buffers_Agroinsumos[[#This Row],[BUFFER AS]],"")</f>
        <v/>
      </c>
      <c r="EA19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93" s="134"/>
      <c r="EC193" s="134"/>
      <c r="ED193" s="134"/>
      <c r="EE193" s="134"/>
      <c r="EF193" s="134"/>
      <c r="EG193" s="134"/>
      <c r="EH193" s="134"/>
      <c r="EI193" s="134"/>
      <c r="EJ193" s="134"/>
      <c r="EK193" s="134" t="str">
        <f t="array" ref="EK193">IFERROR(INDEX(TABLACONSOLIDADA[Buff Act],MATCH("AGROINSUMOSLAFINCA"&amp;Tabla_Buffers_Agroinsumos[[#This Row],[CODIGO ]],TABLACONSOLIDADA[Bodega]&amp;TABLACONSOLIDADA[Codigo],0)),"")</f>
        <v/>
      </c>
      <c r="EL193" s="157" t="str">
        <f t="array" ref="EL193">IFERROR(INDEX(TABLACONSOLIDADA[Inv Fís Act],MATCH("AGROINSUMOSLAFINCA"&amp;Tabla_Buffers_Agroinsumos[[#This Row],[CODIGO ]],TABLACONSOLIDADA[Bodega]&amp;TABLACONSOLIDADA[Codigo],0)),"")</f>
        <v/>
      </c>
      <c r="EM193" s="157" t="str">
        <f t="array" ref="EM19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9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93" s="134">
        <f>IFERROR(SUM(Tabla_Buffers_Agroinsumos[[#This Row],[LF-MP]:[LF-VL]]),"")</f>
        <v>0</v>
      </c>
      <c r="EP193" s="92" t="str">
        <f>IFERROR(Tabla_Buffers_Agroinsumos[[#This Row],[INV FIS LF]]-Tabla_Buffers_Agroinsumos[[#This Row],[BUFFER LF]],"")</f>
        <v/>
      </c>
      <c r="EQ19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93" s="134"/>
      <c r="ES193" s="134"/>
      <c r="ET193" s="134"/>
      <c r="EU193" s="134"/>
      <c r="EV193" s="134"/>
      <c r="EW193" s="134"/>
      <c r="EX193" s="134"/>
      <c r="EY193" s="134"/>
      <c r="EZ193" s="134"/>
      <c r="FA193" s="134" t="str">
        <f t="array" ref="FA193">IFERROR(INDEX(TABLACONSOLIDADA[Buff Act],MATCH("AGROINSUMOSVERONICALEDESMA"&amp;Tabla_Buffers_Agroinsumos[[#This Row],[CODIGO ]],TABLACONSOLIDADA[Bodega]&amp;TABLACONSOLIDADA[Codigo],0)),"")</f>
        <v/>
      </c>
      <c r="FB193" s="157" t="str">
        <f t="array" ref="FB193">IFERROR(INDEX(TABLACONSOLIDADA[Inv Fís Act],MATCH("AGROINSUMOSVERONICALEDESMA"&amp;Tabla_Buffers_Agroinsumos[[#This Row],[CODIGO ]],TABLACONSOLIDADA[Bodega]&amp;TABLACONSOLIDADA[Codigo],0)),"")</f>
        <v/>
      </c>
      <c r="FC193" s="157" t="str">
        <f t="array" ref="FC19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9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93" s="134">
        <f>IFERROR(SUM(Tabla_Buffers_Agroinsumos[[#This Row],[VL-MP]:[VL-LF]]),"")</f>
        <v>0</v>
      </c>
      <c r="FF193" s="92" t="str">
        <f>IFERROR(Tabla_Buffers_Agroinsumos[[#This Row],[INV FIS VL]]-Tabla_Buffers_Agroinsumos[[#This Row],[BUFFER VL]],"")</f>
        <v/>
      </c>
      <c r="FG19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93" s="134"/>
      <c r="FI193" s="134"/>
      <c r="FJ193" s="134"/>
      <c r="FK193" s="134"/>
      <c r="FL193" s="134"/>
      <c r="FM193" s="134"/>
      <c r="FN193" s="134"/>
      <c r="FO193" s="134"/>
      <c r="FP193" s="134"/>
    </row>
    <row r="194" spans="1:172">
      <c r="A194" s="7" t="s">
        <v>340</v>
      </c>
      <c r="B194" s="7" t="s">
        <v>341</v>
      </c>
      <c r="C194" s="7" t="s">
        <v>716</v>
      </c>
      <c r="D194" s="7" t="s">
        <v>718</v>
      </c>
      <c r="E194" s="7" t="s">
        <v>863</v>
      </c>
      <c r="F194" s="19" t="s">
        <v>808</v>
      </c>
      <c r="G194" s="19" t="s">
        <v>802</v>
      </c>
      <c r="H194" s="19">
        <f>VLOOKUP(Tabla_Buffers_Agroinsumos[[#This Row],[CODIGO ]],TABLACONSOLIDADA[[Codigo]:[PV]],6,0)</f>
        <v>0</v>
      </c>
      <c r="I194" s="19">
        <f>VLOOKUP(Tabla_Buffers_Agroinsumos[[#This Row],[CODIGO ]],TABLACONSOLIDADA[[Codigo]:[PV]],5,0)</f>
        <v>0.09</v>
      </c>
      <c r="J194" s="19">
        <v>4</v>
      </c>
      <c r="K194" s="19">
        <v>6</v>
      </c>
      <c r="L194" s="19">
        <f>IFERROR(Tabla_Buffers_Agroinsumos[[#This Row],[BUFFER CENTRAL]]/((Tabla_Buffers_Agroinsumos[[#This Row],[TIEMPO REPOSICION ]]/Tabla_Buffers_Agroinsumos[[#This Row],[FRECUENCIA]])+1),0)</f>
        <v>0</v>
      </c>
      <c r="M194" s="19">
        <f t="array" ref="M194">IFERROR(INDEX(TABLACONSOLIDADA[Buff Act],MATCH("AGROINSUMOSMATERIAPRIMA"&amp;Tabla_Buffers_Agroinsumos[[#This Row],[CODIGO ]],TABLACONSOLIDADA[Bodega]&amp;TABLACONSOLIDADA[Codigo],0)),"")</f>
        <v>500</v>
      </c>
      <c r="N194" s="157">
        <f t="array" ref="N194">IFERROR(INDEX(TABLACONSOLIDADA[Inv Fís Act],MATCH("AGROINSUMOSMATERIAPRIMA"&amp;Tabla_Buffers_Agroinsumos[[#This Row],[CODIGO ]],TABLACONSOLIDADA[Bodega]&amp;TABLACONSOLIDADA[Codigo],0)),"")</f>
        <v>983</v>
      </c>
      <c r="O194" s="157">
        <f t="array" ref="O19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983</v>
      </c>
      <c r="P19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94" s="19">
        <f>IFERROR(SUM(Tabla_Buffers_Agroinsumos[[#This Row],[MP-C]:[MP-VL]]),"")</f>
        <v>0</v>
      </c>
      <c r="R194" s="92">
        <f>IFERROR(Tabla_Buffers_Agroinsumos[[#This Row],[INV FIS MATERIA PRIMA]]-Tabla_Buffers_Agroinsumos[[#This Row],[BUFFER MATERIA PRIMA]],"")</f>
        <v>483</v>
      </c>
      <c r="S19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483</v>
      </c>
      <c r="T194" s="19"/>
      <c r="U194" s="19"/>
      <c r="V194" s="19"/>
      <c r="W194" s="19"/>
      <c r="X194" s="19"/>
      <c r="Y194" s="19"/>
      <c r="Z194" s="19"/>
      <c r="AA194" s="19"/>
      <c r="AB194" s="19"/>
      <c r="AC194" s="152" t="str">
        <f t="array" ref="AC194">IFERROR(INDEX(TABLACONSOLIDADA[Buff Act],MATCH("AGROINSUMOSCENTRAL"&amp;Tabla_Buffers_Agroinsumos[[#This Row],[CODIGO ]],TABLACONSOLIDADA[Bodega]&amp;TABLACONSOLIDADA[Codigo],0)),"")</f>
        <v/>
      </c>
      <c r="AD194" s="157" t="str">
        <f t="array" ref="AD194">IFERROR(INDEX(TABLACONSOLIDADA[Inv Fís Act],MATCH("AGROINSUMOSCENTRAL"&amp;Tabla_Buffers_Agroinsumos[[#This Row],[CODIGO ]],TABLACONSOLIDADA[Bodega]&amp;TABLACONSOLIDADA[Codigo],0)),"")</f>
        <v/>
      </c>
      <c r="AE194" s="157" t="str">
        <f t="array" ref="AE19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9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94" s="91">
        <f>IFERROR(SUM(Tabla_Buffers_Agroinsumos[[#This Row],[C-MP]:[C-VL]]),"")</f>
        <v>0</v>
      </c>
      <c r="AH194" s="92" t="str">
        <f>IFERROR(Tabla_Buffers_Agroinsumos[[#This Row],[INV FIS CENTRAL]]-Tabla_Buffers_Agroinsumos[[#This Row],[BUFFER CENTRAL]],"")</f>
        <v/>
      </c>
      <c r="AI19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94" s="134"/>
      <c r="AK194" s="134"/>
      <c r="AL194" s="134"/>
      <c r="AM194" s="134"/>
      <c r="AN194" s="134"/>
      <c r="AO194" s="134"/>
      <c r="AP194" s="134"/>
      <c r="AQ194" s="134"/>
      <c r="AR194" s="134"/>
      <c r="AS194" s="134" t="str">
        <f t="array" ref="AS194">IFERROR(INDEX(TABLACONSOLIDADA[Buff Act],MATCH("AGROINSUMOScentralPROPIA"&amp;Tabla_Buffers_Agroinsumos[[#This Row],[CODIGO ]],TABLACONSOLIDADA[Bodega]&amp;TABLACONSOLIDADA[Codigo],0)),"")</f>
        <v/>
      </c>
      <c r="AT194" s="157" t="str">
        <f t="array" ref="AT194">IFERROR(INDEX(TABLACONSOLIDADA[Inv Fís Act],MATCH("AGROINSUMOScentralPROPIA"&amp;Tabla_Buffers_Agroinsumos[[#This Row],[CODIGO ]],TABLACONSOLIDADA[Bodega]&amp;TABLACONSOLIDADA[Codigo],0)),"")</f>
        <v/>
      </c>
      <c r="AU194" s="157" t="str">
        <f t="array" ref="AU19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9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94" s="134">
        <f>IFERROR(SUM(Tabla_Buffers_Agroinsumos[[#This Row],[P-MP]:[P-VL]]),"")</f>
        <v>0</v>
      </c>
      <c r="AX194" s="92" t="str">
        <f>IFERROR(Tabla_Buffers_Agroinsumos[[#This Row],[INV FIS PROPIA]]-Tabla_Buffers_Agroinsumos[[#This Row],[BUFFER PROPIA]],"")</f>
        <v/>
      </c>
      <c r="AY19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91" t="str">
        <f t="array" ref="BI194">IFERROR(INDEX(TABLACONSOLIDADA[Buff Act],MATCH("AGROINSUMOSSTODOMINGO"&amp;Tabla_Buffers_Agroinsumos[[#This Row],[CODIGO ]],TABLACONSOLIDADA[Bodega]&amp;TABLACONSOLIDADA[Codigo],0)),"")</f>
        <v/>
      </c>
      <c r="BJ194" s="157" t="str">
        <f t="array" ref="BJ194">IFERROR(INDEX(TABLACONSOLIDADA[Inv Fís Act],MATCH("AGROINSUMOSSTODOMINGO"&amp;Tabla_Buffers_Agroinsumos[[#This Row],[CODIGO ]],TABLACONSOLIDADA[Bodega]&amp;TABLACONSOLIDADA[Codigo],0)),"")</f>
        <v/>
      </c>
      <c r="BK194" s="157" t="str">
        <f t="array" ref="BK19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9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94" s="91">
        <f>IFERROR(SUM(Tabla_Buffers_Agroinsumos[[#This Row],[SD-MP]:[SD-VL]]),"")</f>
        <v>0</v>
      </c>
      <c r="BN194" s="92"/>
      <c r="BO194" s="92"/>
      <c r="BP194" s="134"/>
      <c r="BQ194" s="134"/>
      <c r="BR194" s="134"/>
      <c r="BS194" s="134"/>
      <c r="BT194" s="134"/>
      <c r="BU194" s="134"/>
      <c r="BV194" s="134"/>
      <c r="BW194" s="134"/>
      <c r="BX194" s="134"/>
      <c r="BY194" s="134" t="str">
        <f t="array" ref="BY194">IFERROR(INDEX(TABLACONSOLIDADA[Buff Act],MATCH("AGROINSUMOSMONCAYOLOPEZ"&amp;Tabla_Buffers_Agroinsumos[[#This Row],[CODIGO ]],TABLACONSOLIDADA[Bodega]&amp;TABLACONSOLIDADA[Codigo],0)),"")</f>
        <v/>
      </c>
      <c r="BZ194" s="157" t="str">
        <f t="array" ref="BZ194">IFERROR(INDEX(TABLACONSOLIDADA[Inv Fís Act],MATCH("AGROINSUMOSMONCAYOLOPEZ"&amp;Tabla_Buffers_Agroinsumos[[#This Row],[CODIGO ]],TABLACONSOLIDADA[Bodega]&amp;TABLACONSOLIDADA[Codigo],0)),"")</f>
        <v/>
      </c>
      <c r="CA194" s="157" t="str">
        <f t="array" ref="CA19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9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94" s="134">
        <f>IFERROR(SUM(Tabla_Buffers_Agroinsumos[[#This Row],[ML-MP]:[ML-VL]]),"")</f>
        <v>0</v>
      </c>
      <c r="CD194" s="92" t="str">
        <f>IFERROR(Tabla_Buffers_Agroinsumos[[#This Row],[INV FIS ML]]-Tabla_Buffers_Agroinsumos[[#This Row],[BUFFER ML]],"")</f>
        <v/>
      </c>
      <c r="CE19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94" s="134"/>
      <c r="CG194" s="134"/>
      <c r="CH194" s="134"/>
      <c r="CI194" s="134"/>
      <c r="CJ194" s="134"/>
      <c r="CK194" s="134"/>
      <c r="CL194" s="134"/>
      <c r="CM194" s="134"/>
      <c r="CN194" s="134"/>
      <c r="CO194" s="134" t="str">
        <f t="array" ref="CO194">IFERROR(INDEX(TABLACONSOLIDADA[Buff Act],MATCH("AGROINSUMOSAGROHERMANOSLEON"&amp;Tabla_Buffers_Agroinsumos[[#This Row],[CODIGO ]],TABLACONSOLIDADA[Bodega]&amp;TABLACONSOLIDADA[Codigo],0)),"")</f>
        <v/>
      </c>
      <c r="CP194" s="157" t="str">
        <f t="array" ref="CP194">IFERROR(INDEX(TABLACONSOLIDADA[Inv Fís Act],MATCH("AGROINSUMOSAGROHERMANOSLEON"&amp;Tabla_Buffers_Agroinsumos[[#This Row],[CODIGO ]],TABLACONSOLIDADA[Bodega]&amp;TABLACONSOLIDADA[Codigo],0)),"")</f>
        <v/>
      </c>
      <c r="CQ194" s="157" t="str">
        <f t="array" ref="CQ19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9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94" s="134">
        <f>IFERROR(SUM(Tabla_Buffers_Agroinsumos[[#This Row],[AL-MP]:[AL-VL]]),"")</f>
        <v>0</v>
      </c>
      <c r="CT194" s="92" t="str">
        <f>IFERROR(Tabla_Buffers_Agroinsumos[[#This Row],[INV FIS AL]]-Tabla_Buffers_Agroinsumos[[#This Row],[BUFFER AL]],"")</f>
        <v/>
      </c>
      <c r="CU19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94" s="134"/>
      <c r="CW194" s="134"/>
      <c r="CX194" s="134"/>
      <c r="CY194" s="134"/>
      <c r="CZ194" s="134"/>
      <c r="DA194" s="134"/>
      <c r="DB194" s="134"/>
      <c r="DC194" s="134"/>
      <c r="DD194" s="134"/>
      <c r="DE194" s="134" t="str">
        <f t="array" ref="DE194">IFERROR(INDEX(TABLACONSOLIDADA[Buff Act],MATCH("AGROINSUMOSAGRONUEVO"&amp;Tabla_Buffers_Agroinsumos[[#This Row],[CODIGO ]],TABLACONSOLIDADA[Bodega]&amp;TABLACONSOLIDADA[Codigo],0)),"")</f>
        <v/>
      </c>
      <c r="DF194" s="157" t="str">
        <f t="array" ref="DF194">IFERROR(INDEX(TABLACONSOLIDADA[Inv Fís Act],MATCH("AGROINSUMOSAGRONUEVO"&amp;Tabla_Buffers_Agroinsumos[[#This Row],[CODIGO ]],TABLACONSOLIDADA[Bodega]&amp;TABLACONSOLIDADA[Codigo],0)),"")</f>
        <v/>
      </c>
      <c r="DG194" s="157" t="str">
        <f t="array" ref="DG19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9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94" s="134">
        <f>IFERROR(SUM(Tabla_Buffers_Agroinsumos[[#This Row],[AN-MP]:[AN-VL]]),"")</f>
        <v>0</v>
      </c>
      <c r="DJ194" s="92" t="str">
        <f>IFERROR(Tabla_Buffers_Agroinsumos[[#This Row],[INV FIS AN]]-Tabla_Buffers_Agroinsumos[[#This Row],[BUFFER AN]],"")</f>
        <v/>
      </c>
      <c r="DK19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94" s="134"/>
      <c r="DM194" s="134"/>
      <c r="DN194" s="134"/>
      <c r="DO194" s="134"/>
      <c r="DP194" s="134"/>
      <c r="DQ194" s="134"/>
      <c r="DR194" s="134"/>
      <c r="DS194" s="134"/>
      <c r="DT194" s="134"/>
      <c r="DU194" s="134" t="str">
        <f t="array" ref="DU194">IFERROR(INDEX(TABLACONSOLIDADA[Buff Act],MATCH("AGROINSUMOSAGROQUIMICOSSUR"&amp;Tabla_Buffers_Agroinsumos[[#This Row],[CODIGO ]],TABLACONSOLIDADA[Bodega]&amp;TABLACONSOLIDADA[Codigo],0)),"")</f>
        <v/>
      </c>
      <c r="DV194" s="157" t="str">
        <f t="array" ref="DV194">IFERROR(INDEX(TABLACONSOLIDADA[Inv Fís Act],MATCH("AGROINSUMOSAGROQUIMICOSSUR"&amp;Tabla_Buffers_Agroinsumos[[#This Row],[CODIGO ]],TABLACONSOLIDADA[Bodega]&amp;TABLACONSOLIDADA[Codigo],0)),"")</f>
        <v/>
      </c>
      <c r="DW194" s="157" t="str">
        <f t="array" ref="DW19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9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94" s="134">
        <f>IFERROR(SUM(Tabla_Buffers_Agroinsumos[[#This Row],[AS-MP]:[AS-VL]]),"")</f>
        <v>0</v>
      </c>
      <c r="DZ194" s="92" t="str">
        <f>IFERROR(Tabla_Buffers_Agroinsumos[[#This Row],[INV FIS AS]]-Tabla_Buffers_Agroinsumos[[#This Row],[BUFFER AS]],"")</f>
        <v/>
      </c>
      <c r="EA19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94" s="134"/>
      <c r="EC194" s="134"/>
      <c r="ED194" s="134"/>
      <c r="EE194" s="134"/>
      <c r="EF194" s="134"/>
      <c r="EG194" s="134"/>
      <c r="EH194" s="134"/>
      <c r="EI194" s="134"/>
      <c r="EJ194" s="134"/>
      <c r="EK194" s="134" t="str">
        <f t="array" ref="EK194">IFERROR(INDEX(TABLACONSOLIDADA[Buff Act],MATCH("AGROINSUMOSLAFINCA"&amp;Tabla_Buffers_Agroinsumos[[#This Row],[CODIGO ]],TABLACONSOLIDADA[Bodega]&amp;TABLACONSOLIDADA[Codigo],0)),"")</f>
        <v/>
      </c>
      <c r="EL194" s="157" t="str">
        <f t="array" ref="EL194">IFERROR(INDEX(TABLACONSOLIDADA[Inv Fís Act],MATCH("AGROINSUMOSLAFINCA"&amp;Tabla_Buffers_Agroinsumos[[#This Row],[CODIGO ]],TABLACONSOLIDADA[Bodega]&amp;TABLACONSOLIDADA[Codigo],0)),"")</f>
        <v/>
      </c>
      <c r="EM194" s="157" t="str">
        <f t="array" ref="EM19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9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94" s="134">
        <f>IFERROR(SUM(Tabla_Buffers_Agroinsumos[[#This Row],[LF-MP]:[LF-VL]]),"")</f>
        <v>0</v>
      </c>
      <c r="EP194" s="92" t="str">
        <f>IFERROR(Tabla_Buffers_Agroinsumos[[#This Row],[INV FIS LF]]-Tabla_Buffers_Agroinsumos[[#This Row],[BUFFER LF]],"")</f>
        <v/>
      </c>
      <c r="EQ19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94" s="134"/>
      <c r="ES194" s="134"/>
      <c r="ET194" s="134"/>
      <c r="EU194" s="134"/>
      <c r="EV194" s="134"/>
      <c r="EW194" s="134"/>
      <c r="EX194" s="134"/>
      <c r="EY194" s="134"/>
      <c r="EZ194" s="134"/>
      <c r="FA194" s="134" t="str">
        <f t="array" ref="FA194">IFERROR(INDEX(TABLACONSOLIDADA[Buff Act],MATCH("AGROINSUMOSVERONICALEDESMA"&amp;Tabla_Buffers_Agroinsumos[[#This Row],[CODIGO ]],TABLACONSOLIDADA[Bodega]&amp;TABLACONSOLIDADA[Codigo],0)),"")</f>
        <v/>
      </c>
      <c r="FB194" s="157" t="str">
        <f t="array" ref="FB194">IFERROR(INDEX(TABLACONSOLIDADA[Inv Fís Act],MATCH("AGROINSUMOSVERONICALEDESMA"&amp;Tabla_Buffers_Agroinsumos[[#This Row],[CODIGO ]],TABLACONSOLIDADA[Bodega]&amp;TABLACONSOLIDADA[Codigo],0)),"")</f>
        <v/>
      </c>
      <c r="FC194" s="157" t="str">
        <f t="array" ref="FC19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9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94" s="134">
        <f>IFERROR(SUM(Tabla_Buffers_Agroinsumos[[#This Row],[VL-MP]:[VL-LF]]),"")</f>
        <v>0</v>
      </c>
      <c r="FF194" s="92" t="str">
        <f>IFERROR(Tabla_Buffers_Agroinsumos[[#This Row],[INV FIS VL]]-Tabla_Buffers_Agroinsumos[[#This Row],[BUFFER VL]],"")</f>
        <v/>
      </c>
      <c r="FG19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94" s="134"/>
      <c r="FI194" s="134"/>
      <c r="FJ194" s="134"/>
      <c r="FK194" s="134"/>
      <c r="FL194" s="134"/>
      <c r="FM194" s="134"/>
      <c r="FN194" s="134"/>
      <c r="FO194" s="134"/>
      <c r="FP194" s="134"/>
    </row>
    <row r="195" spans="1:172">
      <c r="A195" s="7" t="s">
        <v>342</v>
      </c>
      <c r="B195" s="7" t="s">
        <v>343</v>
      </c>
      <c r="C195" s="7" t="s">
        <v>716</v>
      </c>
      <c r="D195" s="7" t="s">
        <v>718</v>
      </c>
      <c r="E195" s="7" t="s">
        <v>863</v>
      </c>
      <c r="F195" s="19" t="s">
        <v>808</v>
      </c>
      <c r="G195" s="19" t="s">
        <v>802</v>
      </c>
      <c r="H195" s="19">
        <f>VLOOKUP(Tabla_Buffers_Agroinsumos[[#This Row],[CODIGO ]],TABLACONSOLIDADA[[Codigo]:[PV]],6,0)</f>
        <v>0</v>
      </c>
      <c r="I195" s="19">
        <f>VLOOKUP(Tabla_Buffers_Agroinsumos[[#This Row],[CODIGO ]],TABLACONSOLIDADA[[Codigo]:[PV]],5,0)</f>
        <v>0.25</v>
      </c>
      <c r="J195" s="19">
        <v>4</v>
      </c>
      <c r="K195" s="19">
        <v>6</v>
      </c>
      <c r="L195" s="19">
        <f>IFERROR(Tabla_Buffers_Agroinsumos[[#This Row],[BUFFER CENTRAL]]/((Tabla_Buffers_Agroinsumos[[#This Row],[TIEMPO REPOSICION ]]/Tabla_Buffers_Agroinsumos[[#This Row],[FRECUENCIA]])+1),0)</f>
        <v>0</v>
      </c>
      <c r="M195" s="19">
        <f t="array" ref="M195">IFERROR(INDEX(TABLACONSOLIDADA[Buff Act],MATCH("AGROINSUMOSMATERIAPRIMA"&amp;Tabla_Buffers_Agroinsumos[[#This Row],[CODIGO ]],TABLACONSOLIDADA[Bodega]&amp;TABLACONSOLIDADA[Codigo],0)),"")</f>
        <v>200</v>
      </c>
      <c r="N195" s="157">
        <f t="array" ref="N195">IFERROR(INDEX(TABLACONSOLIDADA[Inv Fís Act],MATCH("AGROINSUMOSMATERIAPRIMA"&amp;Tabla_Buffers_Agroinsumos[[#This Row],[CODIGO ]],TABLACONSOLIDADA[Bodega]&amp;TABLACONSOLIDADA[Codigo],0)),"")</f>
        <v>442</v>
      </c>
      <c r="O195" s="157">
        <f t="array" ref="O19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442</v>
      </c>
      <c r="P19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95" s="19">
        <f>IFERROR(SUM(Tabla_Buffers_Agroinsumos[[#This Row],[MP-C]:[MP-VL]]),"")</f>
        <v>0</v>
      </c>
      <c r="R195" s="92">
        <f>IFERROR(Tabla_Buffers_Agroinsumos[[#This Row],[INV FIS MATERIA PRIMA]]-Tabla_Buffers_Agroinsumos[[#This Row],[BUFFER MATERIA PRIMA]],"")</f>
        <v>242</v>
      </c>
      <c r="S19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242</v>
      </c>
      <c r="T195" s="19"/>
      <c r="U195" s="19"/>
      <c r="V195" s="19"/>
      <c r="W195" s="19"/>
      <c r="X195" s="19"/>
      <c r="Y195" s="19"/>
      <c r="Z195" s="19"/>
      <c r="AA195" s="19"/>
      <c r="AB195" s="19"/>
      <c r="AC195" s="152" t="str">
        <f t="array" ref="AC195">IFERROR(INDEX(TABLACONSOLIDADA[Buff Act],MATCH("AGROINSUMOSCENTRAL"&amp;Tabla_Buffers_Agroinsumos[[#This Row],[CODIGO ]],TABLACONSOLIDADA[Bodega]&amp;TABLACONSOLIDADA[Codigo],0)),"")</f>
        <v/>
      </c>
      <c r="AD195" s="157" t="str">
        <f t="array" ref="AD195">IFERROR(INDEX(TABLACONSOLIDADA[Inv Fís Act],MATCH("AGROINSUMOSCENTRAL"&amp;Tabla_Buffers_Agroinsumos[[#This Row],[CODIGO ]],TABLACONSOLIDADA[Bodega]&amp;TABLACONSOLIDADA[Codigo],0)),"")</f>
        <v/>
      </c>
      <c r="AE195" s="157" t="str">
        <f t="array" ref="AE19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9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95" s="91">
        <f>IFERROR(SUM(Tabla_Buffers_Agroinsumos[[#This Row],[C-MP]:[C-VL]]),"")</f>
        <v>0</v>
      </c>
      <c r="AH195" s="92" t="str">
        <f>IFERROR(Tabla_Buffers_Agroinsumos[[#This Row],[INV FIS CENTRAL]]-Tabla_Buffers_Agroinsumos[[#This Row],[BUFFER CENTRAL]],"")</f>
        <v/>
      </c>
      <c r="AI19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95" s="134"/>
      <c r="AK195" s="134"/>
      <c r="AL195" s="134"/>
      <c r="AM195" s="134"/>
      <c r="AN195" s="134"/>
      <c r="AO195" s="134"/>
      <c r="AP195" s="134"/>
      <c r="AQ195" s="134"/>
      <c r="AR195" s="134"/>
      <c r="AS195" s="134" t="str">
        <f t="array" ref="AS195">IFERROR(INDEX(TABLACONSOLIDADA[Buff Act],MATCH("AGROINSUMOScentralPROPIA"&amp;Tabla_Buffers_Agroinsumos[[#This Row],[CODIGO ]],TABLACONSOLIDADA[Bodega]&amp;TABLACONSOLIDADA[Codigo],0)),"")</f>
        <v/>
      </c>
      <c r="AT195" s="157" t="str">
        <f t="array" ref="AT195">IFERROR(INDEX(TABLACONSOLIDADA[Inv Fís Act],MATCH("AGROINSUMOScentralPROPIA"&amp;Tabla_Buffers_Agroinsumos[[#This Row],[CODIGO ]],TABLACONSOLIDADA[Bodega]&amp;TABLACONSOLIDADA[Codigo],0)),"")</f>
        <v/>
      </c>
      <c r="AU195" s="157" t="str">
        <f t="array" ref="AU19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9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95" s="134">
        <f>IFERROR(SUM(Tabla_Buffers_Agroinsumos[[#This Row],[P-MP]:[P-VL]]),"")</f>
        <v>0</v>
      </c>
      <c r="AX195" s="92" t="str">
        <f>IFERROR(Tabla_Buffers_Agroinsumos[[#This Row],[INV FIS PROPIA]]-Tabla_Buffers_Agroinsumos[[#This Row],[BUFFER PROPIA]],"")</f>
        <v/>
      </c>
      <c r="AY19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95" s="134"/>
      <c r="BA195" s="134"/>
      <c r="BB195" s="134"/>
      <c r="BC195" s="134"/>
      <c r="BD195" s="134"/>
      <c r="BE195" s="134"/>
      <c r="BF195" s="134"/>
      <c r="BG195" s="134"/>
      <c r="BH195" s="134"/>
      <c r="BI195" s="91" t="str">
        <f t="array" ref="BI195">IFERROR(INDEX(TABLACONSOLIDADA[Buff Act],MATCH("AGROINSUMOSSTODOMINGO"&amp;Tabla_Buffers_Agroinsumos[[#This Row],[CODIGO ]],TABLACONSOLIDADA[Bodega]&amp;TABLACONSOLIDADA[Codigo],0)),"")</f>
        <v/>
      </c>
      <c r="BJ195" s="157" t="str">
        <f t="array" ref="BJ195">IFERROR(INDEX(TABLACONSOLIDADA[Inv Fís Act],MATCH("AGROINSUMOSSTODOMINGO"&amp;Tabla_Buffers_Agroinsumos[[#This Row],[CODIGO ]],TABLACONSOLIDADA[Bodega]&amp;TABLACONSOLIDADA[Codigo],0)),"")</f>
        <v/>
      </c>
      <c r="BK195" s="157" t="str">
        <f t="array" ref="BK19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9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95" s="91">
        <f>IFERROR(SUM(Tabla_Buffers_Agroinsumos[[#This Row],[SD-MP]:[SD-VL]]),"")</f>
        <v>0</v>
      </c>
      <c r="BN195" s="92"/>
      <c r="BO195" s="92"/>
      <c r="BP195" s="134"/>
      <c r="BQ195" s="134"/>
      <c r="BR195" s="134"/>
      <c r="BS195" s="134"/>
      <c r="BT195" s="134"/>
      <c r="BU195" s="134"/>
      <c r="BV195" s="134"/>
      <c r="BW195" s="134"/>
      <c r="BX195" s="134"/>
      <c r="BY195" s="134" t="str">
        <f t="array" ref="BY195">IFERROR(INDEX(TABLACONSOLIDADA[Buff Act],MATCH("AGROINSUMOSMONCAYOLOPEZ"&amp;Tabla_Buffers_Agroinsumos[[#This Row],[CODIGO ]],TABLACONSOLIDADA[Bodega]&amp;TABLACONSOLIDADA[Codigo],0)),"")</f>
        <v/>
      </c>
      <c r="BZ195" s="157" t="str">
        <f t="array" ref="BZ195">IFERROR(INDEX(TABLACONSOLIDADA[Inv Fís Act],MATCH("AGROINSUMOSMONCAYOLOPEZ"&amp;Tabla_Buffers_Agroinsumos[[#This Row],[CODIGO ]],TABLACONSOLIDADA[Bodega]&amp;TABLACONSOLIDADA[Codigo],0)),"")</f>
        <v/>
      </c>
      <c r="CA195" s="157" t="str">
        <f t="array" ref="CA19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9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95" s="134">
        <f>IFERROR(SUM(Tabla_Buffers_Agroinsumos[[#This Row],[ML-MP]:[ML-VL]]),"")</f>
        <v>0</v>
      </c>
      <c r="CD195" s="92" t="str">
        <f>IFERROR(Tabla_Buffers_Agroinsumos[[#This Row],[INV FIS ML]]-Tabla_Buffers_Agroinsumos[[#This Row],[BUFFER ML]],"")</f>
        <v/>
      </c>
      <c r="CE19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95" s="134"/>
      <c r="CG195" s="134"/>
      <c r="CH195" s="134"/>
      <c r="CI195" s="134"/>
      <c r="CJ195" s="134"/>
      <c r="CK195" s="134"/>
      <c r="CL195" s="134"/>
      <c r="CM195" s="134"/>
      <c r="CN195" s="134"/>
      <c r="CO195" s="134" t="str">
        <f t="array" ref="CO195">IFERROR(INDEX(TABLACONSOLIDADA[Buff Act],MATCH("AGROINSUMOSAGROHERMANOSLEON"&amp;Tabla_Buffers_Agroinsumos[[#This Row],[CODIGO ]],TABLACONSOLIDADA[Bodega]&amp;TABLACONSOLIDADA[Codigo],0)),"")</f>
        <v/>
      </c>
      <c r="CP195" s="157" t="str">
        <f t="array" ref="CP195">IFERROR(INDEX(TABLACONSOLIDADA[Inv Fís Act],MATCH("AGROINSUMOSAGROHERMANOSLEON"&amp;Tabla_Buffers_Agroinsumos[[#This Row],[CODIGO ]],TABLACONSOLIDADA[Bodega]&amp;TABLACONSOLIDADA[Codigo],0)),"")</f>
        <v/>
      </c>
      <c r="CQ195" s="157" t="str">
        <f t="array" ref="CQ19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9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95" s="134">
        <f>IFERROR(SUM(Tabla_Buffers_Agroinsumos[[#This Row],[AL-MP]:[AL-VL]]),"")</f>
        <v>0</v>
      </c>
      <c r="CT195" s="92" t="str">
        <f>IFERROR(Tabla_Buffers_Agroinsumos[[#This Row],[INV FIS AL]]-Tabla_Buffers_Agroinsumos[[#This Row],[BUFFER AL]],"")</f>
        <v/>
      </c>
      <c r="CU19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95" s="134"/>
      <c r="CW195" s="134"/>
      <c r="CX195" s="134"/>
      <c r="CY195" s="134"/>
      <c r="CZ195" s="134"/>
      <c r="DA195" s="134"/>
      <c r="DB195" s="134"/>
      <c r="DC195" s="134"/>
      <c r="DD195" s="134"/>
      <c r="DE195" s="134" t="str">
        <f t="array" ref="DE195">IFERROR(INDEX(TABLACONSOLIDADA[Buff Act],MATCH("AGROINSUMOSAGRONUEVO"&amp;Tabla_Buffers_Agroinsumos[[#This Row],[CODIGO ]],TABLACONSOLIDADA[Bodega]&amp;TABLACONSOLIDADA[Codigo],0)),"")</f>
        <v/>
      </c>
      <c r="DF195" s="157" t="str">
        <f t="array" ref="DF195">IFERROR(INDEX(TABLACONSOLIDADA[Inv Fís Act],MATCH("AGROINSUMOSAGRONUEVO"&amp;Tabla_Buffers_Agroinsumos[[#This Row],[CODIGO ]],TABLACONSOLIDADA[Bodega]&amp;TABLACONSOLIDADA[Codigo],0)),"")</f>
        <v/>
      </c>
      <c r="DG195" s="157" t="str">
        <f t="array" ref="DG19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9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95" s="134">
        <f>IFERROR(SUM(Tabla_Buffers_Agroinsumos[[#This Row],[AN-MP]:[AN-VL]]),"")</f>
        <v>0</v>
      </c>
      <c r="DJ195" s="92" t="str">
        <f>IFERROR(Tabla_Buffers_Agroinsumos[[#This Row],[INV FIS AN]]-Tabla_Buffers_Agroinsumos[[#This Row],[BUFFER AN]],"")</f>
        <v/>
      </c>
      <c r="DK19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95" s="134"/>
      <c r="DM195" s="134"/>
      <c r="DN195" s="134"/>
      <c r="DO195" s="134"/>
      <c r="DP195" s="134"/>
      <c r="DQ195" s="134"/>
      <c r="DR195" s="134"/>
      <c r="DS195" s="134"/>
      <c r="DT195" s="134"/>
      <c r="DU195" s="134" t="str">
        <f t="array" ref="DU195">IFERROR(INDEX(TABLACONSOLIDADA[Buff Act],MATCH("AGROINSUMOSAGROQUIMICOSSUR"&amp;Tabla_Buffers_Agroinsumos[[#This Row],[CODIGO ]],TABLACONSOLIDADA[Bodega]&amp;TABLACONSOLIDADA[Codigo],0)),"")</f>
        <v/>
      </c>
      <c r="DV195" s="157" t="str">
        <f t="array" ref="DV195">IFERROR(INDEX(TABLACONSOLIDADA[Inv Fís Act],MATCH("AGROINSUMOSAGROQUIMICOSSUR"&amp;Tabla_Buffers_Agroinsumos[[#This Row],[CODIGO ]],TABLACONSOLIDADA[Bodega]&amp;TABLACONSOLIDADA[Codigo],0)),"")</f>
        <v/>
      </c>
      <c r="DW195" s="157" t="str">
        <f t="array" ref="DW19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9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95" s="134">
        <f>IFERROR(SUM(Tabla_Buffers_Agroinsumos[[#This Row],[AS-MP]:[AS-VL]]),"")</f>
        <v>0</v>
      </c>
      <c r="DZ195" s="92" t="str">
        <f>IFERROR(Tabla_Buffers_Agroinsumos[[#This Row],[INV FIS AS]]-Tabla_Buffers_Agroinsumos[[#This Row],[BUFFER AS]],"")</f>
        <v/>
      </c>
      <c r="EA19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95" s="134"/>
      <c r="EC195" s="134"/>
      <c r="ED195" s="134"/>
      <c r="EE195" s="134"/>
      <c r="EF195" s="134"/>
      <c r="EG195" s="134"/>
      <c r="EH195" s="134"/>
      <c r="EI195" s="134"/>
      <c r="EJ195" s="134"/>
      <c r="EK195" s="134" t="str">
        <f t="array" ref="EK195">IFERROR(INDEX(TABLACONSOLIDADA[Buff Act],MATCH("AGROINSUMOSLAFINCA"&amp;Tabla_Buffers_Agroinsumos[[#This Row],[CODIGO ]],TABLACONSOLIDADA[Bodega]&amp;TABLACONSOLIDADA[Codigo],0)),"")</f>
        <v/>
      </c>
      <c r="EL195" s="157" t="str">
        <f t="array" ref="EL195">IFERROR(INDEX(TABLACONSOLIDADA[Inv Fís Act],MATCH("AGROINSUMOSLAFINCA"&amp;Tabla_Buffers_Agroinsumos[[#This Row],[CODIGO ]],TABLACONSOLIDADA[Bodega]&amp;TABLACONSOLIDADA[Codigo],0)),"")</f>
        <v/>
      </c>
      <c r="EM195" s="157" t="str">
        <f t="array" ref="EM19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9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95" s="134">
        <f>IFERROR(SUM(Tabla_Buffers_Agroinsumos[[#This Row],[LF-MP]:[LF-VL]]),"")</f>
        <v>0</v>
      </c>
      <c r="EP195" s="92" t="str">
        <f>IFERROR(Tabla_Buffers_Agroinsumos[[#This Row],[INV FIS LF]]-Tabla_Buffers_Agroinsumos[[#This Row],[BUFFER LF]],"")</f>
        <v/>
      </c>
      <c r="EQ19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95" s="134"/>
      <c r="ES195" s="134"/>
      <c r="ET195" s="134"/>
      <c r="EU195" s="134"/>
      <c r="EV195" s="134"/>
      <c r="EW195" s="134"/>
      <c r="EX195" s="134"/>
      <c r="EY195" s="134"/>
      <c r="EZ195" s="134"/>
      <c r="FA195" s="134" t="str">
        <f t="array" ref="FA195">IFERROR(INDEX(TABLACONSOLIDADA[Buff Act],MATCH("AGROINSUMOSVERONICALEDESMA"&amp;Tabla_Buffers_Agroinsumos[[#This Row],[CODIGO ]],TABLACONSOLIDADA[Bodega]&amp;TABLACONSOLIDADA[Codigo],0)),"")</f>
        <v/>
      </c>
      <c r="FB195" s="157" t="str">
        <f t="array" ref="FB195">IFERROR(INDEX(TABLACONSOLIDADA[Inv Fís Act],MATCH("AGROINSUMOSVERONICALEDESMA"&amp;Tabla_Buffers_Agroinsumos[[#This Row],[CODIGO ]],TABLACONSOLIDADA[Bodega]&amp;TABLACONSOLIDADA[Codigo],0)),"")</f>
        <v/>
      </c>
      <c r="FC195" s="157" t="str">
        <f t="array" ref="FC19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9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95" s="134">
        <f>IFERROR(SUM(Tabla_Buffers_Agroinsumos[[#This Row],[VL-MP]:[VL-LF]]),"")</f>
        <v>0</v>
      </c>
      <c r="FF195" s="92" t="str">
        <f>IFERROR(Tabla_Buffers_Agroinsumos[[#This Row],[INV FIS VL]]-Tabla_Buffers_Agroinsumos[[#This Row],[BUFFER VL]],"")</f>
        <v/>
      </c>
      <c r="FG19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95" s="134"/>
      <c r="FI195" s="134"/>
      <c r="FJ195" s="134"/>
      <c r="FK195" s="134"/>
      <c r="FL195" s="134"/>
      <c r="FM195" s="134"/>
      <c r="FN195" s="134"/>
      <c r="FO195" s="134"/>
      <c r="FP195" s="134"/>
    </row>
    <row r="196" spans="1:172">
      <c r="A196" s="7" t="s">
        <v>344</v>
      </c>
      <c r="B196" s="7" t="s">
        <v>345</v>
      </c>
      <c r="C196" s="7" t="s">
        <v>716</v>
      </c>
      <c r="D196" s="7" t="s">
        <v>718</v>
      </c>
      <c r="E196" s="7" t="s">
        <v>863</v>
      </c>
      <c r="F196" s="19" t="s">
        <v>808</v>
      </c>
      <c r="G196" s="19" t="s">
        <v>802</v>
      </c>
      <c r="H196" s="19">
        <f>VLOOKUP(Tabla_Buffers_Agroinsumos[[#This Row],[CODIGO ]],TABLACONSOLIDADA[[Codigo]:[PV]],6,0)</f>
        <v>0</v>
      </c>
      <c r="I196" s="19">
        <f>VLOOKUP(Tabla_Buffers_Agroinsumos[[#This Row],[CODIGO ]],TABLACONSOLIDADA[[Codigo]:[PV]],5,0)</f>
        <v>0.15</v>
      </c>
      <c r="J196" s="19">
        <v>4</v>
      </c>
      <c r="K196" s="19">
        <v>6</v>
      </c>
      <c r="L196" s="19">
        <f>IFERROR(Tabla_Buffers_Agroinsumos[[#This Row],[BUFFER CENTRAL]]/((Tabla_Buffers_Agroinsumos[[#This Row],[TIEMPO REPOSICION ]]/Tabla_Buffers_Agroinsumos[[#This Row],[FRECUENCIA]])+1),0)</f>
        <v>0</v>
      </c>
      <c r="M196" s="19">
        <f t="array" ref="M196">IFERROR(INDEX(TABLACONSOLIDADA[Buff Act],MATCH("AGROINSUMOSMATERIAPRIMA"&amp;Tabla_Buffers_Agroinsumos[[#This Row],[CODIGO ]],TABLACONSOLIDADA[Bodega]&amp;TABLACONSOLIDADA[Codigo],0)),"")</f>
        <v>400</v>
      </c>
      <c r="N196" s="157">
        <f t="array" ref="N196">IFERROR(INDEX(TABLACONSOLIDADA[Inv Fís Act],MATCH("AGROINSUMOSMATERIAPRIMA"&amp;Tabla_Buffers_Agroinsumos[[#This Row],[CODIGO ]],TABLACONSOLIDADA[Bodega]&amp;TABLACONSOLIDADA[Codigo],0)),"")</f>
        <v>878</v>
      </c>
      <c r="O196" s="157">
        <f t="array" ref="O19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878</v>
      </c>
      <c r="P19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96" s="19">
        <f>IFERROR(SUM(Tabla_Buffers_Agroinsumos[[#This Row],[MP-C]:[MP-VL]]),"")</f>
        <v>0</v>
      </c>
      <c r="R196" s="92">
        <f>IFERROR(Tabla_Buffers_Agroinsumos[[#This Row],[INV FIS MATERIA PRIMA]]-Tabla_Buffers_Agroinsumos[[#This Row],[BUFFER MATERIA PRIMA]],"")</f>
        <v>478</v>
      </c>
      <c r="S19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478</v>
      </c>
      <c r="T196" s="19"/>
      <c r="U196" s="19"/>
      <c r="V196" s="19"/>
      <c r="W196" s="19"/>
      <c r="X196" s="19"/>
      <c r="Y196" s="19"/>
      <c r="Z196" s="19"/>
      <c r="AA196" s="19"/>
      <c r="AB196" s="19"/>
      <c r="AC196" s="152" t="str">
        <f t="array" ref="AC196">IFERROR(INDEX(TABLACONSOLIDADA[Buff Act],MATCH("AGROINSUMOSCENTRAL"&amp;Tabla_Buffers_Agroinsumos[[#This Row],[CODIGO ]],TABLACONSOLIDADA[Bodega]&amp;TABLACONSOLIDADA[Codigo],0)),"")</f>
        <v/>
      </c>
      <c r="AD196" s="157" t="str">
        <f t="array" ref="AD196">IFERROR(INDEX(TABLACONSOLIDADA[Inv Fís Act],MATCH("AGROINSUMOSCENTRAL"&amp;Tabla_Buffers_Agroinsumos[[#This Row],[CODIGO ]],TABLACONSOLIDADA[Bodega]&amp;TABLACONSOLIDADA[Codigo],0)),"")</f>
        <v/>
      </c>
      <c r="AE196" s="157" t="str">
        <f t="array" ref="AE19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9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96" s="91">
        <f>IFERROR(SUM(Tabla_Buffers_Agroinsumos[[#This Row],[C-MP]:[C-VL]]),"")</f>
        <v>0</v>
      </c>
      <c r="AH196" s="92" t="str">
        <f>IFERROR(Tabla_Buffers_Agroinsumos[[#This Row],[INV FIS CENTRAL]]-Tabla_Buffers_Agroinsumos[[#This Row],[BUFFER CENTRAL]],"")</f>
        <v/>
      </c>
      <c r="AI19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96" s="134"/>
      <c r="AK196" s="134"/>
      <c r="AL196" s="134"/>
      <c r="AM196" s="134"/>
      <c r="AN196" s="134"/>
      <c r="AO196" s="134"/>
      <c r="AP196" s="134"/>
      <c r="AQ196" s="134"/>
      <c r="AR196" s="134"/>
      <c r="AS196" s="134" t="str">
        <f t="array" ref="AS196">IFERROR(INDEX(TABLACONSOLIDADA[Buff Act],MATCH("AGROINSUMOScentralPROPIA"&amp;Tabla_Buffers_Agroinsumos[[#This Row],[CODIGO ]],TABLACONSOLIDADA[Bodega]&amp;TABLACONSOLIDADA[Codigo],0)),"")</f>
        <v/>
      </c>
      <c r="AT196" s="157" t="str">
        <f t="array" ref="AT196">IFERROR(INDEX(TABLACONSOLIDADA[Inv Fís Act],MATCH("AGROINSUMOScentralPROPIA"&amp;Tabla_Buffers_Agroinsumos[[#This Row],[CODIGO ]],TABLACONSOLIDADA[Bodega]&amp;TABLACONSOLIDADA[Codigo],0)),"")</f>
        <v/>
      </c>
      <c r="AU196" s="157" t="str">
        <f t="array" ref="AU19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9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96" s="134">
        <f>IFERROR(SUM(Tabla_Buffers_Agroinsumos[[#This Row],[P-MP]:[P-VL]]),"")</f>
        <v>0</v>
      </c>
      <c r="AX196" s="92" t="str">
        <f>IFERROR(Tabla_Buffers_Agroinsumos[[#This Row],[INV FIS PROPIA]]-Tabla_Buffers_Agroinsumos[[#This Row],[BUFFER PROPIA]],"")</f>
        <v/>
      </c>
      <c r="AY19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96" s="134"/>
      <c r="BA196" s="134"/>
      <c r="BB196" s="134"/>
      <c r="BC196" s="134"/>
      <c r="BD196" s="134"/>
      <c r="BE196" s="134"/>
      <c r="BF196" s="134"/>
      <c r="BG196" s="134"/>
      <c r="BH196" s="134"/>
      <c r="BI196" s="91" t="str">
        <f t="array" ref="BI196">IFERROR(INDEX(TABLACONSOLIDADA[Buff Act],MATCH("AGROINSUMOSSTODOMINGO"&amp;Tabla_Buffers_Agroinsumos[[#This Row],[CODIGO ]],TABLACONSOLIDADA[Bodega]&amp;TABLACONSOLIDADA[Codigo],0)),"")</f>
        <v/>
      </c>
      <c r="BJ196" s="157" t="str">
        <f t="array" ref="BJ196">IFERROR(INDEX(TABLACONSOLIDADA[Inv Fís Act],MATCH("AGROINSUMOSSTODOMINGO"&amp;Tabla_Buffers_Agroinsumos[[#This Row],[CODIGO ]],TABLACONSOLIDADA[Bodega]&amp;TABLACONSOLIDADA[Codigo],0)),"")</f>
        <v/>
      </c>
      <c r="BK196" s="157" t="str">
        <f t="array" ref="BK19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9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96" s="91">
        <f>IFERROR(SUM(Tabla_Buffers_Agroinsumos[[#This Row],[SD-MP]:[SD-VL]]),"")</f>
        <v>0</v>
      </c>
      <c r="BN196" s="92"/>
      <c r="BO196" s="92"/>
      <c r="BP196" s="134"/>
      <c r="BQ196" s="134"/>
      <c r="BR196" s="134"/>
      <c r="BS196" s="134"/>
      <c r="BT196" s="134"/>
      <c r="BU196" s="134"/>
      <c r="BV196" s="134"/>
      <c r="BW196" s="134"/>
      <c r="BX196" s="134"/>
      <c r="BY196" s="134" t="str">
        <f t="array" ref="BY196">IFERROR(INDEX(TABLACONSOLIDADA[Buff Act],MATCH("AGROINSUMOSMONCAYOLOPEZ"&amp;Tabla_Buffers_Agroinsumos[[#This Row],[CODIGO ]],TABLACONSOLIDADA[Bodega]&amp;TABLACONSOLIDADA[Codigo],0)),"")</f>
        <v/>
      </c>
      <c r="BZ196" s="157" t="str">
        <f t="array" ref="BZ196">IFERROR(INDEX(TABLACONSOLIDADA[Inv Fís Act],MATCH("AGROINSUMOSMONCAYOLOPEZ"&amp;Tabla_Buffers_Agroinsumos[[#This Row],[CODIGO ]],TABLACONSOLIDADA[Bodega]&amp;TABLACONSOLIDADA[Codigo],0)),"")</f>
        <v/>
      </c>
      <c r="CA196" s="157" t="str">
        <f t="array" ref="CA19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9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96" s="134">
        <f>IFERROR(SUM(Tabla_Buffers_Agroinsumos[[#This Row],[ML-MP]:[ML-VL]]),"")</f>
        <v>0</v>
      </c>
      <c r="CD196" s="92" t="str">
        <f>IFERROR(Tabla_Buffers_Agroinsumos[[#This Row],[INV FIS ML]]-Tabla_Buffers_Agroinsumos[[#This Row],[BUFFER ML]],"")</f>
        <v/>
      </c>
      <c r="CE19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96" s="134"/>
      <c r="CG196" s="134"/>
      <c r="CH196" s="134"/>
      <c r="CI196" s="134"/>
      <c r="CJ196" s="134"/>
      <c r="CK196" s="134"/>
      <c r="CL196" s="134"/>
      <c r="CM196" s="134"/>
      <c r="CN196" s="134"/>
      <c r="CO196" s="134" t="str">
        <f t="array" ref="CO196">IFERROR(INDEX(TABLACONSOLIDADA[Buff Act],MATCH("AGROINSUMOSAGROHERMANOSLEON"&amp;Tabla_Buffers_Agroinsumos[[#This Row],[CODIGO ]],TABLACONSOLIDADA[Bodega]&amp;TABLACONSOLIDADA[Codigo],0)),"")</f>
        <v/>
      </c>
      <c r="CP196" s="157" t="str">
        <f t="array" ref="CP196">IFERROR(INDEX(TABLACONSOLIDADA[Inv Fís Act],MATCH("AGROINSUMOSAGROHERMANOSLEON"&amp;Tabla_Buffers_Agroinsumos[[#This Row],[CODIGO ]],TABLACONSOLIDADA[Bodega]&amp;TABLACONSOLIDADA[Codigo],0)),"")</f>
        <v/>
      </c>
      <c r="CQ196" s="157" t="str">
        <f t="array" ref="CQ19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9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96" s="134">
        <f>IFERROR(SUM(Tabla_Buffers_Agroinsumos[[#This Row],[AL-MP]:[AL-VL]]),"")</f>
        <v>0</v>
      </c>
      <c r="CT196" s="92" t="str">
        <f>IFERROR(Tabla_Buffers_Agroinsumos[[#This Row],[INV FIS AL]]-Tabla_Buffers_Agroinsumos[[#This Row],[BUFFER AL]],"")</f>
        <v/>
      </c>
      <c r="CU19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96" s="134"/>
      <c r="CW196" s="134"/>
      <c r="CX196" s="134"/>
      <c r="CY196" s="134"/>
      <c r="CZ196" s="134"/>
      <c r="DA196" s="134"/>
      <c r="DB196" s="134"/>
      <c r="DC196" s="134"/>
      <c r="DD196" s="134"/>
      <c r="DE196" s="134" t="str">
        <f t="array" ref="DE196">IFERROR(INDEX(TABLACONSOLIDADA[Buff Act],MATCH("AGROINSUMOSAGRONUEVO"&amp;Tabla_Buffers_Agroinsumos[[#This Row],[CODIGO ]],TABLACONSOLIDADA[Bodega]&amp;TABLACONSOLIDADA[Codigo],0)),"")</f>
        <v/>
      </c>
      <c r="DF196" s="157" t="str">
        <f t="array" ref="DF196">IFERROR(INDEX(TABLACONSOLIDADA[Inv Fís Act],MATCH("AGROINSUMOSAGRONUEVO"&amp;Tabla_Buffers_Agroinsumos[[#This Row],[CODIGO ]],TABLACONSOLIDADA[Bodega]&amp;TABLACONSOLIDADA[Codigo],0)),"")</f>
        <v/>
      </c>
      <c r="DG196" s="157" t="str">
        <f t="array" ref="DG19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9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96" s="134">
        <f>IFERROR(SUM(Tabla_Buffers_Agroinsumos[[#This Row],[AN-MP]:[AN-VL]]),"")</f>
        <v>0</v>
      </c>
      <c r="DJ196" s="92" t="str">
        <f>IFERROR(Tabla_Buffers_Agroinsumos[[#This Row],[INV FIS AN]]-Tabla_Buffers_Agroinsumos[[#This Row],[BUFFER AN]],"")</f>
        <v/>
      </c>
      <c r="DK19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96" s="134"/>
      <c r="DM196" s="134"/>
      <c r="DN196" s="134"/>
      <c r="DO196" s="134"/>
      <c r="DP196" s="134"/>
      <c r="DQ196" s="134"/>
      <c r="DR196" s="134"/>
      <c r="DS196" s="134"/>
      <c r="DT196" s="134"/>
      <c r="DU196" s="134" t="str">
        <f t="array" ref="DU196">IFERROR(INDEX(TABLACONSOLIDADA[Buff Act],MATCH("AGROINSUMOSAGROQUIMICOSSUR"&amp;Tabla_Buffers_Agroinsumos[[#This Row],[CODIGO ]],TABLACONSOLIDADA[Bodega]&amp;TABLACONSOLIDADA[Codigo],0)),"")</f>
        <v/>
      </c>
      <c r="DV196" s="157" t="str">
        <f t="array" ref="DV196">IFERROR(INDEX(TABLACONSOLIDADA[Inv Fís Act],MATCH("AGROINSUMOSAGROQUIMICOSSUR"&amp;Tabla_Buffers_Agroinsumos[[#This Row],[CODIGO ]],TABLACONSOLIDADA[Bodega]&amp;TABLACONSOLIDADA[Codigo],0)),"")</f>
        <v/>
      </c>
      <c r="DW196" s="157" t="str">
        <f t="array" ref="DW19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9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96" s="134">
        <f>IFERROR(SUM(Tabla_Buffers_Agroinsumos[[#This Row],[AS-MP]:[AS-VL]]),"")</f>
        <v>0</v>
      </c>
      <c r="DZ196" s="92" t="str">
        <f>IFERROR(Tabla_Buffers_Agroinsumos[[#This Row],[INV FIS AS]]-Tabla_Buffers_Agroinsumos[[#This Row],[BUFFER AS]],"")</f>
        <v/>
      </c>
      <c r="EA19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96" s="134"/>
      <c r="EC196" s="134"/>
      <c r="ED196" s="134"/>
      <c r="EE196" s="134"/>
      <c r="EF196" s="134"/>
      <c r="EG196" s="134"/>
      <c r="EH196" s="134"/>
      <c r="EI196" s="134"/>
      <c r="EJ196" s="134"/>
      <c r="EK196" s="134" t="str">
        <f t="array" ref="EK196">IFERROR(INDEX(TABLACONSOLIDADA[Buff Act],MATCH("AGROINSUMOSLAFINCA"&amp;Tabla_Buffers_Agroinsumos[[#This Row],[CODIGO ]],TABLACONSOLIDADA[Bodega]&amp;TABLACONSOLIDADA[Codigo],0)),"")</f>
        <v/>
      </c>
      <c r="EL196" s="157" t="str">
        <f t="array" ref="EL196">IFERROR(INDEX(TABLACONSOLIDADA[Inv Fís Act],MATCH("AGROINSUMOSLAFINCA"&amp;Tabla_Buffers_Agroinsumos[[#This Row],[CODIGO ]],TABLACONSOLIDADA[Bodega]&amp;TABLACONSOLIDADA[Codigo],0)),"")</f>
        <v/>
      </c>
      <c r="EM196" s="157" t="str">
        <f t="array" ref="EM19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9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96" s="134">
        <f>IFERROR(SUM(Tabla_Buffers_Agroinsumos[[#This Row],[LF-MP]:[LF-VL]]),"")</f>
        <v>0</v>
      </c>
      <c r="EP196" s="92" t="str">
        <f>IFERROR(Tabla_Buffers_Agroinsumos[[#This Row],[INV FIS LF]]-Tabla_Buffers_Agroinsumos[[#This Row],[BUFFER LF]],"")</f>
        <v/>
      </c>
      <c r="EQ19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96" s="134"/>
      <c r="ES196" s="134"/>
      <c r="ET196" s="134"/>
      <c r="EU196" s="134"/>
      <c r="EV196" s="134"/>
      <c r="EW196" s="134"/>
      <c r="EX196" s="134"/>
      <c r="EY196" s="134"/>
      <c r="EZ196" s="134"/>
      <c r="FA196" s="134" t="str">
        <f t="array" ref="FA196">IFERROR(INDEX(TABLACONSOLIDADA[Buff Act],MATCH("AGROINSUMOSVERONICALEDESMA"&amp;Tabla_Buffers_Agroinsumos[[#This Row],[CODIGO ]],TABLACONSOLIDADA[Bodega]&amp;TABLACONSOLIDADA[Codigo],0)),"")</f>
        <v/>
      </c>
      <c r="FB196" s="157" t="str">
        <f t="array" ref="FB196">IFERROR(INDEX(TABLACONSOLIDADA[Inv Fís Act],MATCH("AGROINSUMOSVERONICALEDESMA"&amp;Tabla_Buffers_Agroinsumos[[#This Row],[CODIGO ]],TABLACONSOLIDADA[Bodega]&amp;TABLACONSOLIDADA[Codigo],0)),"")</f>
        <v/>
      </c>
      <c r="FC196" s="157" t="str">
        <f t="array" ref="FC19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9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96" s="134">
        <f>IFERROR(SUM(Tabla_Buffers_Agroinsumos[[#This Row],[VL-MP]:[VL-LF]]),"")</f>
        <v>0</v>
      </c>
      <c r="FF196" s="92" t="str">
        <f>IFERROR(Tabla_Buffers_Agroinsumos[[#This Row],[INV FIS VL]]-Tabla_Buffers_Agroinsumos[[#This Row],[BUFFER VL]],"")</f>
        <v/>
      </c>
      <c r="FG19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96" s="134"/>
      <c r="FI196" s="134"/>
      <c r="FJ196" s="134"/>
      <c r="FK196" s="134"/>
      <c r="FL196" s="134"/>
      <c r="FM196" s="134"/>
      <c r="FN196" s="134"/>
      <c r="FO196" s="134"/>
      <c r="FP196" s="134"/>
    </row>
    <row r="197" spans="1:172">
      <c r="A197" s="7" t="s">
        <v>346</v>
      </c>
      <c r="B197" s="7" t="s">
        <v>347</v>
      </c>
      <c r="C197" s="7" t="s">
        <v>716</v>
      </c>
      <c r="D197" s="7" t="s">
        <v>718</v>
      </c>
      <c r="E197" s="7" t="s">
        <v>863</v>
      </c>
      <c r="F197" s="19" t="s">
        <v>808</v>
      </c>
      <c r="G197" s="19" t="s">
        <v>802</v>
      </c>
      <c r="H197" s="19">
        <f>VLOOKUP(Tabla_Buffers_Agroinsumos[[#This Row],[CODIGO ]],TABLACONSOLIDADA[[Codigo]:[PV]],6,0)</f>
        <v>0</v>
      </c>
      <c r="I197" s="19">
        <f>VLOOKUP(Tabla_Buffers_Agroinsumos[[#This Row],[CODIGO ]],TABLACONSOLIDADA[[Codigo]:[PV]],5,0)</f>
        <v>0.15</v>
      </c>
      <c r="J197" s="19">
        <v>4</v>
      </c>
      <c r="K197" s="19">
        <v>6</v>
      </c>
      <c r="L197" s="19">
        <f>IFERROR(Tabla_Buffers_Agroinsumos[[#This Row],[BUFFER CENTRAL]]/((Tabla_Buffers_Agroinsumos[[#This Row],[TIEMPO REPOSICION ]]/Tabla_Buffers_Agroinsumos[[#This Row],[FRECUENCIA]])+1),0)</f>
        <v>0</v>
      </c>
      <c r="M197" s="19">
        <f t="array" ref="M197">IFERROR(INDEX(TABLACONSOLIDADA[Buff Act],MATCH("AGROINSUMOSMATERIAPRIMA"&amp;Tabla_Buffers_Agroinsumos[[#This Row],[CODIGO ]],TABLACONSOLIDADA[Bodega]&amp;TABLACONSOLIDADA[Codigo],0)),"")</f>
        <v>500</v>
      </c>
      <c r="N197" s="157">
        <f t="array" ref="N197">IFERROR(INDEX(TABLACONSOLIDADA[Inv Fís Act],MATCH("AGROINSUMOSMATERIAPRIMA"&amp;Tabla_Buffers_Agroinsumos[[#This Row],[CODIGO ]],TABLACONSOLIDADA[Bodega]&amp;TABLACONSOLIDADA[Codigo],0)),"")</f>
        <v>679</v>
      </c>
      <c r="O197" s="157">
        <f t="array" ref="O19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679</v>
      </c>
      <c r="P19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97" s="19">
        <f>IFERROR(SUM(Tabla_Buffers_Agroinsumos[[#This Row],[MP-C]:[MP-VL]]),"")</f>
        <v>0</v>
      </c>
      <c r="R197" s="92">
        <f>IFERROR(Tabla_Buffers_Agroinsumos[[#This Row],[INV FIS MATERIA PRIMA]]-Tabla_Buffers_Agroinsumos[[#This Row],[BUFFER MATERIA PRIMA]],"")</f>
        <v>179</v>
      </c>
      <c r="S19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179</v>
      </c>
      <c r="T197" s="19"/>
      <c r="U197" s="19"/>
      <c r="V197" s="19"/>
      <c r="W197" s="19"/>
      <c r="X197" s="19"/>
      <c r="Y197" s="19"/>
      <c r="Z197" s="19"/>
      <c r="AA197" s="19"/>
      <c r="AB197" s="19"/>
      <c r="AC197" s="152" t="str">
        <f t="array" ref="AC197">IFERROR(INDEX(TABLACONSOLIDADA[Buff Act],MATCH("AGROINSUMOSCENTRAL"&amp;Tabla_Buffers_Agroinsumos[[#This Row],[CODIGO ]],TABLACONSOLIDADA[Bodega]&amp;TABLACONSOLIDADA[Codigo],0)),"")</f>
        <v/>
      </c>
      <c r="AD197" s="157" t="str">
        <f t="array" ref="AD197">IFERROR(INDEX(TABLACONSOLIDADA[Inv Fís Act],MATCH("AGROINSUMOSCENTRAL"&amp;Tabla_Buffers_Agroinsumos[[#This Row],[CODIGO ]],TABLACONSOLIDADA[Bodega]&amp;TABLACONSOLIDADA[Codigo],0)),"")</f>
        <v/>
      </c>
      <c r="AE197" s="157" t="str">
        <f t="array" ref="AE19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9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97" s="91">
        <f>IFERROR(SUM(Tabla_Buffers_Agroinsumos[[#This Row],[C-MP]:[C-VL]]),"")</f>
        <v>0</v>
      </c>
      <c r="AH197" s="92" t="str">
        <f>IFERROR(Tabla_Buffers_Agroinsumos[[#This Row],[INV FIS CENTRAL]]-Tabla_Buffers_Agroinsumos[[#This Row],[BUFFER CENTRAL]],"")</f>
        <v/>
      </c>
      <c r="AI19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97" s="134"/>
      <c r="AK197" s="134"/>
      <c r="AL197" s="134"/>
      <c r="AM197" s="134"/>
      <c r="AN197" s="134"/>
      <c r="AO197" s="134"/>
      <c r="AP197" s="134"/>
      <c r="AQ197" s="134"/>
      <c r="AR197" s="134"/>
      <c r="AS197" s="134" t="str">
        <f t="array" ref="AS197">IFERROR(INDEX(TABLACONSOLIDADA[Buff Act],MATCH("AGROINSUMOScentralPROPIA"&amp;Tabla_Buffers_Agroinsumos[[#This Row],[CODIGO ]],TABLACONSOLIDADA[Bodega]&amp;TABLACONSOLIDADA[Codigo],0)),"")</f>
        <v/>
      </c>
      <c r="AT197" s="157" t="str">
        <f t="array" ref="AT197">IFERROR(INDEX(TABLACONSOLIDADA[Inv Fís Act],MATCH("AGROINSUMOScentralPROPIA"&amp;Tabla_Buffers_Agroinsumos[[#This Row],[CODIGO ]],TABLACONSOLIDADA[Bodega]&amp;TABLACONSOLIDADA[Codigo],0)),"")</f>
        <v/>
      </c>
      <c r="AU197" s="157" t="str">
        <f t="array" ref="AU19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9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97" s="134">
        <f>IFERROR(SUM(Tabla_Buffers_Agroinsumos[[#This Row],[P-MP]:[P-VL]]),"")</f>
        <v>0</v>
      </c>
      <c r="AX197" s="92" t="str">
        <f>IFERROR(Tabla_Buffers_Agroinsumos[[#This Row],[INV FIS PROPIA]]-Tabla_Buffers_Agroinsumos[[#This Row],[BUFFER PROPIA]],"")</f>
        <v/>
      </c>
      <c r="AY19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97" s="134"/>
      <c r="BA197" s="134"/>
      <c r="BB197" s="134"/>
      <c r="BC197" s="134"/>
      <c r="BD197" s="134"/>
      <c r="BE197" s="134"/>
      <c r="BF197" s="134"/>
      <c r="BG197" s="134"/>
      <c r="BH197" s="134"/>
      <c r="BI197" s="91" t="str">
        <f t="array" ref="BI197">IFERROR(INDEX(TABLACONSOLIDADA[Buff Act],MATCH("AGROINSUMOSSTODOMINGO"&amp;Tabla_Buffers_Agroinsumos[[#This Row],[CODIGO ]],TABLACONSOLIDADA[Bodega]&amp;TABLACONSOLIDADA[Codigo],0)),"")</f>
        <v/>
      </c>
      <c r="BJ197" s="157" t="str">
        <f t="array" ref="BJ197">IFERROR(INDEX(TABLACONSOLIDADA[Inv Fís Act],MATCH("AGROINSUMOSSTODOMINGO"&amp;Tabla_Buffers_Agroinsumos[[#This Row],[CODIGO ]],TABLACONSOLIDADA[Bodega]&amp;TABLACONSOLIDADA[Codigo],0)),"")</f>
        <v/>
      </c>
      <c r="BK197" s="157" t="str">
        <f t="array" ref="BK19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9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97" s="91">
        <f>IFERROR(SUM(Tabla_Buffers_Agroinsumos[[#This Row],[SD-MP]:[SD-VL]]),"")</f>
        <v>0</v>
      </c>
      <c r="BN197" s="92"/>
      <c r="BO197" s="92"/>
      <c r="BP197" s="134"/>
      <c r="BQ197" s="134"/>
      <c r="BR197" s="134"/>
      <c r="BS197" s="134"/>
      <c r="BT197" s="134"/>
      <c r="BU197" s="134"/>
      <c r="BV197" s="134"/>
      <c r="BW197" s="134"/>
      <c r="BX197" s="134"/>
      <c r="BY197" s="134" t="str">
        <f t="array" ref="BY197">IFERROR(INDEX(TABLACONSOLIDADA[Buff Act],MATCH("AGROINSUMOSMONCAYOLOPEZ"&amp;Tabla_Buffers_Agroinsumos[[#This Row],[CODIGO ]],TABLACONSOLIDADA[Bodega]&amp;TABLACONSOLIDADA[Codigo],0)),"")</f>
        <v/>
      </c>
      <c r="BZ197" s="157" t="str">
        <f t="array" ref="BZ197">IFERROR(INDEX(TABLACONSOLIDADA[Inv Fís Act],MATCH("AGROINSUMOSMONCAYOLOPEZ"&amp;Tabla_Buffers_Agroinsumos[[#This Row],[CODIGO ]],TABLACONSOLIDADA[Bodega]&amp;TABLACONSOLIDADA[Codigo],0)),"")</f>
        <v/>
      </c>
      <c r="CA197" s="157" t="str">
        <f t="array" ref="CA19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9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97" s="134">
        <f>IFERROR(SUM(Tabla_Buffers_Agroinsumos[[#This Row],[ML-MP]:[ML-VL]]),"")</f>
        <v>0</v>
      </c>
      <c r="CD197" s="92" t="str">
        <f>IFERROR(Tabla_Buffers_Agroinsumos[[#This Row],[INV FIS ML]]-Tabla_Buffers_Agroinsumos[[#This Row],[BUFFER ML]],"")</f>
        <v/>
      </c>
      <c r="CE19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97" s="134"/>
      <c r="CG197" s="134"/>
      <c r="CH197" s="134"/>
      <c r="CI197" s="134"/>
      <c r="CJ197" s="134"/>
      <c r="CK197" s="134"/>
      <c r="CL197" s="134"/>
      <c r="CM197" s="134"/>
      <c r="CN197" s="134"/>
      <c r="CO197" s="134" t="str">
        <f t="array" ref="CO197">IFERROR(INDEX(TABLACONSOLIDADA[Buff Act],MATCH("AGROINSUMOSAGROHERMANOSLEON"&amp;Tabla_Buffers_Agroinsumos[[#This Row],[CODIGO ]],TABLACONSOLIDADA[Bodega]&amp;TABLACONSOLIDADA[Codigo],0)),"")</f>
        <v/>
      </c>
      <c r="CP197" s="157" t="str">
        <f t="array" ref="CP197">IFERROR(INDEX(TABLACONSOLIDADA[Inv Fís Act],MATCH("AGROINSUMOSAGROHERMANOSLEON"&amp;Tabla_Buffers_Agroinsumos[[#This Row],[CODIGO ]],TABLACONSOLIDADA[Bodega]&amp;TABLACONSOLIDADA[Codigo],0)),"")</f>
        <v/>
      </c>
      <c r="CQ197" s="157" t="str">
        <f t="array" ref="CQ19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9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97" s="134">
        <f>IFERROR(SUM(Tabla_Buffers_Agroinsumos[[#This Row],[AL-MP]:[AL-VL]]),"")</f>
        <v>0</v>
      </c>
      <c r="CT197" s="92" t="str">
        <f>IFERROR(Tabla_Buffers_Agroinsumos[[#This Row],[INV FIS AL]]-Tabla_Buffers_Agroinsumos[[#This Row],[BUFFER AL]],"")</f>
        <v/>
      </c>
      <c r="CU19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97" s="134"/>
      <c r="CW197" s="134"/>
      <c r="CX197" s="134"/>
      <c r="CY197" s="134"/>
      <c r="CZ197" s="134"/>
      <c r="DA197" s="134"/>
      <c r="DB197" s="134"/>
      <c r="DC197" s="134"/>
      <c r="DD197" s="134"/>
      <c r="DE197" s="134" t="str">
        <f t="array" ref="DE197">IFERROR(INDEX(TABLACONSOLIDADA[Buff Act],MATCH("AGROINSUMOSAGRONUEVO"&amp;Tabla_Buffers_Agroinsumos[[#This Row],[CODIGO ]],TABLACONSOLIDADA[Bodega]&amp;TABLACONSOLIDADA[Codigo],0)),"")</f>
        <v/>
      </c>
      <c r="DF197" s="157" t="str">
        <f t="array" ref="DF197">IFERROR(INDEX(TABLACONSOLIDADA[Inv Fís Act],MATCH("AGROINSUMOSAGRONUEVO"&amp;Tabla_Buffers_Agroinsumos[[#This Row],[CODIGO ]],TABLACONSOLIDADA[Bodega]&amp;TABLACONSOLIDADA[Codigo],0)),"")</f>
        <v/>
      </c>
      <c r="DG197" s="157" t="str">
        <f t="array" ref="DG19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9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97" s="134">
        <f>IFERROR(SUM(Tabla_Buffers_Agroinsumos[[#This Row],[AN-MP]:[AN-VL]]),"")</f>
        <v>0</v>
      </c>
      <c r="DJ197" s="92" t="str">
        <f>IFERROR(Tabla_Buffers_Agroinsumos[[#This Row],[INV FIS AN]]-Tabla_Buffers_Agroinsumos[[#This Row],[BUFFER AN]],"")</f>
        <v/>
      </c>
      <c r="DK19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97" s="134"/>
      <c r="DM197" s="134"/>
      <c r="DN197" s="134"/>
      <c r="DO197" s="134"/>
      <c r="DP197" s="134"/>
      <c r="DQ197" s="134"/>
      <c r="DR197" s="134"/>
      <c r="DS197" s="134"/>
      <c r="DT197" s="134"/>
      <c r="DU197" s="134" t="str">
        <f t="array" ref="DU197">IFERROR(INDEX(TABLACONSOLIDADA[Buff Act],MATCH("AGROINSUMOSAGROQUIMICOSSUR"&amp;Tabla_Buffers_Agroinsumos[[#This Row],[CODIGO ]],TABLACONSOLIDADA[Bodega]&amp;TABLACONSOLIDADA[Codigo],0)),"")</f>
        <v/>
      </c>
      <c r="DV197" s="157" t="str">
        <f t="array" ref="DV197">IFERROR(INDEX(TABLACONSOLIDADA[Inv Fís Act],MATCH("AGROINSUMOSAGROQUIMICOSSUR"&amp;Tabla_Buffers_Agroinsumos[[#This Row],[CODIGO ]],TABLACONSOLIDADA[Bodega]&amp;TABLACONSOLIDADA[Codigo],0)),"")</f>
        <v/>
      </c>
      <c r="DW197" s="157" t="str">
        <f t="array" ref="DW19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9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97" s="134">
        <f>IFERROR(SUM(Tabla_Buffers_Agroinsumos[[#This Row],[AS-MP]:[AS-VL]]),"")</f>
        <v>0</v>
      </c>
      <c r="DZ197" s="92" t="str">
        <f>IFERROR(Tabla_Buffers_Agroinsumos[[#This Row],[INV FIS AS]]-Tabla_Buffers_Agroinsumos[[#This Row],[BUFFER AS]],"")</f>
        <v/>
      </c>
      <c r="EA19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97" s="134"/>
      <c r="EC197" s="134"/>
      <c r="ED197" s="134"/>
      <c r="EE197" s="134"/>
      <c r="EF197" s="134"/>
      <c r="EG197" s="134"/>
      <c r="EH197" s="134"/>
      <c r="EI197" s="134"/>
      <c r="EJ197" s="134"/>
      <c r="EK197" s="134" t="str">
        <f t="array" ref="EK197">IFERROR(INDEX(TABLACONSOLIDADA[Buff Act],MATCH("AGROINSUMOSLAFINCA"&amp;Tabla_Buffers_Agroinsumos[[#This Row],[CODIGO ]],TABLACONSOLIDADA[Bodega]&amp;TABLACONSOLIDADA[Codigo],0)),"")</f>
        <v/>
      </c>
      <c r="EL197" s="157" t="str">
        <f t="array" ref="EL197">IFERROR(INDEX(TABLACONSOLIDADA[Inv Fís Act],MATCH("AGROINSUMOSLAFINCA"&amp;Tabla_Buffers_Agroinsumos[[#This Row],[CODIGO ]],TABLACONSOLIDADA[Bodega]&amp;TABLACONSOLIDADA[Codigo],0)),"")</f>
        <v/>
      </c>
      <c r="EM197" s="157" t="str">
        <f t="array" ref="EM19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9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97" s="134">
        <f>IFERROR(SUM(Tabla_Buffers_Agroinsumos[[#This Row],[LF-MP]:[LF-VL]]),"")</f>
        <v>0</v>
      </c>
      <c r="EP197" s="92" t="str">
        <f>IFERROR(Tabla_Buffers_Agroinsumos[[#This Row],[INV FIS LF]]-Tabla_Buffers_Agroinsumos[[#This Row],[BUFFER LF]],"")</f>
        <v/>
      </c>
      <c r="EQ19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97" s="134"/>
      <c r="ES197" s="134"/>
      <c r="ET197" s="134"/>
      <c r="EU197" s="134"/>
      <c r="EV197" s="134"/>
      <c r="EW197" s="134"/>
      <c r="EX197" s="134"/>
      <c r="EY197" s="134"/>
      <c r="EZ197" s="134"/>
      <c r="FA197" s="134" t="str">
        <f t="array" ref="FA197">IFERROR(INDEX(TABLACONSOLIDADA[Buff Act],MATCH("AGROINSUMOSVERONICALEDESMA"&amp;Tabla_Buffers_Agroinsumos[[#This Row],[CODIGO ]],TABLACONSOLIDADA[Bodega]&amp;TABLACONSOLIDADA[Codigo],0)),"")</f>
        <v/>
      </c>
      <c r="FB197" s="157" t="str">
        <f t="array" ref="FB197">IFERROR(INDEX(TABLACONSOLIDADA[Inv Fís Act],MATCH("AGROINSUMOSVERONICALEDESMA"&amp;Tabla_Buffers_Agroinsumos[[#This Row],[CODIGO ]],TABLACONSOLIDADA[Bodega]&amp;TABLACONSOLIDADA[Codigo],0)),"")</f>
        <v/>
      </c>
      <c r="FC197" s="157" t="str">
        <f t="array" ref="FC19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9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97" s="134">
        <f>IFERROR(SUM(Tabla_Buffers_Agroinsumos[[#This Row],[VL-MP]:[VL-LF]]),"")</f>
        <v>0</v>
      </c>
      <c r="FF197" s="92" t="str">
        <f>IFERROR(Tabla_Buffers_Agroinsumos[[#This Row],[INV FIS VL]]-Tabla_Buffers_Agroinsumos[[#This Row],[BUFFER VL]],"")</f>
        <v/>
      </c>
      <c r="FG19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97" s="134"/>
      <c r="FI197" s="134"/>
      <c r="FJ197" s="134"/>
      <c r="FK197" s="134"/>
      <c r="FL197" s="134"/>
      <c r="FM197" s="134"/>
      <c r="FN197" s="134"/>
      <c r="FO197" s="134"/>
      <c r="FP197" s="134"/>
    </row>
    <row r="198" spans="1:172">
      <c r="A198" s="7" t="s">
        <v>348</v>
      </c>
      <c r="B198" s="7" t="s">
        <v>349</v>
      </c>
      <c r="C198" s="7" t="s">
        <v>716</v>
      </c>
      <c r="D198" s="7" t="s">
        <v>718</v>
      </c>
      <c r="E198" s="7" t="s">
        <v>863</v>
      </c>
      <c r="F198" s="19" t="s">
        <v>808</v>
      </c>
      <c r="G198" s="19" t="s">
        <v>802</v>
      </c>
      <c r="H198" s="19">
        <f>VLOOKUP(Tabla_Buffers_Agroinsumos[[#This Row],[CODIGO ]],TABLACONSOLIDADA[[Codigo]:[PV]],6,0)</f>
        <v>0</v>
      </c>
      <c r="I198" s="19">
        <f>VLOOKUP(Tabla_Buffers_Agroinsumos[[#This Row],[CODIGO ]],TABLACONSOLIDADA[[Codigo]:[PV]],5,0)</f>
        <v>0.14000000000000001</v>
      </c>
      <c r="J198" s="19">
        <v>4</v>
      </c>
      <c r="K198" s="19">
        <v>6</v>
      </c>
      <c r="L198" s="19">
        <f>IFERROR(Tabla_Buffers_Agroinsumos[[#This Row],[BUFFER CENTRAL]]/((Tabla_Buffers_Agroinsumos[[#This Row],[TIEMPO REPOSICION ]]/Tabla_Buffers_Agroinsumos[[#This Row],[FRECUENCIA]])+1),0)</f>
        <v>0</v>
      </c>
      <c r="M198" s="19">
        <f t="array" ref="M198">IFERROR(INDEX(TABLACONSOLIDADA[Buff Act],MATCH("AGROINSUMOSMATERIAPRIMA"&amp;Tabla_Buffers_Agroinsumos[[#This Row],[CODIGO ]],TABLACONSOLIDADA[Bodega]&amp;TABLACONSOLIDADA[Codigo],0)),"")</f>
        <v>0</v>
      </c>
      <c r="N198" s="157">
        <f t="array" ref="N198">IFERROR(INDEX(TABLACONSOLIDADA[Inv Fís Act],MATCH("AGROINSUMOSMATERIAPRIMA"&amp;Tabla_Buffers_Agroinsumos[[#This Row],[CODIGO ]],TABLACONSOLIDADA[Bodega]&amp;TABLACONSOLIDADA[Codigo],0)),"")</f>
        <v>337</v>
      </c>
      <c r="O198" s="157">
        <f t="array" ref="O19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337</v>
      </c>
      <c r="P19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98" s="19">
        <f>IFERROR(SUM(Tabla_Buffers_Agroinsumos[[#This Row],[MP-C]:[MP-VL]]),"")</f>
        <v>0</v>
      </c>
      <c r="R198" s="92">
        <f>IFERROR(Tabla_Buffers_Agroinsumos[[#This Row],[INV FIS MATERIA PRIMA]]-Tabla_Buffers_Agroinsumos[[#This Row],[BUFFER MATERIA PRIMA]],"")</f>
        <v>337</v>
      </c>
      <c r="S19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337</v>
      </c>
      <c r="T198" s="19"/>
      <c r="U198" s="19"/>
      <c r="V198" s="19"/>
      <c r="W198" s="19"/>
      <c r="X198" s="19"/>
      <c r="Y198" s="19"/>
      <c r="Z198" s="19"/>
      <c r="AA198" s="19"/>
      <c r="AB198" s="19"/>
      <c r="AC198" s="152" t="str">
        <f t="array" ref="AC198">IFERROR(INDEX(TABLACONSOLIDADA[Buff Act],MATCH("AGROINSUMOSCENTRAL"&amp;Tabla_Buffers_Agroinsumos[[#This Row],[CODIGO ]],TABLACONSOLIDADA[Bodega]&amp;TABLACONSOLIDADA[Codigo],0)),"")</f>
        <v/>
      </c>
      <c r="AD198" s="157" t="str">
        <f t="array" ref="AD198">IFERROR(INDEX(TABLACONSOLIDADA[Inv Fís Act],MATCH("AGROINSUMOSCENTRAL"&amp;Tabla_Buffers_Agroinsumos[[#This Row],[CODIGO ]],TABLACONSOLIDADA[Bodega]&amp;TABLACONSOLIDADA[Codigo],0)),"")</f>
        <v/>
      </c>
      <c r="AE198" s="157" t="str">
        <f t="array" ref="AE19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9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98" s="91">
        <f>IFERROR(SUM(Tabla_Buffers_Agroinsumos[[#This Row],[C-MP]:[C-VL]]),"")</f>
        <v>0</v>
      </c>
      <c r="AH198" s="92" t="str">
        <f>IFERROR(Tabla_Buffers_Agroinsumos[[#This Row],[INV FIS CENTRAL]]-Tabla_Buffers_Agroinsumos[[#This Row],[BUFFER CENTRAL]],"")</f>
        <v/>
      </c>
      <c r="AI19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98" s="134"/>
      <c r="AK198" s="134"/>
      <c r="AL198" s="134"/>
      <c r="AM198" s="134"/>
      <c r="AN198" s="134"/>
      <c r="AO198" s="134"/>
      <c r="AP198" s="134"/>
      <c r="AQ198" s="134"/>
      <c r="AR198" s="134"/>
      <c r="AS198" s="134" t="str">
        <f t="array" ref="AS198">IFERROR(INDEX(TABLACONSOLIDADA[Buff Act],MATCH("AGROINSUMOScentralPROPIA"&amp;Tabla_Buffers_Agroinsumos[[#This Row],[CODIGO ]],TABLACONSOLIDADA[Bodega]&amp;TABLACONSOLIDADA[Codigo],0)),"")</f>
        <v/>
      </c>
      <c r="AT198" s="157" t="str">
        <f t="array" ref="AT198">IFERROR(INDEX(TABLACONSOLIDADA[Inv Fís Act],MATCH("AGROINSUMOScentralPROPIA"&amp;Tabla_Buffers_Agroinsumos[[#This Row],[CODIGO ]],TABLACONSOLIDADA[Bodega]&amp;TABLACONSOLIDADA[Codigo],0)),"")</f>
        <v/>
      </c>
      <c r="AU198" s="157" t="str">
        <f t="array" ref="AU19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9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98" s="134">
        <f>IFERROR(SUM(Tabla_Buffers_Agroinsumos[[#This Row],[P-MP]:[P-VL]]),"")</f>
        <v>0</v>
      </c>
      <c r="AX198" s="92" t="str">
        <f>IFERROR(Tabla_Buffers_Agroinsumos[[#This Row],[INV FIS PROPIA]]-Tabla_Buffers_Agroinsumos[[#This Row],[BUFFER PROPIA]],"")</f>
        <v/>
      </c>
      <c r="AY19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98" s="134"/>
      <c r="BA198" s="134"/>
      <c r="BB198" s="134"/>
      <c r="BC198" s="134"/>
      <c r="BD198" s="134"/>
      <c r="BE198" s="134"/>
      <c r="BF198" s="134"/>
      <c r="BG198" s="134"/>
      <c r="BH198" s="134"/>
      <c r="BI198" s="91" t="str">
        <f t="array" ref="BI198">IFERROR(INDEX(TABLACONSOLIDADA[Buff Act],MATCH("AGROINSUMOSSTODOMINGO"&amp;Tabla_Buffers_Agroinsumos[[#This Row],[CODIGO ]],TABLACONSOLIDADA[Bodega]&amp;TABLACONSOLIDADA[Codigo],0)),"")</f>
        <v/>
      </c>
      <c r="BJ198" s="157" t="str">
        <f t="array" ref="BJ198">IFERROR(INDEX(TABLACONSOLIDADA[Inv Fís Act],MATCH("AGROINSUMOSSTODOMINGO"&amp;Tabla_Buffers_Agroinsumos[[#This Row],[CODIGO ]],TABLACONSOLIDADA[Bodega]&amp;TABLACONSOLIDADA[Codigo],0)),"")</f>
        <v/>
      </c>
      <c r="BK198" s="157" t="str">
        <f t="array" ref="BK19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9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98" s="91">
        <f>IFERROR(SUM(Tabla_Buffers_Agroinsumos[[#This Row],[SD-MP]:[SD-VL]]),"")</f>
        <v>0</v>
      </c>
      <c r="BN198" s="92"/>
      <c r="BO198" s="92"/>
      <c r="BP198" s="134"/>
      <c r="BQ198" s="134"/>
      <c r="BR198" s="134"/>
      <c r="BS198" s="134"/>
      <c r="BT198" s="134"/>
      <c r="BU198" s="134"/>
      <c r="BV198" s="134"/>
      <c r="BW198" s="134"/>
      <c r="BX198" s="134"/>
      <c r="BY198" s="134" t="str">
        <f t="array" ref="BY198">IFERROR(INDEX(TABLACONSOLIDADA[Buff Act],MATCH("AGROINSUMOSMONCAYOLOPEZ"&amp;Tabla_Buffers_Agroinsumos[[#This Row],[CODIGO ]],TABLACONSOLIDADA[Bodega]&amp;TABLACONSOLIDADA[Codigo],0)),"")</f>
        <v/>
      </c>
      <c r="BZ198" s="157" t="str">
        <f t="array" ref="BZ198">IFERROR(INDEX(TABLACONSOLIDADA[Inv Fís Act],MATCH("AGROINSUMOSMONCAYOLOPEZ"&amp;Tabla_Buffers_Agroinsumos[[#This Row],[CODIGO ]],TABLACONSOLIDADA[Bodega]&amp;TABLACONSOLIDADA[Codigo],0)),"")</f>
        <v/>
      </c>
      <c r="CA198" s="157" t="str">
        <f t="array" ref="CA19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9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98" s="134">
        <f>IFERROR(SUM(Tabla_Buffers_Agroinsumos[[#This Row],[ML-MP]:[ML-VL]]),"")</f>
        <v>0</v>
      </c>
      <c r="CD198" s="92" t="str">
        <f>IFERROR(Tabla_Buffers_Agroinsumos[[#This Row],[INV FIS ML]]-Tabla_Buffers_Agroinsumos[[#This Row],[BUFFER ML]],"")</f>
        <v/>
      </c>
      <c r="CE19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98" s="134"/>
      <c r="CG198" s="134"/>
      <c r="CH198" s="134"/>
      <c r="CI198" s="134"/>
      <c r="CJ198" s="134"/>
      <c r="CK198" s="134"/>
      <c r="CL198" s="134"/>
      <c r="CM198" s="134"/>
      <c r="CN198" s="134"/>
      <c r="CO198" s="134" t="str">
        <f t="array" ref="CO198">IFERROR(INDEX(TABLACONSOLIDADA[Buff Act],MATCH("AGROINSUMOSAGROHERMANOSLEON"&amp;Tabla_Buffers_Agroinsumos[[#This Row],[CODIGO ]],TABLACONSOLIDADA[Bodega]&amp;TABLACONSOLIDADA[Codigo],0)),"")</f>
        <v/>
      </c>
      <c r="CP198" s="157" t="str">
        <f t="array" ref="CP198">IFERROR(INDEX(TABLACONSOLIDADA[Inv Fís Act],MATCH("AGROINSUMOSAGROHERMANOSLEON"&amp;Tabla_Buffers_Agroinsumos[[#This Row],[CODIGO ]],TABLACONSOLIDADA[Bodega]&amp;TABLACONSOLIDADA[Codigo],0)),"")</f>
        <v/>
      </c>
      <c r="CQ198" s="157" t="str">
        <f t="array" ref="CQ19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9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98" s="134">
        <f>IFERROR(SUM(Tabla_Buffers_Agroinsumos[[#This Row],[AL-MP]:[AL-VL]]),"")</f>
        <v>0</v>
      </c>
      <c r="CT198" s="92" t="str">
        <f>IFERROR(Tabla_Buffers_Agroinsumos[[#This Row],[INV FIS AL]]-Tabla_Buffers_Agroinsumos[[#This Row],[BUFFER AL]],"")</f>
        <v/>
      </c>
      <c r="CU19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98" s="134"/>
      <c r="CW198" s="134"/>
      <c r="CX198" s="134"/>
      <c r="CY198" s="134"/>
      <c r="CZ198" s="134"/>
      <c r="DA198" s="134"/>
      <c r="DB198" s="134"/>
      <c r="DC198" s="134"/>
      <c r="DD198" s="134"/>
      <c r="DE198" s="134" t="str">
        <f t="array" ref="DE198">IFERROR(INDEX(TABLACONSOLIDADA[Buff Act],MATCH("AGROINSUMOSAGRONUEVO"&amp;Tabla_Buffers_Agroinsumos[[#This Row],[CODIGO ]],TABLACONSOLIDADA[Bodega]&amp;TABLACONSOLIDADA[Codigo],0)),"")</f>
        <v/>
      </c>
      <c r="DF198" s="157" t="str">
        <f t="array" ref="DF198">IFERROR(INDEX(TABLACONSOLIDADA[Inv Fís Act],MATCH("AGROINSUMOSAGRONUEVO"&amp;Tabla_Buffers_Agroinsumos[[#This Row],[CODIGO ]],TABLACONSOLIDADA[Bodega]&amp;TABLACONSOLIDADA[Codigo],0)),"")</f>
        <v/>
      </c>
      <c r="DG198" s="157" t="str">
        <f t="array" ref="DG19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9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98" s="134">
        <f>IFERROR(SUM(Tabla_Buffers_Agroinsumos[[#This Row],[AN-MP]:[AN-VL]]),"")</f>
        <v>0</v>
      </c>
      <c r="DJ198" s="92" t="str">
        <f>IFERROR(Tabla_Buffers_Agroinsumos[[#This Row],[INV FIS AN]]-Tabla_Buffers_Agroinsumos[[#This Row],[BUFFER AN]],"")</f>
        <v/>
      </c>
      <c r="DK19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98" s="134"/>
      <c r="DM198" s="134"/>
      <c r="DN198" s="134"/>
      <c r="DO198" s="134"/>
      <c r="DP198" s="134"/>
      <c r="DQ198" s="134"/>
      <c r="DR198" s="134"/>
      <c r="DS198" s="134"/>
      <c r="DT198" s="134"/>
      <c r="DU198" s="134" t="str">
        <f t="array" ref="DU198">IFERROR(INDEX(TABLACONSOLIDADA[Buff Act],MATCH("AGROINSUMOSAGROQUIMICOSSUR"&amp;Tabla_Buffers_Agroinsumos[[#This Row],[CODIGO ]],TABLACONSOLIDADA[Bodega]&amp;TABLACONSOLIDADA[Codigo],0)),"")</f>
        <v/>
      </c>
      <c r="DV198" s="157" t="str">
        <f t="array" ref="DV198">IFERROR(INDEX(TABLACONSOLIDADA[Inv Fís Act],MATCH("AGROINSUMOSAGROQUIMICOSSUR"&amp;Tabla_Buffers_Agroinsumos[[#This Row],[CODIGO ]],TABLACONSOLIDADA[Bodega]&amp;TABLACONSOLIDADA[Codigo],0)),"")</f>
        <v/>
      </c>
      <c r="DW198" s="157" t="str">
        <f t="array" ref="DW19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9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98" s="134">
        <f>IFERROR(SUM(Tabla_Buffers_Agroinsumos[[#This Row],[AS-MP]:[AS-VL]]),"")</f>
        <v>0</v>
      </c>
      <c r="DZ198" s="92" t="str">
        <f>IFERROR(Tabla_Buffers_Agroinsumos[[#This Row],[INV FIS AS]]-Tabla_Buffers_Agroinsumos[[#This Row],[BUFFER AS]],"")</f>
        <v/>
      </c>
      <c r="EA19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98" s="134"/>
      <c r="EC198" s="134"/>
      <c r="ED198" s="134"/>
      <c r="EE198" s="134"/>
      <c r="EF198" s="134"/>
      <c r="EG198" s="134"/>
      <c r="EH198" s="134"/>
      <c r="EI198" s="134"/>
      <c r="EJ198" s="134"/>
      <c r="EK198" s="134" t="str">
        <f t="array" ref="EK198">IFERROR(INDEX(TABLACONSOLIDADA[Buff Act],MATCH("AGROINSUMOSLAFINCA"&amp;Tabla_Buffers_Agroinsumos[[#This Row],[CODIGO ]],TABLACONSOLIDADA[Bodega]&amp;TABLACONSOLIDADA[Codigo],0)),"")</f>
        <v/>
      </c>
      <c r="EL198" s="157" t="str">
        <f t="array" ref="EL198">IFERROR(INDEX(TABLACONSOLIDADA[Inv Fís Act],MATCH("AGROINSUMOSLAFINCA"&amp;Tabla_Buffers_Agroinsumos[[#This Row],[CODIGO ]],TABLACONSOLIDADA[Bodega]&amp;TABLACONSOLIDADA[Codigo],0)),"")</f>
        <v/>
      </c>
      <c r="EM198" s="157" t="str">
        <f t="array" ref="EM19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9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98" s="134">
        <f>IFERROR(SUM(Tabla_Buffers_Agroinsumos[[#This Row],[LF-MP]:[LF-VL]]),"")</f>
        <v>0</v>
      </c>
      <c r="EP198" s="92" t="str">
        <f>IFERROR(Tabla_Buffers_Agroinsumos[[#This Row],[INV FIS LF]]-Tabla_Buffers_Agroinsumos[[#This Row],[BUFFER LF]],"")</f>
        <v/>
      </c>
      <c r="EQ19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98" s="134"/>
      <c r="ES198" s="134"/>
      <c r="ET198" s="134"/>
      <c r="EU198" s="134"/>
      <c r="EV198" s="134"/>
      <c r="EW198" s="134"/>
      <c r="EX198" s="134"/>
      <c r="EY198" s="134"/>
      <c r="EZ198" s="134"/>
      <c r="FA198" s="134" t="str">
        <f t="array" ref="FA198">IFERROR(INDEX(TABLACONSOLIDADA[Buff Act],MATCH("AGROINSUMOSVERONICALEDESMA"&amp;Tabla_Buffers_Agroinsumos[[#This Row],[CODIGO ]],TABLACONSOLIDADA[Bodega]&amp;TABLACONSOLIDADA[Codigo],0)),"")</f>
        <v/>
      </c>
      <c r="FB198" s="157" t="str">
        <f t="array" ref="FB198">IFERROR(INDEX(TABLACONSOLIDADA[Inv Fís Act],MATCH("AGROINSUMOSVERONICALEDESMA"&amp;Tabla_Buffers_Agroinsumos[[#This Row],[CODIGO ]],TABLACONSOLIDADA[Bodega]&amp;TABLACONSOLIDADA[Codigo],0)),"")</f>
        <v/>
      </c>
      <c r="FC198" s="157" t="str">
        <f t="array" ref="FC19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9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98" s="134">
        <f>IFERROR(SUM(Tabla_Buffers_Agroinsumos[[#This Row],[VL-MP]:[VL-LF]]),"")</f>
        <v>0</v>
      </c>
      <c r="FF198" s="92" t="str">
        <f>IFERROR(Tabla_Buffers_Agroinsumos[[#This Row],[INV FIS VL]]-Tabla_Buffers_Agroinsumos[[#This Row],[BUFFER VL]],"")</f>
        <v/>
      </c>
      <c r="FG19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98" s="134"/>
      <c r="FI198" s="134"/>
      <c r="FJ198" s="134"/>
      <c r="FK198" s="134"/>
      <c r="FL198" s="134"/>
      <c r="FM198" s="134"/>
      <c r="FN198" s="134"/>
      <c r="FO198" s="134"/>
      <c r="FP198" s="134"/>
    </row>
    <row r="199" spans="1:172">
      <c r="A199" s="7" t="s">
        <v>350</v>
      </c>
      <c r="B199" s="7" t="s">
        <v>351</v>
      </c>
      <c r="C199" s="7" t="s">
        <v>716</v>
      </c>
      <c r="D199" s="7" t="s">
        <v>718</v>
      </c>
      <c r="E199" s="7" t="s">
        <v>863</v>
      </c>
      <c r="F199" s="19" t="s">
        <v>808</v>
      </c>
      <c r="G199" s="19" t="s">
        <v>802</v>
      </c>
      <c r="H199" s="19">
        <f>VLOOKUP(Tabla_Buffers_Agroinsumos[[#This Row],[CODIGO ]],TABLACONSOLIDADA[[Codigo]:[PV]],6,0)</f>
        <v>0</v>
      </c>
      <c r="I199" s="19">
        <f>VLOOKUP(Tabla_Buffers_Agroinsumos[[#This Row],[CODIGO ]],TABLACONSOLIDADA[[Codigo]:[PV]],5,0)</f>
        <v>0.11</v>
      </c>
      <c r="J199" s="19">
        <v>4</v>
      </c>
      <c r="K199" s="19">
        <v>6</v>
      </c>
      <c r="L199" s="19">
        <f>IFERROR(Tabla_Buffers_Agroinsumos[[#This Row],[BUFFER CENTRAL]]/((Tabla_Buffers_Agroinsumos[[#This Row],[TIEMPO REPOSICION ]]/Tabla_Buffers_Agroinsumos[[#This Row],[FRECUENCIA]])+1),0)</f>
        <v>0</v>
      </c>
      <c r="M199" s="19">
        <f t="array" ref="M199">IFERROR(INDEX(TABLACONSOLIDADA[Buff Act],MATCH("AGROINSUMOSMATERIAPRIMA"&amp;Tabla_Buffers_Agroinsumos[[#This Row],[CODIGO ]],TABLACONSOLIDADA[Bodega]&amp;TABLACONSOLIDADA[Codigo],0)),"")</f>
        <v>0</v>
      </c>
      <c r="N199" s="157">
        <f t="array" ref="N199">IFERROR(INDEX(TABLACONSOLIDADA[Inv Fís Act],MATCH("AGROINSUMOSMATERIAPRIMA"&amp;Tabla_Buffers_Agroinsumos[[#This Row],[CODIGO ]],TABLACONSOLIDADA[Bodega]&amp;TABLACONSOLIDADA[Codigo],0)),"")</f>
        <v>0</v>
      </c>
      <c r="O199" s="157">
        <f t="array" ref="O19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19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199" s="19">
        <f>IFERROR(SUM(Tabla_Buffers_Agroinsumos[[#This Row],[MP-C]:[MP-VL]]),"")</f>
        <v>0</v>
      </c>
      <c r="R199" s="92">
        <f>IFERROR(Tabla_Buffers_Agroinsumos[[#This Row],[INV FIS MATERIA PRIMA]]-Tabla_Buffers_Agroinsumos[[#This Row],[BUFFER MATERIA PRIMA]],"")</f>
        <v>0</v>
      </c>
      <c r="S19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199" s="19"/>
      <c r="U199" s="19"/>
      <c r="V199" s="19"/>
      <c r="W199" s="19"/>
      <c r="X199" s="19"/>
      <c r="Y199" s="19"/>
      <c r="Z199" s="19"/>
      <c r="AA199" s="19"/>
      <c r="AB199" s="19"/>
      <c r="AC199" s="152" t="str">
        <f t="array" ref="AC199">IFERROR(INDEX(TABLACONSOLIDADA[Buff Act],MATCH("AGROINSUMOSCENTRAL"&amp;Tabla_Buffers_Agroinsumos[[#This Row],[CODIGO ]],TABLACONSOLIDADA[Bodega]&amp;TABLACONSOLIDADA[Codigo],0)),"")</f>
        <v/>
      </c>
      <c r="AD199" s="157" t="str">
        <f t="array" ref="AD199">IFERROR(INDEX(TABLACONSOLIDADA[Inv Fís Act],MATCH("AGROINSUMOSCENTRAL"&amp;Tabla_Buffers_Agroinsumos[[#This Row],[CODIGO ]],TABLACONSOLIDADA[Bodega]&amp;TABLACONSOLIDADA[Codigo],0)),"")</f>
        <v/>
      </c>
      <c r="AE199" s="157" t="str">
        <f t="array" ref="AE19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19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199" s="91">
        <f>IFERROR(SUM(Tabla_Buffers_Agroinsumos[[#This Row],[C-MP]:[C-VL]]),"")</f>
        <v>0</v>
      </c>
      <c r="AH199" s="92" t="str">
        <f>IFERROR(Tabla_Buffers_Agroinsumos[[#This Row],[INV FIS CENTRAL]]-Tabla_Buffers_Agroinsumos[[#This Row],[BUFFER CENTRAL]],"")</f>
        <v/>
      </c>
      <c r="AI19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199" s="134"/>
      <c r="AK199" s="134"/>
      <c r="AL199" s="134"/>
      <c r="AM199" s="134"/>
      <c r="AN199" s="134"/>
      <c r="AO199" s="134"/>
      <c r="AP199" s="134"/>
      <c r="AQ199" s="134"/>
      <c r="AR199" s="134"/>
      <c r="AS199" s="134" t="str">
        <f t="array" ref="AS199">IFERROR(INDEX(TABLACONSOLIDADA[Buff Act],MATCH("AGROINSUMOScentralPROPIA"&amp;Tabla_Buffers_Agroinsumos[[#This Row],[CODIGO ]],TABLACONSOLIDADA[Bodega]&amp;TABLACONSOLIDADA[Codigo],0)),"")</f>
        <v/>
      </c>
      <c r="AT199" s="157" t="str">
        <f t="array" ref="AT199">IFERROR(INDEX(TABLACONSOLIDADA[Inv Fís Act],MATCH("AGROINSUMOScentralPROPIA"&amp;Tabla_Buffers_Agroinsumos[[#This Row],[CODIGO ]],TABLACONSOLIDADA[Bodega]&amp;TABLACONSOLIDADA[Codigo],0)),"")</f>
        <v/>
      </c>
      <c r="AU199" s="157" t="str">
        <f t="array" ref="AU19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19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199" s="134">
        <f>IFERROR(SUM(Tabla_Buffers_Agroinsumos[[#This Row],[P-MP]:[P-VL]]),"")</f>
        <v>0</v>
      </c>
      <c r="AX199" s="92" t="str">
        <f>IFERROR(Tabla_Buffers_Agroinsumos[[#This Row],[INV FIS PROPIA]]-Tabla_Buffers_Agroinsumos[[#This Row],[BUFFER PROPIA]],"")</f>
        <v/>
      </c>
      <c r="AY19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199" s="134"/>
      <c r="BA199" s="134"/>
      <c r="BB199" s="134"/>
      <c r="BC199" s="134"/>
      <c r="BD199" s="134"/>
      <c r="BE199" s="134"/>
      <c r="BF199" s="134"/>
      <c r="BG199" s="134"/>
      <c r="BH199" s="134"/>
      <c r="BI199" s="91" t="str">
        <f t="array" ref="BI199">IFERROR(INDEX(TABLACONSOLIDADA[Buff Act],MATCH("AGROINSUMOSSTODOMINGO"&amp;Tabla_Buffers_Agroinsumos[[#This Row],[CODIGO ]],TABLACONSOLIDADA[Bodega]&amp;TABLACONSOLIDADA[Codigo],0)),"")</f>
        <v/>
      </c>
      <c r="BJ199" s="157" t="str">
        <f t="array" ref="BJ199">IFERROR(INDEX(TABLACONSOLIDADA[Inv Fís Act],MATCH("AGROINSUMOSSTODOMINGO"&amp;Tabla_Buffers_Agroinsumos[[#This Row],[CODIGO ]],TABLACONSOLIDADA[Bodega]&amp;TABLACONSOLIDADA[Codigo],0)),"")</f>
        <v/>
      </c>
      <c r="BK199" s="157" t="str">
        <f t="array" ref="BK19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19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199" s="91">
        <f>IFERROR(SUM(Tabla_Buffers_Agroinsumos[[#This Row],[SD-MP]:[SD-VL]]),"")</f>
        <v>0</v>
      </c>
      <c r="BN199" s="92"/>
      <c r="BO199" s="92"/>
      <c r="BP199" s="134"/>
      <c r="BQ199" s="134"/>
      <c r="BR199" s="134"/>
      <c r="BS199" s="134"/>
      <c r="BT199" s="134"/>
      <c r="BU199" s="134"/>
      <c r="BV199" s="134"/>
      <c r="BW199" s="134"/>
      <c r="BX199" s="134"/>
      <c r="BY199" s="134" t="str">
        <f t="array" ref="BY199">IFERROR(INDEX(TABLACONSOLIDADA[Buff Act],MATCH("AGROINSUMOSMONCAYOLOPEZ"&amp;Tabla_Buffers_Agroinsumos[[#This Row],[CODIGO ]],TABLACONSOLIDADA[Bodega]&amp;TABLACONSOLIDADA[Codigo],0)),"")</f>
        <v/>
      </c>
      <c r="BZ199" s="157" t="str">
        <f t="array" ref="BZ199">IFERROR(INDEX(TABLACONSOLIDADA[Inv Fís Act],MATCH("AGROINSUMOSMONCAYOLOPEZ"&amp;Tabla_Buffers_Agroinsumos[[#This Row],[CODIGO ]],TABLACONSOLIDADA[Bodega]&amp;TABLACONSOLIDADA[Codigo],0)),"")</f>
        <v/>
      </c>
      <c r="CA199" s="157" t="str">
        <f t="array" ref="CA19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19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199" s="134">
        <f>IFERROR(SUM(Tabla_Buffers_Agroinsumos[[#This Row],[ML-MP]:[ML-VL]]),"")</f>
        <v>0</v>
      </c>
      <c r="CD199" s="92" t="str">
        <f>IFERROR(Tabla_Buffers_Agroinsumos[[#This Row],[INV FIS ML]]-Tabla_Buffers_Agroinsumos[[#This Row],[BUFFER ML]],"")</f>
        <v/>
      </c>
      <c r="CE19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199" s="134"/>
      <c r="CG199" s="134"/>
      <c r="CH199" s="134"/>
      <c r="CI199" s="134"/>
      <c r="CJ199" s="134"/>
      <c r="CK199" s="134"/>
      <c r="CL199" s="134"/>
      <c r="CM199" s="134"/>
      <c r="CN199" s="134"/>
      <c r="CO199" s="134" t="str">
        <f t="array" ref="CO199">IFERROR(INDEX(TABLACONSOLIDADA[Buff Act],MATCH("AGROINSUMOSAGROHERMANOSLEON"&amp;Tabla_Buffers_Agroinsumos[[#This Row],[CODIGO ]],TABLACONSOLIDADA[Bodega]&amp;TABLACONSOLIDADA[Codigo],0)),"")</f>
        <v/>
      </c>
      <c r="CP199" s="157" t="str">
        <f t="array" ref="CP199">IFERROR(INDEX(TABLACONSOLIDADA[Inv Fís Act],MATCH("AGROINSUMOSAGROHERMANOSLEON"&amp;Tabla_Buffers_Agroinsumos[[#This Row],[CODIGO ]],TABLACONSOLIDADA[Bodega]&amp;TABLACONSOLIDADA[Codigo],0)),"")</f>
        <v/>
      </c>
      <c r="CQ199" s="157" t="str">
        <f t="array" ref="CQ19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19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199" s="134">
        <f>IFERROR(SUM(Tabla_Buffers_Agroinsumos[[#This Row],[AL-MP]:[AL-VL]]),"")</f>
        <v>0</v>
      </c>
      <c r="CT199" s="92" t="str">
        <f>IFERROR(Tabla_Buffers_Agroinsumos[[#This Row],[INV FIS AL]]-Tabla_Buffers_Agroinsumos[[#This Row],[BUFFER AL]],"")</f>
        <v/>
      </c>
      <c r="CU19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199" s="134"/>
      <c r="CW199" s="134"/>
      <c r="CX199" s="134"/>
      <c r="CY199" s="134"/>
      <c r="CZ199" s="134"/>
      <c r="DA199" s="134"/>
      <c r="DB199" s="134"/>
      <c r="DC199" s="134"/>
      <c r="DD199" s="134"/>
      <c r="DE199" s="134" t="str">
        <f t="array" ref="DE199">IFERROR(INDEX(TABLACONSOLIDADA[Buff Act],MATCH("AGROINSUMOSAGRONUEVO"&amp;Tabla_Buffers_Agroinsumos[[#This Row],[CODIGO ]],TABLACONSOLIDADA[Bodega]&amp;TABLACONSOLIDADA[Codigo],0)),"")</f>
        <v/>
      </c>
      <c r="DF199" s="157" t="str">
        <f t="array" ref="DF199">IFERROR(INDEX(TABLACONSOLIDADA[Inv Fís Act],MATCH("AGROINSUMOSAGRONUEVO"&amp;Tabla_Buffers_Agroinsumos[[#This Row],[CODIGO ]],TABLACONSOLIDADA[Bodega]&amp;TABLACONSOLIDADA[Codigo],0)),"")</f>
        <v/>
      </c>
      <c r="DG199" s="157" t="str">
        <f t="array" ref="DG19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19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199" s="134">
        <f>IFERROR(SUM(Tabla_Buffers_Agroinsumos[[#This Row],[AN-MP]:[AN-VL]]),"")</f>
        <v>0</v>
      </c>
      <c r="DJ199" s="92" t="str">
        <f>IFERROR(Tabla_Buffers_Agroinsumos[[#This Row],[INV FIS AN]]-Tabla_Buffers_Agroinsumos[[#This Row],[BUFFER AN]],"")</f>
        <v/>
      </c>
      <c r="DK19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199" s="134"/>
      <c r="DM199" s="134"/>
      <c r="DN199" s="134"/>
      <c r="DO199" s="134"/>
      <c r="DP199" s="134"/>
      <c r="DQ199" s="134"/>
      <c r="DR199" s="134"/>
      <c r="DS199" s="134"/>
      <c r="DT199" s="134"/>
      <c r="DU199" s="134" t="str">
        <f t="array" ref="DU199">IFERROR(INDEX(TABLACONSOLIDADA[Buff Act],MATCH("AGROINSUMOSAGROQUIMICOSSUR"&amp;Tabla_Buffers_Agroinsumos[[#This Row],[CODIGO ]],TABLACONSOLIDADA[Bodega]&amp;TABLACONSOLIDADA[Codigo],0)),"")</f>
        <v/>
      </c>
      <c r="DV199" s="157" t="str">
        <f t="array" ref="DV199">IFERROR(INDEX(TABLACONSOLIDADA[Inv Fís Act],MATCH("AGROINSUMOSAGROQUIMICOSSUR"&amp;Tabla_Buffers_Agroinsumos[[#This Row],[CODIGO ]],TABLACONSOLIDADA[Bodega]&amp;TABLACONSOLIDADA[Codigo],0)),"")</f>
        <v/>
      </c>
      <c r="DW199" s="157" t="str">
        <f t="array" ref="DW19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19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199" s="134">
        <f>IFERROR(SUM(Tabla_Buffers_Agroinsumos[[#This Row],[AS-MP]:[AS-VL]]),"")</f>
        <v>0</v>
      </c>
      <c r="DZ199" s="92" t="str">
        <f>IFERROR(Tabla_Buffers_Agroinsumos[[#This Row],[INV FIS AS]]-Tabla_Buffers_Agroinsumos[[#This Row],[BUFFER AS]],"")</f>
        <v/>
      </c>
      <c r="EA19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199" s="134"/>
      <c r="EC199" s="134"/>
      <c r="ED199" s="134"/>
      <c r="EE199" s="134"/>
      <c r="EF199" s="134"/>
      <c r="EG199" s="134"/>
      <c r="EH199" s="134"/>
      <c r="EI199" s="134"/>
      <c r="EJ199" s="134"/>
      <c r="EK199" s="134" t="str">
        <f t="array" ref="EK199">IFERROR(INDEX(TABLACONSOLIDADA[Buff Act],MATCH("AGROINSUMOSLAFINCA"&amp;Tabla_Buffers_Agroinsumos[[#This Row],[CODIGO ]],TABLACONSOLIDADA[Bodega]&amp;TABLACONSOLIDADA[Codigo],0)),"")</f>
        <v/>
      </c>
      <c r="EL199" s="157" t="str">
        <f t="array" ref="EL199">IFERROR(INDEX(TABLACONSOLIDADA[Inv Fís Act],MATCH("AGROINSUMOSLAFINCA"&amp;Tabla_Buffers_Agroinsumos[[#This Row],[CODIGO ]],TABLACONSOLIDADA[Bodega]&amp;TABLACONSOLIDADA[Codigo],0)),"")</f>
        <v/>
      </c>
      <c r="EM199" s="157" t="str">
        <f t="array" ref="EM19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19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199" s="134">
        <f>IFERROR(SUM(Tabla_Buffers_Agroinsumos[[#This Row],[LF-MP]:[LF-VL]]),"")</f>
        <v>0</v>
      </c>
      <c r="EP199" s="92" t="str">
        <f>IFERROR(Tabla_Buffers_Agroinsumos[[#This Row],[INV FIS LF]]-Tabla_Buffers_Agroinsumos[[#This Row],[BUFFER LF]],"")</f>
        <v/>
      </c>
      <c r="EQ19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199" s="134"/>
      <c r="ES199" s="134"/>
      <c r="ET199" s="134"/>
      <c r="EU199" s="134"/>
      <c r="EV199" s="134"/>
      <c r="EW199" s="134"/>
      <c r="EX199" s="134"/>
      <c r="EY199" s="134"/>
      <c r="EZ199" s="134"/>
      <c r="FA199" s="134" t="str">
        <f t="array" ref="FA199">IFERROR(INDEX(TABLACONSOLIDADA[Buff Act],MATCH("AGROINSUMOSVERONICALEDESMA"&amp;Tabla_Buffers_Agroinsumos[[#This Row],[CODIGO ]],TABLACONSOLIDADA[Bodega]&amp;TABLACONSOLIDADA[Codigo],0)),"")</f>
        <v/>
      </c>
      <c r="FB199" s="157" t="str">
        <f t="array" ref="FB199">IFERROR(INDEX(TABLACONSOLIDADA[Inv Fís Act],MATCH("AGROINSUMOSVERONICALEDESMA"&amp;Tabla_Buffers_Agroinsumos[[#This Row],[CODIGO ]],TABLACONSOLIDADA[Bodega]&amp;TABLACONSOLIDADA[Codigo],0)),"")</f>
        <v/>
      </c>
      <c r="FC199" s="157" t="str">
        <f t="array" ref="FC19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19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199" s="134">
        <f>IFERROR(SUM(Tabla_Buffers_Agroinsumos[[#This Row],[VL-MP]:[VL-LF]]),"")</f>
        <v>0</v>
      </c>
      <c r="FF199" s="92" t="str">
        <f>IFERROR(Tabla_Buffers_Agroinsumos[[#This Row],[INV FIS VL]]-Tabla_Buffers_Agroinsumos[[#This Row],[BUFFER VL]],"")</f>
        <v/>
      </c>
      <c r="FG19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199" s="134"/>
      <c r="FI199" s="134"/>
      <c r="FJ199" s="134"/>
      <c r="FK199" s="134"/>
      <c r="FL199" s="134"/>
      <c r="FM199" s="134"/>
      <c r="FN199" s="134"/>
      <c r="FO199" s="134"/>
      <c r="FP199" s="134"/>
    </row>
    <row r="200" spans="1:172">
      <c r="A200" s="7" t="s">
        <v>352</v>
      </c>
      <c r="B200" s="7" t="s">
        <v>353</v>
      </c>
      <c r="C200" s="7" t="s">
        <v>716</v>
      </c>
      <c r="D200" s="7" t="s">
        <v>718</v>
      </c>
      <c r="E200" s="7" t="s">
        <v>863</v>
      </c>
      <c r="F200" s="19" t="s">
        <v>808</v>
      </c>
      <c r="G200" s="19" t="s">
        <v>802</v>
      </c>
      <c r="H200" s="19">
        <f>VLOOKUP(Tabla_Buffers_Agroinsumos[[#This Row],[CODIGO ]],TABLACONSOLIDADA[[Codigo]:[PV]],6,0)</f>
        <v>0</v>
      </c>
      <c r="I200" s="19">
        <f>VLOOKUP(Tabla_Buffers_Agroinsumos[[#This Row],[CODIGO ]],TABLACONSOLIDADA[[Codigo]:[PV]],5,0)</f>
        <v>0.11</v>
      </c>
      <c r="J200" s="19">
        <v>4</v>
      </c>
      <c r="K200" s="19">
        <v>6</v>
      </c>
      <c r="L200" s="19">
        <f>IFERROR(Tabla_Buffers_Agroinsumos[[#This Row],[BUFFER CENTRAL]]/((Tabla_Buffers_Agroinsumos[[#This Row],[TIEMPO REPOSICION ]]/Tabla_Buffers_Agroinsumos[[#This Row],[FRECUENCIA]])+1),0)</f>
        <v>0</v>
      </c>
      <c r="M200" s="19">
        <f t="array" ref="M200">IFERROR(INDEX(TABLACONSOLIDADA[Buff Act],MATCH("AGROINSUMOSMATERIAPRIMA"&amp;Tabla_Buffers_Agroinsumos[[#This Row],[CODIGO ]],TABLACONSOLIDADA[Bodega]&amp;TABLACONSOLIDADA[Codigo],0)),"")</f>
        <v>0</v>
      </c>
      <c r="N200" s="157">
        <f t="array" ref="N200">IFERROR(INDEX(TABLACONSOLIDADA[Inv Fís Act],MATCH("AGROINSUMOSMATERIAPRIMA"&amp;Tabla_Buffers_Agroinsumos[[#This Row],[CODIGO ]],TABLACONSOLIDADA[Bodega]&amp;TABLACONSOLIDADA[Codigo],0)),"")</f>
        <v>0</v>
      </c>
      <c r="O200" s="157">
        <f t="array" ref="O20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20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00" s="19">
        <f>IFERROR(SUM(Tabla_Buffers_Agroinsumos[[#This Row],[MP-C]:[MP-VL]]),"")</f>
        <v>0</v>
      </c>
      <c r="R200" s="92">
        <f>IFERROR(Tabla_Buffers_Agroinsumos[[#This Row],[INV FIS MATERIA PRIMA]]-Tabla_Buffers_Agroinsumos[[#This Row],[BUFFER MATERIA PRIMA]],"")</f>
        <v>0</v>
      </c>
      <c r="S20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200" s="19"/>
      <c r="U200" s="19"/>
      <c r="V200" s="19"/>
      <c r="W200" s="19"/>
      <c r="X200" s="19"/>
      <c r="Y200" s="19"/>
      <c r="Z200" s="19"/>
      <c r="AA200" s="19"/>
      <c r="AB200" s="19"/>
      <c r="AC200" s="152" t="str">
        <f t="array" ref="AC200">IFERROR(INDEX(TABLACONSOLIDADA[Buff Act],MATCH("AGROINSUMOSCENTRAL"&amp;Tabla_Buffers_Agroinsumos[[#This Row],[CODIGO ]],TABLACONSOLIDADA[Bodega]&amp;TABLACONSOLIDADA[Codigo],0)),"")</f>
        <v/>
      </c>
      <c r="AD200" s="157" t="str">
        <f t="array" ref="AD200">IFERROR(INDEX(TABLACONSOLIDADA[Inv Fís Act],MATCH("AGROINSUMOSCENTRAL"&amp;Tabla_Buffers_Agroinsumos[[#This Row],[CODIGO ]],TABLACONSOLIDADA[Bodega]&amp;TABLACONSOLIDADA[Codigo],0)),"")</f>
        <v/>
      </c>
      <c r="AE200" s="157" t="str">
        <f t="array" ref="AE20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0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00" s="91">
        <f>IFERROR(SUM(Tabla_Buffers_Agroinsumos[[#This Row],[C-MP]:[C-VL]]),"")</f>
        <v>0</v>
      </c>
      <c r="AH200" s="92" t="str">
        <f>IFERROR(Tabla_Buffers_Agroinsumos[[#This Row],[INV FIS CENTRAL]]-Tabla_Buffers_Agroinsumos[[#This Row],[BUFFER CENTRAL]],"")</f>
        <v/>
      </c>
      <c r="AI20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00" s="134"/>
      <c r="AK200" s="134"/>
      <c r="AL200" s="134"/>
      <c r="AM200" s="134"/>
      <c r="AN200" s="134"/>
      <c r="AO200" s="134"/>
      <c r="AP200" s="134"/>
      <c r="AQ200" s="134"/>
      <c r="AR200" s="134"/>
      <c r="AS200" s="134" t="str">
        <f t="array" ref="AS200">IFERROR(INDEX(TABLACONSOLIDADA[Buff Act],MATCH("AGROINSUMOScentralPROPIA"&amp;Tabla_Buffers_Agroinsumos[[#This Row],[CODIGO ]],TABLACONSOLIDADA[Bodega]&amp;TABLACONSOLIDADA[Codigo],0)),"")</f>
        <v/>
      </c>
      <c r="AT200" s="157" t="str">
        <f t="array" ref="AT200">IFERROR(INDEX(TABLACONSOLIDADA[Inv Fís Act],MATCH("AGROINSUMOScentralPROPIA"&amp;Tabla_Buffers_Agroinsumos[[#This Row],[CODIGO ]],TABLACONSOLIDADA[Bodega]&amp;TABLACONSOLIDADA[Codigo],0)),"")</f>
        <v/>
      </c>
      <c r="AU200" s="157" t="str">
        <f t="array" ref="AU20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0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00" s="134">
        <f>IFERROR(SUM(Tabla_Buffers_Agroinsumos[[#This Row],[P-MP]:[P-VL]]),"")</f>
        <v>0</v>
      </c>
      <c r="AX200" s="92" t="str">
        <f>IFERROR(Tabla_Buffers_Agroinsumos[[#This Row],[INV FIS PROPIA]]-Tabla_Buffers_Agroinsumos[[#This Row],[BUFFER PROPIA]],"")</f>
        <v/>
      </c>
      <c r="AY20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00" s="134"/>
      <c r="BA200" s="134"/>
      <c r="BB200" s="134"/>
      <c r="BC200" s="134"/>
      <c r="BD200" s="134"/>
      <c r="BE200" s="134"/>
      <c r="BF200" s="134"/>
      <c r="BG200" s="134"/>
      <c r="BH200" s="134"/>
      <c r="BI200" s="91" t="str">
        <f t="array" ref="BI200">IFERROR(INDEX(TABLACONSOLIDADA[Buff Act],MATCH("AGROINSUMOSSTODOMINGO"&amp;Tabla_Buffers_Agroinsumos[[#This Row],[CODIGO ]],TABLACONSOLIDADA[Bodega]&amp;TABLACONSOLIDADA[Codigo],0)),"")</f>
        <v/>
      </c>
      <c r="BJ200" s="157" t="str">
        <f t="array" ref="BJ200">IFERROR(INDEX(TABLACONSOLIDADA[Inv Fís Act],MATCH("AGROINSUMOSSTODOMINGO"&amp;Tabla_Buffers_Agroinsumos[[#This Row],[CODIGO ]],TABLACONSOLIDADA[Bodega]&amp;TABLACONSOLIDADA[Codigo],0)),"")</f>
        <v/>
      </c>
      <c r="BK200" s="157" t="str">
        <f t="array" ref="BK20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0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00" s="91">
        <f>IFERROR(SUM(Tabla_Buffers_Agroinsumos[[#This Row],[SD-MP]:[SD-VL]]),"")</f>
        <v>0</v>
      </c>
      <c r="BN200" s="92"/>
      <c r="BO200" s="92"/>
      <c r="BP200" s="134"/>
      <c r="BQ200" s="134"/>
      <c r="BR200" s="134"/>
      <c r="BS200" s="134"/>
      <c r="BT200" s="134"/>
      <c r="BU200" s="134"/>
      <c r="BV200" s="134"/>
      <c r="BW200" s="134"/>
      <c r="BX200" s="134"/>
      <c r="BY200" s="134" t="str">
        <f t="array" ref="BY200">IFERROR(INDEX(TABLACONSOLIDADA[Buff Act],MATCH("AGROINSUMOSMONCAYOLOPEZ"&amp;Tabla_Buffers_Agroinsumos[[#This Row],[CODIGO ]],TABLACONSOLIDADA[Bodega]&amp;TABLACONSOLIDADA[Codigo],0)),"")</f>
        <v/>
      </c>
      <c r="BZ200" s="157" t="str">
        <f t="array" ref="BZ200">IFERROR(INDEX(TABLACONSOLIDADA[Inv Fís Act],MATCH("AGROINSUMOSMONCAYOLOPEZ"&amp;Tabla_Buffers_Agroinsumos[[#This Row],[CODIGO ]],TABLACONSOLIDADA[Bodega]&amp;TABLACONSOLIDADA[Codigo],0)),"")</f>
        <v/>
      </c>
      <c r="CA200" s="157" t="str">
        <f t="array" ref="CA20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0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00" s="134">
        <f>IFERROR(SUM(Tabla_Buffers_Agroinsumos[[#This Row],[ML-MP]:[ML-VL]]),"")</f>
        <v>0</v>
      </c>
      <c r="CD200" s="92" t="str">
        <f>IFERROR(Tabla_Buffers_Agroinsumos[[#This Row],[INV FIS ML]]-Tabla_Buffers_Agroinsumos[[#This Row],[BUFFER ML]],"")</f>
        <v/>
      </c>
      <c r="CE20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00" s="134"/>
      <c r="CG200" s="134"/>
      <c r="CH200" s="134"/>
      <c r="CI200" s="134"/>
      <c r="CJ200" s="134"/>
      <c r="CK200" s="134"/>
      <c r="CL200" s="134"/>
      <c r="CM200" s="134"/>
      <c r="CN200" s="134"/>
      <c r="CO200" s="134" t="str">
        <f t="array" ref="CO200">IFERROR(INDEX(TABLACONSOLIDADA[Buff Act],MATCH("AGROINSUMOSAGROHERMANOSLEON"&amp;Tabla_Buffers_Agroinsumos[[#This Row],[CODIGO ]],TABLACONSOLIDADA[Bodega]&amp;TABLACONSOLIDADA[Codigo],0)),"")</f>
        <v/>
      </c>
      <c r="CP200" s="157" t="str">
        <f t="array" ref="CP200">IFERROR(INDEX(TABLACONSOLIDADA[Inv Fís Act],MATCH("AGROINSUMOSAGROHERMANOSLEON"&amp;Tabla_Buffers_Agroinsumos[[#This Row],[CODIGO ]],TABLACONSOLIDADA[Bodega]&amp;TABLACONSOLIDADA[Codigo],0)),"")</f>
        <v/>
      </c>
      <c r="CQ200" s="157" t="str">
        <f t="array" ref="CQ20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0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00" s="134">
        <f>IFERROR(SUM(Tabla_Buffers_Agroinsumos[[#This Row],[AL-MP]:[AL-VL]]),"")</f>
        <v>0</v>
      </c>
      <c r="CT200" s="92" t="str">
        <f>IFERROR(Tabla_Buffers_Agroinsumos[[#This Row],[INV FIS AL]]-Tabla_Buffers_Agroinsumos[[#This Row],[BUFFER AL]],"")</f>
        <v/>
      </c>
      <c r="CU20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00" s="134"/>
      <c r="CW200" s="134"/>
      <c r="CX200" s="134"/>
      <c r="CY200" s="134"/>
      <c r="CZ200" s="134"/>
      <c r="DA200" s="134"/>
      <c r="DB200" s="134"/>
      <c r="DC200" s="134"/>
      <c r="DD200" s="134"/>
      <c r="DE200" s="134" t="str">
        <f t="array" ref="DE200">IFERROR(INDEX(TABLACONSOLIDADA[Buff Act],MATCH("AGROINSUMOSAGRONUEVO"&amp;Tabla_Buffers_Agroinsumos[[#This Row],[CODIGO ]],TABLACONSOLIDADA[Bodega]&amp;TABLACONSOLIDADA[Codigo],0)),"")</f>
        <v/>
      </c>
      <c r="DF200" s="157" t="str">
        <f t="array" ref="DF200">IFERROR(INDEX(TABLACONSOLIDADA[Inv Fís Act],MATCH("AGROINSUMOSAGRONUEVO"&amp;Tabla_Buffers_Agroinsumos[[#This Row],[CODIGO ]],TABLACONSOLIDADA[Bodega]&amp;TABLACONSOLIDADA[Codigo],0)),"")</f>
        <v/>
      </c>
      <c r="DG200" s="157" t="str">
        <f t="array" ref="DG20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0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00" s="134">
        <f>IFERROR(SUM(Tabla_Buffers_Agroinsumos[[#This Row],[AN-MP]:[AN-VL]]),"")</f>
        <v>0</v>
      </c>
      <c r="DJ200" s="92" t="str">
        <f>IFERROR(Tabla_Buffers_Agroinsumos[[#This Row],[INV FIS AN]]-Tabla_Buffers_Agroinsumos[[#This Row],[BUFFER AN]],"")</f>
        <v/>
      </c>
      <c r="DK20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00" s="134"/>
      <c r="DM200" s="134"/>
      <c r="DN200" s="134"/>
      <c r="DO200" s="134"/>
      <c r="DP200" s="134"/>
      <c r="DQ200" s="134"/>
      <c r="DR200" s="134"/>
      <c r="DS200" s="134"/>
      <c r="DT200" s="134"/>
      <c r="DU200" s="134" t="str">
        <f t="array" ref="DU200">IFERROR(INDEX(TABLACONSOLIDADA[Buff Act],MATCH("AGROINSUMOSAGROQUIMICOSSUR"&amp;Tabla_Buffers_Agroinsumos[[#This Row],[CODIGO ]],TABLACONSOLIDADA[Bodega]&amp;TABLACONSOLIDADA[Codigo],0)),"")</f>
        <v/>
      </c>
      <c r="DV200" s="157" t="str">
        <f t="array" ref="DV200">IFERROR(INDEX(TABLACONSOLIDADA[Inv Fís Act],MATCH("AGROINSUMOSAGROQUIMICOSSUR"&amp;Tabla_Buffers_Agroinsumos[[#This Row],[CODIGO ]],TABLACONSOLIDADA[Bodega]&amp;TABLACONSOLIDADA[Codigo],0)),"")</f>
        <v/>
      </c>
      <c r="DW200" s="157" t="str">
        <f t="array" ref="DW20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0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00" s="134">
        <f>IFERROR(SUM(Tabla_Buffers_Agroinsumos[[#This Row],[AS-MP]:[AS-VL]]),"")</f>
        <v>0</v>
      </c>
      <c r="DZ200" s="92" t="str">
        <f>IFERROR(Tabla_Buffers_Agroinsumos[[#This Row],[INV FIS AS]]-Tabla_Buffers_Agroinsumos[[#This Row],[BUFFER AS]],"")</f>
        <v/>
      </c>
      <c r="EA20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00" s="134"/>
      <c r="EC200" s="134"/>
      <c r="ED200" s="134"/>
      <c r="EE200" s="134"/>
      <c r="EF200" s="134"/>
      <c r="EG200" s="134"/>
      <c r="EH200" s="134"/>
      <c r="EI200" s="134"/>
      <c r="EJ200" s="134"/>
      <c r="EK200" s="134" t="str">
        <f t="array" ref="EK200">IFERROR(INDEX(TABLACONSOLIDADA[Buff Act],MATCH("AGROINSUMOSLAFINCA"&amp;Tabla_Buffers_Agroinsumos[[#This Row],[CODIGO ]],TABLACONSOLIDADA[Bodega]&amp;TABLACONSOLIDADA[Codigo],0)),"")</f>
        <v/>
      </c>
      <c r="EL200" s="157" t="str">
        <f t="array" ref="EL200">IFERROR(INDEX(TABLACONSOLIDADA[Inv Fís Act],MATCH("AGROINSUMOSLAFINCA"&amp;Tabla_Buffers_Agroinsumos[[#This Row],[CODIGO ]],TABLACONSOLIDADA[Bodega]&amp;TABLACONSOLIDADA[Codigo],0)),"")</f>
        <v/>
      </c>
      <c r="EM200" s="157" t="str">
        <f t="array" ref="EM20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0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00" s="134">
        <f>IFERROR(SUM(Tabla_Buffers_Agroinsumos[[#This Row],[LF-MP]:[LF-VL]]),"")</f>
        <v>0</v>
      </c>
      <c r="EP200" s="92" t="str">
        <f>IFERROR(Tabla_Buffers_Agroinsumos[[#This Row],[INV FIS LF]]-Tabla_Buffers_Agroinsumos[[#This Row],[BUFFER LF]],"")</f>
        <v/>
      </c>
      <c r="EQ20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00" s="134"/>
      <c r="ES200" s="134"/>
      <c r="ET200" s="134"/>
      <c r="EU200" s="134"/>
      <c r="EV200" s="134"/>
      <c r="EW200" s="134"/>
      <c r="EX200" s="134"/>
      <c r="EY200" s="134"/>
      <c r="EZ200" s="134"/>
      <c r="FA200" s="134" t="str">
        <f t="array" ref="FA200">IFERROR(INDEX(TABLACONSOLIDADA[Buff Act],MATCH("AGROINSUMOSVERONICALEDESMA"&amp;Tabla_Buffers_Agroinsumos[[#This Row],[CODIGO ]],TABLACONSOLIDADA[Bodega]&amp;TABLACONSOLIDADA[Codigo],0)),"")</f>
        <v/>
      </c>
      <c r="FB200" s="157" t="str">
        <f t="array" ref="FB200">IFERROR(INDEX(TABLACONSOLIDADA[Inv Fís Act],MATCH("AGROINSUMOSVERONICALEDESMA"&amp;Tabla_Buffers_Agroinsumos[[#This Row],[CODIGO ]],TABLACONSOLIDADA[Bodega]&amp;TABLACONSOLIDADA[Codigo],0)),"")</f>
        <v/>
      </c>
      <c r="FC200" s="157" t="str">
        <f t="array" ref="FC20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0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00" s="134">
        <f>IFERROR(SUM(Tabla_Buffers_Agroinsumos[[#This Row],[VL-MP]:[VL-LF]]),"")</f>
        <v>0</v>
      </c>
      <c r="FF200" s="92" t="str">
        <f>IFERROR(Tabla_Buffers_Agroinsumos[[#This Row],[INV FIS VL]]-Tabla_Buffers_Agroinsumos[[#This Row],[BUFFER VL]],"")</f>
        <v/>
      </c>
      <c r="FG20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00" s="134"/>
      <c r="FI200" s="134"/>
      <c r="FJ200" s="134"/>
      <c r="FK200" s="134"/>
      <c r="FL200" s="134"/>
      <c r="FM200" s="134"/>
      <c r="FN200" s="134"/>
      <c r="FO200" s="134"/>
      <c r="FP200" s="134"/>
    </row>
    <row r="201" spans="1:172">
      <c r="A201" s="7" t="s">
        <v>354</v>
      </c>
      <c r="B201" s="7" t="s">
        <v>355</v>
      </c>
      <c r="C201" s="7" t="s">
        <v>716</v>
      </c>
      <c r="D201" s="7" t="s">
        <v>718</v>
      </c>
      <c r="E201" s="7" t="s">
        <v>863</v>
      </c>
      <c r="F201" s="19" t="s">
        <v>808</v>
      </c>
      <c r="G201" s="19" t="s">
        <v>802</v>
      </c>
      <c r="H201" s="19">
        <f>VLOOKUP(Tabla_Buffers_Agroinsumos[[#This Row],[CODIGO ]],TABLACONSOLIDADA[[Codigo]:[PV]],6,0)</f>
        <v>0</v>
      </c>
      <c r="I201" s="19">
        <f>VLOOKUP(Tabla_Buffers_Agroinsumos[[#This Row],[CODIGO ]],TABLACONSOLIDADA[[Codigo]:[PV]],5,0)</f>
        <v>0.17</v>
      </c>
      <c r="J201" s="19">
        <v>4</v>
      </c>
      <c r="K201" s="19">
        <v>6</v>
      </c>
      <c r="L201" s="19">
        <f>IFERROR(Tabla_Buffers_Agroinsumos[[#This Row],[BUFFER CENTRAL]]/((Tabla_Buffers_Agroinsumos[[#This Row],[TIEMPO REPOSICION ]]/Tabla_Buffers_Agroinsumos[[#This Row],[FRECUENCIA]])+1),0)</f>
        <v>0</v>
      </c>
      <c r="M201" s="19">
        <f t="array" ref="M201">IFERROR(INDEX(TABLACONSOLIDADA[Buff Act],MATCH("AGROINSUMOSMATERIAPRIMA"&amp;Tabla_Buffers_Agroinsumos[[#This Row],[CODIGO ]],TABLACONSOLIDADA[Bodega]&amp;TABLACONSOLIDADA[Codigo],0)),"")</f>
        <v>0</v>
      </c>
      <c r="N201" s="157">
        <f t="array" ref="N201">IFERROR(INDEX(TABLACONSOLIDADA[Inv Fís Act],MATCH("AGROINSUMOSMATERIAPRIMA"&amp;Tabla_Buffers_Agroinsumos[[#This Row],[CODIGO ]],TABLACONSOLIDADA[Bodega]&amp;TABLACONSOLIDADA[Codigo],0)),"")</f>
        <v>0</v>
      </c>
      <c r="O201" s="157">
        <f t="array" ref="O20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20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01" s="19">
        <f>IFERROR(SUM(Tabla_Buffers_Agroinsumos[[#This Row],[MP-C]:[MP-VL]]),"")</f>
        <v>0</v>
      </c>
      <c r="R201" s="92">
        <f>IFERROR(Tabla_Buffers_Agroinsumos[[#This Row],[INV FIS MATERIA PRIMA]]-Tabla_Buffers_Agroinsumos[[#This Row],[BUFFER MATERIA PRIMA]],"")</f>
        <v>0</v>
      </c>
      <c r="S20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201" s="19"/>
      <c r="U201" s="19"/>
      <c r="V201" s="19"/>
      <c r="W201" s="19"/>
      <c r="X201" s="19"/>
      <c r="Y201" s="19"/>
      <c r="Z201" s="19"/>
      <c r="AA201" s="19"/>
      <c r="AB201" s="19"/>
      <c r="AC201" s="152" t="str">
        <f t="array" ref="AC201">IFERROR(INDEX(TABLACONSOLIDADA[Buff Act],MATCH("AGROINSUMOSCENTRAL"&amp;Tabla_Buffers_Agroinsumos[[#This Row],[CODIGO ]],TABLACONSOLIDADA[Bodega]&amp;TABLACONSOLIDADA[Codigo],0)),"")</f>
        <v/>
      </c>
      <c r="AD201" s="157" t="str">
        <f t="array" ref="AD201">IFERROR(INDEX(TABLACONSOLIDADA[Inv Fís Act],MATCH("AGROINSUMOSCENTRAL"&amp;Tabla_Buffers_Agroinsumos[[#This Row],[CODIGO ]],TABLACONSOLIDADA[Bodega]&amp;TABLACONSOLIDADA[Codigo],0)),"")</f>
        <v/>
      </c>
      <c r="AE201" s="157" t="str">
        <f t="array" ref="AE20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0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01" s="91">
        <f>IFERROR(SUM(Tabla_Buffers_Agroinsumos[[#This Row],[C-MP]:[C-VL]]),"")</f>
        <v>0</v>
      </c>
      <c r="AH201" s="92" t="str">
        <f>IFERROR(Tabla_Buffers_Agroinsumos[[#This Row],[INV FIS CENTRAL]]-Tabla_Buffers_Agroinsumos[[#This Row],[BUFFER CENTRAL]],"")</f>
        <v/>
      </c>
      <c r="AI20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01" s="134"/>
      <c r="AK201" s="134"/>
      <c r="AL201" s="134"/>
      <c r="AM201" s="134"/>
      <c r="AN201" s="134"/>
      <c r="AO201" s="134"/>
      <c r="AP201" s="134"/>
      <c r="AQ201" s="134"/>
      <c r="AR201" s="134"/>
      <c r="AS201" s="134" t="str">
        <f t="array" ref="AS201">IFERROR(INDEX(TABLACONSOLIDADA[Buff Act],MATCH("AGROINSUMOScentralPROPIA"&amp;Tabla_Buffers_Agroinsumos[[#This Row],[CODIGO ]],TABLACONSOLIDADA[Bodega]&amp;TABLACONSOLIDADA[Codigo],0)),"")</f>
        <v/>
      </c>
      <c r="AT201" s="157" t="str">
        <f t="array" ref="AT201">IFERROR(INDEX(TABLACONSOLIDADA[Inv Fís Act],MATCH("AGROINSUMOScentralPROPIA"&amp;Tabla_Buffers_Agroinsumos[[#This Row],[CODIGO ]],TABLACONSOLIDADA[Bodega]&amp;TABLACONSOLIDADA[Codigo],0)),"")</f>
        <v/>
      </c>
      <c r="AU201" s="157" t="str">
        <f t="array" ref="AU20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0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01" s="134">
        <f>IFERROR(SUM(Tabla_Buffers_Agroinsumos[[#This Row],[P-MP]:[P-VL]]),"")</f>
        <v>0</v>
      </c>
      <c r="AX201" s="92" t="str">
        <f>IFERROR(Tabla_Buffers_Agroinsumos[[#This Row],[INV FIS PROPIA]]-Tabla_Buffers_Agroinsumos[[#This Row],[BUFFER PROPIA]],"")</f>
        <v/>
      </c>
      <c r="AY20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01" s="134"/>
      <c r="BA201" s="134"/>
      <c r="BB201" s="134"/>
      <c r="BC201" s="134"/>
      <c r="BD201" s="134"/>
      <c r="BE201" s="134"/>
      <c r="BF201" s="134"/>
      <c r="BG201" s="134"/>
      <c r="BH201" s="134"/>
      <c r="BI201" s="91" t="str">
        <f t="array" ref="BI201">IFERROR(INDEX(TABLACONSOLIDADA[Buff Act],MATCH("AGROINSUMOSSTODOMINGO"&amp;Tabla_Buffers_Agroinsumos[[#This Row],[CODIGO ]],TABLACONSOLIDADA[Bodega]&amp;TABLACONSOLIDADA[Codigo],0)),"")</f>
        <v/>
      </c>
      <c r="BJ201" s="157" t="str">
        <f t="array" ref="BJ201">IFERROR(INDEX(TABLACONSOLIDADA[Inv Fís Act],MATCH("AGROINSUMOSSTODOMINGO"&amp;Tabla_Buffers_Agroinsumos[[#This Row],[CODIGO ]],TABLACONSOLIDADA[Bodega]&amp;TABLACONSOLIDADA[Codigo],0)),"")</f>
        <v/>
      </c>
      <c r="BK201" s="157" t="str">
        <f t="array" ref="BK20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0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01" s="91">
        <f>IFERROR(SUM(Tabla_Buffers_Agroinsumos[[#This Row],[SD-MP]:[SD-VL]]),"")</f>
        <v>0</v>
      </c>
      <c r="BN201" s="92"/>
      <c r="BO201" s="92"/>
      <c r="BP201" s="134"/>
      <c r="BQ201" s="134"/>
      <c r="BR201" s="134"/>
      <c r="BS201" s="134"/>
      <c r="BT201" s="134"/>
      <c r="BU201" s="134"/>
      <c r="BV201" s="134"/>
      <c r="BW201" s="134"/>
      <c r="BX201" s="134"/>
      <c r="BY201" s="134" t="str">
        <f t="array" ref="BY201">IFERROR(INDEX(TABLACONSOLIDADA[Buff Act],MATCH("AGROINSUMOSMONCAYOLOPEZ"&amp;Tabla_Buffers_Agroinsumos[[#This Row],[CODIGO ]],TABLACONSOLIDADA[Bodega]&amp;TABLACONSOLIDADA[Codigo],0)),"")</f>
        <v/>
      </c>
      <c r="BZ201" s="157" t="str">
        <f t="array" ref="BZ201">IFERROR(INDEX(TABLACONSOLIDADA[Inv Fís Act],MATCH("AGROINSUMOSMONCAYOLOPEZ"&amp;Tabla_Buffers_Agroinsumos[[#This Row],[CODIGO ]],TABLACONSOLIDADA[Bodega]&amp;TABLACONSOLIDADA[Codigo],0)),"")</f>
        <v/>
      </c>
      <c r="CA201" s="157" t="str">
        <f t="array" ref="CA20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0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01" s="134">
        <f>IFERROR(SUM(Tabla_Buffers_Agroinsumos[[#This Row],[ML-MP]:[ML-VL]]),"")</f>
        <v>0</v>
      </c>
      <c r="CD201" s="92" t="str">
        <f>IFERROR(Tabla_Buffers_Agroinsumos[[#This Row],[INV FIS ML]]-Tabla_Buffers_Agroinsumos[[#This Row],[BUFFER ML]],"")</f>
        <v/>
      </c>
      <c r="CE20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01" s="134"/>
      <c r="CG201" s="134"/>
      <c r="CH201" s="134"/>
      <c r="CI201" s="134"/>
      <c r="CJ201" s="134"/>
      <c r="CK201" s="134"/>
      <c r="CL201" s="134"/>
      <c r="CM201" s="134"/>
      <c r="CN201" s="134"/>
      <c r="CO201" s="134" t="str">
        <f t="array" ref="CO201">IFERROR(INDEX(TABLACONSOLIDADA[Buff Act],MATCH("AGROINSUMOSAGROHERMANOSLEON"&amp;Tabla_Buffers_Agroinsumos[[#This Row],[CODIGO ]],TABLACONSOLIDADA[Bodega]&amp;TABLACONSOLIDADA[Codigo],0)),"")</f>
        <v/>
      </c>
      <c r="CP201" s="157" t="str">
        <f t="array" ref="CP201">IFERROR(INDEX(TABLACONSOLIDADA[Inv Fís Act],MATCH("AGROINSUMOSAGROHERMANOSLEON"&amp;Tabla_Buffers_Agroinsumos[[#This Row],[CODIGO ]],TABLACONSOLIDADA[Bodega]&amp;TABLACONSOLIDADA[Codigo],0)),"")</f>
        <v/>
      </c>
      <c r="CQ201" s="157" t="str">
        <f t="array" ref="CQ20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0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01" s="134">
        <f>IFERROR(SUM(Tabla_Buffers_Agroinsumos[[#This Row],[AL-MP]:[AL-VL]]),"")</f>
        <v>0</v>
      </c>
      <c r="CT201" s="92" t="str">
        <f>IFERROR(Tabla_Buffers_Agroinsumos[[#This Row],[INV FIS AL]]-Tabla_Buffers_Agroinsumos[[#This Row],[BUFFER AL]],"")</f>
        <v/>
      </c>
      <c r="CU20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01" s="134"/>
      <c r="CW201" s="134"/>
      <c r="CX201" s="134"/>
      <c r="CY201" s="134"/>
      <c r="CZ201" s="134"/>
      <c r="DA201" s="134"/>
      <c r="DB201" s="134"/>
      <c r="DC201" s="134"/>
      <c r="DD201" s="134"/>
      <c r="DE201" s="134" t="str">
        <f t="array" ref="DE201">IFERROR(INDEX(TABLACONSOLIDADA[Buff Act],MATCH("AGROINSUMOSAGRONUEVO"&amp;Tabla_Buffers_Agroinsumos[[#This Row],[CODIGO ]],TABLACONSOLIDADA[Bodega]&amp;TABLACONSOLIDADA[Codigo],0)),"")</f>
        <v/>
      </c>
      <c r="DF201" s="157" t="str">
        <f t="array" ref="DF201">IFERROR(INDEX(TABLACONSOLIDADA[Inv Fís Act],MATCH("AGROINSUMOSAGRONUEVO"&amp;Tabla_Buffers_Agroinsumos[[#This Row],[CODIGO ]],TABLACONSOLIDADA[Bodega]&amp;TABLACONSOLIDADA[Codigo],0)),"")</f>
        <v/>
      </c>
      <c r="DG201" s="157" t="str">
        <f t="array" ref="DG20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0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01" s="134">
        <f>IFERROR(SUM(Tabla_Buffers_Agroinsumos[[#This Row],[AN-MP]:[AN-VL]]),"")</f>
        <v>0</v>
      </c>
      <c r="DJ201" s="92" t="str">
        <f>IFERROR(Tabla_Buffers_Agroinsumos[[#This Row],[INV FIS AN]]-Tabla_Buffers_Agroinsumos[[#This Row],[BUFFER AN]],"")</f>
        <v/>
      </c>
      <c r="DK20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01" s="134"/>
      <c r="DM201" s="134"/>
      <c r="DN201" s="134"/>
      <c r="DO201" s="134"/>
      <c r="DP201" s="134"/>
      <c r="DQ201" s="134"/>
      <c r="DR201" s="134"/>
      <c r="DS201" s="134"/>
      <c r="DT201" s="134"/>
      <c r="DU201" s="134" t="str">
        <f t="array" ref="DU201">IFERROR(INDEX(TABLACONSOLIDADA[Buff Act],MATCH("AGROINSUMOSAGROQUIMICOSSUR"&amp;Tabla_Buffers_Agroinsumos[[#This Row],[CODIGO ]],TABLACONSOLIDADA[Bodega]&amp;TABLACONSOLIDADA[Codigo],0)),"")</f>
        <v/>
      </c>
      <c r="DV201" s="157" t="str">
        <f t="array" ref="DV201">IFERROR(INDEX(TABLACONSOLIDADA[Inv Fís Act],MATCH("AGROINSUMOSAGROQUIMICOSSUR"&amp;Tabla_Buffers_Agroinsumos[[#This Row],[CODIGO ]],TABLACONSOLIDADA[Bodega]&amp;TABLACONSOLIDADA[Codigo],0)),"")</f>
        <v/>
      </c>
      <c r="DW201" s="157" t="str">
        <f t="array" ref="DW20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0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01" s="134">
        <f>IFERROR(SUM(Tabla_Buffers_Agroinsumos[[#This Row],[AS-MP]:[AS-VL]]),"")</f>
        <v>0</v>
      </c>
      <c r="DZ201" s="92" t="str">
        <f>IFERROR(Tabla_Buffers_Agroinsumos[[#This Row],[INV FIS AS]]-Tabla_Buffers_Agroinsumos[[#This Row],[BUFFER AS]],"")</f>
        <v/>
      </c>
      <c r="EA20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01" s="134"/>
      <c r="EC201" s="134"/>
      <c r="ED201" s="134"/>
      <c r="EE201" s="134"/>
      <c r="EF201" s="134"/>
      <c r="EG201" s="134"/>
      <c r="EH201" s="134"/>
      <c r="EI201" s="134"/>
      <c r="EJ201" s="134"/>
      <c r="EK201" s="134" t="str">
        <f t="array" ref="EK201">IFERROR(INDEX(TABLACONSOLIDADA[Buff Act],MATCH("AGROINSUMOSLAFINCA"&amp;Tabla_Buffers_Agroinsumos[[#This Row],[CODIGO ]],TABLACONSOLIDADA[Bodega]&amp;TABLACONSOLIDADA[Codigo],0)),"")</f>
        <v/>
      </c>
      <c r="EL201" s="157" t="str">
        <f t="array" ref="EL201">IFERROR(INDEX(TABLACONSOLIDADA[Inv Fís Act],MATCH("AGROINSUMOSLAFINCA"&amp;Tabla_Buffers_Agroinsumos[[#This Row],[CODIGO ]],TABLACONSOLIDADA[Bodega]&amp;TABLACONSOLIDADA[Codigo],0)),"")</f>
        <v/>
      </c>
      <c r="EM201" s="157" t="str">
        <f t="array" ref="EM20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0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01" s="134">
        <f>IFERROR(SUM(Tabla_Buffers_Agroinsumos[[#This Row],[LF-MP]:[LF-VL]]),"")</f>
        <v>0</v>
      </c>
      <c r="EP201" s="92" t="str">
        <f>IFERROR(Tabla_Buffers_Agroinsumos[[#This Row],[INV FIS LF]]-Tabla_Buffers_Agroinsumos[[#This Row],[BUFFER LF]],"")</f>
        <v/>
      </c>
      <c r="EQ20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01" s="134"/>
      <c r="ES201" s="134"/>
      <c r="ET201" s="134"/>
      <c r="EU201" s="134"/>
      <c r="EV201" s="134"/>
      <c r="EW201" s="134"/>
      <c r="EX201" s="134"/>
      <c r="EY201" s="134"/>
      <c r="EZ201" s="134"/>
      <c r="FA201" s="134" t="str">
        <f t="array" ref="FA201">IFERROR(INDEX(TABLACONSOLIDADA[Buff Act],MATCH("AGROINSUMOSVERONICALEDESMA"&amp;Tabla_Buffers_Agroinsumos[[#This Row],[CODIGO ]],TABLACONSOLIDADA[Bodega]&amp;TABLACONSOLIDADA[Codigo],0)),"")</f>
        <v/>
      </c>
      <c r="FB201" s="157" t="str">
        <f t="array" ref="FB201">IFERROR(INDEX(TABLACONSOLIDADA[Inv Fís Act],MATCH("AGROINSUMOSVERONICALEDESMA"&amp;Tabla_Buffers_Agroinsumos[[#This Row],[CODIGO ]],TABLACONSOLIDADA[Bodega]&amp;TABLACONSOLIDADA[Codigo],0)),"")</f>
        <v/>
      </c>
      <c r="FC201" s="157" t="str">
        <f t="array" ref="FC20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0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01" s="134">
        <f>IFERROR(SUM(Tabla_Buffers_Agroinsumos[[#This Row],[VL-MP]:[VL-LF]]),"")</f>
        <v>0</v>
      </c>
      <c r="FF201" s="92" t="str">
        <f>IFERROR(Tabla_Buffers_Agroinsumos[[#This Row],[INV FIS VL]]-Tabla_Buffers_Agroinsumos[[#This Row],[BUFFER VL]],"")</f>
        <v/>
      </c>
      <c r="FG20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01" s="134"/>
      <c r="FI201" s="134"/>
      <c r="FJ201" s="134"/>
      <c r="FK201" s="134"/>
      <c r="FL201" s="134"/>
      <c r="FM201" s="134"/>
      <c r="FN201" s="134"/>
      <c r="FO201" s="134"/>
      <c r="FP201" s="134"/>
    </row>
    <row r="202" spans="1:172">
      <c r="A202" s="7" t="s">
        <v>356</v>
      </c>
      <c r="B202" s="7" t="s">
        <v>357</v>
      </c>
      <c r="C202" s="7" t="s">
        <v>716</v>
      </c>
      <c r="D202" s="7" t="s">
        <v>718</v>
      </c>
      <c r="E202" s="7" t="s">
        <v>863</v>
      </c>
      <c r="F202" s="19" t="s">
        <v>808</v>
      </c>
      <c r="G202" s="19" t="s">
        <v>802</v>
      </c>
      <c r="H202" s="19">
        <f>VLOOKUP(Tabla_Buffers_Agroinsumos[[#This Row],[CODIGO ]],TABLACONSOLIDADA[[Codigo]:[PV]],6,0)</f>
        <v>0</v>
      </c>
      <c r="I202" s="19">
        <f>VLOOKUP(Tabla_Buffers_Agroinsumos[[#This Row],[CODIGO ]],TABLACONSOLIDADA[[Codigo]:[PV]],5,0)</f>
        <v>0.09</v>
      </c>
      <c r="J202" s="19">
        <v>4</v>
      </c>
      <c r="K202" s="19">
        <v>6</v>
      </c>
      <c r="L202" s="19">
        <f>IFERROR(Tabla_Buffers_Agroinsumos[[#This Row],[BUFFER CENTRAL]]/((Tabla_Buffers_Agroinsumos[[#This Row],[TIEMPO REPOSICION ]]/Tabla_Buffers_Agroinsumos[[#This Row],[FRECUENCIA]])+1),0)</f>
        <v>0</v>
      </c>
      <c r="M202" s="19">
        <f t="array" ref="M202">IFERROR(INDEX(TABLACONSOLIDADA[Buff Act],MATCH("AGROINSUMOSMATERIAPRIMA"&amp;Tabla_Buffers_Agroinsumos[[#This Row],[CODIGO ]],TABLACONSOLIDADA[Bodega]&amp;TABLACONSOLIDADA[Codigo],0)),"")</f>
        <v>500</v>
      </c>
      <c r="N202" s="157">
        <f t="array" ref="N202">IFERROR(INDEX(TABLACONSOLIDADA[Inv Fís Act],MATCH("AGROINSUMOSMATERIAPRIMA"&amp;Tabla_Buffers_Agroinsumos[[#This Row],[CODIGO ]],TABLACONSOLIDADA[Bodega]&amp;TABLACONSOLIDADA[Codigo],0)),"")</f>
        <v>1008</v>
      </c>
      <c r="O202" s="157">
        <f t="array" ref="O20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1008</v>
      </c>
      <c r="P20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02" s="19">
        <f>IFERROR(SUM(Tabla_Buffers_Agroinsumos[[#This Row],[MP-C]:[MP-VL]]),"")</f>
        <v>0</v>
      </c>
      <c r="R202" s="92">
        <f>IFERROR(Tabla_Buffers_Agroinsumos[[#This Row],[INV FIS MATERIA PRIMA]]-Tabla_Buffers_Agroinsumos[[#This Row],[BUFFER MATERIA PRIMA]],"")</f>
        <v>508</v>
      </c>
      <c r="S20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508</v>
      </c>
      <c r="T202" s="19"/>
      <c r="U202" s="19"/>
      <c r="V202" s="19"/>
      <c r="W202" s="19"/>
      <c r="X202" s="19"/>
      <c r="Y202" s="19"/>
      <c r="Z202" s="19"/>
      <c r="AA202" s="19"/>
      <c r="AB202" s="19"/>
      <c r="AC202" s="152" t="str">
        <f t="array" ref="AC202">IFERROR(INDEX(TABLACONSOLIDADA[Buff Act],MATCH("AGROINSUMOSCENTRAL"&amp;Tabla_Buffers_Agroinsumos[[#This Row],[CODIGO ]],TABLACONSOLIDADA[Bodega]&amp;TABLACONSOLIDADA[Codigo],0)),"")</f>
        <v/>
      </c>
      <c r="AD202" s="157" t="str">
        <f t="array" ref="AD202">IFERROR(INDEX(TABLACONSOLIDADA[Inv Fís Act],MATCH("AGROINSUMOSCENTRAL"&amp;Tabla_Buffers_Agroinsumos[[#This Row],[CODIGO ]],TABLACONSOLIDADA[Bodega]&amp;TABLACONSOLIDADA[Codigo],0)),"")</f>
        <v/>
      </c>
      <c r="AE202" s="157" t="str">
        <f t="array" ref="AE20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0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02" s="91">
        <f>IFERROR(SUM(Tabla_Buffers_Agroinsumos[[#This Row],[C-MP]:[C-VL]]),"")</f>
        <v>0</v>
      </c>
      <c r="AH202" s="92" t="str">
        <f>IFERROR(Tabla_Buffers_Agroinsumos[[#This Row],[INV FIS CENTRAL]]-Tabla_Buffers_Agroinsumos[[#This Row],[BUFFER CENTRAL]],"")</f>
        <v/>
      </c>
      <c r="AI20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02" s="134"/>
      <c r="AK202" s="134"/>
      <c r="AL202" s="134"/>
      <c r="AM202" s="134"/>
      <c r="AN202" s="134"/>
      <c r="AO202" s="134"/>
      <c r="AP202" s="134"/>
      <c r="AQ202" s="134"/>
      <c r="AR202" s="134"/>
      <c r="AS202" s="134" t="str">
        <f t="array" ref="AS202">IFERROR(INDEX(TABLACONSOLIDADA[Buff Act],MATCH("AGROINSUMOScentralPROPIA"&amp;Tabla_Buffers_Agroinsumos[[#This Row],[CODIGO ]],TABLACONSOLIDADA[Bodega]&amp;TABLACONSOLIDADA[Codigo],0)),"")</f>
        <v/>
      </c>
      <c r="AT202" s="157" t="str">
        <f t="array" ref="AT202">IFERROR(INDEX(TABLACONSOLIDADA[Inv Fís Act],MATCH("AGROINSUMOScentralPROPIA"&amp;Tabla_Buffers_Agroinsumos[[#This Row],[CODIGO ]],TABLACONSOLIDADA[Bodega]&amp;TABLACONSOLIDADA[Codigo],0)),"")</f>
        <v/>
      </c>
      <c r="AU202" s="157" t="str">
        <f t="array" ref="AU20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0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02" s="134">
        <f>IFERROR(SUM(Tabla_Buffers_Agroinsumos[[#This Row],[P-MP]:[P-VL]]),"")</f>
        <v>0</v>
      </c>
      <c r="AX202" s="92" t="str">
        <f>IFERROR(Tabla_Buffers_Agroinsumos[[#This Row],[INV FIS PROPIA]]-Tabla_Buffers_Agroinsumos[[#This Row],[BUFFER PROPIA]],"")</f>
        <v/>
      </c>
      <c r="AY20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02" s="134"/>
      <c r="BA202" s="134"/>
      <c r="BB202" s="134"/>
      <c r="BC202" s="134"/>
      <c r="BD202" s="134"/>
      <c r="BE202" s="134"/>
      <c r="BF202" s="134"/>
      <c r="BG202" s="134"/>
      <c r="BH202" s="134"/>
      <c r="BI202" s="91" t="str">
        <f t="array" ref="BI202">IFERROR(INDEX(TABLACONSOLIDADA[Buff Act],MATCH("AGROINSUMOSSTODOMINGO"&amp;Tabla_Buffers_Agroinsumos[[#This Row],[CODIGO ]],TABLACONSOLIDADA[Bodega]&amp;TABLACONSOLIDADA[Codigo],0)),"")</f>
        <v/>
      </c>
      <c r="BJ202" s="157" t="str">
        <f t="array" ref="BJ202">IFERROR(INDEX(TABLACONSOLIDADA[Inv Fís Act],MATCH("AGROINSUMOSSTODOMINGO"&amp;Tabla_Buffers_Agroinsumos[[#This Row],[CODIGO ]],TABLACONSOLIDADA[Bodega]&amp;TABLACONSOLIDADA[Codigo],0)),"")</f>
        <v/>
      </c>
      <c r="BK202" s="157" t="str">
        <f t="array" ref="BK20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0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02" s="91">
        <f>IFERROR(SUM(Tabla_Buffers_Agroinsumos[[#This Row],[SD-MP]:[SD-VL]]),"")</f>
        <v>0</v>
      </c>
      <c r="BN202" s="92"/>
      <c r="BO202" s="92"/>
      <c r="BP202" s="134"/>
      <c r="BQ202" s="134"/>
      <c r="BR202" s="134"/>
      <c r="BS202" s="134"/>
      <c r="BT202" s="134"/>
      <c r="BU202" s="134"/>
      <c r="BV202" s="134"/>
      <c r="BW202" s="134"/>
      <c r="BX202" s="134"/>
      <c r="BY202" s="134" t="str">
        <f t="array" ref="BY202">IFERROR(INDEX(TABLACONSOLIDADA[Buff Act],MATCH("AGROINSUMOSMONCAYOLOPEZ"&amp;Tabla_Buffers_Agroinsumos[[#This Row],[CODIGO ]],TABLACONSOLIDADA[Bodega]&amp;TABLACONSOLIDADA[Codigo],0)),"")</f>
        <v/>
      </c>
      <c r="BZ202" s="157" t="str">
        <f t="array" ref="BZ202">IFERROR(INDEX(TABLACONSOLIDADA[Inv Fís Act],MATCH("AGROINSUMOSMONCAYOLOPEZ"&amp;Tabla_Buffers_Agroinsumos[[#This Row],[CODIGO ]],TABLACONSOLIDADA[Bodega]&amp;TABLACONSOLIDADA[Codigo],0)),"")</f>
        <v/>
      </c>
      <c r="CA202" s="157" t="str">
        <f t="array" ref="CA20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0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02" s="134">
        <f>IFERROR(SUM(Tabla_Buffers_Agroinsumos[[#This Row],[ML-MP]:[ML-VL]]),"")</f>
        <v>0</v>
      </c>
      <c r="CD202" s="92" t="str">
        <f>IFERROR(Tabla_Buffers_Agroinsumos[[#This Row],[INV FIS ML]]-Tabla_Buffers_Agroinsumos[[#This Row],[BUFFER ML]],"")</f>
        <v/>
      </c>
      <c r="CE20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02" s="134"/>
      <c r="CG202" s="134"/>
      <c r="CH202" s="134"/>
      <c r="CI202" s="134"/>
      <c r="CJ202" s="134"/>
      <c r="CK202" s="134"/>
      <c r="CL202" s="134"/>
      <c r="CM202" s="134"/>
      <c r="CN202" s="134"/>
      <c r="CO202" s="134" t="str">
        <f t="array" ref="CO202">IFERROR(INDEX(TABLACONSOLIDADA[Buff Act],MATCH("AGROINSUMOSAGROHERMANOSLEON"&amp;Tabla_Buffers_Agroinsumos[[#This Row],[CODIGO ]],TABLACONSOLIDADA[Bodega]&amp;TABLACONSOLIDADA[Codigo],0)),"")</f>
        <v/>
      </c>
      <c r="CP202" s="157" t="str">
        <f t="array" ref="CP202">IFERROR(INDEX(TABLACONSOLIDADA[Inv Fís Act],MATCH("AGROINSUMOSAGROHERMANOSLEON"&amp;Tabla_Buffers_Agroinsumos[[#This Row],[CODIGO ]],TABLACONSOLIDADA[Bodega]&amp;TABLACONSOLIDADA[Codigo],0)),"")</f>
        <v/>
      </c>
      <c r="CQ202" s="157" t="str">
        <f t="array" ref="CQ20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0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02" s="134">
        <f>IFERROR(SUM(Tabla_Buffers_Agroinsumos[[#This Row],[AL-MP]:[AL-VL]]),"")</f>
        <v>0</v>
      </c>
      <c r="CT202" s="92" t="str">
        <f>IFERROR(Tabla_Buffers_Agroinsumos[[#This Row],[INV FIS AL]]-Tabla_Buffers_Agroinsumos[[#This Row],[BUFFER AL]],"")</f>
        <v/>
      </c>
      <c r="CU20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02" s="134"/>
      <c r="CW202" s="134"/>
      <c r="CX202" s="134"/>
      <c r="CY202" s="134"/>
      <c r="CZ202" s="134"/>
      <c r="DA202" s="134"/>
      <c r="DB202" s="134"/>
      <c r="DC202" s="134"/>
      <c r="DD202" s="134"/>
      <c r="DE202" s="134" t="str">
        <f t="array" ref="DE202">IFERROR(INDEX(TABLACONSOLIDADA[Buff Act],MATCH("AGROINSUMOSAGRONUEVO"&amp;Tabla_Buffers_Agroinsumos[[#This Row],[CODIGO ]],TABLACONSOLIDADA[Bodega]&amp;TABLACONSOLIDADA[Codigo],0)),"")</f>
        <v/>
      </c>
      <c r="DF202" s="157" t="str">
        <f t="array" ref="DF202">IFERROR(INDEX(TABLACONSOLIDADA[Inv Fís Act],MATCH("AGROINSUMOSAGRONUEVO"&amp;Tabla_Buffers_Agroinsumos[[#This Row],[CODIGO ]],TABLACONSOLIDADA[Bodega]&amp;TABLACONSOLIDADA[Codigo],0)),"")</f>
        <v/>
      </c>
      <c r="DG202" s="157" t="str">
        <f t="array" ref="DG20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0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02" s="134">
        <f>IFERROR(SUM(Tabla_Buffers_Agroinsumos[[#This Row],[AN-MP]:[AN-VL]]),"")</f>
        <v>0</v>
      </c>
      <c r="DJ202" s="92" t="str">
        <f>IFERROR(Tabla_Buffers_Agroinsumos[[#This Row],[INV FIS AN]]-Tabla_Buffers_Agroinsumos[[#This Row],[BUFFER AN]],"")</f>
        <v/>
      </c>
      <c r="DK20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02" s="134"/>
      <c r="DM202" s="134"/>
      <c r="DN202" s="134"/>
      <c r="DO202" s="134"/>
      <c r="DP202" s="134"/>
      <c r="DQ202" s="134"/>
      <c r="DR202" s="134"/>
      <c r="DS202" s="134"/>
      <c r="DT202" s="134"/>
      <c r="DU202" s="134" t="str">
        <f t="array" ref="DU202">IFERROR(INDEX(TABLACONSOLIDADA[Buff Act],MATCH("AGROINSUMOSAGROQUIMICOSSUR"&amp;Tabla_Buffers_Agroinsumos[[#This Row],[CODIGO ]],TABLACONSOLIDADA[Bodega]&amp;TABLACONSOLIDADA[Codigo],0)),"")</f>
        <v/>
      </c>
      <c r="DV202" s="157" t="str">
        <f t="array" ref="DV202">IFERROR(INDEX(TABLACONSOLIDADA[Inv Fís Act],MATCH("AGROINSUMOSAGROQUIMICOSSUR"&amp;Tabla_Buffers_Agroinsumos[[#This Row],[CODIGO ]],TABLACONSOLIDADA[Bodega]&amp;TABLACONSOLIDADA[Codigo],0)),"")</f>
        <v/>
      </c>
      <c r="DW202" s="157" t="str">
        <f t="array" ref="DW20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0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02" s="134">
        <f>IFERROR(SUM(Tabla_Buffers_Agroinsumos[[#This Row],[AS-MP]:[AS-VL]]),"")</f>
        <v>0</v>
      </c>
      <c r="DZ202" s="92" t="str">
        <f>IFERROR(Tabla_Buffers_Agroinsumos[[#This Row],[INV FIS AS]]-Tabla_Buffers_Agroinsumos[[#This Row],[BUFFER AS]],"")</f>
        <v/>
      </c>
      <c r="EA20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02" s="134"/>
      <c r="EC202" s="134"/>
      <c r="ED202" s="134"/>
      <c r="EE202" s="134"/>
      <c r="EF202" s="134"/>
      <c r="EG202" s="134"/>
      <c r="EH202" s="134"/>
      <c r="EI202" s="134"/>
      <c r="EJ202" s="134"/>
      <c r="EK202" s="134" t="str">
        <f t="array" ref="EK202">IFERROR(INDEX(TABLACONSOLIDADA[Buff Act],MATCH("AGROINSUMOSLAFINCA"&amp;Tabla_Buffers_Agroinsumos[[#This Row],[CODIGO ]],TABLACONSOLIDADA[Bodega]&amp;TABLACONSOLIDADA[Codigo],0)),"")</f>
        <v/>
      </c>
      <c r="EL202" s="157" t="str">
        <f t="array" ref="EL202">IFERROR(INDEX(TABLACONSOLIDADA[Inv Fís Act],MATCH("AGROINSUMOSLAFINCA"&amp;Tabla_Buffers_Agroinsumos[[#This Row],[CODIGO ]],TABLACONSOLIDADA[Bodega]&amp;TABLACONSOLIDADA[Codigo],0)),"")</f>
        <v/>
      </c>
      <c r="EM202" s="157" t="str">
        <f t="array" ref="EM20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0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02" s="134">
        <f>IFERROR(SUM(Tabla_Buffers_Agroinsumos[[#This Row],[LF-MP]:[LF-VL]]),"")</f>
        <v>0</v>
      </c>
      <c r="EP202" s="92" t="str">
        <f>IFERROR(Tabla_Buffers_Agroinsumos[[#This Row],[INV FIS LF]]-Tabla_Buffers_Agroinsumos[[#This Row],[BUFFER LF]],"")</f>
        <v/>
      </c>
      <c r="EQ20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02" s="134"/>
      <c r="ES202" s="134"/>
      <c r="ET202" s="134"/>
      <c r="EU202" s="134"/>
      <c r="EV202" s="134"/>
      <c r="EW202" s="134"/>
      <c r="EX202" s="134"/>
      <c r="EY202" s="134"/>
      <c r="EZ202" s="134"/>
      <c r="FA202" s="134" t="str">
        <f t="array" ref="FA202">IFERROR(INDEX(TABLACONSOLIDADA[Buff Act],MATCH("AGROINSUMOSVERONICALEDESMA"&amp;Tabla_Buffers_Agroinsumos[[#This Row],[CODIGO ]],TABLACONSOLIDADA[Bodega]&amp;TABLACONSOLIDADA[Codigo],0)),"")</f>
        <v/>
      </c>
      <c r="FB202" s="157" t="str">
        <f t="array" ref="FB202">IFERROR(INDEX(TABLACONSOLIDADA[Inv Fís Act],MATCH("AGROINSUMOSVERONICALEDESMA"&amp;Tabla_Buffers_Agroinsumos[[#This Row],[CODIGO ]],TABLACONSOLIDADA[Bodega]&amp;TABLACONSOLIDADA[Codigo],0)),"")</f>
        <v/>
      </c>
      <c r="FC202" s="157" t="str">
        <f t="array" ref="FC20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0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02" s="134">
        <f>IFERROR(SUM(Tabla_Buffers_Agroinsumos[[#This Row],[VL-MP]:[VL-LF]]),"")</f>
        <v>0</v>
      </c>
      <c r="FF202" s="92" t="str">
        <f>IFERROR(Tabla_Buffers_Agroinsumos[[#This Row],[INV FIS VL]]-Tabla_Buffers_Agroinsumos[[#This Row],[BUFFER VL]],"")</f>
        <v/>
      </c>
      <c r="FG20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02" s="134"/>
      <c r="FI202" s="134"/>
      <c r="FJ202" s="134"/>
      <c r="FK202" s="134"/>
      <c r="FL202" s="134"/>
      <c r="FM202" s="134"/>
      <c r="FN202" s="134"/>
      <c r="FO202" s="134"/>
      <c r="FP202" s="134"/>
    </row>
    <row r="203" spans="1:172">
      <c r="A203" s="7" t="s">
        <v>358</v>
      </c>
      <c r="B203" s="7" t="s">
        <v>359</v>
      </c>
      <c r="C203" s="7" t="s">
        <v>716</v>
      </c>
      <c r="D203" s="7" t="s">
        <v>718</v>
      </c>
      <c r="E203" s="7" t="s">
        <v>863</v>
      </c>
      <c r="F203" s="19" t="s">
        <v>808</v>
      </c>
      <c r="G203" s="19" t="s">
        <v>802</v>
      </c>
      <c r="H203" s="19">
        <f>VLOOKUP(Tabla_Buffers_Agroinsumos[[#This Row],[CODIGO ]],TABLACONSOLIDADA[[Codigo]:[PV]],6,0)</f>
        <v>0</v>
      </c>
      <c r="I203" s="19">
        <f>VLOOKUP(Tabla_Buffers_Agroinsumos[[#This Row],[CODIGO ]],TABLACONSOLIDADA[[Codigo]:[PV]],5,0)</f>
        <v>0.09</v>
      </c>
      <c r="J203" s="19">
        <v>4</v>
      </c>
      <c r="K203" s="19">
        <v>6</v>
      </c>
      <c r="L203" s="19">
        <f>IFERROR(Tabla_Buffers_Agroinsumos[[#This Row],[BUFFER CENTRAL]]/((Tabla_Buffers_Agroinsumos[[#This Row],[TIEMPO REPOSICION ]]/Tabla_Buffers_Agroinsumos[[#This Row],[FRECUENCIA]])+1),0)</f>
        <v>0</v>
      </c>
      <c r="M203" s="19">
        <f t="array" ref="M203">IFERROR(INDEX(TABLACONSOLIDADA[Buff Act],MATCH("AGROINSUMOSMATERIAPRIMA"&amp;Tabla_Buffers_Agroinsumos[[#This Row],[CODIGO ]],TABLACONSOLIDADA[Bodega]&amp;TABLACONSOLIDADA[Codigo],0)),"")</f>
        <v>500</v>
      </c>
      <c r="N203" s="157">
        <f t="array" ref="N203">IFERROR(INDEX(TABLACONSOLIDADA[Inv Fís Act],MATCH("AGROINSUMOSMATERIAPRIMA"&amp;Tabla_Buffers_Agroinsumos[[#This Row],[CODIGO ]],TABLACONSOLIDADA[Bodega]&amp;TABLACONSOLIDADA[Codigo],0)),"")</f>
        <v>226</v>
      </c>
      <c r="O203" s="157">
        <f t="array" ref="O20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726</v>
      </c>
      <c r="P20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03" s="19">
        <f>IFERROR(SUM(Tabla_Buffers_Agroinsumos[[#This Row],[MP-C]:[MP-VL]]),"")</f>
        <v>0</v>
      </c>
      <c r="R203" s="92">
        <f>IFERROR(Tabla_Buffers_Agroinsumos[[#This Row],[INV FIS MATERIA PRIMA]]-Tabla_Buffers_Agroinsumos[[#This Row],[BUFFER MATERIA PRIMA]],"")</f>
        <v>-274</v>
      </c>
      <c r="S20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-274</v>
      </c>
      <c r="T203" s="19"/>
      <c r="U203" s="19"/>
      <c r="V203" s="19"/>
      <c r="W203" s="19"/>
      <c r="X203" s="19"/>
      <c r="Y203" s="19"/>
      <c r="Z203" s="19"/>
      <c r="AA203" s="19"/>
      <c r="AB203" s="19"/>
      <c r="AC203" s="152" t="str">
        <f t="array" ref="AC203">IFERROR(INDEX(TABLACONSOLIDADA[Buff Act],MATCH("AGROINSUMOSCENTRAL"&amp;Tabla_Buffers_Agroinsumos[[#This Row],[CODIGO ]],TABLACONSOLIDADA[Bodega]&amp;TABLACONSOLIDADA[Codigo],0)),"")</f>
        <v/>
      </c>
      <c r="AD203" s="157" t="str">
        <f t="array" ref="AD203">IFERROR(INDEX(TABLACONSOLIDADA[Inv Fís Act],MATCH("AGROINSUMOSCENTRAL"&amp;Tabla_Buffers_Agroinsumos[[#This Row],[CODIGO ]],TABLACONSOLIDADA[Bodega]&amp;TABLACONSOLIDADA[Codigo],0)),"")</f>
        <v/>
      </c>
      <c r="AE203" s="157" t="str">
        <f t="array" ref="AE20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0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03" s="91">
        <f>IFERROR(SUM(Tabla_Buffers_Agroinsumos[[#This Row],[C-MP]:[C-VL]]),"")</f>
        <v>0</v>
      </c>
      <c r="AH203" s="92" t="str">
        <f>IFERROR(Tabla_Buffers_Agroinsumos[[#This Row],[INV FIS CENTRAL]]-Tabla_Buffers_Agroinsumos[[#This Row],[BUFFER CENTRAL]],"")</f>
        <v/>
      </c>
      <c r="AI20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03" s="134"/>
      <c r="AK203" s="134"/>
      <c r="AL203" s="134"/>
      <c r="AM203" s="134"/>
      <c r="AN203" s="134"/>
      <c r="AO203" s="134"/>
      <c r="AP203" s="134"/>
      <c r="AQ203" s="134"/>
      <c r="AR203" s="134"/>
      <c r="AS203" s="134" t="str">
        <f t="array" ref="AS203">IFERROR(INDEX(TABLACONSOLIDADA[Buff Act],MATCH("AGROINSUMOScentralPROPIA"&amp;Tabla_Buffers_Agroinsumos[[#This Row],[CODIGO ]],TABLACONSOLIDADA[Bodega]&amp;TABLACONSOLIDADA[Codigo],0)),"")</f>
        <v/>
      </c>
      <c r="AT203" s="157" t="str">
        <f t="array" ref="AT203">IFERROR(INDEX(TABLACONSOLIDADA[Inv Fís Act],MATCH("AGROINSUMOScentralPROPIA"&amp;Tabla_Buffers_Agroinsumos[[#This Row],[CODIGO ]],TABLACONSOLIDADA[Bodega]&amp;TABLACONSOLIDADA[Codigo],0)),"")</f>
        <v/>
      </c>
      <c r="AU203" s="157" t="str">
        <f t="array" ref="AU20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0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03" s="134">
        <f>IFERROR(SUM(Tabla_Buffers_Agroinsumos[[#This Row],[P-MP]:[P-VL]]),"")</f>
        <v>0</v>
      </c>
      <c r="AX203" s="92" t="str">
        <f>IFERROR(Tabla_Buffers_Agroinsumos[[#This Row],[INV FIS PROPIA]]-Tabla_Buffers_Agroinsumos[[#This Row],[BUFFER PROPIA]],"")</f>
        <v/>
      </c>
      <c r="AY20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03" s="134"/>
      <c r="BA203" s="134"/>
      <c r="BB203" s="134"/>
      <c r="BC203" s="134"/>
      <c r="BD203" s="134"/>
      <c r="BE203" s="134"/>
      <c r="BF203" s="134"/>
      <c r="BG203" s="134"/>
      <c r="BH203" s="134"/>
      <c r="BI203" s="91" t="str">
        <f t="array" ref="BI203">IFERROR(INDEX(TABLACONSOLIDADA[Buff Act],MATCH("AGROINSUMOSSTODOMINGO"&amp;Tabla_Buffers_Agroinsumos[[#This Row],[CODIGO ]],TABLACONSOLIDADA[Bodega]&amp;TABLACONSOLIDADA[Codigo],0)),"")</f>
        <v/>
      </c>
      <c r="BJ203" s="157" t="str">
        <f t="array" ref="BJ203">IFERROR(INDEX(TABLACONSOLIDADA[Inv Fís Act],MATCH("AGROINSUMOSSTODOMINGO"&amp;Tabla_Buffers_Agroinsumos[[#This Row],[CODIGO ]],TABLACONSOLIDADA[Bodega]&amp;TABLACONSOLIDADA[Codigo],0)),"")</f>
        <v/>
      </c>
      <c r="BK203" s="157" t="str">
        <f t="array" ref="BK20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0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03" s="91">
        <f>IFERROR(SUM(Tabla_Buffers_Agroinsumos[[#This Row],[SD-MP]:[SD-VL]]),"")</f>
        <v>0</v>
      </c>
      <c r="BN203" s="92"/>
      <c r="BO203" s="92"/>
      <c r="BP203" s="134"/>
      <c r="BQ203" s="134"/>
      <c r="BR203" s="134"/>
      <c r="BS203" s="134"/>
      <c r="BT203" s="134"/>
      <c r="BU203" s="134"/>
      <c r="BV203" s="134"/>
      <c r="BW203" s="134"/>
      <c r="BX203" s="134"/>
      <c r="BY203" s="134" t="str">
        <f t="array" ref="BY203">IFERROR(INDEX(TABLACONSOLIDADA[Buff Act],MATCH("AGROINSUMOSMONCAYOLOPEZ"&amp;Tabla_Buffers_Agroinsumos[[#This Row],[CODIGO ]],TABLACONSOLIDADA[Bodega]&amp;TABLACONSOLIDADA[Codigo],0)),"")</f>
        <v/>
      </c>
      <c r="BZ203" s="157" t="str">
        <f t="array" ref="BZ203">IFERROR(INDEX(TABLACONSOLIDADA[Inv Fís Act],MATCH("AGROINSUMOSMONCAYOLOPEZ"&amp;Tabla_Buffers_Agroinsumos[[#This Row],[CODIGO ]],TABLACONSOLIDADA[Bodega]&amp;TABLACONSOLIDADA[Codigo],0)),"")</f>
        <v/>
      </c>
      <c r="CA203" s="157" t="str">
        <f t="array" ref="CA20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0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03" s="134">
        <f>IFERROR(SUM(Tabla_Buffers_Agroinsumos[[#This Row],[ML-MP]:[ML-VL]]),"")</f>
        <v>0</v>
      </c>
      <c r="CD203" s="92" t="str">
        <f>IFERROR(Tabla_Buffers_Agroinsumos[[#This Row],[INV FIS ML]]-Tabla_Buffers_Agroinsumos[[#This Row],[BUFFER ML]],"")</f>
        <v/>
      </c>
      <c r="CE20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03" s="134"/>
      <c r="CG203" s="134"/>
      <c r="CH203" s="134"/>
      <c r="CI203" s="134"/>
      <c r="CJ203" s="134"/>
      <c r="CK203" s="134"/>
      <c r="CL203" s="134"/>
      <c r="CM203" s="134"/>
      <c r="CN203" s="134"/>
      <c r="CO203" s="134" t="str">
        <f t="array" ref="CO203">IFERROR(INDEX(TABLACONSOLIDADA[Buff Act],MATCH("AGROINSUMOSAGROHERMANOSLEON"&amp;Tabla_Buffers_Agroinsumos[[#This Row],[CODIGO ]],TABLACONSOLIDADA[Bodega]&amp;TABLACONSOLIDADA[Codigo],0)),"")</f>
        <v/>
      </c>
      <c r="CP203" s="157" t="str">
        <f t="array" ref="CP203">IFERROR(INDEX(TABLACONSOLIDADA[Inv Fís Act],MATCH("AGROINSUMOSAGROHERMANOSLEON"&amp;Tabla_Buffers_Agroinsumos[[#This Row],[CODIGO ]],TABLACONSOLIDADA[Bodega]&amp;TABLACONSOLIDADA[Codigo],0)),"")</f>
        <v/>
      </c>
      <c r="CQ203" s="157" t="str">
        <f t="array" ref="CQ20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0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03" s="134">
        <f>IFERROR(SUM(Tabla_Buffers_Agroinsumos[[#This Row],[AL-MP]:[AL-VL]]),"")</f>
        <v>0</v>
      </c>
      <c r="CT203" s="92" t="str">
        <f>IFERROR(Tabla_Buffers_Agroinsumos[[#This Row],[INV FIS AL]]-Tabla_Buffers_Agroinsumos[[#This Row],[BUFFER AL]],"")</f>
        <v/>
      </c>
      <c r="CU20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03" s="134"/>
      <c r="CW203" s="134"/>
      <c r="CX203" s="134"/>
      <c r="CY203" s="134"/>
      <c r="CZ203" s="134"/>
      <c r="DA203" s="134"/>
      <c r="DB203" s="134"/>
      <c r="DC203" s="134"/>
      <c r="DD203" s="134"/>
      <c r="DE203" s="134" t="str">
        <f t="array" ref="DE203">IFERROR(INDEX(TABLACONSOLIDADA[Buff Act],MATCH("AGROINSUMOSAGRONUEVO"&amp;Tabla_Buffers_Agroinsumos[[#This Row],[CODIGO ]],TABLACONSOLIDADA[Bodega]&amp;TABLACONSOLIDADA[Codigo],0)),"")</f>
        <v/>
      </c>
      <c r="DF203" s="157" t="str">
        <f t="array" ref="DF203">IFERROR(INDEX(TABLACONSOLIDADA[Inv Fís Act],MATCH("AGROINSUMOSAGRONUEVO"&amp;Tabla_Buffers_Agroinsumos[[#This Row],[CODIGO ]],TABLACONSOLIDADA[Bodega]&amp;TABLACONSOLIDADA[Codigo],0)),"")</f>
        <v/>
      </c>
      <c r="DG203" s="157" t="str">
        <f t="array" ref="DG20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0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03" s="134">
        <f>IFERROR(SUM(Tabla_Buffers_Agroinsumos[[#This Row],[AN-MP]:[AN-VL]]),"")</f>
        <v>0</v>
      </c>
      <c r="DJ203" s="92" t="str">
        <f>IFERROR(Tabla_Buffers_Agroinsumos[[#This Row],[INV FIS AN]]-Tabla_Buffers_Agroinsumos[[#This Row],[BUFFER AN]],"")</f>
        <v/>
      </c>
      <c r="DK20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03" s="134"/>
      <c r="DM203" s="134"/>
      <c r="DN203" s="134"/>
      <c r="DO203" s="134"/>
      <c r="DP203" s="134"/>
      <c r="DQ203" s="134"/>
      <c r="DR203" s="134"/>
      <c r="DS203" s="134"/>
      <c r="DT203" s="134"/>
      <c r="DU203" s="134" t="str">
        <f t="array" ref="DU203">IFERROR(INDEX(TABLACONSOLIDADA[Buff Act],MATCH("AGROINSUMOSAGROQUIMICOSSUR"&amp;Tabla_Buffers_Agroinsumos[[#This Row],[CODIGO ]],TABLACONSOLIDADA[Bodega]&amp;TABLACONSOLIDADA[Codigo],0)),"")</f>
        <v/>
      </c>
      <c r="DV203" s="157" t="str">
        <f t="array" ref="DV203">IFERROR(INDEX(TABLACONSOLIDADA[Inv Fís Act],MATCH("AGROINSUMOSAGROQUIMICOSSUR"&amp;Tabla_Buffers_Agroinsumos[[#This Row],[CODIGO ]],TABLACONSOLIDADA[Bodega]&amp;TABLACONSOLIDADA[Codigo],0)),"")</f>
        <v/>
      </c>
      <c r="DW203" s="157" t="str">
        <f t="array" ref="DW20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0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03" s="134">
        <f>IFERROR(SUM(Tabla_Buffers_Agroinsumos[[#This Row],[AS-MP]:[AS-VL]]),"")</f>
        <v>0</v>
      </c>
      <c r="DZ203" s="92" t="str">
        <f>IFERROR(Tabla_Buffers_Agroinsumos[[#This Row],[INV FIS AS]]-Tabla_Buffers_Agroinsumos[[#This Row],[BUFFER AS]],"")</f>
        <v/>
      </c>
      <c r="EA20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03" s="134"/>
      <c r="EC203" s="134"/>
      <c r="ED203" s="134"/>
      <c r="EE203" s="134"/>
      <c r="EF203" s="134"/>
      <c r="EG203" s="134"/>
      <c r="EH203" s="134"/>
      <c r="EI203" s="134"/>
      <c r="EJ203" s="134"/>
      <c r="EK203" s="134" t="str">
        <f t="array" ref="EK203">IFERROR(INDEX(TABLACONSOLIDADA[Buff Act],MATCH("AGROINSUMOSLAFINCA"&amp;Tabla_Buffers_Agroinsumos[[#This Row],[CODIGO ]],TABLACONSOLIDADA[Bodega]&amp;TABLACONSOLIDADA[Codigo],0)),"")</f>
        <v/>
      </c>
      <c r="EL203" s="157" t="str">
        <f t="array" ref="EL203">IFERROR(INDEX(TABLACONSOLIDADA[Inv Fís Act],MATCH("AGROINSUMOSLAFINCA"&amp;Tabla_Buffers_Agroinsumos[[#This Row],[CODIGO ]],TABLACONSOLIDADA[Bodega]&amp;TABLACONSOLIDADA[Codigo],0)),"")</f>
        <v/>
      </c>
      <c r="EM203" s="157" t="str">
        <f t="array" ref="EM20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0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03" s="134">
        <f>IFERROR(SUM(Tabla_Buffers_Agroinsumos[[#This Row],[LF-MP]:[LF-VL]]),"")</f>
        <v>0</v>
      </c>
      <c r="EP203" s="92" t="str">
        <f>IFERROR(Tabla_Buffers_Agroinsumos[[#This Row],[INV FIS LF]]-Tabla_Buffers_Agroinsumos[[#This Row],[BUFFER LF]],"")</f>
        <v/>
      </c>
      <c r="EQ20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03" s="134"/>
      <c r="ES203" s="134"/>
      <c r="ET203" s="134"/>
      <c r="EU203" s="134"/>
      <c r="EV203" s="134"/>
      <c r="EW203" s="134"/>
      <c r="EX203" s="134"/>
      <c r="EY203" s="134"/>
      <c r="EZ203" s="134"/>
      <c r="FA203" s="134" t="str">
        <f t="array" ref="FA203">IFERROR(INDEX(TABLACONSOLIDADA[Buff Act],MATCH("AGROINSUMOSVERONICALEDESMA"&amp;Tabla_Buffers_Agroinsumos[[#This Row],[CODIGO ]],TABLACONSOLIDADA[Bodega]&amp;TABLACONSOLIDADA[Codigo],0)),"")</f>
        <v/>
      </c>
      <c r="FB203" s="157" t="str">
        <f t="array" ref="FB203">IFERROR(INDEX(TABLACONSOLIDADA[Inv Fís Act],MATCH("AGROINSUMOSVERONICALEDESMA"&amp;Tabla_Buffers_Agroinsumos[[#This Row],[CODIGO ]],TABLACONSOLIDADA[Bodega]&amp;TABLACONSOLIDADA[Codigo],0)),"")</f>
        <v/>
      </c>
      <c r="FC203" s="157" t="str">
        <f t="array" ref="FC20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0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03" s="134">
        <f>IFERROR(SUM(Tabla_Buffers_Agroinsumos[[#This Row],[VL-MP]:[VL-LF]]),"")</f>
        <v>0</v>
      </c>
      <c r="FF203" s="92" t="str">
        <f>IFERROR(Tabla_Buffers_Agroinsumos[[#This Row],[INV FIS VL]]-Tabla_Buffers_Agroinsumos[[#This Row],[BUFFER VL]],"")</f>
        <v/>
      </c>
      <c r="FG20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03" s="134"/>
      <c r="FI203" s="134"/>
      <c r="FJ203" s="134"/>
      <c r="FK203" s="134"/>
      <c r="FL203" s="134"/>
      <c r="FM203" s="134"/>
      <c r="FN203" s="134"/>
      <c r="FO203" s="134"/>
      <c r="FP203" s="134"/>
    </row>
    <row r="204" spans="1:172">
      <c r="A204" s="7" t="s">
        <v>360</v>
      </c>
      <c r="B204" s="7" t="s">
        <v>361</v>
      </c>
      <c r="C204" s="7" t="s">
        <v>716</v>
      </c>
      <c r="D204" s="7" t="s">
        <v>718</v>
      </c>
      <c r="E204" s="7" t="s">
        <v>863</v>
      </c>
      <c r="F204" s="19" t="s">
        <v>808</v>
      </c>
      <c r="G204" s="19" t="s">
        <v>802</v>
      </c>
      <c r="H204" s="19">
        <f>VLOOKUP(Tabla_Buffers_Agroinsumos[[#This Row],[CODIGO ]],TABLACONSOLIDADA[[Codigo]:[PV]],6,0)</f>
        <v>0</v>
      </c>
      <c r="I204" s="19">
        <f>VLOOKUP(Tabla_Buffers_Agroinsumos[[#This Row],[CODIGO ]],TABLACONSOLIDADA[[Codigo]:[PV]],5,0)</f>
        <v>0.38</v>
      </c>
      <c r="J204" s="19">
        <v>4</v>
      </c>
      <c r="K204" s="19">
        <v>6</v>
      </c>
      <c r="L204" s="19">
        <f>IFERROR(Tabla_Buffers_Agroinsumos[[#This Row],[BUFFER CENTRAL]]/((Tabla_Buffers_Agroinsumos[[#This Row],[TIEMPO REPOSICION ]]/Tabla_Buffers_Agroinsumos[[#This Row],[FRECUENCIA]])+1),0)</f>
        <v>0</v>
      </c>
      <c r="M204" s="19">
        <f t="array" ref="M204">IFERROR(INDEX(TABLACONSOLIDADA[Buff Act],MATCH("AGROINSUMOSMATERIAPRIMA"&amp;Tabla_Buffers_Agroinsumos[[#This Row],[CODIGO ]],TABLACONSOLIDADA[Bodega]&amp;TABLACONSOLIDADA[Codigo],0)),"")</f>
        <v>0</v>
      </c>
      <c r="N204" s="157">
        <f t="array" ref="N204">IFERROR(INDEX(TABLACONSOLIDADA[Inv Fís Act],MATCH("AGROINSUMOSMATERIAPRIMA"&amp;Tabla_Buffers_Agroinsumos[[#This Row],[CODIGO ]],TABLACONSOLIDADA[Bodega]&amp;TABLACONSOLIDADA[Codigo],0)),"")</f>
        <v>0</v>
      </c>
      <c r="O204" s="157">
        <f t="array" ref="O20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20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04" s="19">
        <f>IFERROR(SUM(Tabla_Buffers_Agroinsumos[[#This Row],[MP-C]:[MP-VL]]),"")</f>
        <v>0</v>
      </c>
      <c r="R204" s="92">
        <f>IFERROR(Tabla_Buffers_Agroinsumos[[#This Row],[INV FIS MATERIA PRIMA]]-Tabla_Buffers_Agroinsumos[[#This Row],[BUFFER MATERIA PRIMA]],"")</f>
        <v>0</v>
      </c>
      <c r="S20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204" s="19"/>
      <c r="U204" s="19"/>
      <c r="V204" s="19"/>
      <c r="W204" s="19"/>
      <c r="X204" s="19"/>
      <c r="Y204" s="19"/>
      <c r="Z204" s="19"/>
      <c r="AA204" s="19"/>
      <c r="AB204" s="19"/>
      <c r="AC204" s="152" t="str">
        <f t="array" ref="AC204">IFERROR(INDEX(TABLACONSOLIDADA[Buff Act],MATCH("AGROINSUMOSCENTRAL"&amp;Tabla_Buffers_Agroinsumos[[#This Row],[CODIGO ]],TABLACONSOLIDADA[Bodega]&amp;TABLACONSOLIDADA[Codigo],0)),"")</f>
        <v/>
      </c>
      <c r="AD204" s="157" t="str">
        <f t="array" ref="AD204">IFERROR(INDEX(TABLACONSOLIDADA[Inv Fís Act],MATCH("AGROINSUMOSCENTRAL"&amp;Tabla_Buffers_Agroinsumos[[#This Row],[CODIGO ]],TABLACONSOLIDADA[Bodega]&amp;TABLACONSOLIDADA[Codigo],0)),"")</f>
        <v/>
      </c>
      <c r="AE204" s="157" t="str">
        <f t="array" ref="AE20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0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04" s="91">
        <f>IFERROR(SUM(Tabla_Buffers_Agroinsumos[[#This Row],[C-MP]:[C-VL]]),"")</f>
        <v>0</v>
      </c>
      <c r="AH204" s="92" t="str">
        <f>IFERROR(Tabla_Buffers_Agroinsumos[[#This Row],[INV FIS CENTRAL]]-Tabla_Buffers_Agroinsumos[[#This Row],[BUFFER CENTRAL]],"")</f>
        <v/>
      </c>
      <c r="AI20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04" s="134"/>
      <c r="AK204" s="134"/>
      <c r="AL204" s="134"/>
      <c r="AM204" s="134"/>
      <c r="AN204" s="134"/>
      <c r="AO204" s="134"/>
      <c r="AP204" s="134"/>
      <c r="AQ204" s="134"/>
      <c r="AR204" s="134"/>
      <c r="AS204" s="134" t="str">
        <f t="array" ref="AS204">IFERROR(INDEX(TABLACONSOLIDADA[Buff Act],MATCH("AGROINSUMOScentralPROPIA"&amp;Tabla_Buffers_Agroinsumos[[#This Row],[CODIGO ]],TABLACONSOLIDADA[Bodega]&amp;TABLACONSOLIDADA[Codigo],0)),"")</f>
        <v/>
      </c>
      <c r="AT204" s="157" t="str">
        <f t="array" ref="AT204">IFERROR(INDEX(TABLACONSOLIDADA[Inv Fís Act],MATCH("AGROINSUMOScentralPROPIA"&amp;Tabla_Buffers_Agroinsumos[[#This Row],[CODIGO ]],TABLACONSOLIDADA[Bodega]&amp;TABLACONSOLIDADA[Codigo],0)),"")</f>
        <v/>
      </c>
      <c r="AU204" s="157" t="str">
        <f t="array" ref="AU20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0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04" s="134">
        <f>IFERROR(SUM(Tabla_Buffers_Agroinsumos[[#This Row],[P-MP]:[P-VL]]),"")</f>
        <v>0</v>
      </c>
      <c r="AX204" s="92" t="str">
        <f>IFERROR(Tabla_Buffers_Agroinsumos[[#This Row],[INV FIS PROPIA]]-Tabla_Buffers_Agroinsumos[[#This Row],[BUFFER PROPIA]],"")</f>
        <v/>
      </c>
      <c r="AY20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04" s="134"/>
      <c r="BA204" s="134"/>
      <c r="BB204" s="134"/>
      <c r="BC204" s="134"/>
      <c r="BD204" s="134"/>
      <c r="BE204" s="134"/>
      <c r="BF204" s="134"/>
      <c r="BG204" s="134"/>
      <c r="BH204" s="134"/>
      <c r="BI204" s="91" t="str">
        <f t="array" ref="BI204">IFERROR(INDEX(TABLACONSOLIDADA[Buff Act],MATCH("AGROINSUMOSSTODOMINGO"&amp;Tabla_Buffers_Agroinsumos[[#This Row],[CODIGO ]],TABLACONSOLIDADA[Bodega]&amp;TABLACONSOLIDADA[Codigo],0)),"")</f>
        <v/>
      </c>
      <c r="BJ204" s="157" t="str">
        <f t="array" ref="BJ204">IFERROR(INDEX(TABLACONSOLIDADA[Inv Fís Act],MATCH("AGROINSUMOSSTODOMINGO"&amp;Tabla_Buffers_Agroinsumos[[#This Row],[CODIGO ]],TABLACONSOLIDADA[Bodega]&amp;TABLACONSOLIDADA[Codigo],0)),"")</f>
        <v/>
      </c>
      <c r="BK204" s="157" t="str">
        <f t="array" ref="BK20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0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04" s="91">
        <f>IFERROR(SUM(Tabla_Buffers_Agroinsumos[[#This Row],[SD-MP]:[SD-VL]]),"")</f>
        <v>0</v>
      </c>
      <c r="BN204" s="92"/>
      <c r="BO204" s="92"/>
      <c r="BP204" s="134"/>
      <c r="BQ204" s="134"/>
      <c r="BR204" s="134"/>
      <c r="BS204" s="134"/>
      <c r="BT204" s="134"/>
      <c r="BU204" s="134"/>
      <c r="BV204" s="134"/>
      <c r="BW204" s="134"/>
      <c r="BX204" s="134"/>
      <c r="BY204" s="134" t="str">
        <f t="array" ref="BY204">IFERROR(INDEX(TABLACONSOLIDADA[Buff Act],MATCH("AGROINSUMOSMONCAYOLOPEZ"&amp;Tabla_Buffers_Agroinsumos[[#This Row],[CODIGO ]],TABLACONSOLIDADA[Bodega]&amp;TABLACONSOLIDADA[Codigo],0)),"")</f>
        <v/>
      </c>
      <c r="BZ204" s="157" t="str">
        <f t="array" ref="BZ204">IFERROR(INDEX(TABLACONSOLIDADA[Inv Fís Act],MATCH("AGROINSUMOSMONCAYOLOPEZ"&amp;Tabla_Buffers_Agroinsumos[[#This Row],[CODIGO ]],TABLACONSOLIDADA[Bodega]&amp;TABLACONSOLIDADA[Codigo],0)),"")</f>
        <v/>
      </c>
      <c r="CA204" s="157" t="str">
        <f t="array" ref="CA20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0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04" s="134">
        <f>IFERROR(SUM(Tabla_Buffers_Agroinsumos[[#This Row],[ML-MP]:[ML-VL]]),"")</f>
        <v>0</v>
      </c>
      <c r="CD204" s="92" t="str">
        <f>IFERROR(Tabla_Buffers_Agroinsumos[[#This Row],[INV FIS ML]]-Tabla_Buffers_Agroinsumos[[#This Row],[BUFFER ML]],"")</f>
        <v/>
      </c>
      <c r="CE20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04" s="134"/>
      <c r="CG204" s="134"/>
      <c r="CH204" s="134"/>
      <c r="CI204" s="134"/>
      <c r="CJ204" s="134"/>
      <c r="CK204" s="134"/>
      <c r="CL204" s="134"/>
      <c r="CM204" s="134"/>
      <c r="CN204" s="134"/>
      <c r="CO204" s="134" t="str">
        <f t="array" ref="CO204">IFERROR(INDEX(TABLACONSOLIDADA[Buff Act],MATCH("AGROINSUMOSAGROHERMANOSLEON"&amp;Tabla_Buffers_Agroinsumos[[#This Row],[CODIGO ]],TABLACONSOLIDADA[Bodega]&amp;TABLACONSOLIDADA[Codigo],0)),"")</f>
        <v/>
      </c>
      <c r="CP204" s="157" t="str">
        <f t="array" ref="CP204">IFERROR(INDEX(TABLACONSOLIDADA[Inv Fís Act],MATCH("AGROINSUMOSAGROHERMANOSLEON"&amp;Tabla_Buffers_Agroinsumos[[#This Row],[CODIGO ]],TABLACONSOLIDADA[Bodega]&amp;TABLACONSOLIDADA[Codigo],0)),"")</f>
        <v/>
      </c>
      <c r="CQ204" s="157" t="str">
        <f t="array" ref="CQ20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0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04" s="134">
        <f>IFERROR(SUM(Tabla_Buffers_Agroinsumos[[#This Row],[AL-MP]:[AL-VL]]),"")</f>
        <v>0</v>
      </c>
      <c r="CT204" s="92" t="str">
        <f>IFERROR(Tabla_Buffers_Agroinsumos[[#This Row],[INV FIS AL]]-Tabla_Buffers_Agroinsumos[[#This Row],[BUFFER AL]],"")</f>
        <v/>
      </c>
      <c r="CU20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04" s="134"/>
      <c r="CW204" s="134"/>
      <c r="CX204" s="134"/>
      <c r="CY204" s="134"/>
      <c r="CZ204" s="134"/>
      <c r="DA204" s="134"/>
      <c r="DB204" s="134"/>
      <c r="DC204" s="134"/>
      <c r="DD204" s="134"/>
      <c r="DE204" s="134" t="str">
        <f t="array" ref="DE204">IFERROR(INDEX(TABLACONSOLIDADA[Buff Act],MATCH("AGROINSUMOSAGRONUEVO"&amp;Tabla_Buffers_Agroinsumos[[#This Row],[CODIGO ]],TABLACONSOLIDADA[Bodega]&amp;TABLACONSOLIDADA[Codigo],0)),"")</f>
        <v/>
      </c>
      <c r="DF204" s="157" t="str">
        <f t="array" ref="DF204">IFERROR(INDEX(TABLACONSOLIDADA[Inv Fís Act],MATCH("AGROINSUMOSAGRONUEVO"&amp;Tabla_Buffers_Agroinsumos[[#This Row],[CODIGO ]],TABLACONSOLIDADA[Bodega]&amp;TABLACONSOLIDADA[Codigo],0)),"")</f>
        <v/>
      </c>
      <c r="DG204" s="157" t="str">
        <f t="array" ref="DG20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0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04" s="134">
        <f>IFERROR(SUM(Tabla_Buffers_Agroinsumos[[#This Row],[AN-MP]:[AN-VL]]),"")</f>
        <v>0</v>
      </c>
      <c r="DJ204" s="92" t="str">
        <f>IFERROR(Tabla_Buffers_Agroinsumos[[#This Row],[INV FIS AN]]-Tabla_Buffers_Agroinsumos[[#This Row],[BUFFER AN]],"")</f>
        <v/>
      </c>
      <c r="DK20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04" s="134"/>
      <c r="DM204" s="134"/>
      <c r="DN204" s="134"/>
      <c r="DO204" s="134"/>
      <c r="DP204" s="134"/>
      <c r="DQ204" s="134"/>
      <c r="DR204" s="134"/>
      <c r="DS204" s="134"/>
      <c r="DT204" s="134"/>
      <c r="DU204" s="134" t="str">
        <f t="array" ref="DU204">IFERROR(INDEX(TABLACONSOLIDADA[Buff Act],MATCH("AGROINSUMOSAGROQUIMICOSSUR"&amp;Tabla_Buffers_Agroinsumos[[#This Row],[CODIGO ]],TABLACONSOLIDADA[Bodega]&amp;TABLACONSOLIDADA[Codigo],0)),"")</f>
        <v/>
      </c>
      <c r="DV204" s="157" t="str">
        <f t="array" ref="DV204">IFERROR(INDEX(TABLACONSOLIDADA[Inv Fís Act],MATCH("AGROINSUMOSAGROQUIMICOSSUR"&amp;Tabla_Buffers_Agroinsumos[[#This Row],[CODIGO ]],TABLACONSOLIDADA[Bodega]&amp;TABLACONSOLIDADA[Codigo],0)),"")</f>
        <v/>
      </c>
      <c r="DW204" s="157" t="str">
        <f t="array" ref="DW20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0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04" s="134">
        <f>IFERROR(SUM(Tabla_Buffers_Agroinsumos[[#This Row],[AS-MP]:[AS-VL]]),"")</f>
        <v>0</v>
      </c>
      <c r="DZ204" s="92" t="str">
        <f>IFERROR(Tabla_Buffers_Agroinsumos[[#This Row],[INV FIS AS]]-Tabla_Buffers_Agroinsumos[[#This Row],[BUFFER AS]],"")</f>
        <v/>
      </c>
      <c r="EA20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04" s="134"/>
      <c r="EC204" s="134"/>
      <c r="ED204" s="134"/>
      <c r="EE204" s="134"/>
      <c r="EF204" s="134"/>
      <c r="EG204" s="134"/>
      <c r="EH204" s="134"/>
      <c r="EI204" s="134"/>
      <c r="EJ204" s="134"/>
      <c r="EK204" s="134" t="str">
        <f t="array" ref="EK204">IFERROR(INDEX(TABLACONSOLIDADA[Buff Act],MATCH("AGROINSUMOSLAFINCA"&amp;Tabla_Buffers_Agroinsumos[[#This Row],[CODIGO ]],TABLACONSOLIDADA[Bodega]&amp;TABLACONSOLIDADA[Codigo],0)),"")</f>
        <v/>
      </c>
      <c r="EL204" s="157" t="str">
        <f t="array" ref="EL204">IFERROR(INDEX(TABLACONSOLIDADA[Inv Fís Act],MATCH("AGROINSUMOSLAFINCA"&amp;Tabla_Buffers_Agroinsumos[[#This Row],[CODIGO ]],TABLACONSOLIDADA[Bodega]&amp;TABLACONSOLIDADA[Codigo],0)),"")</f>
        <v/>
      </c>
      <c r="EM204" s="157" t="str">
        <f t="array" ref="EM20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0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04" s="134">
        <f>IFERROR(SUM(Tabla_Buffers_Agroinsumos[[#This Row],[LF-MP]:[LF-VL]]),"")</f>
        <v>0</v>
      </c>
      <c r="EP204" s="92" t="str">
        <f>IFERROR(Tabla_Buffers_Agroinsumos[[#This Row],[INV FIS LF]]-Tabla_Buffers_Agroinsumos[[#This Row],[BUFFER LF]],"")</f>
        <v/>
      </c>
      <c r="EQ20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04" s="134"/>
      <c r="ES204" s="134"/>
      <c r="ET204" s="134"/>
      <c r="EU204" s="134"/>
      <c r="EV204" s="134"/>
      <c r="EW204" s="134"/>
      <c r="EX204" s="134"/>
      <c r="EY204" s="134"/>
      <c r="EZ204" s="134"/>
      <c r="FA204" s="134" t="str">
        <f t="array" ref="FA204">IFERROR(INDEX(TABLACONSOLIDADA[Buff Act],MATCH("AGROINSUMOSVERONICALEDESMA"&amp;Tabla_Buffers_Agroinsumos[[#This Row],[CODIGO ]],TABLACONSOLIDADA[Bodega]&amp;TABLACONSOLIDADA[Codigo],0)),"")</f>
        <v/>
      </c>
      <c r="FB204" s="157" t="str">
        <f t="array" ref="FB204">IFERROR(INDEX(TABLACONSOLIDADA[Inv Fís Act],MATCH("AGROINSUMOSVERONICALEDESMA"&amp;Tabla_Buffers_Agroinsumos[[#This Row],[CODIGO ]],TABLACONSOLIDADA[Bodega]&amp;TABLACONSOLIDADA[Codigo],0)),"")</f>
        <v/>
      </c>
      <c r="FC204" s="157" t="str">
        <f t="array" ref="FC20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0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04" s="134">
        <f>IFERROR(SUM(Tabla_Buffers_Agroinsumos[[#This Row],[VL-MP]:[VL-LF]]),"")</f>
        <v>0</v>
      </c>
      <c r="FF204" s="92" t="str">
        <f>IFERROR(Tabla_Buffers_Agroinsumos[[#This Row],[INV FIS VL]]-Tabla_Buffers_Agroinsumos[[#This Row],[BUFFER VL]],"")</f>
        <v/>
      </c>
      <c r="FG20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04" s="134"/>
      <c r="FI204" s="134"/>
      <c r="FJ204" s="134"/>
      <c r="FK204" s="134"/>
      <c r="FL204" s="134"/>
      <c r="FM204" s="134"/>
      <c r="FN204" s="134"/>
      <c r="FO204" s="134"/>
      <c r="FP204" s="134"/>
    </row>
    <row r="205" spans="1:172">
      <c r="A205" s="7" t="s">
        <v>362</v>
      </c>
      <c r="B205" s="7" t="s">
        <v>363</v>
      </c>
      <c r="C205" s="7" t="s">
        <v>716</v>
      </c>
      <c r="D205" s="7" t="s">
        <v>718</v>
      </c>
      <c r="E205" s="7" t="s">
        <v>863</v>
      </c>
      <c r="F205" s="19" t="s">
        <v>808</v>
      </c>
      <c r="G205" s="19" t="s">
        <v>802</v>
      </c>
      <c r="H205" s="19">
        <f>VLOOKUP(Tabla_Buffers_Agroinsumos[[#This Row],[CODIGO ]],TABLACONSOLIDADA[[Codigo]:[PV]],6,0)</f>
        <v>0</v>
      </c>
      <c r="I205" s="19">
        <f>VLOOKUP(Tabla_Buffers_Agroinsumos[[#This Row],[CODIGO ]],TABLACONSOLIDADA[[Codigo]:[PV]],5,0)</f>
        <v>0.13</v>
      </c>
      <c r="J205" s="19">
        <v>4</v>
      </c>
      <c r="K205" s="19">
        <v>6</v>
      </c>
      <c r="L205" s="19">
        <f>IFERROR(Tabla_Buffers_Agroinsumos[[#This Row],[BUFFER CENTRAL]]/((Tabla_Buffers_Agroinsumos[[#This Row],[TIEMPO REPOSICION ]]/Tabla_Buffers_Agroinsumos[[#This Row],[FRECUENCIA]])+1),0)</f>
        <v>0</v>
      </c>
      <c r="M205" s="19">
        <f t="array" ref="M205">IFERROR(INDEX(TABLACONSOLIDADA[Buff Act],MATCH("AGROINSUMOSMATERIAPRIMA"&amp;Tabla_Buffers_Agroinsumos[[#This Row],[CODIGO ]],TABLACONSOLIDADA[Bodega]&amp;TABLACONSOLIDADA[Codigo],0)),"")</f>
        <v>0</v>
      </c>
      <c r="N205" s="157">
        <f t="array" ref="N205">IFERROR(INDEX(TABLACONSOLIDADA[Inv Fís Act],MATCH("AGROINSUMOSMATERIAPRIMA"&amp;Tabla_Buffers_Agroinsumos[[#This Row],[CODIGO ]],TABLACONSOLIDADA[Bodega]&amp;TABLACONSOLIDADA[Codigo],0)),"")</f>
        <v>0</v>
      </c>
      <c r="O205" s="157">
        <f t="array" ref="O20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20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05" s="19">
        <f>IFERROR(SUM(Tabla_Buffers_Agroinsumos[[#This Row],[MP-C]:[MP-VL]]),"")</f>
        <v>0</v>
      </c>
      <c r="R205" s="92">
        <f>IFERROR(Tabla_Buffers_Agroinsumos[[#This Row],[INV FIS MATERIA PRIMA]]-Tabla_Buffers_Agroinsumos[[#This Row],[BUFFER MATERIA PRIMA]],"")</f>
        <v>0</v>
      </c>
      <c r="S20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205" s="19"/>
      <c r="U205" s="19"/>
      <c r="V205" s="19"/>
      <c r="W205" s="19"/>
      <c r="X205" s="19"/>
      <c r="Y205" s="19"/>
      <c r="Z205" s="19"/>
      <c r="AA205" s="19"/>
      <c r="AB205" s="19"/>
      <c r="AC205" s="152" t="str">
        <f t="array" ref="AC205">IFERROR(INDEX(TABLACONSOLIDADA[Buff Act],MATCH("AGROINSUMOSCENTRAL"&amp;Tabla_Buffers_Agroinsumos[[#This Row],[CODIGO ]],TABLACONSOLIDADA[Bodega]&amp;TABLACONSOLIDADA[Codigo],0)),"")</f>
        <v/>
      </c>
      <c r="AD205" s="157" t="str">
        <f t="array" ref="AD205">IFERROR(INDEX(TABLACONSOLIDADA[Inv Fís Act],MATCH("AGROINSUMOSCENTRAL"&amp;Tabla_Buffers_Agroinsumos[[#This Row],[CODIGO ]],TABLACONSOLIDADA[Bodega]&amp;TABLACONSOLIDADA[Codigo],0)),"")</f>
        <v/>
      </c>
      <c r="AE205" s="157" t="str">
        <f t="array" ref="AE20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0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05" s="91">
        <f>IFERROR(SUM(Tabla_Buffers_Agroinsumos[[#This Row],[C-MP]:[C-VL]]),"")</f>
        <v>0</v>
      </c>
      <c r="AH205" s="92" t="str">
        <f>IFERROR(Tabla_Buffers_Agroinsumos[[#This Row],[INV FIS CENTRAL]]-Tabla_Buffers_Agroinsumos[[#This Row],[BUFFER CENTRAL]],"")</f>
        <v/>
      </c>
      <c r="AI20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05" s="134"/>
      <c r="AK205" s="134"/>
      <c r="AL205" s="134"/>
      <c r="AM205" s="134"/>
      <c r="AN205" s="134"/>
      <c r="AO205" s="134"/>
      <c r="AP205" s="134"/>
      <c r="AQ205" s="134"/>
      <c r="AR205" s="134"/>
      <c r="AS205" s="134" t="str">
        <f t="array" ref="AS205">IFERROR(INDEX(TABLACONSOLIDADA[Buff Act],MATCH("AGROINSUMOScentralPROPIA"&amp;Tabla_Buffers_Agroinsumos[[#This Row],[CODIGO ]],TABLACONSOLIDADA[Bodega]&amp;TABLACONSOLIDADA[Codigo],0)),"")</f>
        <v/>
      </c>
      <c r="AT205" s="157" t="str">
        <f t="array" ref="AT205">IFERROR(INDEX(TABLACONSOLIDADA[Inv Fís Act],MATCH("AGROINSUMOScentralPROPIA"&amp;Tabla_Buffers_Agroinsumos[[#This Row],[CODIGO ]],TABLACONSOLIDADA[Bodega]&amp;TABLACONSOLIDADA[Codigo],0)),"")</f>
        <v/>
      </c>
      <c r="AU205" s="157" t="str">
        <f t="array" ref="AU20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0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05" s="134">
        <f>IFERROR(SUM(Tabla_Buffers_Agroinsumos[[#This Row],[P-MP]:[P-VL]]),"")</f>
        <v>0</v>
      </c>
      <c r="AX205" s="92" t="str">
        <f>IFERROR(Tabla_Buffers_Agroinsumos[[#This Row],[INV FIS PROPIA]]-Tabla_Buffers_Agroinsumos[[#This Row],[BUFFER PROPIA]],"")</f>
        <v/>
      </c>
      <c r="AY20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05" s="134"/>
      <c r="BA205" s="134"/>
      <c r="BB205" s="134"/>
      <c r="BC205" s="134"/>
      <c r="BD205" s="134"/>
      <c r="BE205" s="134"/>
      <c r="BF205" s="134"/>
      <c r="BG205" s="134"/>
      <c r="BH205" s="134"/>
      <c r="BI205" s="91" t="str">
        <f t="array" ref="BI205">IFERROR(INDEX(TABLACONSOLIDADA[Buff Act],MATCH("AGROINSUMOSSTODOMINGO"&amp;Tabla_Buffers_Agroinsumos[[#This Row],[CODIGO ]],TABLACONSOLIDADA[Bodega]&amp;TABLACONSOLIDADA[Codigo],0)),"")</f>
        <v/>
      </c>
      <c r="BJ205" s="157" t="str">
        <f t="array" ref="BJ205">IFERROR(INDEX(TABLACONSOLIDADA[Inv Fís Act],MATCH("AGROINSUMOSSTODOMINGO"&amp;Tabla_Buffers_Agroinsumos[[#This Row],[CODIGO ]],TABLACONSOLIDADA[Bodega]&amp;TABLACONSOLIDADA[Codigo],0)),"")</f>
        <v/>
      </c>
      <c r="BK205" s="157" t="str">
        <f t="array" ref="BK20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0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05" s="91">
        <f>IFERROR(SUM(Tabla_Buffers_Agroinsumos[[#This Row],[SD-MP]:[SD-VL]]),"")</f>
        <v>0</v>
      </c>
      <c r="BN205" s="92"/>
      <c r="BO205" s="92"/>
      <c r="BP205" s="134"/>
      <c r="BQ205" s="134"/>
      <c r="BR205" s="134"/>
      <c r="BS205" s="134"/>
      <c r="BT205" s="134"/>
      <c r="BU205" s="134"/>
      <c r="BV205" s="134"/>
      <c r="BW205" s="134"/>
      <c r="BX205" s="134"/>
      <c r="BY205" s="134" t="str">
        <f t="array" ref="BY205">IFERROR(INDEX(TABLACONSOLIDADA[Buff Act],MATCH("AGROINSUMOSMONCAYOLOPEZ"&amp;Tabla_Buffers_Agroinsumos[[#This Row],[CODIGO ]],TABLACONSOLIDADA[Bodega]&amp;TABLACONSOLIDADA[Codigo],0)),"")</f>
        <v/>
      </c>
      <c r="BZ205" s="157" t="str">
        <f t="array" ref="BZ205">IFERROR(INDEX(TABLACONSOLIDADA[Inv Fís Act],MATCH("AGROINSUMOSMONCAYOLOPEZ"&amp;Tabla_Buffers_Agroinsumos[[#This Row],[CODIGO ]],TABLACONSOLIDADA[Bodega]&amp;TABLACONSOLIDADA[Codigo],0)),"")</f>
        <v/>
      </c>
      <c r="CA205" s="157" t="str">
        <f t="array" ref="CA20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0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05" s="134">
        <f>IFERROR(SUM(Tabla_Buffers_Agroinsumos[[#This Row],[ML-MP]:[ML-VL]]),"")</f>
        <v>0</v>
      </c>
      <c r="CD205" s="92" t="str">
        <f>IFERROR(Tabla_Buffers_Agroinsumos[[#This Row],[INV FIS ML]]-Tabla_Buffers_Agroinsumos[[#This Row],[BUFFER ML]],"")</f>
        <v/>
      </c>
      <c r="CE20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05" s="134"/>
      <c r="CG205" s="134"/>
      <c r="CH205" s="134"/>
      <c r="CI205" s="134"/>
      <c r="CJ205" s="134"/>
      <c r="CK205" s="134"/>
      <c r="CL205" s="134"/>
      <c r="CM205" s="134"/>
      <c r="CN205" s="134"/>
      <c r="CO205" s="134" t="str">
        <f t="array" ref="CO205">IFERROR(INDEX(TABLACONSOLIDADA[Buff Act],MATCH("AGROINSUMOSAGROHERMANOSLEON"&amp;Tabla_Buffers_Agroinsumos[[#This Row],[CODIGO ]],TABLACONSOLIDADA[Bodega]&amp;TABLACONSOLIDADA[Codigo],0)),"")</f>
        <v/>
      </c>
      <c r="CP205" s="157" t="str">
        <f t="array" ref="CP205">IFERROR(INDEX(TABLACONSOLIDADA[Inv Fís Act],MATCH("AGROINSUMOSAGROHERMANOSLEON"&amp;Tabla_Buffers_Agroinsumos[[#This Row],[CODIGO ]],TABLACONSOLIDADA[Bodega]&amp;TABLACONSOLIDADA[Codigo],0)),"")</f>
        <v/>
      </c>
      <c r="CQ205" s="157" t="str">
        <f t="array" ref="CQ20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0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05" s="134">
        <f>IFERROR(SUM(Tabla_Buffers_Agroinsumos[[#This Row],[AL-MP]:[AL-VL]]),"")</f>
        <v>0</v>
      </c>
      <c r="CT205" s="92" t="str">
        <f>IFERROR(Tabla_Buffers_Agroinsumos[[#This Row],[INV FIS AL]]-Tabla_Buffers_Agroinsumos[[#This Row],[BUFFER AL]],"")</f>
        <v/>
      </c>
      <c r="CU20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05" s="134"/>
      <c r="CW205" s="134"/>
      <c r="CX205" s="134"/>
      <c r="CY205" s="134"/>
      <c r="CZ205" s="134"/>
      <c r="DA205" s="134"/>
      <c r="DB205" s="134"/>
      <c r="DC205" s="134"/>
      <c r="DD205" s="134"/>
      <c r="DE205" s="134" t="str">
        <f t="array" ref="DE205">IFERROR(INDEX(TABLACONSOLIDADA[Buff Act],MATCH("AGROINSUMOSAGRONUEVO"&amp;Tabla_Buffers_Agroinsumos[[#This Row],[CODIGO ]],TABLACONSOLIDADA[Bodega]&amp;TABLACONSOLIDADA[Codigo],0)),"")</f>
        <v/>
      </c>
      <c r="DF205" s="157" t="str">
        <f t="array" ref="DF205">IFERROR(INDEX(TABLACONSOLIDADA[Inv Fís Act],MATCH("AGROINSUMOSAGRONUEVO"&amp;Tabla_Buffers_Agroinsumos[[#This Row],[CODIGO ]],TABLACONSOLIDADA[Bodega]&amp;TABLACONSOLIDADA[Codigo],0)),"")</f>
        <v/>
      </c>
      <c r="DG205" s="157" t="str">
        <f t="array" ref="DG20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0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05" s="134">
        <f>IFERROR(SUM(Tabla_Buffers_Agroinsumos[[#This Row],[AN-MP]:[AN-VL]]),"")</f>
        <v>0</v>
      </c>
      <c r="DJ205" s="92" t="str">
        <f>IFERROR(Tabla_Buffers_Agroinsumos[[#This Row],[INV FIS AN]]-Tabla_Buffers_Agroinsumos[[#This Row],[BUFFER AN]],"")</f>
        <v/>
      </c>
      <c r="DK20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05" s="134"/>
      <c r="DM205" s="134"/>
      <c r="DN205" s="134"/>
      <c r="DO205" s="134"/>
      <c r="DP205" s="134"/>
      <c r="DQ205" s="134"/>
      <c r="DR205" s="134"/>
      <c r="DS205" s="134"/>
      <c r="DT205" s="134"/>
      <c r="DU205" s="134" t="str">
        <f t="array" ref="DU205">IFERROR(INDEX(TABLACONSOLIDADA[Buff Act],MATCH("AGROINSUMOSAGROQUIMICOSSUR"&amp;Tabla_Buffers_Agroinsumos[[#This Row],[CODIGO ]],TABLACONSOLIDADA[Bodega]&amp;TABLACONSOLIDADA[Codigo],0)),"")</f>
        <v/>
      </c>
      <c r="DV205" s="157" t="str">
        <f t="array" ref="DV205">IFERROR(INDEX(TABLACONSOLIDADA[Inv Fís Act],MATCH("AGROINSUMOSAGROQUIMICOSSUR"&amp;Tabla_Buffers_Agroinsumos[[#This Row],[CODIGO ]],TABLACONSOLIDADA[Bodega]&amp;TABLACONSOLIDADA[Codigo],0)),"")</f>
        <v/>
      </c>
      <c r="DW205" s="157" t="str">
        <f t="array" ref="DW20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0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05" s="134">
        <f>IFERROR(SUM(Tabla_Buffers_Agroinsumos[[#This Row],[AS-MP]:[AS-VL]]),"")</f>
        <v>0</v>
      </c>
      <c r="DZ205" s="92" t="str">
        <f>IFERROR(Tabla_Buffers_Agroinsumos[[#This Row],[INV FIS AS]]-Tabla_Buffers_Agroinsumos[[#This Row],[BUFFER AS]],"")</f>
        <v/>
      </c>
      <c r="EA20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05" s="134"/>
      <c r="EC205" s="134"/>
      <c r="ED205" s="134"/>
      <c r="EE205" s="134"/>
      <c r="EF205" s="134"/>
      <c r="EG205" s="134"/>
      <c r="EH205" s="134"/>
      <c r="EI205" s="134"/>
      <c r="EJ205" s="134"/>
      <c r="EK205" s="134" t="str">
        <f t="array" ref="EK205">IFERROR(INDEX(TABLACONSOLIDADA[Buff Act],MATCH("AGROINSUMOSLAFINCA"&amp;Tabla_Buffers_Agroinsumos[[#This Row],[CODIGO ]],TABLACONSOLIDADA[Bodega]&amp;TABLACONSOLIDADA[Codigo],0)),"")</f>
        <v/>
      </c>
      <c r="EL205" s="157" t="str">
        <f t="array" ref="EL205">IFERROR(INDEX(TABLACONSOLIDADA[Inv Fís Act],MATCH("AGROINSUMOSLAFINCA"&amp;Tabla_Buffers_Agroinsumos[[#This Row],[CODIGO ]],TABLACONSOLIDADA[Bodega]&amp;TABLACONSOLIDADA[Codigo],0)),"")</f>
        <v/>
      </c>
      <c r="EM205" s="157" t="str">
        <f t="array" ref="EM20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0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05" s="134">
        <f>IFERROR(SUM(Tabla_Buffers_Agroinsumos[[#This Row],[LF-MP]:[LF-VL]]),"")</f>
        <v>0</v>
      </c>
      <c r="EP205" s="92" t="str">
        <f>IFERROR(Tabla_Buffers_Agroinsumos[[#This Row],[INV FIS LF]]-Tabla_Buffers_Agroinsumos[[#This Row],[BUFFER LF]],"")</f>
        <v/>
      </c>
      <c r="EQ20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05" s="134"/>
      <c r="ES205" s="134"/>
      <c r="ET205" s="134"/>
      <c r="EU205" s="134"/>
      <c r="EV205" s="134"/>
      <c r="EW205" s="134"/>
      <c r="EX205" s="134"/>
      <c r="EY205" s="134"/>
      <c r="EZ205" s="134"/>
      <c r="FA205" s="134" t="str">
        <f t="array" ref="FA205">IFERROR(INDEX(TABLACONSOLIDADA[Buff Act],MATCH("AGROINSUMOSVERONICALEDESMA"&amp;Tabla_Buffers_Agroinsumos[[#This Row],[CODIGO ]],TABLACONSOLIDADA[Bodega]&amp;TABLACONSOLIDADA[Codigo],0)),"")</f>
        <v/>
      </c>
      <c r="FB205" s="157" t="str">
        <f t="array" ref="FB205">IFERROR(INDEX(TABLACONSOLIDADA[Inv Fís Act],MATCH("AGROINSUMOSVERONICALEDESMA"&amp;Tabla_Buffers_Agroinsumos[[#This Row],[CODIGO ]],TABLACONSOLIDADA[Bodega]&amp;TABLACONSOLIDADA[Codigo],0)),"")</f>
        <v/>
      </c>
      <c r="FC205" s="157" t="str">
        <f t="array" ref="FC20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0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05" s="134">
        <f>IFERROR(SUM(Tabla_Buffers_Agroinsumos[[#This Row],[VL-MP]:[VL-LF]]),"")</f>
        <v>0</v>
      </c>
      <c r="FF205" s="92" t="str">
        <f>IFERROR(Tabla_Buffers_Agroinsumos[[#This Row],[INV FIS VL]]-Tabla_Buffers_Agroinsumos[[#This Row],[BUFFER VL]],"")</f>
        <v/>
      </c>
      <c r="FG20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05" s="134"/>
      <c r="FI205" s="134"/>
      <c r="FJ205" s="134"/>
      <c r="FK205" s="134"/>
      <c r="FL205" s="134"/>
      <c r="FM205" s="134"/>
      <c r="FN205" s="134"/>
      <c r="FO205" s="134"/>
      <c r="FP205" s="134"/>
    </row>
    <row r="206" spans="1:172">
      <c r="A206" s="7" t="s">
        <v>364</v>
      </c>
      <c r="B206" s="7" t="s">
        <v>365</v>
      </c>
      <c r="C206" s="7" t="s">
        <v>716</v>
      </c>
      <c r="D206" s="7" t="s">
        <v>718</v>
      </c>
      <c r="E206" s="7" t="s">
        <v>863</v>
      </c>
      <c r="F206" s="19" t="s">
        <v>808</v>
      </c>
      <c r="G206" s="19" t="s">
        <v>802</v>
      </c>
      <c r="H206" s="19">
        <f>VLOOKUP(Tabla_Buffers_Agroinsumos[[#This Row],[CODIGO ]],TABLACONSOLIDADA[[Codigo]:[PV]],6,0)</f>
        <v>0</v>
      </c>
      <c r="I206" s="19">
        <f>VLOOKUP(Tabla_Buffers_Agroinsumos[[#This Row],[CODIGO ]],TABLACONSOLIDADA[[Codigo]:[PV]],5,0)</f>
        <v>0.15</v>
      </c>
      <c r="J206" s="19">
        <v>4</v>
      </c>
      <c r="K206" s="19">
        <v>6</v>
      </c>
      <c r="L206" s="19">
        <f>IFERROR(Tabla_Buffers_Agroinsumos[[#This Row],[BUFFER CENTRAL]]/((Tabla_Buffers_Agroinsumos[[#This Row],[TIEMPO REPOSICION ]]/Tabla_Buffers_Agroinsumos[[#This Row],[FRECUENCIA]])+1),0)</f>
        <v>0</v>
      </c>
      <c r="M206" s="19">
        <f t="array" ref="M206">IFERROR(INDEX(TABLACONSOLIDADA[Buff Act],MATCH("AGROINSUMOSMATERIAPRIMA"&amp;Tabla_Buffers_Agroinsumos[[#This Row],[CODIGO ]],TABLACONSOLIDADA[Bodega]&amp;TABLACONSOLIDADA[Codigo],0)),"")</f>
        <v>0</v>
      </c>
      <c r="N206" s="157">
        <f t="array" ref="N206">IFERROR(INDEX(TABLACONSOLIDADA[Inv Fís Act],MATCH("AGROINSUMOSMATERIAPRIMA"&amp;Tabla_Buffers_Agroinsumos[[#This Row],[CODIGO ]],TABLACONSOLIDADA[Bodega]&amp;TABLACONSOLIDADA[Codigo],0)),"")</f>
        <v>1922</v>
      </c>
      <c r="O206" s="157">
        <f t="array" ref="O20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1922</v>
      </c>
      <c r="P20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06" s="19">
        <f>IFERROR(SUM(Tabla_Buffers_Agroinsumos[[#This Row],[MP-C]:[MP-VL]]),"")</f>
        <v>0</v>
      </c>
      <c r="R206" s="92">
        <f>IFERROR(Tabla_Buffers_Agroinsumos[[#This Row],[INV FIS MATERIA PRIMA]]-Tabla_Buffers_Agroinsumos[[#This Row],[BUFFER MATERIA PRIMA]],"")</f>
        <v>1922</v>
      </c>
      <c r="S20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1922</v>
      </c>
      <c r="T206" s="19"/>
      <c r="U206" s="19"/>
      <c r="V206" s="19"/>
      <c r="W206" s="19"/>
      <c r="X206" s="19"/>
      <c r="Y206" s="19"/>
      <c r="Z206" s="19"/>
      <c r="AA206" s="19"/>
      <c r="AB206" s="19"/>
      <c r="AC206" s="152" t="str">
        <f t="array" ref="AC206">IFERROR(INDEX(TABLACONSOLIDADA[Buff Act],MATCH("AGROINSUMOSCENTRAL"&amp;Tabla_Buffers_Agroinsumos[[#This Row],[CODIGO ]],TABLACONSOLIDADA[Bodega]&amp;TABLACONSOLIDADA[Codigo],0)),"")</f>
        <v/>
      </c>
      <c r="AD206" s="157" t="str">
        <f t="array" ref="AD206">IFERROR(INDEX(TABLACONSOLIDADA[Inv Fís Act],MATCH("AGROINSUMOSCENTRAL"&amp;Tabla_Buffers_Agroinsumos[[#This Row],[CODIGO ]],TABLACONSOLIDADA[Bodega]&amp;TABLACONSOLIDADA[Codigo],0)),"")</f>
        <v/>
      </c>
      <c r="AE206" s="157" t="str">
        <f t="array" ref="AE20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0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06" s="91">
        <f>IFERROR(SUM(Tabla_Buffers_Agroinsumos[[#This Row],[C-MP]:[C-VL]]),"")</f>
        <v>0</v>
      </c>
      <c r="AH206" s="92" t="str">
        <f>IFERROR(Tabla_Buffers_Agroinsumos[[#This Row],[INV FIS CENTRAL]]-Tabla_Buffers_Agroinsumos[[#This Row],[BUFFER CENTRAL]],"")</f>
        <v/>
      </c>
      <c r="AI20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06" s="134"/>
      <c r="AK206" s="134"/>
      <c r="AL206" s="134"/>
      <c r="AM206" s="134"/>
      <c r="AN206" s="134"/>
      <c r="AO206" s="134"/>
      <c r="AP206" s="134"/>
      <c r="AQ206" s="134"/>
      <c r="AR206" s="134"/>
      <c r="AS206" s="134" t="str">
        <f t="array" ref="AS206">IFERROR(INDEX(TABLACONSOLIDADA[Buff Act],MATCH("AGROINSUMOScentralPROPIA"&amp;Tabla_Buffers_Agroinsumos[[#This Row],[CODIGO ]],TABLACONSOLIDADA[Bodega]&amp;TABLACONSOLIDADA[Codigo],0)),"")</f>
        <v/>
      </c>
      <c r="AT206" s="157" t="str">
        <f t="array" ref="AT206">IFERROR(INDEX(TABLACONSOLIDADA[Inv Fís Act],MATCH("AGROINSUMOScentralPROPIA"&amp;Tabla_Buffers_Agroinsumos[[#This Row],[CODIGO ]],TABLACONSOLIDADA[Bodega]&amp;TABLACONSOLIDADA[Codigo],0)),"")</f>
        <v/>
      </c>
      <c r="AU206" s="157" t="str">
        <f t="array" ref="AU20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0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06" s="134">
        <f>IFERROR(SUM(Tabla_Buffers_Agroinsumos[[#This Row],[P-MP]:[P-VL]]),"")</f>
        <v>0</v>
      </c>
      <c r="AX206" s="92" t="str">
        <f>IFERROR(Tabla_Buffers_Agroinsumos[[#This Row],[INV FIS PROPIA]]-Tabla_Buffers_Agroinsumos[[#This Row],[BUFFER PROPIA]],"")</f>
        <v/>
      </c>
      <c r="AY20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06" s="134"/>
      <c r="BA206" s="134"/>
      <c r="BB206" s="134"/>
      <c r="BC206" s="134"/>
      <c r="BD206" s="134"/>
      <c r="BE206" s="134"/>
      <c r="BF206" s="134"/>
      <c r="BG206" s="134"/>
      <c r="BH206" s="134"/>
      <c r="BI206" s="91" t="str">
        <f t="array" ref="BI206">IFERROR(INDEX(TABLACONSOLIDADA[Buff Act],MATCH("AGROINSUMOSSTODOMINGO"&amp;Tabla_Buffers_Agroinsumos[[#This Row],[CODIGO ]],TABLACONSOLIDADA[Bodega]&amp;TABLACONSOLIDADA[Codigo],0)),"")</f>
        <v/>
      </c>
      <c r="BJ206" s="157" t="str">
        <f t="array" ref="BJ206">IFERROR(INDEX(TABLACONSOLIDADA[Inv Fís Act],MATCH("AGROINSUMOSSTODOMINGO"&amp;Tabla_Buffers_Agroinsumos[[#This Row],[CODIGO ]],TABLACONSOLIDADA[Bodega]&amp;TABLACONSOLIDADA[Codigo],0)),"")</f>
        <v/>
      </c>
      <c r="BK206" s="157" t="str">
        <f t="array" ref="BK20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0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06" s="91">
        <f>IFERROR(SUM(Tabla_Buffers_Agroinsumos[[#This Row],[SD-MP]:[SD-VL]]),"")</f>
        <v>0</v>
      </c>
      <c r="BN206" s="92"/>
      <c r="BO206" s="92"/>
      <c r="BP206" s="134"/>
      <c r="BQ206" s="134"/>
      <c r="BR206" s="134"/>
      <c r="BS206" s="134"/>
      <c r="BT206" s="134"/>
      <c r="BU206" s="134"/>
      <c r="BV206" s="134"/>
      <c r="BW206" s="134"/>
      <c r="BX206" s="134"/>
      <c r="BY206" s="134" t="str">
        <f t="array" ref="BY206">IFERROR(INDEX(TABLACONSOLIDADA[Buff Act],MATCH("AGROINSUMOSMONCAYOLOPEZ"&amp;Tabla_Buffers_Agroinsumos[[#This Row],[CODIGO ]],TABLACONSOLIDADA[Bodega]&amp;TABLACONSOLIDADA[Codigo],0)),"")</f>
        <v/>
      </c>
      <c r="BZ206" s="157" t="str">
        <f t="array" ref="BZ206">IFERROR(INDEX(TABLACONSOLIDADA[Inv Fís Act],MATCH("AGROINSUMOSMONCAYOLOPEZ"&amp;Tabla_Buffers_Agroinsumos[[#This Row],[CODIGO ]],TABLACONSOLIDADA[Bodega]&amp;TABLACONSOLIDADA[Codigo],0)),"")</f>
        <v/>
      </c>
      <c r="CA206" s="157" t="str">
        <f t="array" ref="CA20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0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06" s="134">
        <f>IFERROR(SUM(Tabla_Buffers_Agroinsumos[[#This Row],[ML-MP]:[ML-VL]]),"")</f>
        <v>0</v>
      </c>
      <c r="CD206" s="92" t="str">
        <f>IFERROR(Tabla_Buffers_Agroinsumos[[#This Row],[INV FIS ML]]-Tabla_Buffers_Agroinsumos[[#This Row],[BUFFER ML]],"")</f>
        <v/>
      </c>
      <c r="CE20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06" s="134"/>
      <c r="CG206" s="134"/>
      <c r="CH206" s="134"/>
      <c r="CI206" s="134"/>
      <c r="CJ206" s="134"/>
      <c r="CK206" s="134"/>
      <c r="CL206" s="134"/>
      <c r="CM206" s="134"/>
      <c r="CN206" s="134"/>
      <c r="CO206" s="134" t="str">
        <f t="array" ref="CO206">IFERROR(INDEX(TABLACONSOLIDADA[Buff Act],MATCH("AGROINSUMOSAGROHERMANOSLEON"&amp;Tabla_Buffers_Agroinsumos[[#This Row],[CODIGO ]],TABLACONSOLIDADA[Bodega]&amp;TABLACONSOLIDADA[Codigo],0)),"")</f>
        <v/>
      </c>
      <c r="CP206" s="157" t="str">
        <f t="array" ref="CP206">IFERROR(INDEX(TABLACONSOLIDADA[Inv Fís Act],MATCH("AGROINSUMOSAGROHERMANOSLEON"&amp;Tabla_Buffers_Agroinsumos[[#This Row],[CODIGO ]],TABLACONSOLIDADA[Bodega]&amp;TABLACONSOLIDADA[Codigo],0)),"")</f>
        <v/>
      </c>
      <c r="CQ206" s="157" t="str">
        <f t="array" ref="CQ20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0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06" s="134">
        <f>IFERROR(SUM(Tabla_Buffers_Agroinsumos[[#This Row],[AL-MP]:[AL-VL]]),"")</f>
        <v>0</v>
      </c>
      <c r="CT206" s="92" t="str">
        <f>IFERROR(Tabla_Buffers_Agroinsumos[[#This Row],[INV FIS AL]]-Tabla_Buffers_Agroinsumos[[#This Row],[BUFFER AL]],"")</f>
        <v/>
      </c>
      <c r="CU20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06" s="134"/>
      <c r="CW206" s="134"/>
      <c r="CX206" s="134"/>
      <c r="CY206" s="134"/>
      <c r="CZ206" s="134"/>
      <c r="DA206" s="134"/>
      <c r="DB206" s="134"/>
      <c r="DC206" s="134"/>
      <c r="DD206" s="134"/>
      <c r="DE206" s="134" t="str">
        <f t="array" ref="DE206">IFERROR(INDEX(TABLACONSOLIDADA[Buff Act],MATCH("AGROINSUMOSAGRONUEVO"&amp;Tabla_Buffers_Agroinsumos[[#This Row],[CODIGO ]],TABLACONSOLIDADA[Bodega]&amp;TABLACONSOLIDADA[Codigo],0)),"")</f>
        <v/>
      </c>
      <c r="DF206" s="157" t="str">
        <f t="array" ref="DF206">IFERROR(INDEX(TABLACONSOLIDADA[Inv Fís Act],MATCH("AGROINSUMOSAGRONUEVO"&amp;Tabla_Buffers_Agroinsumos[[#This Row],[CODIGO ]],TABLACONSOLIDADA[Bodega]&amp;TABLACONSOLIDADA[Codigo],0)),"")</f>
        <v/>
      </c>
      <c r="DG206" s="157" t="str">
        <f t="array" ref="DG20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0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06" s="134">
        <f>IFERROR(SUM(Tabla_Buffers_Agroinsumos[[#This Row],[AN-MP]:[AN-VL]]),"")</f>
        <v>0</v>
      </c>
      <c r="DJ206" s="92" t="str">
        <f>IFERROR(Tabla_Buffers_Agroinsumos[[#This Row],[INV FIS AN]]-Tabla_Buffers_Agroinsumos[[#This Row],[BUFFER AN]],"")</f>
        <v/>
      </c>
      <c r="DK20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06" s="134"/>
      <c r="DM206" s="134"/>
      <c r="DN206" s="134"/>
      <c r="DO206" s="134"/>
      <c r="DP206" s="134"/>
      <c r="DQ206" s="134"/>
      <c r="DR206" s="134"/>
      <c r="DS206" s="134"/>
      <c r="DT206" s="134"/>
      <c r="DU206" s="134" t="str">
        <f t="array" ref="DU206">IFERROR(INDEX(TABLACONSOLIDADA[Buff Act],MATCH("AGROINSUMOSAGROQUIMICOSSUR"&amp;Tabla_Buffers_Agroinsumos[[#This Row],[CODIGO ]],TABLACONSOLIDADA[Bodega]&amp;TABLACONSOLIDADA[Codigo],0)),"")</f>
        <v/>
      </c>
      <c r="DV206" s="157" t="str">
        <f t="array" ref="DV206">IFERROR(INDEX(TABLACONSOLIDADA[Inv Fís Act],MATCH("AGROINSUMOSAGROQUIMICOSSUR"&amp;Tabla_Buffers_Agroinsumos[[#This Row],[CODIGO ]],TABLACONSOLIDADA[Bodega]&amp;TABLACONSOLIDADA[Codigo],0)),"")</f>
        <v/>
      </c>
      <c r="DW206" s="157" t="str">
        <f t="array" ref="DW20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0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06" s="134">
        <f>IFERROR(SUM(Tabla_Buffers_Agroinsumos[[#This Row],[AS-MP]:[AS-VL]]),"")</f>
        <v>0</v>
      </c>
      <c r="DZ206" s="92" t="str">
        <f>IFERROR(Tabla_Buffers_Agroinsumos[[#This Row],[INV FIS AS]]-Tabla_Buffers_Agroinsumos[[#This Row],[BUFFER AS]],"")</f>
        <v/>
      </c>
      <c r="EA20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06" s="134"/>
      <c r="EC206" s="134"/>
      <c r="ED206" s="134"/>
      <c r="EE206" s="134"/>
      <c r="EF206" s="134"/>
      <c r="EG206" s="134"/>
      <c r="EH206" s="134"/>
      <c r="EI206" s="134"/>
      <c r="EJ206" s="134"/>
      <c r="EK206" s="134" t="str">
        <f t="array" ref="EK206">IFERROR(INDEX(TABLACONSOLIDADA[Buff Act],MATCH("AGROINSUMOSLAFINCA"&amp;Tabla_Buffers_Agroinsumos[[#This Row],[CODIGO ]],TABLACONSOLIDADA[Bodega]&amp;TABLACONSOLIDADA[Codigo],0)),"")</f>
        <v/>
      </c>
      <c r="EL206" s="157" t="str">
        <f t="array" ref="EL206">IFERROR(INDEX(TABLACONSOLIDADA[Inv Fís Act],MATCH("AGROINSUMOSLAFINCA"&amp;Tabla_Buffers_Agroinsumos[[#This Row],[CODIGO ]],TABLACONSOLIDADA[Bodega]&amp;TABLACONSOLIDADA[Codigo],0)),"")</f>
        <v/>
      </c>
      <c r="EM206" s="157" t="str">
        <f t="array" ref="EM20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0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06" s="134">
        <f>IFERROR(SUM(Tabla_Buffers_Agroinsumos[[#This Row],[LF-MP]:[LF-VL]]),"")</f>
        <v>0</v>
      </c>
      <c r="EP206" s="92" t="str">
        <f>IFERROR(Tabla_Buffers_Agroinsumos[[#This Row],[INV FIS LF]]-Tabla_Buffers_Agroinsumos[[#This Row],[BUFFER LF]],"")</f>
        <v/>
      </c>
      <c r="EQ20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06" s="134"/>
      <c r="ES206" s="134"/>
      <c r="ET206" s="134"/>
      <c r="EU206" s="134"/>
      <c r="EV206" s="134"/>
      <c r="EW206" s="134"/>
      <c r="EX206" s="134"/>
      <c r="EY206" s="134"/>
      <c r="EZ206" s="134"/>
      <c r="FA206" s="134" t="str">
        <f t="array" ref="FA206">IFERROR(INDEX(TABLACONSOLIDADA[Buff Act],MATCH("AGROINSUMOSVERONICALEDESMA"&amp;Tabla_Buffers_Agroinsumos[[#This Row],[CODIGO ]],TABLACONSOLIDADA[Bodega]&amp;TABLACONSOLIDADA[Codigo],0)),"")</f>
        <v/>
      </c>
      <c r="FB206" s="157" t="str">
        <f t="array" ref="FB206">IFERROR(INDEX(TABLACONSOLIDADA[Inv Fís Act],MATCH("AGROINSUMOSVERONICALEDESMA"&amp;Tabla_Buffers_Agroinsumos[[#This Row],[CODIGO ]],TABLACONSOLIDADA[Bodega]&amp;TABLACONSOLIDADA[Codigo],0)),"")</f>
        <v/>
      </c>
      <c r="FC206" s="157" t="str">
        <f t="array" ref="FC20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0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06" s="134">
        <f>IFERROR(SUM(Tabla_Buffers_Agroinsumos[[#This Row],[VL-MP]:[VL-LF]]),"")</f>
        <v>0</v>
      </c>
      <c r="FF206" s="92" t="str">
        <f>IFERROR(Tabla_Buffers_Agroinsumos[[#This Row],[INV FIS VL]]-Tabla_Buffers_Agroinsumos[[#This Row],[BUFFER VL]],"")</f>
        <v/>
      </c>
      <c r="FG20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06" s="134"/>
      <c r="FI206" s="134"/>
      <c r="FJ206" s="134"/>
      <c r="FK206" s="134"/>
      <c r="FL206" s="134"/>
      <c r="FM206" s="134"/>
      <c r="FN206" s="134"/>
      <c r="FO206" s="134"/>
      <c r="FP206" s="134"/>
    </row>
    <row r="207" spans="1:172">
      <c r="A207" s="20" t="s">
        <v>1251</v>
      </c>
      <c r="B207" s="20" t="s">
        <v>1252</v>
      </c>
      <c r="C207" s="20" t="s">
        <v>716</v>
      </c>
      <c r="D207" s="20" t="s">
        <v>718</v>
      </c>
      <c r="E207" s="20" t="s">
        <v>863</v>
      </c>
      <c r="F207" s="111" t="s">
        <v>808</v>
      </c>
      <c r="G207" s="111" t="s">
        <v>802</v>
      </c>
      <c r="H207" s="111" t="e">
        <f>VLOOKUP(Tabla_Buffers_Agroinsumos[[#This Row],[CODIGO ]],TABLACONSOLIDADA[[Codigo]:[PV]],6,0)</f>
        <v>#N/A</v>
      </c>
      <c r="I207" s="111" t="e">
        <f>VLOOKUP(Tabla_Buffers_Agroinsumos[[#This Row],[CODIGO ]],TABLACONSOLIDADA[[Codigo]:[PV]],5,0)</f>
        <v>#N/A</v>
      </c>
      <c r="J207" s="111"/>
      <c r="K207" s="111"/>
      <c r="L207" s="111">
        <f>IFERROR(Tabla_Buffers_Agroinsumos[[#This Row],[BUFFER CENTRAL]]/((Tabla_Buffers_Agroinsumos[[#This Row],[TIEMPO REPOSICION ]]/Tabla_Buffers_Agroinsumos[[#This Row],[FRECUENCIA]])+1),0)</f>
        <v>0</v>
      </c>
      <c r="M207" s="111">
        <v>500</v>
      </c>
      <c r="N207" s="111" t="str">
        <f t="array" ref="N207">IFERROR(INDEX(TABLACONSOLIDADA[Inv Fís Act],MATCH("AGROINSUMOSMATERIAPRIMA"&amp;Tabla_Buffers_Agroinsumos[[#This Row],[CODIGO ]],TABLACONSOLIDADA[Bodega]&amp;TABLACONSOLIDADA[Codigo],0)),"")</f>
        <v/>
      </c>
      <c r="O207" s="183" t="str">
        <f t="array" ref="O20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07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07" s="111">
        <f>IFERROR(SUM(Tabla_Buffers_Agroinsumos[[#This Row],[MP-C]:[MP-VL]]),"")</f>
        <v>0</v>
      </c>
      <c r="R207" s="154" t="str">
        <f>IFERROR(Tabla_Buffers_Agroinsumos[[#This Row],[INV FIS MATERIA PRIMA]]-Tabla_Buffers_Agroinsumos[[#This Row],[BUFFER MATERIA PRIMA]],"")</f>
        <v/>
      </c>
      <c r="S207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07" s="111"/>
      <c r="U207" s="111"/>
      <c r="V207" s="111"/>
      <c r="W207" s="111"/>
      <c r="X207" s="111"/>
      <c r="Y207" s="111"/>
      <c r="Z207" s="111"/>
      <c r="AA207" s="111"/>
      <c r="AB207" s="111"/>
      <c r="AC207" s="152" t="str">
        <f t="array" ref="AC207">IFERROR(INDEX(TABLACONSOLIDADA[Buff Act],MATCH("AGROINSUMOSCENTRAL"&amp;Tabla_Buffers_Agroinsumos[[#This Row],[CODIGO ]],TABLACONSOLIDADA[Bodega]&amp;TABLACONSOLIDADA[Codigo],0)),"")</f>
        <v/>
      </c>
      <c r="AD207" s="111" t="str">
        <f t="array" ref="AD207">IFERROR(INDEX(TABLACONSOLIDADA[Inv Fís Act],MATCH("AGROINSUMOSCENTRAL"&amp;Tabla_Buffers_Agroinsumos[[#This Row],[CODIGO ]],TABLACONSOLIDADA[Bodega]&amp;TABLACONSOLIDADA[Codigo],0)),"")</f>
        <v/>
      </c>
      <c r="AE207" s="183" t="str">
        <f t="array" ref="AE20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07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07" s="153">
        <f>IFERROR(SUM(Tabla_Buffers_Agroinsumos[[#This Row],[C-MP]:[C-VL]]),"")</f>
        <v>0</v>
      </c>
      <c r="AH207" s="154" t="str">
        <f>IFERROR(Tabla_Buffers_Agroinsumos[[#This Row],[INV FIS CENTRAL]]-Tabla_Buffers_Agroinsumos[[#This Row],[BUFFER CENTRAL]],"")</f>
        <v/>
      </c>
      <c r="AI207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07" s="135"/>
      <c r="AK207" s="135"/>
      <c r="AL207" s="135"/>
      <c r="AM207" s="135"/>
      <c r="AN207" s="135"/>
      <c r="AO207" s="135"/>
      <c r="AP207" s="135"/>
      <c r="AQ207" s="135"/>
      <c r="AR207" s="135"/>
      <c r="AS207" s="135" t="str">
        <f t="array" ref="AS207">IFERROR(INDEX(TABLACONSOLIDADA[Buff Act],MATCH("AGROINSUMOScentralPROPIA"&amp;Tabla_Buffers_Agroinsumos[[#This Row],[CODIGO ]],TABLACONSOLIDADA[Bodega]&amp;TABLACONSOLIDADA[Codigo],0)),"")</f>
        <v/>
      </c>
      <c r="AT207" s="111" t="str">
        <f t="array" ref="AT207">IFERROR(INDEX(TABLACONSOLIDADA[Inv Fís Act],MATCH("AGROINSUMOScentralPROPIA"&amp;Tabla_Buffers_Agroinsumos[[#This Row],[CODIGO ]],TABLACONSOLIDADA[Bodega]&amp;TABLACONSOLIDADA[Codigo],0)),"")</f>
        <v/>
      </c>
      <c r="AU207" s="183" t="str">
        <f t="array" ref="AU20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07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07" s="135">
        <f>IFERROR(SUM(Tabla_Buffers_Agroinsumos[[#This Row],[P-MP]:[P-VL]]),"")</f>
        <v>0</v>
      </c>
      <c r="AX207" s="154" t="str">
        <f>IFERROR(Tabla_Buffers_Agroinsumos[[#This Row],[INV FIS PROPIA]]-Tabla_Buffers_Agroinsumos[[#This Row],[BUFFER PROPIA]],"")</f>
        <v/>
      </c>
      <c r="AY207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07" s="135"/>
      <c r="BA207" s="135"/>
      <c r="BB207" s="135"/>
      <c r="BC207" s="135"/>
      <c r="BD207" s="135"/>
      <c r="BE207" s="135"/>
      <c r="BF207" s="135"/>
      <c r="BG207" s="135"/>
      <c r="BH207" s="135"/>
      <c r="BI207" s="153" t="str">
        <f t="array" ref="BI207">IFERROR(INDEX(TABLACONSOLIDADA[Buff Act],MATCH("AGROINSUMOSSTODOMINGO"&amp;Tabla_Buffers_Agroinsumos[[#This Row],[CODIGO ]],TABLACONSOLIDADA[Bodega]&amp;TABLACONSOLIDADA[Codigo],0)),"")</f>
        <v/>
      </c>
      <c r="BJ207" s="111" t="str">
        <f t="array" ref="BJ207">IFERROR(INDEX(TABLACONSOLIDADA[Inv Fís Act],MATCH("AGROINSUMOSSTODOMINGO"&amp;Tabla_Buffers_Agroinsumos[[#This Row],[CODIGO ]],TABLACONSOLIDADA[Bodega]&amp;TABLACONSOLIDADA[Codigo],0)),"")</f>
        <v/>
      </c>
      <c r="BK207" s="183" t="str">
        <f t="array" ref="BK20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07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07" s="153">
        <f>IFERROR(SUM(Tabla_Buffers_Agroinsumos[[#This Row],[SD-MP]:[SD-VL]]),"")</f>
        <v>0</v>
      </c>
      <c r="BN207" s="154"/>
      <c r="BO207" s="154"/>
      <c r="BP207" s="135"/>
      <c r="BQ207" s="135"/>
      <c r="BR207" s="135"/>
      <c r="BS207" s="135"/>
      <c r="BT207" s="135"/>
      <c r="BU207" s="135"/>
      <c r="BV207" s="135"/>
      <c r="BW207" s="135"/>
      <c r="BX207" s="135"/>
      <c r="BY207" s="135" t="str">
        <f t="array" ref="BY207">IFERROR(INDEX(TABLACONSOLIDADA[Buff Act],MATCH("AGROINSUMOSMONCAYOLOPEZ"&amp;Tabla_Buffers_Agroinsumos[[#This Row],[CODIGO ]],TABLACONSOLIDADA[Bodega]&amp;TABLACONSOLIDADA[Codigo],0)),"")</f>
        <v/>
      </c>
      <c r="BZ207" s="111" t="str">
        <f t="array" ref="BZ207">IFERROR(INDEX(TABLACONSOLIDADA[Inv Fís Act],MATCH("AGROINSUMOSMONCAYOLOPEZ"&amp;Tabla_Buffers_Agroinsumos[[#This Row],[CODIGO ]],TABLACONSOLIDADA[Bodega]&amp;TABLACONSOLIDADA[Codigo],0)),"")</f>
        <v/>
      </c>
      <c r="CA207" s="183" t="str">
        <f t="array" ref="CA20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07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07" s="135">
        <f>IFERROR(SUM(Tabla_Buffers_Agroinsumos[[#This Row],[ML-MP]:[ML-VL]]),"")</f>
        <v>0</v>
      </c>
      <c r="CD207" s="154" t="str">
        <f>IFERROR(Tabla_Buffers_Agroinsumos[[#This Row],[INV FIS ML]]-Tabla_Buffers_Agroinsumos[[#This Row],[BUFFER ML]],"")</f>
        <v/>
      </c>
      <c r="CE207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07" s="135"/>
      <c r="CG207" s="135"/>
      <c r="CH207" s="135"/>
      <c r="CI207" s="135"/>
      <c r="CJ207" s="135"/>
      <c r="CK207" s="135"/>
      <c r="CL207" s="135"/>
      <c r="CM207" s="135"/>
      <c r="CN207" s="135"/>
      <c r="CO207" s="135" t="str">
        <f t="array" ref="CO207">IFERROR(INDEX(TABLACONSOLIDADA[Buff Act],MATCH("AGROINSUMOSAGROHERMANOSLEON"&amp;Tabla_Buffers_Agroinsumos[[#This Row],[CODIGO ]],TABLACONSOLIDADA[Bodega]&amp;TABLACONSOLIDADA[Codigo],0)),"")</f>
        <v/>
      </c>
      <c r="CP207" s="111" t="str">
        <f t="array" ref="CP207">IFERROR(INDEX(TABLACONSOLIDADA[Inv Fís Act],MATCH("AGROINSUMOSAGROHERMANOSLEON"&amp;Tabla_Buffers_Agroinsumos[[#This Row],[CODIGO ]],TABLACONSOLIDADA[Bodega]&amp;TABLACONSOLIDADA[Codigo],0)),"")</f>
        <v/>
      </c>
      <c r="CQ207" s="183" t="str">
        <f t="array" ref="CQ20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07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07" s="135">
        <f>IFERROR(SUM(Tabla_Buffers_Agroinsumos[[#This Row],[AL-MP]:[AL-VL]]),"")</f>
        <v>0</v>
      </c>
      <c r="CT207" s="154" t="str">
        <f>IFERROR(Tabla_Buffers_Agroinsumos[[#This Row],[INV FIS AL]]-Tabla_Buffers_Agroinsumos[[#This Row],[BUFFER AL]],"")</f>
        <v/>
      </c>
      <c r="CU207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07" s="135"/>
      <c r="CW207" s="135"/>
      <c r="CX207" s="135"/>
      <c r="CY207" s="135"/>
      <c r="CZ207" s="135"/>
      <c r="DA207" s="135"/>
      <c r="DB207" s="135"/>
      <c r="DC207" s="135"/>
      <c r="DD207" s="135"/>
      <c r="DE207" s="135" t="str">
        <f t="array" ref="DE207">IFERROR(INDEX(TABLACONSOLIDADA[Buff Act],MATCH("AGROINSUMOSAGRONUEVO"&amp;Tabla_Buffers_Agroinsumos[[#This Row],[CODIGO ]],TABLACONSOLIDADA[Bodega]&amp;TABLACONSOLIDADA[Codigo],0)),"")</f>
        <v/>
      </c>
      <c r="DF207" s="111" t="str">
        <f t="array" ref="DF207">IFERROR(INDEX(TABLACONSOLIDADA[Inv Fís Act],MATCH("AGROINSUMOSAGRONUEVO"&amp;Tabla_Buffers_Agroinsumos[[#This Row],[CODIGO ]],TABLACONSOLIDADA[Bodega]&amp;TABLACONSOLIDADA[Codigo],0)),"")</f>
        <v/>
      </c>
      <c r="DG207" s="183" t="str">
        <f t="array" ref="DG20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07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07" s="135">
        <f>IFERROR(SUM(Tabla_Buffers_Agroinsumos[[#This Row],[AN-MP]:[AN-VL]]),"")</f>
        <v>0</v>
      </c>
      <c r="DJ207" s="154" t="str">
        <f>IFERROR(Tabla_Buffers_Agroinsumos[[#This Row],[INV FIS AN]]-Tabla_Buffers_Agroinsumos[[#This Row],[BUFFER AN]],"")</f>
        <v/>
      </c>
      <c r="DK207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07" s="135"/>
      <c r="DM207" s="135"/>
      <c r="DN207" s="135"/>
      <c r="DO207" s="135"/>
      <c r="DP207" s="135"/>
      <c r="DQ207" s="135"/>
      <c r="DR207" s="135"/>
      <c r="DS207" s="135"/>
      <c r="DT207" s="135"/>
      <c r="DU207" s="135" t="str">
        <f t="array" ref="DU207">IFERROR(INDEX(TABLACONSOLIDADA[Buff Act],MATCH("AGROINSUMOSAGROQUIMICOSSUR"&amp;Tabla_Buffers_Agroinsumos[[#This Row],[CODIGO ]],TABLACONSOLIDADA[Bodega]&amp;TABLACONSOLIDADA[Codigo],0)),"")</f>
        <v/>
      </c>
      <c r="DV207" s="111" t="str">
        <f t="array" ref="DV207">IFERROR(INDEX(TABLACONSOLIDADA[Inv Fís Act],MATCH("AGROINSUMOSAGROQUIMICOSSUR"&amp;Tabla_Buffers_Agroinsumos[[#This Row],[CODIGO ]],TABLACONSOLIDADA[Bodega]&amp;TABLACONSOLIDADA[Codigo],0)),"")</f>
        <v/>
      </c>
      <c r="DW207" s="183" t="str">
        <f t="array" ref="DW20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07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07" s="135">
        <f>IFERROR(SUM(Tabla_Buffers_Agroinsumos[[#This Row],[AS-MP]:[AS-VL]]),"")</f>
        <v>0</v>
      </c>
      <c r="DZ207" s="154" t="str">
        <f>IFERROR(Tabla_Buffers_Agroinsumos[[#This Row],[INV FIS AS]]-Tabla_Buffers_Agroinsumos[[#This Row],[BUFFER AS]],"")</f>
        <v/>
      </c>
      <c r="EA207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07" s="135"/>
      <c r="EC207" s="135"/>
      <c r="ED207" s="135"/>
      <c r="EE207" s="135"/>
      <c r="EF207" s="135"/>
      <c r="EG207" s="135"/>
      <c r="EH207" s="135"/>
      <c r="EI207" s="135"/>
      <c r="EJ207" s="135"/>
      <c r="EK207" s="135" t="str">
        <f t="array" ref="EK207">IFERROR(INDEX(TABLACONSOLIDADA[Buff Act],MATCH("AGROINSUMOSLAFINCA"&amp;Tabla_Buffers_Agroinsumos[[#This Row],[CODIGO ]],TABLACONSOLIDADA[Bodega]&amp;TABLACONSOLIDADA[Codigo],0)),"")</f>
        <v/>
      </c>
      <c r="EL207" s="111" t="str">
        <f t="array" ref="EL207">IFERROR(INDEX(TABLACONSOLIDADA[Inv Fís Act],MATCH("AGROINSUMOSLAFINCA"&amp;Tabla_Buffers_Agroinsumos[[#This Row],[CODIGO ]],TABLACONSOLIDADA[Bodega]&amp;TABLACONSOLIDADA[Codigo],0)),"")</f>
        <v/>
      </c>
      <c r="EM207" s="183" t="str">
        <f t="array" ref="EM20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07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07" s="135">
        <f>IFERROR(SUM(Tabla_Buffers_Agroinsumos[[#This Row],[LF-MP]:[LF-VL]]),"")</f>
        <v>0</v>
      </c>
      <c r="EP207" s="154" t="str">
        <f>IFERROR(Tabla_Buffers_Agroinsumos[[#This Row],[INV FIS LF]]-Tabla_Buffers_Agroinsumos[[#This Row],[BUFFER LF]],"")</f>
        <v/>
      </c>
      <c r="EQ207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07" s="135"/>
      <c r="ES207" s="135"/>
      <c r="ET207" s="135"/>
      <c r="EU207" s="135"/>
      <c r="EV207" s="135"/>
      <c r="EW207" s="135"/>
      <c r="EX207" s="135"/>
      <c r="EY207" s="135"/>
      <c r="EZ207" s="135"/>
      <c r="FA207" s="135" t="str">
        <f t="array" ref="FA207">IFERROR(INDEX(TABLACONSOLIDADA[Buff Act],MATCH("AGROINSUMOSVERONICALEDESMA"&amp;Tabla_Buffers_Agroinsumos[[#This Row],[CODIGO ]],TABLACONSOLIDADA[Bodega]&amp;TABLACONSOLIDADA[Codigo],0)),"")</f>
        <v/>
      </c>
      <c r="FB207" s="111" t="str">
        <f t="array" ref="FB207">IFERROR(INDEX(TABLACONSOLIDADA[Inv Fís Act],MATCH("AGROINSUMOSVERONICALEDESMA"&amp;Tabla_Buffers_Agroinsumos[[#This Row],[CODIGO ]],TABLACONSOLIDADA[Bodega]&amp;TABLACONSOLIDADA[Codigo],0)),"")</f>
        <v/>
      </c>
      <c r="FC207" s="183" t="str">
        <f t="array" ref="FC20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07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07" s="135">
        <f>IFERROR(SUM(Tabla_Buffers_Agroinsumos[[#This Row],[VL-MP]:[VL-LF]]),"")</f>
        <v>0</v>
      </c>
      <c r="FF207" s="154" t="str">
        <f>IFERROR(Tabla_Buffers_Agroinsumos[[#This Row],[INV FIS VL]]-Tabla_Buffers_Agroinsumos[[#This Row],[BUFFER VL]],"")</f>
        <v/>
      </c>
      <c r="FG207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07" s="135"/>
      <c r="FI207" s="135"/>
      <c r="FJ207" s="135"/>
      <c r="FK207" s="135"/>
      <c r="FL207" s="135"/>
      <c r="FM207" s="135"/>
      <c r="FN207" s="135"/>
      <c r="FO207" s="135"/>
      <c r="FP207" s="135"/>
    </row>
    <row r="208" spans="1:172">
      <c r="A208" s="7" t="s">
        <v>1253</v>
      </c>
      <c r="B208" s="7" t="s">
        <v>1254</v>
      </c>
      <c r="C208" s="20" t="s">
        <v>716</v>
      </c>
      <c r="D208" s="20" t="s">
        <v>718</v>
      </c>
      <c r="E208" s="20" t="s">
        <v>863</v>
      </c>
      <c r="F208" s="111" t="s">
        <v>808</v>
      </c>
      <c r="G208" s="111" t="s">
        <v>802</v>
      </c>
      <c r="H208" s="19" t="e">
        <f>VLOOKUP(Tabla_Buffers_Agroinsumos[[#This Row],[CODIGO ]],TABLACONSOLIDADA[[Codigo]:[PV]],6,0)</f>
        <v>#N/A</v>
      </c>
      <c r="I208" s="19" t="e">
        <f>VLOOKUP(Tabla_Buffers_Agroinsumos[[#This Row],[CODIGO ]],TABLACONSOLIDADA[[Codigo]:[PV]],5,0)</f>
        <v>#N/A</v>
      </c>
      <c r="J208" s="19"/>
      <c r="K208" s="19"/>
      <c r="L208" s="19">
        <f>IFERROR(Tabla_Buffers_Agroinsumos[[#This Row],[BUFFER CENTRAL]]/((Tabla_Buffers_Agroinsumos[[#This Row],[TIEMPO REPOSICION ]]/Tabla_Buffers_Agroinsumos[[#This Row],[FRECUENCIA]])+1),0)</f>
        <v>0</v>
      </c>
      <c r="M208" s="19">
        <v>500</v>
      </c>
      <c r="N208" s="19" t="str">
        <f t="array" ref="N208">IFERROR(INDEX(TABLACONSOLIDADA[Inv Fís Act],MATCH("AGROINSUMOSMATERIAPRIMA"&amp;Tabla_Buffers_Agroinsumos[[#This Row],[CODIGO ]],TABLACONSOLIDADA[Bodega]&amp;TABLACONSOLIDADA[Codigo],0)),"")</f>
        <v/>
      </c>
      <c r="O208" s="182" t="str">
        <f t="array" ref="O20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0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08" s="19">
        <f>IFERROR(SUM(Tabla_Buffers_Agroinsumos[[#This Row],[MP-C]:[MP-VL]]),"")</f>
        <v>0</v>
      </c>
      <c r="R208" s="92" t="str">
        <f>IFERROR(Tabla_Buffers_Agroinsumos[[#This Row],[INV FIS MATERIA PRIMA]]-Tabla_Buffers_Agroinsumos[[#This Row],[BUFFER MATERIA PRIMA]],"")</f>
        <v/>
      </c>
      <c r="S20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08" s="19"/>
      <c r="U208" s="19"/>
      <c r="V208" s="19"/>
      <c r="W208" s="19"/>
      <c r="X208" s="19"/>
      <c r="Y208" s="19"/>
      <c r="Z208" s="19"/>
      <c r="AA208" s="19"/>
      <c r="AB208" s="19"/>
      <c r="AC208" s="152" t="str">
        <f t="array" ref="AC208">IFERROR(INDEX(TABLACONSOLIDADA[Buff Act],MATCH("AGROINSUMOSCENTRAL"&amp;Tabla_Buffers_Agroinsumos[[#This Row],[CODIGO ]],TABLACONSOLIDADA[Bodega]&amp;TABLACONSOLIDADA[Codigo],0)),"")</f>
        <v/>
      </c>
      <c r="AD208" s="19" t="str">
        <f t="array" ref="AD208">IFERROR(INDEX(TABLACONSOLIDADA[Inv Fís Act],MATCH("AGROINSUMOSCENTRAL"&amp;Tabla_Buffers_Agroinsumos[[#This Row],[CODIGO ]],TABLACONSOLIDADA[Bodega]&amp;TABLACONSOLIDADA[Codigo],0)),"")</f>
        <v/>
      </c>
      <c r="AE208" s="182" t="str">
        <f t="array" ref="AE20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0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08" s="91">
        <f>IFERROR(SUM(Tabla_Buffers_Agroinsumos[[#This Row],[C-MP]:[C-VL]]),"")</f>
        <v>0</v>
      </c>
      <c r="AH208" s="92" t="str">
        <f>IFERROR(Tabla_Buffers_Agroinsumos[[#This Row],[INV FIS CENTRAL]]-Tabla_Buffers_Agroinsumos[[#This Row],[BUFFER CENTRAL]],"")</f>
        <v/>
      </c>
      <c r="AI20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08" s="134"/>
      <c r="AK208" s="134"/>
      <c r="AL208" s="134"/>
      <c r="AM208" s="134"/>
      <c r="AN208" s="134"/>
      <c r="AO208" s="134"/>
      <c r="AP208" s="134"/>
      <c r="AQ208" s="134"/>
      <c r="AR208" s="134"/>
      <c r="AS208" s="134" t="str">
        <f t="array" ref="AS208">IFERROR(INDEX(TABLACONSOLIDADA[Buff Act],MATCH("AGROINSUMOScentralPROPIA"&amp;Tabla_Buffers_Agroinsumos[[#This Row],[CODIGO ]],TABLACONSOLIDADA[Bodega]&amp;TABLACONSOLIDADA[Codigo],0)),"")</f>
        <v/>
      </c>
      <c r="AT208" s="19" t="str">
        <f t="array" ref="AT208">IFERROR(INDEX(TABLACONSOLIDADA[Inv Fís Act],MATCH("AGROINSUMOScentralPROPIA"&amp;Tabla_Buffers_Agroinsumos[[#This Row],[CODIGO ]],TABLACONSOLIDADA[Bodega]&amp;TABLACONSOLIDADA[Codigo],0)),"")</f>
        <v/>
      </c>
      <c r="AU208" s="182" t="str">
        <f t="array" ref="AU20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0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08" s="134">
        <f>IFERROR(SUM(Tabla_Buffers_Agroinsumos[[#This Row],[P-MP]:[P-VL]]),"")</f>
        <v>0</v>
      </c>
      <c r="AX208" s="92" t="str">
        <f>IFERROR(Tabla_Buffers_Agroinsumos[[#This Row],[INV FIS PROPIA]]-Tabla_Buffers_Agroinsumos[[#This Row],[BUFFER PROPIA]],"")</f>
        <v/>
      </c>
      <c r="AY20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08" s="134"/>
      <c r="BA208" s="134"/>
      <c r="BB208" s="134"/>
      <c r="BC208" s="134"/>
      <c r="BD208" s="134"/>
      <c r="BE208" s="134"/>
      <c r="BF208" s="134"/>
      <c r="BG208" s="134"/>
      <c r="BH208" s="134"/>
      <c r="BI208" s="91" t="str">
        <f t="array" ref="BI208">IFERROR(INDEX(TABLACONSOLIDADA[Buff Act],MATCH("AGROINSUMOSSTODOMINGO"&amp;Tabla_Buffers_Agroinsumos[[#This Row],[CODIGO ]],TABLACONSOLIDADA[Bodega]&amp;TABLACONSOLIDADA[Codigo],0)),"")</f>
        <v/>
      </c>
      <c r="BJ208" s="19" t="str">
        <f t="array" ref="BJ208">IFERROR(INDEX(TABLACONSOLIDADA[Inv Fís Act],MATCH("AGROINSUMOSSTODOMINGO"&amp;Tabla_Buffers_Agroinsumos[[#This Row],[CODIGO ]],TABLACONSOLIDADA[Bodega]&amp;TABLACONSOLIDADA[Codigo],0)),"")</f>
        <v/>
      </c>
      <c r="BK208" s="182" t="str">
        <f t="array" ref="BK20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0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08" s="91">
        <f>IFERROR(SUM(Tabla_Buffers_Agroinsumos[[#This Row],[SD-MP]:[SD-VL]]),"")</f>
        <v>0</v>
      </c>
      <c r="BN208" s="92"/>
      <c r="BO208" s="92"/>
      <c r="BP208" s="134"/>
      <c r="BQ208" s="134"/>
      <c r="BR208" s="134"/>
      <c r="BS208" s="134"/>
      <c r="BT208" s="134"/>
      <c r="BU208" s="134"/>
      <c r="BV208" s="134"/>
      <c r="BW208" s="134"/>
      <c r="BX208" s="134"/>
      <c r="BY208" s="134" t="str">
        <f t="array" ref="BY208">IFERROR(INDEX(TABLACONSOLIDADA[Buff Act],MATCH("AGROINSUMOSMONCAYOLOPEZ"&amp;Tabla_Buffers_Agroinsumos[[#This Row],[CODIGO ]],TABLACONSOLIDADA[Bodega]&amp;TABLACONSOLIDADA[Codigo],0)),"")</f>
        <v/>
      </c>
      <c r="BZ208" s="19" t="str">
        <f t="array" ref="BZ208">IFERROR(INDEX(TABLACONSOLIDADA[Inv Fís Act],MATCH("AGROINSUMOSMONCAYOLOPEZ"&amp;Tabla_Buffers_Agroinsumos[[#This Row],[CODIGO ]],TABLACONSOLIDADA[Bodega]&amp;TABLACONSOLIDADA[Codigo],0)),"")</f>
        <v/>
      </c>
      <c r="CA208" s="182" t="str">
        <f t="array" ref="CA20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0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08" s="134">
        <f>IFERROR(SUM(Tabla_Buffers_Agroinsumos[[#This Row],[ML-MP]:[ML-VL]]),"")</f>
        <v>0</v>
      </c>
      <c r="CD208" s="92" t="str">
        <f>IFERROR(Tabla_Buffers_Agroinsumos[[#This Row],[INV FIS ML]]-Tabla_Buffers_Agroinsumos[[#This Row],[BUFFER ML]],"")</f>
        <v/>
      </c>
      <c r="CE20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08" s="134"/>
      <c r="CG208" s="134"/>
      <c r="CH208" s="134"/>
      <c r="CI208" s="134"/>
      <c r="CJ208" s="134"/>
      <c r="CK208" s="134"/>
      <c r="CL208" s="134"/>
      <c r="CM208" s="134"/>
      <c r="CN208" s="134"/>
      <c r="CO208" s="134" t="str">
        <f t="array" ref="CO208">IFERROR(INDEX(TABLACONSOLIDADA[Buff Act],MATCH("AGROINSUMOSAGROHERMANOSLEON"&amp;Tabla_Buffers_Agroinsumos[[#This Row],[CODIGO ]],TABLACONSOLIDADA[Bodega]&amp;TABLACONSOLIDADA[Codigo],0)),"")</f>
        <v/>
      </c>
      <c r="CP208" s="19" t="str">
        <f t="array" ref="CP208">IFERROR(INDEX(TABLACONSOLIDADA[Inv Fís Act],MATCH("AGROINSUMOSAGROHERMANOSLEON"&amp;Tabla_Buffers_Agroinsumos[[#This Row],[CODIGO ]],TABLACONSOLIDADA[Bodega]&amp;TABLACONSOLIDADA[Codigo],0)),"")</f>
        <v/>
      </c>
      <c r="CQ208" s="182" t="str">
        <f t="array" ref="CQ20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0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08" s="134">
        <f>IFERROR(SUM(Tabla_Buffers_Agroinsumos[[#This Row],[AL-MP]:[AL-VL]]),"")</f>
        <v>0</v>
      </c>
      <c r="CT208" s="92" t="str">
        <f>IFERROR(Tabla_Buffers_Agroinsumos[[#This Row],[INV FIS AL]]-Tabla_Buffers_Agroinsumos[[#This Row],[BUFFER AL]],"")</f>
        <v/>
      </c>
      <c r="CU20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08" s="134"/>
      <c r="CW208" s="134"/>
      <c r="CX208" s="134"/>
      <c r="CY208" s="134"/>
      <c r="CZ208" s="134"/>
      <c r="DA208" s="134"/>
      <c r="DB208" s="134"/>
      <c r="DC208" s="134"/>
      <c r="DD208" s="134"/>
      <c r="DE208" s="134" t="str">
        <f t="array" ref="DE208">IFERROR(INDEX(TABLACONSOLIDADA[Buff Act],MATCH("AGROINSUMOSAGRONUEVO"&amp;Tabla_Buffers_Agroinsumos[[#This Row],[CODIGO ]],TABLACONSOLIDADA[Bodega]&amp;TABLACONSOLIDADA[Codigo],0)),"")</f>
        <v/>
      </c>
      <c r="DF208" s="19" t="str">
        <f t="array" ref="DF208">IFERROR(INDEX(TABLACONSOLIDADA[Inv Fís Act],MATCH("AGROINSUMOSAGRONUEVO"&amp;Tabla_Buffers_Agroinsumos[[#This Row],[CODIGO ]],TABLACONSOLIDADA[Bodega]&amp;TABLACONSOLIDADA[Codigo],0)),"")</f>
        <v/>
      </c>
      <c r="DG208" s="182" t="str">
        <f t="array" ref="DG20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0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08" s="134">
        <f>IFERROR(SUM(Tabla_Buffers_Agroinsumos[[#This Row],[AN-MP]:[AN-VL]]),"")</f>
        <v>0</v>
      </c>
      <c r="DJ208" s="92" t="str">
        <f>IFERROR(Tabla_Buffers_Agroinsumos[[#This Row],[INV FIS AN]]-Tabla_Buffers_Agroinsumos[[#This Row],[BUFFER AN]],"")</f>
        <v/>
      </c>
      <c r="DK20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08" s="134"/>
      <c r="DM208" s="134"/>
      <c r="DN208" s="134"/>
      <c r="DO208" s="134"/>
      <c r="DP208" s="134"/>
      <c r="DQ208" s="134"/>
      <c r="DR208" s="134"/>
      <c r="DS208" s="134"/>
      <c r="DT208" s="134"/>
      <c r="DU208" s="134" t="str">
        <f t="array" ref="DU208">IFERROR(INDEX(TABLACONSOLIDADA[Buff Act],MATCH("AGROINSUMOSAGROQUIMICOSSUR"&amp;Tabla_Buffers_Agroinsumos[[#This Row],[CODIGO ]],TABLACONSOLIDADA[Bodega]&amp;TABLACONSOLIDADA[Codigo],0)),"")</f>
        <v/>
      </c>
      <c r="DV208" s="19" t="str">
        <f t="array" ref="DV208">IFERROR(INDEX(TABLACONSOLIDADA[Inv Fís Act],MATCH("AGROINSUMOSAGROQUIMICOSSUR"&amp;Tabla_Buffers_Agroinsumos[[#This Row],[CODIGO ]],TABLACONSOLIDADA[Bodega]&amp;TABLACONSOLIDADA[Codigo],0)),"")</f>
        <v/>
      </c>
      <c r="DW208" s="182" t="str">
        <f t="array" ref="DW20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0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08" s="134">
        <f>IFERROR(SUM(Tabla_Buffers_Agroinsumos[[#This Row],[AS-MP]:[AS-VL]]),"")</f>
        <v>0</v>
      </c>
      <c r="DZ208" s="92" t="str">
        <f>IFERROR(Tabla_Buffers_Agroinsumos[[#This Row],[INV FIS AS]]-Tabla_Buffers_Agroinsumos[[#This Row],[BUFFER AS]],"")</f>
        <v/>
      </c>
      <c r="EA20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08" s="134"/>
      <c r="EC208" s="134"/>
      <c r="ED208" s="134"/>
      <c r="EE208" s="134"/>
      <c r="EF208" s="134"/>
      <c r="EG208" s="134"/>
      <c r="EH208" s="134"/>
      <c r="EI208" s="134"/>
      <c r="EJ208" s="134"/>
      <c r="EK208" s="134" t="str">
        <f t="array" ref="EK208">IFERROR(INDEX(TABLACONSOLIDADA[Buff Act],MATCH("AGROINSUMOSLAFINCA"&amp;Tabla_Buffers_Agroinsumos[[#This Row],[CODIGO ]],TABLACONSOLIDADA[Bodega]&amp;TABLACONSOLIDADA[Codigo],0)),"")</f>
        <v/>
      </c>
      <c r="EL208" s="19" t="str">
        <f t="array" ref="EL208">IFERROR(INDEX(TABLACONSOLIDADA[Inv Fís Act],MATCH("AGROINSUMOSLAFINCA"&amp;Tabla_Buffers_Agroinsumos[[#This Row],[CODIGO ]],TABLACONSOLIDADA[Bodega]&amp;TABLACONSOLIDADA[Codigo],0)),"")</f>
        <v/>
      </c>
      <c r="EM208" s="182" t="str">
        <f t="array" ref="EM20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0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08" s="134">
        <f>IFERROR(SUM(Tabla_Buffers_Agroinsumos[[#This Row],[LF-MP]:[LF-VL]]),"")</f>
        <v>0</v>
      </c>
      <c r="EP208" s="92" t="str">
        <f>IFERROR(Tabla_Buffers_Agroinsumos[[#This Row],[INV FIS LF]]-Tabla_Buffers_Agroinsumos[[#This Row],[BUFFER LF]],"")</f>
        <v/>
      </c>
      <c r="EQ20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08" s="134"/>
      <c r="ES208" s="134"/>
      <c r="ET208" s="134"/>
      <c r="EU208" s="134"/>
      <c r="EV208" s="134"/>
      <c r="EW208" s="134"/>
      <c r="EX208" s="134"/>
      <c r="EY208" s="134"/>
      <c r="EZ208" s="134"/>
      <c r="FA208" s="134" t="str">
        <f t="array" ref="FA208">IFERROR(INDEX(TABLACONSOLIDADA[Buff Act],MATCH("AGROINSUMOSVERONICALEDESMA"&amp;Tabla_Buffers_Agroinsumos[[#This Row],[CODIGO ]],TABLACONSOLIDADA[Bodega]&amp;TABLACONSOLIDADA[Codigo],0)),"")</f>
        <v/>
      </c>
      <c r="FB208" s="19" t="str">
        <f t="array" ref="FB208">IFERROR(INDEX(TABLACONSOLIDADA[Inv Fís Act],MATCH("AGROINSUMOSVERONICALEDESMA"&amp;Tabla_Buffers_Agroinsumos[[#This Row],[CODIGO ]],TABLACONSOLIDADA[Bodega]&amp;TABLACONSOLIDADA[Codigo],0)),"")</f>
        <v/>
      </c>
      <c r="FC208" s="182" t="str">
        <f t="array" ref="FC20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0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08" s="134">
        <f>IFERROR(SUM(Tabla_Buffers_Agroinsumos[[#This Row],[VL-MP]:[VL-LF]]),"")</f>
        <v>0</v>
      </c>
      <c r="FF208" s="92" t="str">
        <f>IFERROR(Tabla_Buffers_Agroinsumos[[#This Row],[INV FIS VL]]-Tabla_Buffers_Agroinsumos[[#This Row],[BUFFER VL]],"")</f>
        <v/>
      </c>
      <c r="FG20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08" s="134"/>
      <c r="FI208" s="134"/>
      <c r="FJ208" s="134"/>
      <c r="FK208" s="134"/>
      <c r="FL208" s="134"/>
      <c r="FM208" s="134"/>
      <c r="FN208" s="134"/>
      <c r="FO208" s="134"/>
      <c r="FP208" s="134"/>
    </row>
    <row r="209" spans="1:172">
      <c r="A209" s="7" t="s">
        <v>366</v>
      </c>
      <c r="B209" s="7" t="s">
        <v>367</v>
      </c>
      <c r="C209" s="7" t="s">
        <v>716</v>
      </c>
      <c r="D209" s="7" t="s">
        <v>718</v>
      </c>
      <c r="E209" s="7" t="s">
        <v>863</v>
      </c>
      <c r="F209" s="19" t="s">
        <v>808</v>
      </c>
      <c r="G209" s="19" t="s">
        <v>802</v>
      </c>
      <c r="H209" s="19">
        <f>VLOOKUP(Tabla_Buffers_Agroinsumos[[#This Row],[CODIGO ]],TABLACONSOLIDADA[[Codigo]:[PV]],6,0)</f>
        <v>0</v>
      </c>
      <c r="I209" s="19">
        <f>VLOOKUP(Tabla_Buffers_Agroinsumos[[#This Row],[CODIGO ]],TABLACONSOLIDADA[[Codigo]:[PV]],5,0)</f>
        <v>0.12</v>
      </c>
      <c r="J209" s="19">
        <v>4</v>
      </c>
      <c r="K209" s="19">
        <v>6</v>
      </c>
      <c r="L209" s="19">
        <f>IFERROR(Tabla_Buffers_Agroinsumos[[#This Row],[BUFFER CENTRAL]]/((Tabla_Buffers_Agroinsumos[[#This Row],[TIEMPO REPOSICION ]]/Tabla_Buffers_Agroinsumos[[#This Row],[FRECUENCIA]])+1),0)</f>
        <v>0</v>
      </c>
      <c r="M209" s="19">
        <f t="array" ref="M209">IFERROR(INDEX(TABLACONSOLIDADA[Buff Act],MATCH("AGROINSUMOSMATERIAPRIMA"&amp;Tabla_Buffers_Agroinsumos[[#This Row],[CODIGO ]],TABLACONSOLIDADA[Bodega]&amp;TABLACONSOLIDADA[Codigo],0)),"")</f>
        <v>700</v>
      </c>
      <c r="N209" s="157">
        <f t="array" ref="N209">IFERROR(INDEX(TABLACONSOLIDADA[Inv Fís Act],MATCH("AGROINSUMOSMATERIAPRIMA"&amp;Tabla_Buffers_Agroinsumos[[#This Row],[CODIGO ]],TABLACONSOLIDADA[Bodega]&amp;TABLACONSOLIDADA[Codigo],0)),"")</f>
        <v>805</v>
      </c>
      <c r="O209" s="157">
        <f t="array" ref="O20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805</v>
      </c>
      <c r="P20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09" s="19">
        <f>IFERROR(SUM(Tabla_Buffers_Agroinsumos[[#This Row],[MP-C]:[MP-VL]]),"")</f>
        <v>0</v>
      </c>
      <c r="R209" s="92">
        <f>IFERROR(Tabla_Buffers_Agroinsumos[[#This Row],[INV FIS MATERIA PRIMA]]-Tabla_Buffers_Agroinsumos[[#This Row],[BUFFER MATERIA PRIMA]],"")</f>
        <v>105</v>
      </c>
      <c r="S20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105</v>
      </c>
      <c r="T209" s="19"/>
      <c r="U209" s="19"/>
      <c r="V209" s="19"/>
      <c r="W209" s="19"/>
      <c r="X209" s="19"/>
      <c r="Y209" s="19"/>
      <c r="Z209" s="19"/>
      <c r="AA209" s="19"/>
      <c r="AB209" s="19"/>
      <c r="AC209" s="152" t="str">
        <f t="array" ref="AC209">IFERROR(INDEX(TABLACONSOLIDADA[Buff Act],MATCH("AGROINSUMOSCENTRAL"&amp;Tabla_Buffers_Agroinsumos[[#This Row],[CODIGO ]],TABLACONSOLIDADA[Bodega]&amp;TABLACONSOLIDADA[Codigo],0)),"")</f>
        <v/>
      </c>
      <c r="AD209" s="157" t="str">
        <f t="array" ref="AD209">IFERROR(INDEX(TABLACONSOLIDADA[Inv Fís Act],MATCH("AGROINSUMOSCENTRAL"&amp;Tabla_Buffers_Agroinsumos[[#This Row],[CODIGO ]],TABLACONSOLIDADA[Bodega]&amp;TABLACONSOLIDADA[Codigo],0)),"")</f>
        <v/>
      </c>
      <c r="AE209" s="157" t="str">
        <f t="array" ref="AE20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0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09" s="91">
        <f>IFERROR(SUM(Tabla_Buffers_Agroinsumos[[#This Row],[C-MP]:[C-VL]]),"")</f>
        <v>0</v>
      </c>
      <c r="AH209" s="92" t="str">
        <f>IFERROR(Tabla_Buffers_Agroinsumos[[#This Row],[INV FIS CENTRAL]]-Tabla_Buffers_Agroinsumos[[#This Row],[BUFFER CENTRAL]],"")</f>
        <v/>
      </c>
      <c r="AI20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09" s="134"/>
      <c r="AK209" s="134"/>
      <c r="AL209" s="134"/>
      <c r="AM209" s="134"/>
      <c r="AN209" s="134"/>
      <c r="AO209" s="134"/>
      <c r="AP209" s="134"/>
      <c r="AQ209" s="134"/>
      <c r="AR209" s="134"/>
      <c r="AS209" s="134" t="str">
        <f t="array" ref="AS209">IFERROR(INDEX(TABLACONSOLIDADA[Buff Act],MATCH("AGROINSUMOScentralPROPIA"&amp;Tabla_Buffers_Agroinsumos[[#This Row],[CODIGO ]],TABLACONSOLIDADA[Bodega]&amp;TABLACONSOLIDADA[Codigo],0)),"")</f>
        <v/>
      </c>
      <c r="AT209" s="157" t="str">
        <f t="array" ref="AT209">IFERROR(INDEX(TABLACONSOLIDADA[Inv Fís Act],MATCH("AGROINSUMOScentralPROPIA"&amp;Tabla_Buffers_Agroinsumos[[#This Row],[CODIGO ]],TABLACONSOLIDADA[Bodega]&amp;TABLACONSOLIDADA[Codigo],0)),"")</f>
        <v/>
      </c>
      <c r="AU209" s="157" t="str">
        <f t="array" ref="AU20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0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09" s="134">
        <f>IFERROR(SUM(Tabla_Buffers_Agroinsumos[[#This Row],[P-MP]:[P-VL]]),"")</f>
        <v>0</v>
      </c>
      <c r="AX209" s="92" t="str">
        <f>IFERROR(Tabla_Buffers_Agroinsumos[[#This Row],[INV FIS PROPIA]]-Tabla_Buffers_Agroinsumos[[#This Row],[BUFFER PROPIA]],"")</f>
        <v/>
      </c>
      <c r="AY20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09" s="134"/>
      <c r="BA209" s="134"/>
      <c r="BB209" s="134"/>
      <c r="BC209" s="134"/>
      <c r="BD209" s="134"/>
      <c r="BE209" s="134"/>
      <c r="BF209" s="134"/>
      <c r="BG209" s="134"/>
      <c r="BH209" s="134"/>
      <c r="BI209" s="91" t="str">
        <f t="array" ref="BI209">IFERROR(INDEX(TABLACONSOLIDADA[Buff Act],MATCH("AGROINSUMOSSTODOMINGO"&amp;Tabla_Buffers_Agroinsumos[[#This Row],[CODIGO ]],TABLACONSOLIDADA[Bodega]&amp;TABLACONSOLIDADA[Codigo],0)),"")</f>
        <v/>
      </c>
      <c r="BJ209" s="157" t="str">
        <f t="array" ref="BJ209">IFERROR(INDEX(TABLACONSOLIDADA[Inv Fís Act],MATCH("AGROINSUMOSSTODOMINGO"&amp;Tabla_Buffers_Agroinsumos[[#This Row],[CODIGO ]],TABLACONSOLIDADA[Bodega]&amp;TABLACONSOLIDADA[Codigo],0)),"")</f>
        <v/>
      </c>
      <c r="BK209" s="157" t="str">
        <f t="array" ref="BK20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0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09" s="91">
        <f>IFERROR(SUM(Tabla_Buffers_Agroinsumos[[#This Row],[SD-MP]:[SD-VL]]),"")</f>
        <v>0</v>
      </c>
      <c r="BN209" s="92"/>
      <c r="BO209" s="92"/>
      <c r="BP209" s="134"/>
      <c r="BQ209" s="134"/>
      <c r="BR209" s="134"/>
      <c r="BS209" s="134"/>
      <c r="BT209" s="134"/>
      <c r="BU209" s="134"/>
      <c r="BV209" s="134"/>
      <c r="BW209" s="134"/>
      <c r="BX209" s="134"/>
      <c r="BY209" s="134" t="str">
        <f t="array" ref="BY209">IFERROR(INDEX(TABLACONSOLIDADA[Buff Act],MATCH("AGROINSUMOSMONCAYOLOPEZ"&amp;Tabla_Buffers_Agroinsumos[[#This Row],[CODIGO ]],TABLACONSOLIDADA[Bodega]&amp;TABLACONSOLIDADA[Codigo],0)),"")</f>
        <v/>
      </c>
      <c r="BZ209" s="157" t="str">
        <f t="array" ref="BZ209">IFERROR(INDEX(TABLACONSOLIDADA[Inv Fís Act],MATCH("AGROINSUMOSMONCAYOLOPEZ"&amp;Tabla_Buffers_Agroinsumos[[#This Row],[CODIGO ]],TABLACONSOLIDADA[Bodega]&amp;TABLACONSOLIDADA[Codigo],0)),"")</f>
        <v/>
      </c>
      <c r="CA209" s="157" t="str">
        <f t="array" ref="CA20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0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09" s="134">
        <f>IFERROR(SUM(Tabla_Buffers_Agroinsumos[[#This Row],[ML-MP]:[ML-VL]]),"")</f>
        <v>0</v>
      </c>
      <c r="CD209" s="92" t="str">
        <f>IFERROR(Tabla_Buffers_Agroinsumos[[#This Row],[INV FIS ML]]-Tabla_Buffers_Agroinsumos[[#This Row],[BUFFER ML]],"")</f>
        <v/>
      </c>
      <c r="CE20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09" s="134"/>
      <c r="CG209" s="134"/>
      <c r="CH209" s="134"/>
      <c r="CI209" s="134"/>
      <c r="CJ209" s="134"/>
      <c r="CK209" s="134"/>
      <c r="CL209" s="134"/>
      <c r="CM209" s="134"/>
      <c r="CN209" s="134"/>
      <c r="CO209" s="134" t="str">
        <f t="array" ref="CO209">IFERROR(INDEX(TABLACONSOLIDADA[Buff Act],MATCH("AGROINSUMOSAGROHERMANOSLEON"&amp;Tabla_Buffers_Agroinsumos[[#This Row],[CODIGO ]],TABLACONSOLIDADA[Bodega]&amp;TABLACONSOLIDADA[Codigo],0)),"")</f>
        <v/>
      </c>
      <c r="CP209" s="157" t="str">
        <f t="array" ref="CP209">IFERROR(INDEX(TABLACONSOLIDADA[Inv Fís Act],MATCH("AGROINSUMOSAGROHERMANOSLEON"&amp;Tabla_Buffers_Agroinsumos[[#This Row],[CODIGO ]],TABLACONSOLIDADA[Bodega]&amp;TABLACONSOLIDADA[Codigo],0)),"")</f>
        <v/>
      </c>
      <c r="CQ209" s="157" t="str">
        <f t="array" ref="CQ20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0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09" s="134">
        <f>IFERROR(SUM(Tabla_Buffers_Agroinsumos[[#This Row],[AL-MP]:[AL-VL]]),"")</f>
        <v>0</v>
      </c>
      <c r="CT209" s="92" t="str">
        <f>IFERROR(Tabla_Buffers_Agroinsumos[[#This Row],[INV FIS AL]]-Tabla_Buffers_Agroinsumos[[#This Row],[BUFFER AL]],"")</f>
        <v/>
      </c>
      <c r="CU20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09" s="134"/>
      <c r="CW209" s="134"/>
      <c r="CX209" s="134"/>
      <c r="CY209" s="134"/>
      <c r="CZ209" s="134"/>
      <c r="DA209" s="134"/>
      <c r="DB209" s="134"/>
      <c r="DC209" s="134"/>
      <c r="DD209" s="134"/>
      <c r="DE209" s="134" t="str">
        <f t="array" ref="DE209">IFERROR(INDEX(TABLACONSOLIDADA[Buff Act],MATCH("AGROINSUMOSAGRONUEVO"&amp;Tabla_Buffers_Agroinsumos[[#This Row],[CODIGO ]],TABLACONSOLIDADA[Bodega]&amp;TABLACONSOLIDADA[Codigo],0)),"")</f>
        <v/>
      </c>
      <c r="DF209" s="157" t="str">
        <f t="array" ref="DF209">IFERROR(INDEX(TABLACONSOLIDADA[Inv Fís Act],MATCH("AGROINSUMOSAGRONUEVO"&amp;Tabla_Buffers_Agroinsumos[[#This Row],[CODIGO ]],TABLACONSOLIDADA[Bodega]&amp;TABLACONSOLIDADA[Codigo],0)),"")</f>
        <v/>
      </c>
      <c r="DG209" s="157" t="str">
        <f t="array" ref="DG20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0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09" s="134">
        <f>IFERROR(SUM(Tabla_Buffers_Agroinsumos[[#This Row],[AN-MP]:[AN-VL]]),"")</f>
        <v>0</v>
      </c>
      <c r="DJ209" s="92" t="str">
        <f>IFERROR(Tabla_Buffers_Agroinsumos[[#This Row],[INV FIS AN]]-Tabla_Buffers_Agroinsumos[[#This Row],[BUFFER AN]],"")</f>
        <v/>
      </c>
      <c r="DK20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09" s="134"/>
      <c r="DM209" s="134"/>
      <c r="DN209" s="134"/>
      <c r="DO209" s="134"/>
      <c r="DP209" s="134"/>
      <c r="DQ209" s="134"/>
      <c r="DR209" s="134"/>
      <c r="DS209" s="134"/>
      <c r="DT209" s="134"/>
      <c r="DU209" s="134" t="str">
        <f t="array" ref="DU209">IFERROR(INDEX(TABLACONSOLIDADA[Buff Act],MATCH("AGROINSUMOSAGROQUIMICOSSUR"&amp;Tabla_Buffers_Agroinsumos[[#This Row],[CODIGO ]],TABLACONSOLIDADA[Bodega]&amp;TABLACONSOLIDADA[Codigo],0)),"")</f>
        <v/>
      </c>
      <c r="DV209" s="157" t="str">
        <f t="array" ref="DV209">IFERROR(INDEX(TABLACONSOLIDADA[Inv Fís Act],MATCH("AGROINSUMOSAGROQUIMICOSSUR"&amp;Tabla_Buffers_Agroinsumos[[#This Row],[CODIGO ]],TABLACONSOLIDADA[Bodega]&amp;TABLACONSOLIDADA[Codigo],0)),"")</f>
        <v/>
      </c>
      <c r="DW209" s="157" t="str">
        <f t="array" ref="DW20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0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09" s="134">
        <f>IFERROR(SUM(Tabla_Buffers_Agroinsumos[[#This Row],[AS-MP]:[AS-VL]]),"")</f>
        <v>0</v>
      </c>
      <c r="DZ209" s="92" t="str">
        <f>IFERROR(Tabla_Buffers_Agroinsumos[[#This Row],[INV FIS AS]]-Tabla_Buffers_Agroinsumos[[#This Row],[BUFFER AS]],"")</f>
        <v/>
      </c>
      <c r="EA20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09" s="134"/>
      <c r="EC209" s="134"/>
      <c r="ED209" s="134"/>
      <c r="EE209" s="134"/>
      <c r="EF209" s="134"/>
      <c r="EG209" s="134"/>
      <c r="EH209" s="134"/>
      <c r="EI209" s="134"/>
      <c r="EJ209" s="134"/>
      <c r="EK209" s="134" t="str">
        <f t="array" ref="EK209">IFERROR(INDEX(TABLACONSOLIDADA[Buff Act],MATCH("AGROINSUMOSLAFINCA"&amp;Tabla_Buffers_Agroinsumos[[#This Row],[CODIGO ]],TABLACONSOLIDADA[Bodega]&amp;TABLACONSOLIDADA[Codigo],0)),"")</f>
        <v/>
      </c>
      <c r="EL209" s="157" t="str">
        <f t="array" ref="EL209">IFERROR(INDEX(TABLACONSOLIDADA[Inv Fís Act],MATCH("AGROINSUMOSLAFINCA"&amp;Tabla_Buffers_Agroinsumos[[#This Row],[CODIGO ]],TABLACONSOLIDADA[Bodega]&amp;TABLACONSOLIDADA[Codigo],0)),"")</f>
        <v/>
      </c>
      <c r="EM209" s="157" t="str">
        <f t="array" ref="EM20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0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09" s="134">
        <f>IFERROR(SUM(Tabla_Buffers_Agroinsumos[[#This Row],[LF-MP]:[LF-VL]]),"")</f>
        <v>0</v>
      </c>
      <c r="EP209" s="92" t="str">
        <f>IFERROR(Tabla_Buffers_Agroinsumos[[#This Row],[INV FIS LF]]-Tabla_Buffers_Agroinsumos[[#This Row],[BUFFER LF]],"")</f>
        <v/>
      </c>
      <c r="EQ20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09" s="134"/>
      <c r="ES209" s="134"/>
      <c r="ET209" s="134"/>
      <c r="EU209" s="134"/>
      <c r="EV209" s="134"/>
      <c r="EW209" s="134"/>
      <c r="EX209" s="134"/>
      <c r="EY209" s="134"/>
      <c r="EZ209" s="134"/>
      <c r="FA209" s="134" t="str">
        <f t="array" ref="FA209">IFERROR(INDEX(TABLACONSOLIDADA[Buff Act],MATCH("AGROINSUMOSVERONICALEDESMA"&amp;Tabla_Buffers_Agroinsumos[[#This Row],[CODIGO ]],TABLACONSOLIDADA[Bodega]&amp;TABLACONSOLIDADA[Codigo],0)),"")</f>
        <v/>
      </c>
      <c r="FB209" s="157" t="str">
        <f t="array" ref="FB209">IFERROR(INDEX(TABLACONSOLIDADA[Inv Fís Act],MATCH("AGROINSUMOSVERONICALEDESMA"&amp;Tabla_Buffers_Agroinsumos[[#This Row],[CODIGO ]],TABLACONSOLIDADA[Bodega]&amp;TABLACONSOLIDADA[Codigo],0)),"")</f>
        <v/>
      </c>
      <c r="FC209" s="157" t="str">
        <f t="array" ref="FC20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0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09" s="134">
        <f>IFERROR(SUM(Tabla_Buffers_Agroinsumos[[#This Row],[VL-MP]:[VL-LF]]),"")</f>
        <v>0</v>
      </c>
      <c r="FF209" s="92" t="str">
        <f>IFERROR(Tabla_Buffers_Agroinsumos[[#This Row],[INV FIS VL]]-Tabla_Buffers_Agroinsumos[[#This Row],[BUFFER VL]],"")</f>
        <v/>
      </c>
      <c r="FG20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09" s="134"/>
      <c r="FI209" s="134"/>
      <c r="FJ209" s="134"/>
      <c r="FK209" s="134"/>
      <c r="FL209" s="134"/>
      <c r="FM209" s="134"/>
      <c r="FN209" s="134"/>
      <c r="FO209" s="134"/>
      <c r="FP209" s="134"/>
    </row>
    <row r="210" spans="1:172">
      <c r="A210" s="7" t="s">
        <v>368</v>
      </c>
      <c r="B210" s="7" t="s">
        <v>369</v>
      </c>
      <c r="C210" s="7" t="s">
        <v>716</v>
      </c>
      <c r="D210" s="7" t="s">
        <v>718</v>
      </c>
      <c r="E210" s="7" t="s">
        <v>863</v>
      </c>
      <c r="F210" s="19" t="s">
        <v>808</v>
      </c>
      <c r="G210" s="19" t="s">
        <v>802</v>
      </c>
      <c r="H210" s="19">
        <f>VLOOKUP(Tabla_Buffers_Agroinsumos[[#This Row],[CODIGO ]],TABLACONSOLIDADA[[Codigo]:[PV]],6,0)</f>
        <v>0</v>
      </c>
      <c r="I210" s="19">
        <f>VLOOKUP(Tabla_Buffers_Agroinsumos[[#This Row],[CODIGO ]],TABLACONSOLIDADA[[Codigo]:[PV]],5,0)</f>
        <v>0.25</v>
      </c>
      <c r="J210" s="19">
        <v>4</v>
      </c>
      <c r="K210" s="19">
        <v>6</v>
      </c>
      <c r="L210" s="19">
        <f>IFERROR(Tabla_Buffers_Agroinsumos[[#This Row],[BUFFER CENTRAL]]/((Tabla_Buffers_Agroinsumos[[#This Row],[TIEMPO REPOSICION ]]/Tabla_Buffers_Agroinsumos[[#This Row],[FRECUENCIA]])+1),0)</f>
        <v>0</v>
      </c>
      <c r="M210" s="19">
        <f t="array" ref="M210">IFERROR(INDEX(TABLACONSOLIDADA[Buff Act],MATCH("AGROINSUMOSMATERIAPRIMA"&amp;Tabla_Buffers_Agroinsumos[[#This Row],[CODIGO ]],TABLACONSOLIDADA[Bodega]&amp;TABLACONSOLIDADA[Codigo],0)),"")</f>
        <v>500</v>
      </c>
      <c r="N210" s="157">
        <f t="array" ref="N210">IFERROR(INDEX(TABLACONSOLIDADA[Inv Fís Act],MATCH("AGROINSUMOSMATERIAPRIMA"&amp;Tabla_Buffers_Agroinsumos[[#This Row],[CODIGO ]],TABLACONSOLIDADA[Bodega]&amp;TABLACONSOLIDADA[Codigo],0)),"")</f>
        <v>652</v>
      </c>
      <c r="O210" s="157">
        <f t="array" ref="O21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652</v>
      </c>
      <c r="P21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10" s="19">
        <f>IFERROR(SUM(Tabla_Buffers_Agroinsumos[[#This Row],[MP-C]:[MP-VL]]),"")</f>
        <v>0</v>
      </c>
      <c r="R210" s="92">
        <f>IFERROR(Tabla_Buffers_Agroinsumos[[#This Row],[INV FIS MATERIA PRIMA]]-Tabla_Buffers_Agroinsumos[[#This Row],[BUFFER MATERIA PRIMA]],"")</f>
        <v>152</v>
      </c>
      <c r="S21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152</v>
      </c>
      <c r="T210" s="19"/>
      <c r="U210" s="19"/>
      <c r="V210" s="19"/>
      <c r="W210" s="19"/>
      <c r="X210" s="19"/>
      <c r="Y210" s="19"/>
      <c r="Z210" s="19"/>
      <c r="AA210" s="19"/>
      <c r="AB210" s="19"/>
      <c r="AC210" s="152" t="str">
        <f t="array" ref="AC210">IFERROR(INDEX(TABLACONSOLIDADA[Buff Act],MATCH("AGROINSUMOSCENTRAL"&amp;Tabla_Buffers_Agroinsumos[[#This Row],[CODIGO ]],TABLACONSOLIDADA[Bodega]&amp;TABLACONSOLIDADA[Codigo],0)),"")</f>
        <v/>
      </c>
      <c r="AD210" s="157" t="str">
        <f t="array" ref="AD210">IFERROR(INDEX(TABLACONSOLIDADA[Inv Fís Act],MATCH("AGROINSUMOSCENTRAL"&amp;Tabla_Buffers_Agroinsumos[[#This Row],[CODIGO ]],TABLACONSOLIDADA[Bodega]&amp;TABLACONSOLIDADA[Codigo],0)),"")</f>
        <v/>
      </c>
      <c r="AE210" s="157" t="str">
        <f t="array" ref="AE21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1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10" s="91">
        <f>IFERROR(SUM(Tabla_Buffers_Agroinsumos[[#This Row],[C-MP]:[C-VL]]),"")</f>
        <v>0</v>
      </c>
      <c r="AH210" s="92" t="str">
        <f>IFERROR(Tabla_Buffers_Agroinsumos[[#This Row],[INV FIS CENTRAL]]-Tabla_Buffers_Agroinsumos[[#This Row],[BUFFER CENTRAL]],"")</f>
        <v/>
      </c>
      <c r="AI21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10" s="134"/>
      <c r="AK210" s="134"/>
      <c r="AL210" s="134"/>
      <c r="AM210" s="134"/>
      <c r="AN210" s="134"/>
      <c r="AO210" s="134"/>
      <c r="AP210" s="134"/>
      <c r="AQ210" s="134"/>
      <c r="AR210" s="134"/>
      <c r="AS210" s="134" t="str">
        <f t="array" ref="AS210">IFERROR(INDEX(TABLACONSOLIDADA[Buff Act],MATCH("AGROINSUMOScentralPROPIA"&amp;Tabla_Buffers_Agroinsumos[[#This Row],[CODIGO ]],TABLACONSOLIDADA[Bodega]&amp;TABLACONSOLIDADA[Codigo],0)),"")</f>
        <v/>
      </c>
      <c r="AT210" s="157" t="str">
        <f t="array" ref="AT210">IFERROR(INDEX(TABLACONSOLIDADA[Inv Fís Act],MATCH("AGROINSUMOScentralPROPIA"&amp;Tabla_Buffers_Agroinsumos[[#This Row],[CODIGO ]],TABLACONSOLIDADA[Bodega]&amp;TABLACONSOLIDADA[Codigo],0)),"")</f>
        <v/>
      </c>
      <c r="AU210" s="157" t="str">
        <f t="array" ref="AU21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1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10" s="134">
        <f>IFERROR(SUM(Tabla_Buffers_Agroinsumos[[#This Row],[P-MP]:[P-VL]]),"")</f>
        <v>0</v>
      </c>
      <c r="AX210" s="92" t="str">
        <f>IFERROR(Tabla_Buffers_Agroinsumos[[#This Row],[INV FIS PROPIA]]-Tabla_Buffers_Agroinsumos[[#This Row],[BUFFER PROPIA]],"")</f>
        <v/>
      </c>
      <c r="AY21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10" s="134"/>
      <c r="BA210" s="134"/>
      <c r="BB210" s="134"/>
      <c r="BC210" s="134"/>
      <c r="BD210" s="134"/>
      <c r="BE210" s="134"/>
      <c r="BF210" s="134"/>
      <c r="BG210" s="134"/>
      <c r="BH210" s="134"/>
      <c r="BI210" s="91" t="str">
        <f t="array" ref="BI210">IFERROR(INDEX(TABLACONSOLIDADA[Buff Act],MATCH("AGROINSUMOSSTODOMINGO"&amp;Tabla_Buffers_Agroinsumos[[#This Row],[CODIGO ]],TABLACONSOLIDADA[Bodega]&amp;TABLACONSOLIDADA[Codigo],0)),"")</f>
        <v/>
      </c>
      <c r="BJ210" s="157" t="str">
        <f t="array" ref="BJ210">IFERROR(INDEX(TABLACONSOLIDADA[Inv Fís Act],MATCH("AGROINSUMOSSTODOMINGO"&amp;Tabla_Buffers_Agroinsumos[[#This Row],[CODIGO ]],TABLACONSOLIDADA[Bodega]&amp;TABLACONSOLIDADA[Codigo],0)),"")</f>
        <v/>
      </c>
      <c r="BK210" s="157" t="str">
        <f t="array" ref="BK21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1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10" s="91">
        <f>IFERROR(SUM(Tabla_Buffers_Agroinsumos[[#This Row],[SD-MP]:[SD-VL]]),"")</f>
        <v>0</v>
      </c>
      <c r="BN210" s="92"/>
      <c r="BO210" s="92"/>
      <c r="BP210" s="134"/>
      <c r="BQ210" s="134"/>
      <c r="BR210" s="134"/>
      <c r="BS210" s="134"/>
      <c r="BT210" s="134"/>
      <c r="BU210" s="134"/>
      <c r="BV210" s="134"/>
      <c r="BW210" s="134"/>
      <c r="BX210" s="134"/>
      <c r="BY210" s="134" t="str">
        <f t="array" ref="BY210">IFERROR(INDEX(TABLACONSOLIDADA[Buff Act],MATCH("AGROINSUMOSMONCAYOLOPEZ"&amp;Tabla_Buffers_Agroinsumos[[#This Row],[CODIGO ]],TABLACONSOLIDADA[Bodega]&amp;TABLACONSOLIDADA[Codigo],0)),"")</f>
        <v/>
      </c>
      <c r="BZ210" s="157" t="str">
        <f t="array" ref="BZ210">IFERROR(INDEX(TABLACONSOLIDADA[Inv Fís Act],MATCH("AGROINSUMOSMONCAYOLOPEZ"&amp;Tabla_Buffers_Agroinsumos[[#This Row],[CODIGO ]],TABLACONSOLIDADA[Bodega]&amp;TABLACONSOLIDADA[Codigo],0)),"")</f>
        <v/>
      </c>
      <c r="CA210" s="157" t="str">
        <f t="array" ref="CA21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1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10" s="134">
        <f>IFERROR(SUM(Tabla_Buffers_Agroinsumos[[#This Row],[ML-MP]:[ML-VL]]),"")</f>
        <v>0</v>
      </c>
      <c r="CD210" s="92" t="str">
        <f>IFERROR(Tabla_Buffers_Agroinsumos[[#This Row],[INV FIS ML]]-Tabla_Buffers_Agroinsumos[[#This Row],[BUFFER ML]],"")</f>
        <v/>
      </c>
      <c r="CE21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10" s="134"/>
      <c r="CG210" s="134"/>
      <c r="CH210" s="134"/>
      <c r="CI210" s="134"/>
      <c r="CJ210" s="134"/>
      <c r="CK210" s="134"/>
      <c r="CL210" s="134"/>
      <c r="CM210" s="134"/>
      <c r="CN210" s="134"/>
      <c r="CO210" s="134" t="str">
        <f t="array" ref="CO210">IFERROR(INDEX(TABLACONSOLIDADA[Buff Act],MATCH("AGROINSUMOSAGROHERMANOSLEON"&amp;Tabla_Buffers_Agroinsumos[[#This Row],[CODIGO ]],TABLACONSOLIDADA[Bodega]&amp;TABLACONSOLIDADA[Codigo],0)),"")</f>
        <v/>
      </c>
      <c r="CP210" s="157" t="str">
        <f t="array" ref="CP210">IFERROR(INDEX(TABLACONSOLIDADA[Inv Fís Act],MATCH("AGROINSUMOSAGROHERMANOSLEON"&amp;Tabla_Buffers_Agroinsumos[[#This Row],[CODIGO ]],TABLACONSOLIDADA[Bodega]&amp;TABLACONSOLIDADA[Codigo],0)),"")</f>
        <v/>
      </c>
      <c r="CQ210" s="157" t="str">
        <f t="array" ref="CQ21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1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10" s="134">
        <f>IFERROR(SUM(Tabla_Buffers_Agroinsumos[[#This Row],[AL-MP]:[AL-VL]]),"")</f>
        <v>0</v>
      </c>
      <c r="CT210" s="92" t="str">
        <f>IFERROR(Tabla_Buffers_Agroinsumos[[#This Row],[INV FIS AL]]-Tabla_Buffers_Agroinsumos[[#This Row],[BUFFER AL]],"")</f>
        <v/>
      </c>
      <c r="CU21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10" s="134"/>
      <c r="CW210" s="134"/>
      <c r="CX210" s="134"/>
      <c r="CY210" s="134"/>
      <c r="CZ210" s="134"/>
      <c r="DA210" s="134"/>
      <c r="DB210" s="134"/>
      <c r="DC210" s="134"/>
      <c r="DD210" s="134"/>
      <c r="DE210" s="134" t="str">
        <f t="array" ref="DE210">IFERROR(INDEX(TABLACONSOLIDADA[Buff Act],MATCH("AGROINSUMOSAGRONUEVO"&amp;Tabla_Buffers_Agroinsumos[[#This Row],[CODIGO ]],TABLACONSOLIDADA[Bodega]&amp;TABLACONSOLIDADA[Codigo],0)),"")</f>
        <v/>
      </c>
      <c r="DF210" s="157" t="str">
        <f t="array" ref="DF210">IFERROR(INDEX(TABLACONSOLIDADA[Inv Fís Act],MATCH("AGROINSUMOSAGRONUEVO"&amp;Tabla_Buffers_Agroinsumos[[#This Row],[CODIGO ]],TABLACONSOLIDADA[Bodega]&amp;TABLACONSOLIDADA[Codigo],0)),"")</f>
        <v/>
      </c>
      <c r="DG210" s="157" t="str">
        <f t="array" ref="DG21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1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10" s="134">
        <f>IFERROR(SUM(Tabla_Buffers_Agroinsumos[[#This Row],[AN-MP]:[AN-VL]]),"")</f>
        <v>0</v>
      </c>
      <c r="DJ210" s="92" t="str">
        <f>IFERROR(Tabla_Buffers_Agroinsumos[[#This Row],[INV FIS AN]]-Tabla_Buffers_Agroinsumos[[#This Row],[BUFFER AN]],"")</f>
        <v/>
      </c>
      <c r="DK21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10" s="134"/>
      <c r="DM210" s="134"/>
      <c r="DN210" s="134"/>
      <c r="DO210" s="134"/>
      <c r="DP210" s="134"/>
      <c r="DQ210" s="134"/>
      <c r="DR210" s="134"/>
      <c r="DS210" s="134"/>
      <c r="DT210" s="134"/>
      <c r="DU210" s="134" t="str">
        <f t="array" ref="DU210">IFERROR(INDEX(TABLACONSOLIDADA[Buff Act],MATCH("AGROINSUMOSAGROQUIMICOSSUR"&amp;Tabla_Buffers_Agroinsumos[[#This Row],[CODIGO ]],TABLACONSOLIDADA[Bodega]&amp;TABLACONSOLIDADA[Codigo],0)),"")</f>
        <v/>
      </c>
      <c r="DV210" s="157" t="str">
        <f t="array" ref="DV210">IFERROR(INDEX(TABLACONSOLIDADA[Inv Fís Act],MATCH("AGROINSUMOSAGROQUIMICOSSUR"&amp;Tabla_Buffers_Agroinsumos[[#This Row],[CODIGO ]],TABLACONSOLIDADA[Bodega]&amp;TABLACONSOLIDADA[Codigo],0)),"")</f>
        <v/>
      </c>
      <c r="DW210" s="157" t="str">
        <f t="array" ref="DW21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1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10" s="134">
        <f>IFERROR(SUM(Tabla_Buffers_Agroinsumos[[#This Row],[AS-MP]:[AS-VL]]),"")</f>
        <v>0</v>
      </c>
      <c r="DZ210" s="92" t="str">
        <f>IFERROR(Tabla_Buffers_Agroinsumos[[#This Row],[INV FIS AS]]-Tabla_Buffers_Agroinsumos[[#This Row],[BUFFER AS]],"")</f>
        <v/>
      </c>
      <c r="EA21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10" s="134"/>
      <c r="EC210" s="134"/>
      <c r="ED210" s="134"/>
      <c r="EE210" s="134"/>
      <c r="EF210" s="134"/>
      <c r="EG210" s="134"/>
      <c r="EH210" s="134"/>
      <c r="EI210" s="134"/>
      <c r="EJ210" s="134"/>
      <c r="EK210" s="134" t="str">
        <f t="array" ref="EK210">IFERROR(INDEX(TABLACONSOLIDADA[Buff Act],MATCH("AGROINSUMOSLAFINCA"&amp;Tabla_Buffers_Agroinsumos[[#This Row],[CODIGO ]],TABLACONSOLIDADA[Bodega]&amp;TABLACONSOLIDADA[Codigo],0)),"")</f>
        <v/>
      </c>
      <c r="EL210" s="157" t="str">
        <f t="array" ref="EL210">IFERROR(INDEX(TABLACONSOLIDADA[Inv Fís Act],MATCH("AGROINSUMOSLAFINCA"&amp;Tabla_Buffers_Agroinsumos[[#This Row],[CODIGO ]],TABLACONSOLIDADA[Bodega]&amp;TABLACONSOLIDADA[Codigo],0)),"")</f>
        <v/>
      </c>
      <c r="EM210" s="157" t="str">
        <f t="array" ref="EM21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1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10" s="134">
        <f>IFERROR(SUM(Tabla_Buffers_Agroinsumos[[#This Row],[LF-MP]:[LF-VL]]),"")</f>
        <v>0</v>
      </c>
      <c r="EP210" s="92" t="str">
        <f>IFERROR(Tabla_Buffers_Agroinsumos[[#This Row],[INV FIS LF]]-Tabla_Buffers_Agroinsumos[[#This Row],[BUFFER LF]],"")</f>
        <v/>
      </c>
      <c r="EQ21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10" s="134"/>
      <c r="ES210" s="134"/>
      <c r="ET210" s="134"/>
      <c r="EU210" s="134"/>
      <c r="EV210" s="134"/>
      <c r="EW210" s="134"/>
      <c r="EX210" s="134"/>
      <c r="EY210" s="134"/>
      <c r="EZ210" s="134"/>
      <c r="FA210" s="134" t="str">
        <f t="array" ref="FA210">IFERROR(INDEX(TABLACONSOLIDADA[Buff Act],MATCH("AGROINSUMOSVERONICALEDESMA"&amp;Tabla_Buffers_Agroinsumos[[#This Row],[CODIGO ]],TABLACONSOLIDADA[Bodega]&amp;TABLACONSOLIDADA[Codigo],0)),"")</f>
        <v/>
      </c>
      <c r="FB210" s="157" t="str">
        <f t="array" ref="FB210">IFERROR(INDEX(TABLACONSOLIDADA[Inv Fís Act],MATCH("AGROINSUMOSVERONICALEDESMA"&amp;Tabla_Buffers_Agroinsumos[[#This Row],[CODIGO ]],TABLACONSOLIDADA[Bodega]&amp;TABLACONSOLIDADA[Codigo],0)),"")</f>
        <v/>
      </c>
      <c r="FC210" s="157" t="str">
        <f t="array" ref="FC21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1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10" s="134">
        <f>IFERROR(SUM(Tabla_Buffers_Agroinsumos[[#This Row],[VL-MP]:[VL-LF]]),"")</f>
        <v>0</v>
      </c>
      <c r="FF210" s="92" t="str">
        <f>IFERROR(Tabla_Buffers_Agroinsumos[[#This Row],[INV FIS VL]]-Tabla_Buffers_Agroinsumos[[#This Row],[BUFFER VL]],"")</f>
        <v/>
      </c>
      <c r="FG21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10" s="134"/>
      <c r="FI210" s="134"/>
      <c r="FJ210" s="134"/>
      <c r="FK210" s="134"/>
      <c r="FL210" s="134"/>
      <c r="FM210" s="134"/>
      <c r="FN210" s="134"/>
      <c r="FO210" s="134"/>
      <c r="FP210" s="134"/>
    </row>
    <row r="211" spans="1:172">
      <c r="A211" s="7" t="s">
        <v>372</v>
      </c>
      <c r="B211" s="7" t="s">
        <v>798</v>
      </c>
      <c r="C211" s="7" t="s">
        <v>716</v>
      </c>
      <c r="D211" s="7" t="s">
        <v>718</v>
      </c>
      <c r="E211" s="7" t="s">
        <v>863</v>
      </c>
      <c r="F211" s="19" t="s">
        <v>808</v>
      </c>
      <c r="G211" s="19" t="s">
        <v>802</v>
      </c>
      <c r="H211" s="19">
        <f>VLOOKUP(Tabla_Buffers_Agroinsumos[[#This Row],[CODIGO ]],TABLACONSOLIDADA[[Codigo]:[PV]],6,0)</f>
        <v>0</v>
      </c>
      <c r="I211" s="19">
        <f>VLOOKUP(Tabla_Buffers_Agroinsumos[[#This Row],[CODIGO ]],TABLACONSOLIDADA[[Codigo]:[PV]],5,0)</f>
        <v>0.15</v>
      </c>
      <c r="J211" s="19">
        <v>4</v>
      </c>
      <c r="K211" s="19">
        <v>6</v>
      </c>
      <c r="L211" s="19">
        <f>IFERROR(Tabla_Buffers_Agroinsumos[[#This Row],[BUFFER CENTRAL]]/((Tabla_Buffers_Agroinsumos[[#This Row],[TIEMPO REPOSICION ]]/Tabla_Buffers_Agroinsumos[[#This Row],[FRECUENCIA]])+1),0)</f>
        <v>0</v>
      </c>
      <c r="M211" s="19">
        <f t="array" ref="M211">IFERROR(INDEX(TABLACONSOLIDADA[Buff Act],MATCH("AGROINSUMOSMATERIAPRIMA"&amp;Tabla_Buffers_Agroinsumos[[#This Row],[CODIGO ]],TABLACONSOLIDADA[Bodega]&amp;TABLACONSOLIDADA[Codigo],0)),"")</f>
        <v>0</v>
      </c>
      <c r="N211" s="157">
        <f t="array" ref="N211">IFERROR(INDEX(TABLACONSOLIDADA[Inv Fís Act],MATCH("AGROINSUMOSMATERIAPRIMA"&amp;Tabla_Buffers_Agroinsumos[[#This Row],[CODIGO ]],TABLACONSOLIDADA[Bodega]&amp;TABLACONSOLIDADA[Codigo],0)),"")</f>
        <v>80</v>
      </c>
      <c r="O211" s="157">
        <f t="array" ref="O21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80</v>
      </c>
      <c r="P21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11" s="19">
        <f>IFERROR(SUM(Tabla_Buffers_Agroinsumos[[#This Row],[MP-C]:[MP-VL]]),"")</f>
        <v>0</v>
      </c>
      <c r="R211" s="92">
        <f>IFERROR(Tabla_Buffers_Agroinsumos[[#This Row],[INV FIS MATERIA PRIMA]]-Tabla_Buffers_Agroinsumos[[#This Row],[BUFFER MATERIA PRIMA]],"")</f>
        <v>80</v>
      </c>
      <c r="S21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80</v>
      </c>
      <c r="T211" s="19"/>
      <c r="U211" s="19"/>
      <c r="V211" s="19"/>
      <c r="W211" s="19"/>
      <c r="X211" s="19"/>
      <c r="Y211" s="19"/>
      <c r="Z211" s="19"/>
      <c r="AA211" s="19"/>
      <c r="AB211" s="19"/>
      <c r="AC211" s="152" t="str">
        <f t="array" ref="AC211">IFERROR(INDEX(TABLACONSOLIDADA[Buff Act],MATCH("AGROINSUMOSCENTRAL"&amp;Tabla_Buffers_Agroinsumos[[#This Row],[CODIGO ]],TABLACONSOLIDADA[Bodega]&amp;TABLACONSOLIDADA[Codigo],0)),"")</f>
        <v/>
      </c>
      <c r="AD211" s="157" t="str">
        <f t="array" ref="AD211">IFERROR(INDEX(TABLACONSOLIDADA[Inv Fís Act],MATCH("AGROINSUMOSCENTRAL"&amp;Tabla_Buffers_Agroinsumos[[#This Row],[CODIGO ]],TABLACONSOLIDADA[Bodega]&amp;TABLACONSOLIDADA[Codigo],0)),"")</f>
        <v/>
      </c>
      <c r="AE211" s="157" t="str">
        <f t="array" ref="AE21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1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11" s="91">
        <f>IFERROR(SUM(Tabla_Buffers_Agroinsumos[[#This Row],[C-MP]:[C-VL]]),"")</f>
        <v>0</v>
      </c>
      <c r="AH211" s="92" t="str">
        <f>IFERROR(Tabla_Buffers_Agroinsumos[[#This Row],[INV FIS CENTRAL]]-Tabla_Buffers_Agroinsumos[[#This Row],[BUFFER CENTRAL]],"")</f>
        <v/>
      </c>
      <c r="AI21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11" s="134"/>
      <c r="AK211" s="134"/>
      <c r="AL211" s="134"/>
      <c r="AM211" s="134"/>
      <c r="AN211" s="134"/>
      <c r="AO211" s="134"/>
      <c r="AP211" s="134"/>
      <c r="AQ211" s="134"/>
      <c r="AR211" s="134"/>
      <c r="AS211" s="134" t="str">
        <f t="array" ref="AS211">IFERROR(INDEX(TABLACONSOLIDADA[Buff Act],MATCH("AGROINSUMOScentralPROPIA"&amp;Tabla_Buffers_Agroinsumos[[#This Row],[CODIGO ]],TABLACONSOLIDADA[Bodega]&amp;TABLACONSOLIDADA[Codigo],0)),"")</f>
        <v/>
      </c>
      <c r="AT211" s="157" t="str">
        <f t="array" ref="AT211">IFERROR(INDEX(TABLACONSOLIDADA[Inv Fís Act],MATCH("AGROINSUMOScentralPROPIA"&amp;Tabla_Buffers_Agroinsumos[[#This Row],[CODIGO ]],TABLACONSOLIDADA[Bodega]&amp;TABLACONSOLIDADA[Codigo],0)),"")</f>
        <v/>
      </c>
      <c r="AU211" s="157" t="str">
        <f t="array" ref="AU21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1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11" s="134">
        <f>IFERROR(SUM(Tabla_Buffers_Agroinsumos[[#This Row],[P-MP]:[P-VL]]),"")</f>
        <v>0</v>
      </c>
      <c r="AX211" s="92" t="str">
        <f>IFERROR(Tabla_Buffers_Agroinsumos[[#This Row],[INV FIS PROPIA]]-Tabla_Buffers_Agroinsumos[[#This Row],[BUFFER PROPIA]],"")</f>
        <v/>
      </c>
      <c r="AY21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11" s="134"/>
      <c r="BA211" s="134"/>
      <c r="BB211" s="134"/>
      <c r="BC211" s="134"/>
      <c r="BD211" s="134"/>
      <c r="BE211" s="134"/>
      <c r="BF211" s="134"/>
      <c r="BG211" s="134"/>
      <c r="BH211" s="134"/>
      <c r="BI211" s="91" t="str">
        <f t="array" ref="BI211">IFERROR(INDEX(TABLACONSOLIDADA[Buff Act],MATCH("AGROINSUMOSSTODOMINGO"&amp;Tabla_Buffers_Agroinsumos[[#This Row],[CODIGO ]],TABLACONSOLIDADA[Bodega]&amp;TABLACONSOLIDADA[Codigo],0)),"")</f>
        <v/>
      </c>
      <c r="BJ211" s="157" t="str">
        <f t="array" ref="BJ211">IFERROR(INDEX(TABLACONSOLIDADA[Inv Fís Act],MATCH("AGROINSUMOSSTODOMINGO"&amp;Tabla_Buffers_Agroinsumos[[#This Row],[CODIGO ]],TABLACONSOLIDADA[Bodega]&amp;TABLACONSOLIDADA[Codigo],0)),"")</f>
        <v/>
      </c>
      <c r="BK211" s="157" t="str">
        <f t="array" ref="BK21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1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11" s="91">
        <f>IFERROR(SUM(Tabla_Buffers_Agroinsumos[[#This Row],[SD-MP]:[SD-VL]]),"")</f>
        <v>0</v>
      </c>
      <c r="BN211" s="92"/>
      <c r="BO211" s="92"/>
      <c r="BP211" s="134"/>
      <c r="BQ211" s="134"/>
      <c r="BR211" s="134"/>
      <c r="BS211" s="134"/>
      <c r="BT211" s="134"/>
      <c r="BU211" s="134"/>
      <c r="BV211" s="134"/>
      <c r="BW211" s="134"/>
      <c r="BX211" s="134"/>
      <c r="BY211" s="134" t="str">
        <f t="array" ref="BY211">IFERROR(INDEX(TABLACONSOLIDADA[Buff Act],MATCH("AGROINSUMOSMONCAYOLOPEZ"&amp;Tabla_Buffers_Agroinsumos[[#This Row],[CODIGO ]],TABLACONSOLIDADA[Bodega]&amp;TABLACONSOLIDADA[Codigo],0)),"")</f>
        <v/>
      </c>
      <c r="BZ211" s="157" t="str">
        <f t="array" ref="BZ211">IFERROR(INDEX(TABLACONSOLIDADA[Inv Fís Act],MATCH("AGROINSUMOSMONCAYOLOPEZ"&amp;Tabla_Buffers_Agroinsumos[[#This Row],[CODIGO ]],TABLACONSOLIDADA[Bodega]&amp;TABLACONSOLIDADA[Codigo],0)),"")</f>
        <v/>
      </c>
      <c r="CA211" s="157" t="str">
        <f t="array" ref="CA21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1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11" s="134">
        <f>IFERROR(SUM(Tabla_Buffers_Agroinsumos[[#This Row],[ML-MP]:[ML-VL]]),"")</f>
        <v>0</v>
      </c>
      <c r="CD211" s="92" t="str">
        <f>IFERROR(Tabla_Buffers_Agroinsumos[[#This Row],[INV FIS ML]]-Tabla_Buffers_Agroinsumos[[#This Row],[BUFFER ML]],"")</f>
        <v/>
      </c>
      <c r="CE21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11" s="134"/>
      <c r="CG211" s="134"/>
      <c r="CH211" s="134"/>
      <c r="CI211" s="134"/>
      <c r="CJ211" s="134"/>
      <c r="CK211" s="134"/>
      <c r="CL211" s="134"/>
      <c r="CM211" s="134"/>
      <c r="CN211" s="134"/>
      <c r="CO211" s="134" t="str">
        <f t="array" ref="CO211">IFERROR(INDEX(TABLACONSOLIDADA[Buff Act],MATCH("AGROINSUMOSAGROHERMANOSLEON"&amp;Tabla_Buffers_Agroinsumos[[#This Row],[CODIGO ]],TABLACONSOLIDADA[Bodega]&amp;TABLACONSOLIDADA[Codigo],0)),"")</f>
        <v/>
      </c>
      <c r="CP211" s="157" t="str">
        <f t="array" ref="CP211">IFERROR(INDEX(TABLACONSOLIDADA[Inv Fís Act],MATCH("AGROINSUMOSAGROHERMANOSLEON"&amp;Tabla_Buffers_Agroinsumos[[#This Row],[CODIGO ]],TABLACONSOLIDADA[Bodega]&amp;TABLACONSOLIDADA[Codigo],0)),"")</f>
        <v/>
      </c>
      <c r="CQ211" s="157" t="str">
        <f t="array" ref="CQ21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1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11" s="134">
        <f>IFERROR(SUM(Tabla_Buffers_Agroinsumos[[#This Row],[AL-MP]:[AL-VL]]),"")</f>
        <v>0</v>
      </c>
      <c r="CT211" s="92" t="str">
        <f>IFERROR(Tabla_Buffers_Agroinsumos[[#This Row],[INV FIS AL]]-Tabla_Buffers_Agroinsumos[[#This Row],[BUFFER AL]],"")</f>
        <v/>
      </c>
      <c r="CU21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11" s="134"/>
      <c r="CW211" s="134"/>
      <c r="CX211" s="134"/>
      <c r="CY211" s="134"/>
      <c r="CZ211" s="134"/>
      <c r="DA211" s="134"/>
      <c r="DB211" s="134"/>
      <c r="DC211" s="134"/>
      <c r="DD211" s="134"/>
      <c r="DE211" s="134" t="str">
        <f t="array" ref="DE211">IFERROR(INDEX(TABLACONSOLIDADA[Buff Act],MATCH("AGROINSUMOSAGRONUEVO"&amp;Tabla_Buffers_Agroinsumos[[#This Row],[CODIGO ]],TABLACONSOLIDADA[Bodega]&amp;TABLACONSOLIDADA[Codigo],0)),"")</f>
        <v/>
      </c>
      <c r="DF211" s="157" t="str">
        <f t="array" ref="DF211">IFERROR(INDEX(TABLACONSOLIDADA[Inv Fís Act],MATCH("AGROINSUMOSAGRONUEVO"&amp;Tabla_Buffers_Agroinsumos[[#This Row],[CODIGO ]],TABLACONSOLIDADA[Bodega]&amp;TABLACONSOLIDADA[Codigo],0)),"")</f>
        <v/>
      </c>
      <c r="DG211" s="157" t="str">
        <f t="array" ref="DG21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1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11" s="134">
        <f>IFERROR(SUM(Tabla_Buffers_Agroinsumos[[#This Row],[AN-MP]:[AN-VL]]),"")</f>
        <v>0</v>
      </c>
      <c r="DJ211" s="92" t="str">
        <f>IFERROR(Tabla_Buffers_Agroinsumos[[#This Row],[INV FIS AN]]-Tabla_Buffers_Agroinsumos[[#This Row],[BUFFER AN]],"")</f>
        <v/>
      </c>
      <c r="DK21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11" s="134"/>
      <c r="DM211" s="134"/>
      <c r="DN211" s="134"/>
      <c r="DO211" s="134"/>
      <c r="DP211" s="134"/>
      <c r="DQ211" s="134"/>
      <c r="DR211" s="134"/>
      <c r="DS211" s="134"/>
      <c r="DT211" s="134"/>
      <c r="DU211" s="134" t="str">
        <f t="array" ref="DU211">IFERROR(INDEX(TABLACONSOLIDADA[Buff Act],MATCH("AGROINSUMOSAGROQUIMICOSSUR"&amp;Tabla_Buffers_Agroinsumos[[#This Row],[CODIGO ]],TABLACONSOLIDADA[Bodega]&amp;TABLACONSOLIDADA[Codigo],0)),"")</f>
        <v/>
      </c>
      <c r="DV211" s="157" t="str">
        <f t="array" ref="DV211">IFERROR(INDEX(TABLACONSOLIDADA[Inv Fís Act],MATCH("AGROINSUMOSAGROQUIMICOSSUR"&amp;Tabla_Buffers_Agroinsumos[[#This Row],[CODIGO ]],TABLACONSOLIDADA[Bodega]&amp;TABLACONSOLIDADA[Codigo],0)),"")</f>
        <v/>
      </c>
      <c r="DW211" s="157" t="str">
        <f t="array" ref="DW21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1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11" s="134">
        <f>IFERROR(SUM(Tabla_Buffers_Agroinsumos[[#This Row],[AS-MP]:[AS-VL]]),"")</f>
        <v>0</v>
      </c>
      <c r="DZ211" s="92" t="str">
        <f>IFERROR(Tabla_Buffers_Agroinsumos[[#This Row],[INV FIS AS]]-Tabla_Buffers_Agroinsumos[[#This Row],[BUFFER AS]],"")</f>
        <v/>
      </c>
      <c r="EA21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11" s="134"/>
      <c r="EC211" s="134"/>
      <c r="ED211" s="134"/>
      <c r="EE211" s="134"/>
      <c r="EF211" s="134"/>
      <c r="EG211" s="134"/>
      <c r="EH211" s="134"/>
      <c r="EI211" s="134"/>
      <c r="EJ211" s="134"/>
      <c r="EK211" s="134" t="str">
        <f t="array" ref="EK211">IFERROR(INDEX(TABLACONSOLIDADA[Buff Act],MATCH("AGROINSUMOSLAFINCA"&amp;Tabla_Buffers_Agroinsumos[[#This Row],[CODIGO ]],TABLACONSOLIDADA[Bodega]&amp;TABLACONSOLIDADA[Codigo],0)),"")</f>
        <v/>
      </c>
      <c r="EL211" s="157" t="str">
        <f t="array" ref="EL211">IFERROR(INDEX(TABLACONSOLIDADA[Inv Fís Act],MATCH("AGROINSUMOSLAFINCA"&amp;Tabla_Buffers_Agroinsumos[[#This Row],[CODIGO ]],TABLACONSOLIDADA[Bodega]&amp;TABLACONSOLIDADA[Codigo],0)),"")</f>
        <v/>
      </c>
      <c r="EM211" s="157" t="str">
        <f t="array" ref="EM21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1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11" s="134">
        <f>IFERROR(SUM(Tabla_Buffers_Agroinsumos[[#This Row],[LF-MP]:[LF-VL]]),"")</f>
        <v>0</v>
      </c>
      <c r="EP211" s="92" t="str">
        <f>IFERROR(Tabla_Buffers_Agroinsumos[[#This Row],[INV FIS LF]]-Tabla_Buffers_Agroinsumos[[#This Row],[BUFFER LF]],"")</f>
        <v/>
      </c>
      <c r="EQ21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11" s="134"/>
      <c r="ES211" s="134"/>
      <c r="ET211" s="134"/>
      <c r="EU211" s="134"/>
      <c r="EV211" s="134"/>
      <c r="EW211" s="134"/>
      <c r="EX211" s="134"/>
      <c r="EY211" s="134"/>
      <c r="EZ211" s="134"/>
      <c r="FA211" s="134" t="str">
        <f t="array" ref="FA211">IFERROR(INDEX(TABLACONSOLIDADA[Buff Act],MATCH("AGROINSUMOSVERONICALEDESMA"&amp;Tabla_Buffers_Agroinsumos[[#This Row],[CODIGO ]],TABLACONSOLIDADA[Bodega]&amp;TABLACONSOLIDADA[Codigo],0)),"")</f>
        <v/>
      </c>
      <c r="FB211" s="157" t="str">
        <f t="array" ref="FB211">IFERROR(INDEX(TABLACONSOLIDADA[Inv Fís Act],MATCH("AGROINSUMOSVERONICALEDESMA"&amp;Tabla_Buffers_Agroinsumos[[#This Row],[CODIGO ]],TABLACONSOLIDADA[Bodega]&amp;TABLACONSOLIDADA[Codigo],0)),"")</f>
        <v/>
      </c>
      <c r="FC211" s="157" t="str">
        <f t="array" ref="FC21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1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11" s="134">
        <f>IFERROR(SUM(Tabla_Buffers_Agroinsumos[[#This Row],[VL-MP]:[VL-LF]]),"")</f>
        <v>0</v>
      </c>
      <c r="FF211" s="92" t="str">
        <f>IFERROR(Tabla_Buffers_Agroinsumos[[#This Row],[INV FIS VL]]-Tabla_Buffers_Agroinsumos[[#This Row],[BUFFER VL]],"")</f>
        <v/>
      </c>
      <c r="FG21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11" s="134"/>
      <c r="FI211" s="134"/>
      <c r="FJ211" s="134"/>
      <c r="FK211" s="134"/>
      <c r="FL211" s="134"/>
      <c r="FM211" s="134"/>
      <c r="FN211" s="134"/>
      <c r="FO211" s="134"/>
      <c r="FP211" s="134"/>
    </row>
    <row r="212" spans="1:172">
      <c r="A212" s="7" t="s">
        <v>370</v>
      </c>
      <c r="B212" s="7" t="s">
        <v>371</v>
      </c>
      <c r="C212" s="7" t="s">
        <v>716</v>
      </c>
      <c r="D212" s="7" t="s">
        <v>718</v>
      </c>
      <c r="E212" s="7" t="s">
        <v>863</v>
      </c>
      <c r="F212" s="19" t="s">
        <v>808</v>
      </c>
      <c r="G212" s="19" t="s">
        <v>802</v>
      </c>
      <c r="H212" s="19">
        <f>VLOOKUP(Tabla_Buffers_Agroinsumos[[#This Row],[CODIGO ]],TABLACONSOLIDADA[[Codigo]:[PV]],6,0)</f>
        <v>0</v>
      </c>
      <c r="I212" s="19">
        <f>VLOOKUP(Tabla_Buffers_Agroinsumos[[#This Row],[CODIGO ]],TABLACONSOLIDADA[[Codigo]:[PV]],5,0)</f>
        <v>0.16</v>
      </c>
      <c r="J212" s="19">
        <v>4</v>
      </c>
      <c r="K212" s="19">
        <v>6</v>
      </c>
      <c r="L212" s="19">
        <f>IFERROR(Tabla_Buffers_Agroinsumos[[#This Row],[BUFFER CENTRAL]]/((Tabla_Buffers_Agroinsumos[[#This Row],[TIEMPO REPOSICION ]]/Tabla_Buffers_Agroinsumos[[#This Row],[FRECUENCIA]])+1),0)</f>
        <v>0</v>
      </c>
      <c r="M212" s="19">
        <f t="array" ref="M212">IFERROR(INDEX(TABLACONSOLIDADA[Buff Act],MATCH("AGROINSUMOSMATERIAPRIMA"&amp;Tabla_Buffers_Agroinsumos[[#This Row],[CODIGO ]],TABLACONSOLIDADA[Bodega]&amp;TABLACONSOLIDADA[Codigo],0)),"")</f>
        <v>0</v>
      </c>
      <c r="N212" s="157">
        <f t="array" ref="N212">IFERROR(INDEX(TABLACONSOLIDADA[Inv Fís Act],MATCH("AGROINSUMOSMATERIAPRIMA"&amp;Tabla_Buffers_Agroinsumos[[#This Row],[CODIGO ]],TABLACONSOLIDADA[Bodega]&amp;TABLACONSOLIDADA[Codigo],0)),"")</f>
        <v>0</v>
      </c>
      <c r="O212" s="157">
        <f t="array" ref="O21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21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12" s="19">
        <f>IFERROR(SUM(Tabla_Buffers_Agroinsumos[[#This Row],[MP-C]:[MP-VL]]),"")</f>
        <v>0</v>
      </c>
      <c r="R212" s="92">
        <f>IFERROR(Tabla_Buffers_Agroinsumos[[#This Row],[INV FIS MATERIA PRIMA]]-Tabla_Buffers_Agroinsumos[[#This Row],[BUFFER MATERIA PRIMA]],"")</f>
        <v>0</v>
      </c>
      <c r="S21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212" s="19"/>
      <c r="U212" s="19"/>
      <c r="V212" s="19"/>
      <c r="W212" s="19"/>
      <c r="X212" s="19"/>
      <c r="Y212" s="19"/>
      <c r="Z212" s="19"/>
      <c r="AA212" s="19"/>
      <c r="AB212" s="19"/>
      <c r="AC212" s="152" t="str">
        <f t="array" ref="AC212">IFERROR(INDEX(TABLACONSOLIDADA[Buff Act],MATCH("AGROINSUMOSCENTRAL"&amp;Tabla_Buffers_Agroinsumos[[#This Row],[CODIGO ]],TABLACONSOLIDADA[Bodega]&amp;TABLACONSOLIDADA[Codigo],0)),"")</f>
        <v/>
      </c>
      <c r="AD212" s="157" t="str">
        <f t="array" ref="AD212">IFERROR(INDEX(TABLACONSOLIDADA[Inv Fís Act],MATCH("AGROINSUMOSCENTRAL"&amp;Tabla_Buffers_Agroinsumos[[#This Row],[CODIGO ]],TABLACONSOLIDADA[Bodega]&amp;TABLACONSOLIDADA[Codigo],0)),"")</f>
        <v/>
      </c>
      <c r="AE212" s="157" t="str">
        <f t="array" ref="AE21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1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12" s="91">
        <f>IFERROR(SUM(Tabla_Buffers_Agroinsumos[[#This Row],[C-MP]:[C-VL]]),"")</f>
        <v>0</v>
      </c>
      <c r="AH212" s="92" t="str">
        <f>IFERROR(Tabla_Buffers_Agroinsumos[[#This Row],[INV FIS CENTRAL]]-Tabla_Buffers_Agroinsumos[[#This Row],[BUFFER CENTRAL]],"")</f>
        <v/>
      </c>
      <c r="AI21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12" s="134"/>
      <c r="AK212" s="134"/>
      <c r="AL212" s="134"/>
      <c r="AM212" s="134"/>
      <c r="AN212" s="134"/>
      <c r="AO212" s="134"/>
      <c r="AP212" s="134"/>
      <c r="AQ212" s="134"/>
      <c r="AR212" s="134"/>
      <c r="AS212" s="134" t="str">
        <f t="array" ref="AS212">IFERROR(INDEX(TABLACONSOLIDADA[Buff Act],MATCH("AGROINSUMOScentralPROPIA"&amp;Tabla_Buffers_Agroinsumos[[#This Row],[CODIGO ]],TABLACONSOLIDADA[Bodega]&amp;TABLACONSOLIDADA[Codigo],0)),"")</f>
        <v/>
      </c>
      <c r="AT212" s="157" t="str">
        <f t="array" ref="AT212">IFERROR(INDEX(TABLACONSOLIDADA[Inv Fís Act],MATCH("AGROINSUMOScentralPROPIA"&amp;Tabla_Buffers_Agroinsumos[[#This Row],[CODIGO ]],TABLACONSOLIDADA[Bodega]&amp;TABLACONSOLIDADA[Codigo],0)),"")</f>
        <v/>
      </c>
      <c r="AU212" s="157" t="str">
        <f t="array" ref="AU21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1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12" s="134">
        <f>IFERROR(SUM(Tabla_Buffers_Agroinsumos[[#This Row],[P-MP]:[P-VL]]),"")</f>
        <v>0</v>
      </c>
      <c r="AX212" s="92" t="str">
        <f>IFERROR(Tabla_Buffers_Agroinsumos[[#This Row],[INV FIS PROPIA]]-Tabla_Buffers_Agroinsumos[[#This Row],[BUFFER PROPIA]],"")</f>
        <v/>
      </c>
      <c r="AY21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12" s="134"/>
      <c r="BA212" s="134"/>
      <c r="BB212" s="134"/>
      <c r="BC212" s="134"/>
      <c r="BD212" s="134"/>
      <c r="BE212" s="134"/>
      <c r="BF212" s="134"/>
      <c r="BG212" s="134"/>
      <c r="BH212" s="134"/>
      <c r="BI212" s="91" t="str">
        <f t="array" ref="BI212">IFERROR(INDEX(TABLACONSOLIDADA[Buff Act],MATCH("AGROINSUMOSSTODOMINGO"&amp;Tabla_Buffers_Agroinsumos[[#This Row],[CODIGO ]],TABLACONSOLIDADA[Bodega]&amp;TABLACONSOLIDADA[Codigo],0)),"")</f>
        <v/>
      </c>
      <c r="BJ212" s="157" t="str">
        <f t="array" ref="BJ212">IFERROR(INDEX(TABLACONSOLIDADA[Inv Fís Act],MATCH("AGROINSUMOSSTODOMINGO"&amp;Tabla_Buffers_Agroinsumos[[#This Row],[CODIGO ]],TABLACONSOLIDADA[Bodega]&amp;TABLACONSOLIDADA[Codigo],0)),"")</f>
        <v/>
      </c>
      <c r="BK212" s="157" t="str">
        <f t="array" ref="BK21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1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12" s="91">
        <f>IFERROR(SUM(Tabla_Buffers_Agroinsumos[[#This Row],[SD-MP]:[SD-VL]]),"")</f>
        <v>0</v>
      </c>
      <c r="BN212" s="92"/>
      <c r="BO212" s="92"/>
      <c r="BP212" s="134"/>
      <c r="BQ212" s="134"/>
      <c r="BR212" s="134"/>
      <c r="BS212" s="134"/>
      <c r="BT212" s="134"/>
      <c r="BU212" s="134"/>
      <c r="BV212" s="134"/>
      <c r="BW212" s="134"/>
      <c r="BX212" s="134"/>
      <c r="BY212" s="134" t="str">
        <f t="array" ref="BY212">IFERROR(INDEX(TABLACONSOLIDADA[Buff Act],MATCH("AGROINSUMOSMONCAYOLOPEZ"&amp;Tabla_Buffers_Agroinsumos[[#This Row],[CODIGO ]],TABLACONSOLIDADA[Bodega]&amp;TABLACONSOLIDADA[Codigo],0)),"")</f>
        <v/>
      </c>
      <c r="BZ212" s="157" t="str">
        <f t="array" ref="BZ212">IFERROR(INDEX(TABLACONSOLIDADA[Inv Fís Act],MATCH("AGROINSUMOSMONCAYOLOPEZ"&amp;Tabla_Buffers_Agroinsumos[[#This Row],[CODIGO ]],TABLACONSOLIDADA[Bodega]&amp;TABLACONSOLIDADA[Codigo],0)),"")</f>
        <v/>
      </c>
      <c r="CA212" s="157" t="str">
        <f t="array" ref="CA21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1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12" s="134">
        <f>IFERROR(SUM(Tabla_Buffers_Agroinsumos[[#This Row],[ML-MP]:[ML-VL]]),"")</f>
        <v>0</v>
      </c>
      <c r="CD212" s="92" t="str">
        <f>IFERROR(Tabla_Buffers_Agroinsumos[[#This Row],[INV FIS ML]]-Tabla_Buffers_Agroinsumos[[#This Row],[BUFFER ML]],"")</f>
        <v/>
      </c>
      <c r="CE21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12" s="134"/>
      <c r="CG212" s="134"/>
      <c r="CH212" s="134"/>
      <c r="CI212" s="134"/>
      <c r="CJ212" s="134"/>
      <c r="CK212" s="134"/>
      <c r="CL212" s="134"/>
      <c r="CM212" s="134"/>
      <c r="CN212" s="134"/>
      <c r="CO212" s="134" t="str">
        <f t="array" ref="CO212">IFERROR(INDEX(TABLACONSOLIDADA[Buff Act],MATCH("AGROINSUMOSAGROHERMANOSLEON"&amp;Tabla_Buffers_Agroinsumos[[#This Row],[CODIGO ]],TABLACONSOLIDADA[Bodega]&amp;TABLACONSOLIDADA[Codigo],0)),"")</f>
        <v/>
      </c>
      <c r="CP212" s="157" t="str">
        <f t="array" ref="CP212">IFERROR(INDEX(TABLACONSOLIDADA[Inv Fís Act],MATCH("AGROINSUMOSAGROHERMANOSLEON"&amp;Tabla_Buffers_Agroinsumos[[#This Row],[CODIGO ]],TABLACONSOLIDADA[Bodega]&amp;TABLACONSOLIDADA[Codigo],0)),"")</f>
        <v/>
      </c>
      <c r="CQ212" s="157" t="str">
        <f t="array" ref="CQ21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1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12" s="134">
        <f>IFERROR(SUM(Tabla_Buffers_Agroinsumos[[#This Row],[AL-MP]:[AL-VL]]),"")</f>
        <v>0</v>
      </c>
      <c r="CT212" s="92" t="str">
        <f>IFERROR(Tabla_Buffers_Agroinsumos[[#This Row],[INV FIS AL]]-Tabla_Buffers_Agroinsumos[[#This Row],[BUFFER AL]],"")</f>
        <v/>
      </c>
      <c r="CU21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12" s="134"/>
      <c r="CW212" s="134"/>
      <c r="CX212" s="134"/>
      <c r="CY212" s="134"/>
      <c r="CZ212" s="134"/>
      <c r="DA212" s="134"/>
      <c r="DB212" s="134"/>
      <c r="DC212" s="134"/>
      <c r="DD212" s="134"/>
      <c r="DE212" s="134" t="str">
        <f t="array" ref="DE212">IFERROR(INDEX(TABLACONSOLIDADA[Buff Act],MATCH("AGROINSUMOSAGRONUEVO"&amp;Tabla_Buffers_Agroinsumos[[#This Row],[CODIGO ]],TABLACONSOLIDADA[Bodega]&amp;TABLACONSOLIDADA[Codigo],0)),"")</f>
        <v/>
      </c>
      <c r="DF212" s="157" t="str">
        <f t="array" ref="DF212">IFERROR(INDEX(TABLACONSOLIDADA[Inv Fís Act],MATCH("AGROINSUMOSAGRONUEVO"&amp;Tabla_Buffers_Agroinsumos[[#This Row],[CODIGO ]],TABLACONSOLIDADA[Bodega]&amp;TABLACONSOLIDADA[Codigo],0)),"")</f>
        <v/>
      </c>
      <c r="DG212" s="157" t="str">
        <f t="array" ref="DG21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1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12" s="134">
        <f>IFERROR(SUM(Tabla_Buffers_Agroinsumos[[#This Row],[AN-MP]:[AN-VL]]),"")</f>
        <v>0</v>
      </c>
      <c r="DJ212" s="92" t="str">
        <f>IFERROR(Tabla_Buffers_Agroinsumos[[#This Row],[INV FIS AN]]-Tabla_Buffers_Agroinsumos[[#This Row],[BUFFER AN]],"")</f>
        <v/>
      </c>
      <c r="DK21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12" s="134"/>
      <c r="DM212" s="134"/>
      <c r="DN212" s="134"/>
      <c r="DO212" s="134"/>
      <c r="DP212" s="134"/>
      <c r="DQ212" s="134"/>
      <c r="DR212" s="134"/>
      <c r="DS212" s="134"/>
      <c r="DT212" s="134"/>
      <c r="DU212" s="134" t="str">
        <f t="array" ref="DU212">IFERROR(INDEX(TABLACONSOLIDADA[Buff Act],MATCH("AGROINSUMOSAGROQUIMICOSSUR"&amp;Tabla_Buffers_Agroinsumos[[#This Row],[CODIGO ]],TABLACONSOLIDADA[Bodega]&amp;TABLACONSOLIDADA[Codigo],0)),"")</f>
        <v/>
      </c>
      <c r="DV212" s="157" t="str">
        <f t="array" ref="DV212">IFERROR(INDEX(TABLACONSOLIDADA[Inv Fís Act],MATCH("AGROINSUMOSAGROQUIMICOSSUR"&amp;Tabla_Buffers_Agroinsumos[[#This Row],[CODIGO ]],TABLACONSOLIDADA[Bodega]&amp;TABLACONSOLIDADA[Codigo],0)),"")</f>
        <v/>
      </c>
      <c r="DW212" s="157" t="str">
        <f t="array" ref="DW21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1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12" s="134">
        <f>IFERROR(SUM(Tabla_Buffers_Agroinsumos[[#This Row],[AS-MP]:[AS-VL]]),"")</f>
        <v>0</v>
      </c>
      <c r="DZ212" s="92" t="str">
        <f>IFERROR(Tabla_Buffers_Agroinsumos[[#This Row],[INV FIS AS]]-Tabla_Buffers_Agroinsumos[[#This Row],[BUFFER AS]],"")</f>
        <v/>
      </c>
      <c r="EA21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12" s="134"/>
      <c r="EC212" s="134"/>
      <c r="ED212" s="134"/>
      <c r="EE212" s="134"/>
      <c r="EF212" s="134"/>
      <c r="EG212" s="134"/>
      <c r="EH212" s="134"/>
      <c r="EI212" s="134"/>
      <c r="EJ212" s="134"/>
      <c r="EK212" s="134" t="str">
        <f t="array" ref="EK212">IFERROR(INDEX(TABLACONSOLIDADA[Buff Act],MATCH("AGROINSUMOSLAFINCA"&amp;Tabla_Buffers_Agroinsumos[[#This Row],[CODIGO ]],TABLACONSOLIDADA[Bodega]&amp;TABLACONSOLIDADA[Codigo],0)),"")</f>
        <v/>
      </c>
      <c r="EL212" s="157" t="str">
        <f t="array" ref="EL212">IFERROR(INDEX(TABLACONSOLIDADA[Inv Fís Act],MATCH("AGROINSUMOSLAFINCA"&amp;Tabla_Buffers_Agroinsumos[[#This Row],[CODIGO ]],TABLACONSOLIDADA[Bodega]&amp;TABLACONSOLIDADA[Codigo],0)),"")</f>
        <v/>
      </c>
      <c r="EM212" s="157" t="str">
        <f t="array" ref="EM21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1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12" s="134">
        <f>IFERROR(SUM(Tabla_Buffers_Agroinsumos[[#This Row],[LF-MP]:[LF-VL]]),"")</f>
        <v>0</v>
      </c>
      <c r="EP212" s="92" t="str">
        <f>IFERROR(Tabla_Buffers_Agroinsumos[[#This Row],[INV FIS LF]]-Tabla_Buffers_Agroinsumos[[#This Row],[BUFFER LF]],"")</f>
        <v/>
      </c>
      <c r="EQ21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12" s="134"/>
      <c r="ES212" s="134"/>
      <c r="ET212" s="134"/>
      <c r="EU212" s="134"/>
      <c r="EV212" s="134"/>
      <c r="EW212" s="134"/>
      <c r="EX212" s="134"/>
      <c r="EY212" s="134"/>
      <c r="EZ212" s="134"/>
      <c r="FA212" s="134" t="str">
        <f t="array" ref="FA212">IFERROR(INDEX(TABLACONSOLIDADA[Buff Act],MATCH("AGROINSUMOSVERONICALEDESMA"&amp;Tabla_Buffers_Agroinsumos[[#This Row],[CODIGO ]],TABLACONSOLIDADA[Bodega]&amp;TABLACONSOLIDADA[Codigo],0)),"")</f>
        <v/>
      </c>
      <c r="FB212" s="157" t="str">
        <f t="array" ref="FB212">IFERROR(INDEX(TABLACONSOLIDADA[Inv Fís Act],MATCH("AGROINSUMOSVERONICALEDESMA"&amp;Tabla_Buffers_Agroinsumos[[#This Row],[CODIGO ]],TABLACONSOLIDADA[Bodega]&amp;TABLACONSOLIDADA[Codigo],0)),"")</f>
        <v/>
      </c>
      <c r="FC212" s="157" t="str">
        <f t="array" ref="FC21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1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12" s="134">
        <f>IFERROR(SUM(Tabla_Buffers_Agroinsumos[[#This Row],[VL-MP]:[VL-LF]]),"")</f>
        <v>0</v>
      </c>
      <c r="FF212" s="92" t="str">
        <f>IFERROR(Tabla_Buffers_Agroinsumos[[#This Row],[INV FIS VL]]-Tabla_Buffers_Agroinsumos[[#This Row],[BUFFER VL]],"")</f>
        <v/>
      </c>
      <c r="FG21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12" s="134"/>
      <c r="FI212" s="134"/>
      <c r="FJ212" s="134"/>
      <c r="FK212" s="134"/>
      <c r="FL212" s="134"/>
      <c r="FM212" s="134"/>
      <c r="FN212" s="134"/>
      <c r="FO212" s="134"/>
      <c r="FP212" s="134"/>
    </row>
    <row r="213" spans="1:172">
      <c r="A213" s="7" t="s">
        <v>373</v>
      </c>
      <c r="B213" s="7" t="s">
        <v>374</v>
      </c>
      <c r="C213" s="7" t="s">
        <v>716</v>
      </c>
      <c r="D213" s="7" t="s">
        <v>718</v>
      </c>
      <c r="E213" s="7" t="s">
        <v>863</v>
      </c>
      <c r="F213" s="19" t="s">
        <v>808</v>
      </c>
      <c r="G213" s="19" t="s">
        <v>802</v>
      </c>
      <c r="H213" s="19">
        <f>VLOOKUP(Tabla_Buffers_Agroinsumos[[#This Row],[CODIGO ]],TABLACONSOLIDADA[[Codigo]:[PV]],6,0)</f>
        <v>0</v>
      </c>
      <c r="I213" s="19">
        <f>VLOOKUP(Tabla_Buffers_Agroinsumos[[#This Row],[CODIGO ]],TABLACONSOLIDADA[[Codigo]:[PV]],5,0)</f>
        <v>0.14000000000000001</v>
      </c>
      <c r="J213" s="19">
        <v>4</v>
      </c>
      <c r="K213" s="19">
        <v>6</v>
      </c>
      <c r="L213" s="19">
        <f>IFERROR(Tabla_Buffers_Agroinsumos[[#This Row],[BUFFER CENTRAL]]/((Tabla_Buffers_Agroinsumos[[#This Row],[TIEMPO REPOSICION ]]/Tabla_Buffers_Agroinsumos[[#This Row],[FRECUENCIA]])+1),0)</f>
        <v>0</v>
      </c>
      <c r="M213" s="19">
        <f t="array" ref="M213">IFERROR(INDEX(TABLACONSOLIDADA[Buff Act],MATCH("AGROINSUMOSMATERIAPRIMA"&amp;Tabla_Buffers_Agroinsumos[[#This Row],[CODIGO ]],TABLACONSOLIDADA[Bodega]&amp;TABLACONSOLIDADA[Codigo],0)),"")</f>
        <v>500</v>
      </c>
      <c r="N213" s="157">
        <f t="array" ref="N213">IFERROR(INDEX(TABLACONSOLIDADA[Inv Fís Act],MATCH("AGROINSUMOSMATERIAPRIMA"&amp;Tabla_Buffers_Agroinsumos[[#This Row],[CODIGO ]],TABLACONSOLIDADA[Bodega]&amp;TABLACONSOLIDADA[Codigo],0)),"")</f>
        <v>1311</v>
      </c>
      <c r="O213" s="157">
        <f t="array" ref="O21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1311</v>
      </c>
      <c r="P21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13" s="19">
        <f>IFERROR(SUM(Tabla_Buffers_Agroinsumos[[#This Row],[MP-C]:[MP-VL]]),"")</f>
        <v>0</v>
      </c>
      <c r="R213" s="92">
        <f>IFERROR(Tabla_Buffers_Agroinsumos[[#This Row],[INV FIS MATERIA PRIMA]]-Tabla_Buffers_Agroinsumos[[#This Row],[BUFFER MATERIA PRIMA]],"")</f>
        <v>811</v>
      </c>
      <c r="S21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811</v>
      </c>
      <c r="T213" s="19"/>
      <c r="U213" s="19"/>
      <c r="V213" s="19"/>
      <c r="W213" s="19"/>
      <c r="X213" s="19"/>
      <c r="Y213" s="19"/>
      <c r="Z213" s="19"/>
      <c r="AA213" s="19"/>
      <c r="AB213" s="19"/>
      <c r="AC213" s="152" t="str">
        <f t="array" ref="AC213">IFERROR(INDEX(TABLACONSOLIDADA[Buff Act],MATCH("AGROINSUMOSCENTRAL"&amp;Tabla_Buffers_Agroinsumos[[#This Row],[CODIGO ]],TABLACONSOLIDADA[Bodega]&amp;TABLACONSOLIDADA[Codigo],0)),"")</f>
        <v/>
      </c>
      <c r="AD213" s="157" t="str">
        <f t="array" ref="AD213">IFERROR(INDEX(TABLACONSOLIDADA[Inv Fís Act],MATCH("AGROINSUMOSCENTRAL"&amp;Tabla_Buffers_Agroinsumos[[#This Row],[CODIGO ]],TABLACONSOLIDADA[Bodega]&amp;TABLACONSOLIDADA[Codigo],0)),"")</f>
        <v/>
      </c>
      <c r="AE213" s="157" t="str">
        <f t="array" ref="AE21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1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13" s="91">
        <f>IFERROR(SUM(Tabla_Buffers_Agroinsumos[[#This Row],[C-MP]:[C-VL]]),"")</f>
        <v>0</v>
      </c>
      <c r="AH213" s="92" t="str">
        <f>IFERROR(Tabla_Buffers_Agroinsumos[[#This Row],[INV FIS CENTRAL]]-Tabla_Buffers_Agroinsumos[[#This Row],[BUFFER CENTRAL]],"")</f>
        <v/>
      </c>
      <c r="AI21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13" s="134"/>
      <c r="AK213" s="134"/>
      <c r="AL213" s="134"/>
      <c r="AM213" s="134"/>
      <c r="AN213" s="134"/>
      <c r="AO213" s="134"/>
      <c r="AP213" s="134"/>
      <c r="AQ213" s="134"/>
      <c r="AR213" s="134"/>
      <c r="AS213" s="134" t="str">
        <f t="array" ref="AS213">IFERROR(INDEX(TABLACONSOLIDADA[Buff Act],MATCH("AGROINSUMOScentralPROPIA"&amp;Tabla_Buffers_Agroinsumos[[#This Row],[CODIGO ]],TABLACONSOLIDADA[Bodega]&amp;TABLACONSOLIDADA[Codigo],0)),"")</f>
        <v/>
      </c>
      <c r="AT213" s="157" t="str">
        <f t="array" ref="AT213">IFERROR(INDEX(TABLACONSOLIDADA[Inv Fís Act],MATCH("AGROINSUMOScentralPROPIA"&amp;Tabla_Buffers_Agroinsumos[[#This Row],[CODIGO ]],TABLACONSOLIDADA[Bodega]&amp;TABLACONSOLIDADA[Codigo],0)),"")</f>
        <v/>
      </c>
      <c r="AU213" s="157" t="str">
        <f t="array" ref="AU21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1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13" s="134">
        <f>IFERROR(SUM(Tabla_Buffers_Agroinsumos[[#This Row],[P-MP]:[P-VL]]),"")</f>
        <v>0</v>
      </c>
      <c r="AX213" s="92" t="str">
        <f>IFERROR(Tabla_Buffers_Agroinsumos[[#This Row],[INV FIS PROPIA]]-Tabla_Buffers_Agroinsumos[[#This Row],[BUFFER PROPIA]],"")</f>
        <v/>
      </c>
      <c r="AY21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13" s="134"/>
      <c r="BA213" s="134"/>
      <c r="BB213" s="134"/>
      <c r="BC213" s="134"/>
      <c r="BD213" s="134"/>
      <c r="BE213" s="134"/>
      <c r="BF213" s="134"/>
      <c r="BG213" s="134"/>
      <c r="BH213" s="134"/>
      <c r="BI213" s="91" t="str">
        <f t="array" ref="BI213">IFERROR(INDEX(TABLACONSOLIDADA[Buff Act],MATCH("AGROINSUMOSSTODOMINGO"&amp;Tabla_Buffers_Agroinsumos[[#This Row],[CODIGO ]],TABLACONSOLIDADA[Bodega]&amp;TABLACONSOLIDADA[Codigo],0)),"")</f>
        <v/>
      </c>
      <c r="BJ213" s="157" t="str">
        <f t="array" ref="BJ213">IFERROR(INDEX(TABLACONSOLIDADA[Inv Fís Act],MATCH("AGROINSUMOSSTODOMINGO"&amp;Tabla_Buffers_Agroinsumos[[#This Row],[CODIGO ]],TABLACONSOLIDADA[Bodega]&amp;TABLACONSOLIDADA[Codigo],0)),"")</f>
        <v/>
      </c>
      <c r="BK213" s="157" t="str">
        <f t="array" ref="BK21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1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13" s="91">
        <f>IFERROR(SUM(Tabla_Buffers_Agroinsumos[[#This Row],[SD-MP]:[SD-VL]]),"")</f>
        <v>0</v>
      </c>
      <c r="BN213" s="92"/>
      <c r="BO213" s="92"/>
      <c r="BP213" s="134"/>
      <c r="BQ213" s="134"/>
      <c r="BR213" s="134"/>
      <c r="BS213" s="134"/>
      <c r="BT213" s="134"/>
      <c r="BU213" s="134"/>
      <c r="BV213" s="134"/>
      <c r="BW213" s="134"/>
      <c r="BX213" s="134"/>
      <c r="BY213" s="134" t="str">
        <f t="array" ref="BY213">IFERROR(INDEX(TABLACONSOLIDADA[Buff Act],MATCH("AGROINSUMOSMONCAYOLOPEZ"&amp;Tabla_Buffers_Agroinsumos[[#This Row],[CODIGO ]],TABLACONSOLIDADA[Bodega]&amp;TABLACONSOLIDADA[Codigo],0)),"")</f>
        <v/>
      </c>
      <c r="BZ213" s="157" t="str">
        <f t="array" ref="BZ213">IFERROR(INDEX(TABLACONSOLIDADA[Inv Fís Act],MATCH("AGROINSUMOSMONCAYOLOPEZ"&amp;Tabla_Buffers_Agroinsumos[[#This Row],[CODIGO ]],TABLACONSOLIDADA[Bodega]&amp;TABLACONSOLIDADA[Codigo],0)),"")</f>
        <v/>
      </c>
      <c r="CA213" s="157" t="str">
        <f t="array" ref="CA21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1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13" s="134">
        <f>IFERROR(SUM(Tabla_Buffers_Agroinsumos[[#This Row],[ML-MP]:[ML-VL]]),"")</f>
        <v>0</v>
      </c>
      <c r="CD213" s="92" t="str">
        <f>IFERROR(Tabla_Buffers_Agroinsumos[[#This Row],[INV FIS ML]]-Tabla_Buffers_Agroinsumos[[#This Row],[BUFFER ML]],"")</f>
        <v/>
      </c>
      <c r="CE21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13" s="134"/>
      <c r="CG213" s="134"/>
      <c r="CH213" s="134"/>
      <c r="CI213" s="134"/>
      <c r="CJ213" s="134"/>
      <c r="CK213" s="134"/>
      <c r="CL213" s="134"/>
      <c r="CM213" s="134"/>
      <c r="CN213" s="134"/>
      <c r="CO213" s="134" t="str">
        <f t="array" ref="CO213">IFERROR(INDEX(TABLACONSOLIDADA[Buff Act],MATCH("AGROINSUMOSAGROHERMANOSLEON"&amp;Tabla_Buffers_Agroinsumos[[#This Row],[CODIGO ]],TABLACONSOLIDADA[Bodega]&amp;TABLACONSOLIDADA[Codigo],0)),"")</f>
        <v/>
      </c>
      <c r="CP213" s="157" t="str">
        <f t="array" ref="CP213">IFERROR(INDEX(TABLACONSOLIDADA[Inv Fís Act],MATCH("AGROINSUMOSAGROHERMANOSLEON"&amp;Tabla_Buffers_Agroinsumos[[#This Row],[CODIGO ]],TABLACONSOLIDADA[Bodega]&amp;TABLACONSOLIDADA[Codigo],0)),"")</f>
        <v/>
      </c>
      <c r="CQ213" s="157" t="str">
        <f t="array" ref="CQ21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1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13" s="134">
        <f>IFERROR(SUM(Tabla_Buffers_Agroinsumos[[#This Row],[AL-MP]:[AL-VL]]),"")</f>
        <v>0</v>
      </c>
      <c r="CT213" s="92" t="str">
        <f>IFERROR(Tabla_Buffers_Agroinsumos[[#This Row],[INV FIS AL]]-Tabla_Buffers_Agroinsumos[[#This Row],[BUFFER AL]],"")</f>
        <v/>
      </c>
      <c r="CU21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13" s="134"/>
      <c r="CW213" s="134"/>
      <c r="CX213" s="134"/>
      <c r="CY213" s="134"/>
      <c r="CZ213" s="134"/>
      <c r="DA213" s="134"/>
      <c r="DB213" s="134"/>
      <c r="DC213" s="134"/>
      <c r="DD213" s="134"/>
      <c r="DE213" s="134" t="str">
        <f t="array" ref="DE213">IFERROR(INDEX(TABLACONSOLIDADA[Buff Act],MATCH("AGROINSUMOSAGRONUEVO"&amp;Tabla_Buffers_Agroinsumos[[#This Row],[CODIGO ]],TABLACONSOLIDADA[Bodega]&amp;TABLACONSOLIDADA[Codigo],0)),"")</f>
        <v/>
      </c>
      <c r="DF213" s="157" t="str">
        <f t="array" ref="DF213">IFERROR(INDEX(TABLACONSOLIDADA[Inv Fís Act],MATCH("AGROINSUMOSAGRONUEVO"&amp;Tabla_Buffers_Agroinsumos[[#This Row],[CODIGO ]],TABLACONSOLIDADA[Bodega]&amp;TABLACONSOLIDADA[Codigo],0)),"")</f>
        <v/>
      </c>
      <c r="DG213" s="157" t="str">
        <f t="array" ref="DG21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1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13" s="134">
        <f>IFERROR(SUM(Tabla_Buffers_Agroinsumos[[#This Row],[AN-MP]:[AN-VL]]),"")</f>
        <v>0</v>
      </c>
      <c r="DJ213" s="92" t="str">
        <f>IFERROR(Tabla_Buffers_Agroinsumos[[#This Row],[INV FIS AN]]-Tabla_Buffers_Agroinsumos[[#This Row],[BUFFER AN]],"")</f>
        <v/>
      </c>
      <c r="DK21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13" s="134"/>
      <c r="DM213" s="134"/>
      <c r="DN213" s="134"/>
      <c r="DO213" s="134"/>
      <c r="DP213" s="134"/>
      <c r="DQ213" s="134"/>
      <c r="DR213" s="134"/>
      <c r="DS213" s="134"/>
      <c r="DT213" s="134"/>
      <c r="DU213" s="134" t="str">
        <f t="array" ref="DU213">IFERROR(INDEX(TABLACONSOLIDADA[Buff Act],MATCH("AGROINSUMOSAGROQUIMICOSSUR"&amp;Tabla_Buffers_Agroinsumos[[#This Row],[CODIGO ]],TABLACONSOLIDADA[Bodega]&amp;TABLACONSOLIDADA[Codigo],0)),"")</f>
        <v/>
      </c>
      <c r="DV213" s="157" t="str">
        <f t="array" ref="DV213">IFERROR(INDEX(TABLACONSOLIDADA[Inv Fís Act],MATCH("AGROINSUMOSAGROQUIMICOSSUR"&amp;Tabla_Buffers_Agroinsumos[[#This Row],[CODIGO ]],TABLACONSOLIDADA[Bodega]&amp;TABLACONSOLIDADA[Codigo],0)),"")</f>
        <v/>
      </c>
      <c r="DW213" s="157" t="str">
        <f t="array" ref="DW21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1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13" s="134">
        <f>IFERROR(SUM(Tabla_Buffers_Agroinsumos[[#This Row],[AS-MP]:[AS-VL]]),"")</f>
        <v>0</v>
      </c>
      <c r="DZ213" s="92" t="str">
        <f>IFERROR(Tabla_Buffers_Agroinsumos[[#This Row],[INV FIS AS]]-Tabla_Buffers_Agroinsumos[[#This Row],[BUFFER AS]],"")</f>
        <v/>
      </c>
      <c r="EA21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13" s="134"/>
      <c r="EC213" s="134"/>
      <c r="ED213" s="134"/>
      <c r="EE213" s="134"/>
      <c r="EF213" s="134"/>
      <c r="EG213" s="134"/>
      <c r="EH213" s="134"/>
      <c r="EI213" s="134"/>
      <c r="EJ213" s="134"/>
      <c r="EK213" s="134" t="str">
        <f t="array" ref="EK213">IFERROR(INDEX(TABLACONSOLIDADA[Buff Act],MATCH("AGROINSUMOSLAFINCA"&amp;Tabla_Buffers_Agroinsumos[[#This Row],[CODIGO ]],TABLACONSOLIDADA[Bodega]&amp;TABLACONSOLIDADA[Codigo],0)),"")</f>
        <v/>
      </c>
      <c r="EL213" s="157" t="str">
        <f t="array" ref="EL213">IFERROR(INDEX(TABLACONSOLIDADA[Inv Fís Act],MATCH("AGROINSUMOSLAFINCA"&amp;Tabla_Buffers_Agroinsumos[[#This Row],[CODIGO ]],TABLACONSOLIDADA[Bodega]&amp;TABLACONSOLIDADA[Codigo],0)),"")</f>
        <v/>
      </c>
      <c r="EM213" s="157" t="str">
        <f t="array" ref="EM21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1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13" s="134">
        <f>IFERROR(SUM(Tabla_Buffers_Agroinsumos[[#This Row],[LF-MP]:[LF-VL]]),"")</f>
        <v>0</v>
      </c>
      <c r="EP213" s="92" t="str">
        <f>IFERROR(Tabla_Buffers_Agroinsumos[[#This Row],[INV FIS LF]]-Tabla_Buffers_Agroinsumos[[#This Row],[BUFFER LF]],"")</f>
        <v/>
      </c>
      <c r="EQ21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13" s="134"/>
      <c r="ES213" s="134"/>
      <c r="ET213" s="134"/>
      <c r="EU213" s="134"/>
      <c r="EV213" s="134"/>
      <c r="EW213" s="134"/>
      <c r="EX213" s="134"/>
      <c r="EY213" s="134"/>
      <c r="EZ213" s="134"/>
      <c r="FA213" s="134" t="str">
        <f t="array" ref="FA213">IFERROR(INDEX(TABLACONSOLIDADA[Buff Act],MATCH("AGROINSUMOSVERONICALEDESMA"&amp;Tabla_Buffers_Agroinsumos[[#This Row],[CODIGO ]],TABLACONSOLIDADA[Bodega]&amp;TABLACONSOLIDADA[Codigo],0)),"")</f>
        <v/>
      </c>
      <c r="FB213" s="157" t="str">
        <f t="array" ref="FB213">IFERROR(INDEX(TABLACONSOLIDADA[Inv Fís Act],MATCH("AGROINSUMOSVERONICALEDESMA"&amp;Tabla_Buffers_Agroinsumos[[#This Row],[CODIGO ]],TABLACONSOLIDADA[Bodega]&amp;TABLACONSOLIDADA[Codigo],0)),"")</f>
        <v/>
      </c>
      <c r="FC213" s="157" t="str">
        <f t="array" ref="FC21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1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13" s="134">
        <f>IFERROR(SUM(Tabla_Buffers_Agroinsumos[[#This Row],[VL-MP]:[VL-LF]]),"")</f>
        <v>0</v>
      </c>
      <c r="FF213" s="92" t="str">
        <f>IFERROR(Tabla_Buffers_Agroinsumos[[#This Row],[INV FIS VL]]-Tabla_Buffers_Agroinsumos[[#This Row],[BUFFER VL]],"")</f>
        <v/>
      </c>
      <c r="FG21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13" s="134"/>
      <c r="FI213" s="134"/>
      <c r="FJ213" s="134"/>
      <c r="FK213" s="134"/>
      <c r="FL213" s="134"/>
      <c r="FM213" s="134"/>
      <c r="FN213" s="134"/>
      <c r="FO213" s="134"/>
      <c r="FP213" s="134"/>
    </row>
    <row r="214" spans="1:172">
      <c r="A214" s="7" t="s">
        <v>381</v>
      </c>
      <c r="B214" s="7" t="s">
        <v>382</v>
      </c>
      <c r="C214" s="7" t="s">
        <v>716</v>
      </c>
      <c r="D214" s="7" t="s">
        <v>718</v>
      </c>
      <c r="E214" s="7" t="s">
        <v>863</v>
      </c>
      <c r="F214" s="19" t="s">
        <v>808</v>
      </c>
      <c r="G214" s="19" t="s">
        <v>802</v>
      </c>
      <c r="H214" s="19">
        <f>VLOOKUP(Tabla_Buffers_Agroinsumos[[#This Row],[CODIGO ]],TABLACONSOLIDADA[[Codigo]:[PV]],6,0)</f>
        <v>0</v>
      </c>
      <c r="I214" s="19">
        <f>VLOOKUP(Tabla_Buffers_Agroinsumos[[#This Row],[CODIGO ]],TABLACONSOLIDADA[[Codigo]:[PV]],5,0)</f>
        <v>0.2</v>
      </c>
      <c r="J214" s="19">
        <v>4</v>
      </c>
      <c r="K214" s="19">
        <v>6</v>
      </c>
      <c r="L214" s="19">
        <f>IFERROR(Tabla_Buffers_Agroinsumos[[#This Row],[BUFFER CENTRAL]]/((Tabla_Buffers_Agroinsumos[[#This Row],[TIEMPO REPOSICION ]]/Tabla_Buffers_Agroinsumos[[#This Row],[FRECUENCIA]])+1),0)</f>
        <v>0</v>
      </c>
      <c r="M214" s="19">
        <f t="array" ref="M214">IFERROR(INDEX(TABLACONSOLIDADA[Buff Act],MATCH("AGROINSUMOSMATERIAPRIMA"&amp;Tabla_Buffers_Agroinsumos[[#This Row],[CODIGO ]],TABLACONSOLIDADA[Bodega]&amp;TABLACONSOLIDADA[Codigo],0)),"")</f>
        <v>1200</v>
      </c>
      <c r="N214" s="157">
        <f t="array" ref="N214">IFERROR(INDEX(TABLACONSOLIDADA[Inv Fís Act],MATCH("AGROINSUMOSMATERIAPRIMA"&amp;Tabla_Buffers_Agroinsumos[[#This Row],[CODIGO ]],TABLACONSOLIDADA[Bodega]&amp;TABLACONSOLIDADA[Codigo],0)),"")</f>
        <v>1708</v>
      </c>
      <c r="O214" s="157">
        <f t="array" ref="O21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1708</v>
      </c>
      <c r="P21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14" s="19">
        <f>IFERROR(SUM(Tabla_Buffers_Agroinsumos[[#This Row],[MP-C]:[MP-VL]]),"")</f>
        <v>0</v>
      </c>
      <c r="R214" s="92">
        <f>IFERROR(Tabla_Buffers_Agroinsumos[[#This Row],[INV FIS MATERIA PRIMA]]-Tabla_Buffers_Agroinsumos[[#This Row],[BUFFER MATERIA PRIMA]],"")</f>
        <v>508</v>
      </c>
      <c r="S21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508</v>
      </c>
      <c r="T214" s="19"/>
      <c r="U214" s="19"/>
      <c r="V214" s="19"/>
      <c r="W214" s="19"/>
      <c r="X214" s="19"/>
      <c r="Y214" s="19"/>
      <c r="Z214" s="19"/>
      <c r="AA214" s="19"/>
      <c r="AB214" s="19"/>
      <c r="AC214" s="152" t="str">
        <f t="array" ref="AC214">IFERROR(INDEX(TABLACONSOLIDADA[Buff Act],MATCH("AGROINSUMOSCENTRAL"&amp;Tabla_Buffers_Agroinsumos[[#This Row],[CODIGO ]],TABLACONSOLIDADA[Bodega]&amp;TABLACONSOLIDADA[Codigo],0)),"")</f>
        <v/>
      </c>
      <c r="AD214" s="157" t="str">
        <f t="array" ref="AD214">IFERROR(INDEX(TABLACONSOLIDADA[Inv Fís Act],MATCH("AGROINSUMOSCENTRAL"&amp;Tabla_Buffers_Agroinsumos[[#This Row],[CODIGO ]],TABLACONSOLIDADA[Bodega]&amp;TABLACONSOLIDADA[Codigo],0)),"")</f>
        <v/>
      </c>
      <c r="AE214" s="157" t="str">
        <f t="array" ref="AE21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1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14" s="91">
        <f>IFERROR(SUM(Tabla_Buffers_Agroinsumos[[#This Row],[C-MP]:[C-VL]]),"")</f>
        <v>0</v>
      </c>
      <c r="AH214" s="92" t="str">
        <f>IFERROR(Tabla_Buffers_Agroinsumos[[#This Row],[INV FIS CENTRAL]]-Tabla_Buffers_Agroinsumos[[#This Row],[BUFFER CENTRAL]],"")</f>
        <v/>
      </c>
      <c r="AI21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14" s="134"/>
      <c r="AK214" s="134"/>
      <c r="AL214" s="134"/>
      <c r="AM214" s="134"/>
      <c r="AN214" s="134"/>
      <c r="AO214" s="134"/>
      <c r="AP214" s="134"/>
      <c r="AQ214" s="134"/>
      <c r="AR214" s="134"/>
      <c r="AS214" s="134" t="str">
        <f t="array" ref="AS214">IFERROR(INDEX(TABLACONSOLIDADA[Buff Act],MATCH("AGROINSUMOScentralPROPIA"&amp;Tabla_Buffers_Agroinsumos[[#This Row],[CODIGO ]],TABLACONSOLIDADA[Bodega]&amp;TABLACONSOLIDADA[Codigo],0)),"")</f>
        <v/>
      </c>
      <c r="AT214" s="157" t="str">
        <f t="array" ref="AT214">IFERROR(INDEX(TABLACONSOLIDADA[Inv Fís Act],MATCH("AGROINSUMOScentralPROPIA"&amp;Tabla_Buffers_Agroinsumos[[#This Row],[CODIGO ]],TABLACONSOLIDADA[Bodega]&amp;TABLACONSOLIDADA[Codigo],0)),"")</f>
        <v/>
      </c>
      <c r="AU214" s="157" t="str">
        <f t="array" ref="AU21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1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14" s="134">
        <f>IFERROR(SUM(Tabla_Buffers_Agroinsumos[[#This Row],[P-MP]:[P-VL]]),"")</f>
        <v>0</v>
      </c>
      <c r="AX214" s="92" t="str">
        <f>IFERROR(Tabla_Buffers_Agroinsumos[[#This Row],[INV FIS PROPIA]]-Tabla_Buffers_Agroinsumos[[#This Row],[BUFFER PROPIA]],"")</f>
        <v/>
      </c>
      <c r="AY21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14" s="134"/>
      <c r="BA214" s="134"/>
      <c r="BB214" s="134"/>
      <c r="BC214" s="134"/>
      <c r="BD214" s="134"/>
      <c r="BE214" s="134"/>
      <c r="BF214" s="134"/>
      <c r="BG214" s="134"/>
      <c r="BH214" s="134"/>
      <c r="BI214" s="91" t="str">
        <f t="array" ref="BI214">IFERROR(INDEX(TABLACONSOLIDADA[Buff Act],MATCH("AGROINSUMOSSTODOMINGO"&amp;Tabla_Buffers_Agroinsumos[[#This Row],[CODIGO ]],TABLACONSOLIDADA[Bodega]&amp;TABLACONSOLIDADA[Codigo],0)),"")</f>
        <v/>
      </c>
      <c r="BJ214" s="157" t="str">
        <f t="array" ref="BJ214">IFERROR(INDEX(TABLACONSOLIDADA[Inv Fís Act],MATCH("AGROINSUMOSSTODOMINGO"&amp;Tabla_Buffers_Agroinsumos[[#This Row],[CODIGO ]],TABLACONSOLIDADA[Bodega]&amp;TABLACONSOLIDADA[Codigo],0)),"")</f>
        <v/>
      </c>
      <c r="BK214" s="157" t="str">
        <f t="array" ref="BK21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1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14" s="91">
        <f>IFERROR(SUM(Tabla_Buffers_Agroinsumos[[#This Row],[SD-MP]:[SD-VL]]),"")</f>
        <v>0</v>
      </c>
      <c r="BN214" s="92"/>
      <c r="BO214" s="92"/>
      <c r="BP214" s="134"/>
      <c r="BQ214" s="134"/>
      <c r="BR214" s="134"/>
      <c r="BS214" s="134"/>
      <c r="BT214" s="134"/>
      <c r="BU214" s="134"/>
      <c r="BV214" s="134"/>
      <c r="BW214" s="134"/>
      <c r="BX214" s="134"/>
      <c r="BY214" s="134" t="str">
        <f t="array" ref="BY214">IFERROR(INDEX(TABLACONSOLIDADA[Buff Act],MATCH("AGROINSUMOSMONCAYOLOPEZ"&amp;Tabla_Buffers_Agroinsumos[[#This Row],[CODIGO ]],TABLACONSOLIDADA[Bodega]&amp;TABLACONSOLIDADA[Codigo],0)),"")</f>
        <v/>
      </c>
      <c r="BZ214" s="157" t="str">
        <f t="array" ref="BZ214">IFERROR(INDEX(TABLACONSOLIDADA[Inv Fís Act],MATCH("AGROINSUMOSMONCAYOLOPEZ"&amp;Tabla_Buffers_Agroinsumos[[#This Row],[CODIGO ]],TABLACONSOLIDADA[Bodega]&amp;TABLACONSOLIDADA[Codigo],0)),"")</f>
        <v/>
      </c>
      <c r="CA214" s="157" t="str">
        <f t="array" ref="CA21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1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14" s="134">
        <f>IFERROR(SUM(Tabla_Buffers_Agroinsumos[[#This Row],[ML-MP]:[ML-VL]]),"")</f>
        <v>0</v>
      </c>
      <c r="CD214" s="92" t="str">
        <f>IFERROR(Tabla_Buffers_Agroinsumos[[#This Row],[INV FIS ML]]-Tabla_Buffers_Agroinsumos[[#This Row],[BUFFER ML]],"")</f>
        <v/>
      </c>
      <c r="CE21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14" s="134"/>
      <c r="CG214" s="134"/>
      <c r="CH214" s="134"/>
      <c r="CI214" s="134"/>
      <c r="CJ214" s="134"/>
      <c r="CK214" s="134"/>
      <c r="CL214" s="134"/>
      <c r="CM214" s="134"/>
      <c r="CN214" s="134"/>
      <c r="CO214" s="134" t="str">
        <f t="array" ref="CO214">IFERROR(INDEX(TABLACONSOLIDADA[Buff Act],MATCH("AGROINSUMOSAGROHERMANOSLEON"&amp;Tabla_Buffers_Agroinsumos[[#This Row],[CODIGO ]],TABLACONSOLIDADA[Bodega]&amp;TABLACONSOLIDADA[Codigo],0)),"")</f>
        <v/>
      </c>
      <c r="CP214" s="157" t="str">
        <f t="array" ref="CP214">IFERROR(INDEX(TABLACONSOLIDADA[Inv Fís Act],MATCH("AGROINSUMOSAGROHERMANOSLEON"&amp;Tabla_Buffers_Agroinsumos[[#This Row],[CODIGO ]],TABLACONSOLIDADA[Bodega]&amp;TABLACONSOLIDADA[Codigo],0)),"")</f>
        <v/>
      </c>
      <c r="CQ214" s="157" t="str">
        <f t="array" ref="CQ21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1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14" s="134">
        <f>IFERROR(SUM(Tabla_Buffers_Agroinsumos[[#This Row],[AL-MP]:[AL-VL]]),"")</f>
        <v>0</v>
      </c>
      <c r="CT214" s="92" t="str">
        <f>IFERROR(Tabla_Buffers_Agroinsumos[[#This Row],[INV FIS AL]]-Tabla_Buffers_Agroinsumos[[#This Row],[BUFFER AL]],"")</f>
        <v/>
      </c>
      <c r="CU21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14" s="134"/>
      <c r="CW214" s="134"/>
      <c r="CX214" s="134"/>
      <c r="CY214" s="134"/>
      <c r="CZ214" s="134"/>
      <c r="DA214" s="134"/>
      <c r="DB214" s="134"/>
      <c r="DC214" s="134"/>
      <c r="DD214" s="134"/>
      <c r="DE214" s="134" t="str">
        <f t="array" ref="DE214">IFERROR(INDEX(TABLACONSOLIDADA[Buff Act],MATCH("AGROINSUMOSAGRONUEVO"&amp;Tabla_Buffers_Agroinsumos[[#This Row],[CODIGO ]],TABLACONSOLIDADA[Bodega]&amp;TABLACONSOLIDADA[Codigo],0)),"")</f>
        <v/>
      </c>
      <c r="DF214" s="157" t="str">
        <f t="array" ref="DF214">IFERROR(INDEX(TABLACONSOLIDADA[Inv Fís Act],MATCH("AGROINSUMOSAGRONUEVO"&amp;Tabla_Buffers_Agroinsumos[[#This Row],[CODIGO ]],TABLACONSOLIDADA[Bodega]&amp;TABLACONSOLIDADA[Codigo],0)),"")</f>
        <v/>
      </c>
      <c r="DG214" s="157" t="str">
        <f t="array" ref="DG21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1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14" s="134">
        <f>IFERROR(SUM(Tabla_Buffers_Agroinsumos[[#This Row],[AN-MP]:[AN-VL]]),"")</f>
        <v>0</v>
      </c>
      <c r="DJ214" s="92" t="str">
        <f>IFERROR(Tabla_Buffers_Agroinsumos[[#This Row],[INV FIS AN]]-Tabla_Buffers_Agroinsumos[[#This Row],[BUFFER AN]],"")</f>
        <v/>
      </c>
      <c r="DK21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14" s="134"/>
      <c r="DM214" s="134"/>
      <c r="DN214" s="134"/>
      <c r="DO214" s="134"/>
      <c r="DP214" s="134"/>
      <c r="DQ214" s="134"/>
      <c r="DR214" s="134"/>
      <c r="DS214" s="134"/>
      <c r="DT214" s="134"/>
      <c r="DU214" s="134" t="str">
        <f t="array" ref="DU214">IFERROR(INDEX(TABLACONSOLIDADA[Buff Act],MATCH("AGROINSUMOSAGROQUIMICOSSUR"&amp;Tabla_Buffers_Agroinsumos[[#This Row],[CODIGO ]],TABLACONSOLIDADA[Bodega]&amp;TABLACONSOLIDADA[Codigo],0)),"")</f>
        <v/>
      </c>
      <c r="DV214" s="157" t="str">
        <f t="array" ref="DV214">IFERROR(INDEX(TABLACONSOLIDADA[Inv Fís Act],MATCH("AGROINSUMOSAGROQUIMICOSSUR"&amp;Tabla_Buffers_Agroinsumos[[#This Row],[CODIGO ]],TABLACONSOLIDADA[Bodega]&amp;TABLACONSOLIDADA[Codigo],0)),"")</f>
        <v/>
      </c>
      <c r="DW214" s="157" t="str">
        <f t="array" ref="DW21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1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14" s="134">
        <f>IFERROR(SUM(Tabla_Buffers_Agroinsumos[[#This Row],[AS-MP]:[AS-VL]]),"")</f>
        <v>0</v>
      </c>
      <c r="DZ214" s="92" t="str">
        <f>IFERROR(Tabla_Buffers_Agroinsumos[[#This Row],[INV FIS AS]]-Tabla_Buffers_Agroinsumos[[#This Row],[BUFFER AS]],"")</f>
        <v/>
      </c>
      <c r="EA21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14" s="134"/>
      <c r="EC214" s="134"/>
      <c r="ED214" s="134"/>
      <c r="EE214" s="134"/>
      <c r="EF214" s="134"/>
      <c r="EG214" s="134"/>
      <c r="EH214" s="134"/>
      <c r="EI214" s="134"/>
      <c r="EJ214" s="134"/>
      <c r="EK214" s="134" t="str">
        <f t="array" ref="EK214">IFERROR(INDEX(TABLACONSOLIDADA[Buff Act],MATCH("AGROINSUMOSLAFINCA"&amp;Tabla_Buffers_Agroinsumos[[#This Row],[CODIGO ]],TABLACONSOLIDADA[Bodega]&amp;TABLACONSOLIDADA[Codigo],0)),"")</f>
        <v/>
      </c>
      <c r="EL214" s="157" t="str">
        <f t="array" ref="EL214">IFERROR(INDEX(TABLACONSOLIDADA[Inv Fís Act],MATCH("AGROINSUMOSLAFINCA"&amp;Tabla_Buffers_Agroinsumos[[#This Row],[CODIGO ]],TABLACONSOLIDADA[Bodega]&amp;TABLACONSOLIDADA[Codigo],0)),"")</f>
        <v/>
      </c>
      <c r="EM214" s="157" t="str">
        <f t="array" ref="EM21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1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14" s="134">
        <f>IFERROR(SUM(Tabla_Buffers_Agroinsumos[[#This Row],[LF-MP]:[LF-VL]]),"")</f>
        <v>0</v>
      </c>
      <c r="EP214" s="92" t="str">
        <f>IFERROR(Tabla_Buffers_Agroinsumos[[#This Row],[INV FIS LF]]-Tabla_Buffers_Agroinsumos[[#This Row],[BUFFER LF]],"")</f>
        <v/>
      </c>
      <c r="EQ21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14" s="134"/>
      <c r="ES214" s="134"/>
      <c r="ET214" s="134"/>
      <c r="EU214" s="134"/>
      <c r="EV214" s="134"/>
      <c r="EW214" s="134"/>
      <c r="EX214" s="134"/>
      <c r="EY214" s="134"/>
      <c r="EZ214" s="134"/>
      <c r="FA214" s="134" t="str">
        <f t="array" ref="FA214">IFERROR(INDEX(TABLACONSOLIDADA[Buff Act],MATCH("AGROINSUMOSVERONICALEDESMA"&amp;Tabla_Buffers_Agroinsumos[[#This Row],[CODIGO ]],TABLACONSOLIDADA[Bodega]&amp;TABLACONSOLIDADA[Codigo],0)),"")</f>
        <v/>
      </c>
      <c r="FB214" s="157" t="str">
        <f t="array" ref="FB214">IFERROR(INDEX(TABLACONSOLIDADA[Inv Fís Act],MATCH("AGROINSUMOSVERONICALEDESMA"&amp;Tabla_Buffers_Agroinsumos[[#This Row],[CODIGO ]],TABLACONSOLIDADA[Bodega]&amp;TABLACONSOLIDADA[Codigo],0)),"")</f>
        <v/>
      </c>
      <c r="FC214" s="157" t="str">
        <f t="array" ref="FC21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1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14" s="134">
        <f>IFERROR(SUM(Tabla_Buffers_Agroinsumos[[#This Row],[VL-MP]:[VL-LF]]),"")</f>
        <v>0</v>
      </c>
      <c r="FF214" s="92" t="str">
        <f>IFERROR(Tabla_Buffers_Agroinsumos[[#This Row],[INV FIS VL]]-Tabla_Buffers_Agroinsumos[[#This Row],[BUFFER VL]],"")</f>
        <v/>
      </c>
      <c r="FG21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14" s="134"/>
      <c r="FI214" s="134"/>
      <c r="FJ214" s="134"/>
      <c r="FK214" s="134"/>
      <c r="FL214" s="134"/>
      <c r="FM214" s="134"/>
      <c r="FN214" s="134"/>
      <c r="FO214" s="134"/>
      <c r="FP214" s="134"/>
    </row>
    <row r="215" spans="1:172">
      <c r="A215" s="7" t="s">
        <v>383</v>
      </c>
      <c r="B215" s="7" t="s">
        <v>384</v>
      </c>
      <c r="C215" s="7" t="s">
        <v>716</v>
      </c>
      <c r="D215" s="7" t="s">
        <v>718</v>
      </c>
      <c r="E215" s="7" t="s">
        <v>863</v>
      </c>
      <c r="F215" s="19" t="s">
        <v>808</v>
      </c>
      <c r="G215" s="19" t="s">
        <v>802</v>
      </c>
      <c r="H215" s="19">
        <f>VLOOKUP(Tabla_Buffers_Agroinsumos[[#This Row],[CODIGO ]],TABLACONSOLIDADA[[Codigo]:[PV]],6,0)</f>
        <v>0</v>
      </c>
      <c r="I215" s="19">
        <f>VLOOKUP(Tabla_Buffers_Agroinsumos[[#This Row],[CODIGO ]],TABLACONSOLIDADA[[Codigo]:[PV]],5,0)</f>
        <v>0.13</v>
      </c>
      <c r="J215" s="19">
        <v>4</v>
      </c>
      <c r="K215" s="19">
        <v>6</v>
      </c>
      <c r="L215" s="19">
        <f>IFERROR(Tabla_Buffers_Agroinsumos[[#This Row],[BUFFER CENTRAL]]/((Tabla_Buffers_Agroinsumos[[#This Row],[TIEMPO REPOSICION ]]/Tabla_Buffers_Agroinsumos[[#This Row],[FRECUENCIA]])+1),0)</f>
        <v>0</v>
      </c>
      <c r="M215" s="19">
        <f t="array" ref="M215">IFERROR(INDEX(TABLACONSOLIDADA[Buff Act],MATCH("AGROINSUMOSMATERIAPRIMA"&amp;Tabla_Buffers_Agroinsumos[[#This Row],[CODIGO ]],TABLACONSOLIDADA[Bodega]&amp;TABLACONSOLIDADA[Codigo],0)),"")</f>
        <v>1000</v>
      </c>
      <c r="N215" s="157">
        <f t="array" ref="N215">IFERROR(INDEX(TABLACONSOLIDADA[Inv Fís Act],MATCH("AGROINSUMOSMATERIAPRIMA"&amp;Tabla_Buffers_Agroinsumos[[#This Row],[CODIGO ]],TABLACONSOLIDADA[Bodega]&amp;TABLACONSOLIDADA[Codigo],0)),"")</f>
        <v>2788</v>
      </c>
      <c r="O215" s="157">
        <f t="array" ref="O21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2788</v>
      </c>
      <c r="P21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15" s="19">
        <f>IFERROR(SUM(Tabla_Buffers_Agroinsumos[[#This Row],[MP-C]:[MP-VL]]),"")</f>
        <v>0</v>
      </c>
      <c r="R215" s="92">
        <f>IFERROR(Tabla_Buffers_Agroinsumos[[#This Row],[INV FIS MATERIA PRIMA]]-Tabla_Buffers_Agroinsumos[[#This Row],[BUFFER MATERIA PRIMA]],"")</f>
        <v>1788</v>
      </c>
      <c r="S21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1788</v>
      </c>
      <c r="T215" s="19"/>
      <c r="U215" s="19"/>
      <c r="V215" s="19"/>
      <c r="W215" s="19"/>
      <c r="X215" s="19"/>
      <c r="Y215" s="19"/>
      <c r="Z215" s="19"/>
      <c r="AA215" s="19"/>
      <c r="AB215" s="19"/>
      <c r="AC215" s="152" t="str">
        <f t="array" ref="AC215">IFERROR(INDEX(TABLACONSOLIDADA[Buff Act],MATCH("AGROINSUMOSCENTRAL"&amp;Tabla_Buffers_Agroinsumos[[#This Row],[CODIGO ]],TABLACONSOLIDADA[Bodega]&amp;TABLACONSOLIDADA[Codigo],0)),"")</f>
        <v/>
      </c>
      <c r="AD215" s="157" t="str">
        <f t="array" ref="AD215">IFERROR(INDEX(TABLACONSOLIDADA[Inv Fís Act],MATCH("AGROINSUMOSCENTRAL"&amp;Tabla_Buffers_Agroinsumos[[#This Row],[CODIGO ]],TABLACONSOLIDADA[Bodega]&amp;TABLACONSOLIDADA[Codigo],0)),"")</f>
        <v/>
      </c>
      <c r="AE215" s="157" t="str">
        <f t="array" ref="AE21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1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15" s="91">
        <f>IFERROR(SUM(Tabla_Buffers_Agroinsumos[[#This Row],[C-MP]:[C-VL]]),"")</f>
        <v>0</v>
      </c>
      <c r="AH215" s="92" t="str">
        <f>IFERROR(Tabla_Buffers_Agroinsumos[[#This Row],[INV FIS CENTRAL]]-Tabla_Buffers_Agroinsumos[[#This Row],[BUFFER CENTRAL]],"")</f>
        <v/>
      </c>
      <c r="AI21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15" s="134"/>
      <c r="AK215" s="134"/>
      <c r="AL215" s="134"/>
      <c r="AM215" s="134"/>
      <c r="AN215" s="134"/>
      <c r="AO215" s="134"/>
      <c r="AP215" s="134"/>
      <c r="AQ215" s="134"/>
      <c r="AR215" s="134"/>
      <c r="AS215" s="134" t="str">
        <f t="array" ref="AS215">IFERROR(INDEX(TABLACONSOLIDADA[Buff Act],MATCH("AGROINSUMOScentralPROPIA"&amp;Tabla_Buffers_Agroinsumos[[#This Row],[CODIGO ]],TABLACONSOLIDADA[Bodega]&amp;TABLACONSOLIDADA[Codigo],0)),"")</f>
        <v/>
      </c>
      <c r="AT215" s="157" t="str">
        <f t="array" ref="AT215">IFERROR(INDEX(TABLACONSOLIDADA[Inv Fís Act],MATCH("AGROINSUMOScentralPROPIA"&amp;Tabla_Buffers_Agroinsumos[[#This Row],[CODIGO ]],TABLACONSOLIDADA[Bodega]&amp;TABLACONSOLIDADA[Codigo],0)),"")</f>
        <v/>
      </c>
      <c r="AU215" s="157" t="str">
        <f t="array" ref="AU21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1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15" s="134">
        <f>IFERROR(SUM(Tabla_Buffers_Agroinsumos[[#This Row],[P-MP]:[P-VL]]),"")</f>
        <v>0</v>
      </c>
      <c r="AX215" s="92" t="str">
        <f>IFERROR(Tabla_Buffers_Agroinsumos[[#This Row],[INV FIS PROPIA]]-Tabla_Buffers_Agroinsumos[[#This Row],[BUFFER PROPIA]],"")</f>
        <v/>
      </c>
      <c r="AY21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15" s="134"/>
      <c r="BA215" s="134"/>
      <c r="BB215" s="134"/>
      <c r="BC215" s="134"/>
      <c r="BD215" s="134"/>
      <c r="BE215" s="134"/>
      <c r="BF215" s="134"/>
      <c r="BG215" s="134"/>
      <c r="BH215" s="134"/>
      <c r="BI215" s="91" t="str">
        <f t="array" ref="BI215">IFERROR(INDEX(TABLACONSOLIDADA[Buff Act],MATCH("AGROINSUMOSSTODOMINGO"&amp;Tabla_Buffers_Agroinsumos[[#This Row],[CODIGO ]],TABLACONSOLIDADA[Bodega]&amp;TABLACONSOLIDADA[Codigo],0)),"")</f>
        <v/>
      </c>
      <c r="BJ215" s="157" t="str">
        <f t="array" ref="BJ215">IFERROR(INDEX(TABLACONSOLIDADA[Inv Fís Act],MATCH("AGROINSUMOSSTODOMINGO"&amp;Tabla_Buffers_Agroinsumos[[#This Row],[CODIGO ]],TABLACONSOLIDADA[Bodega]&amp;TABLACONSOLIDADA[Codigo],0)),"")</f>
        <v/>
      </c>
      <c r="BK215" s="157" t="str">
        <f t="array" ref="BK21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1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15" s="91">
        <f>IFERROR(SUM(Tabla_Buffers_Agroinsumos[[#This Row],[SD-MP]:[SD-VL]]),"")</f>
        <v>0</v>
      </c>
      <c r="BN215" s="92"/>
      <c r="BO215" s="92"/>
      <c r="BP215" s="134"/>
      <c r="BQ215" s="134"/>
      <c r="BR215" s="134"/>
      <c r="BS215" s="134"/>
      <c r="BT215" s="134"/>
      <c r="BU215" s="134"/>
      <c r="BV215" s="134"/>
      <c r="BW215" s="134"/>
      <c r="BX215" s="134"/>
      <c r="BY215" s="134" t="str">
        <f t="array" ref="BY215">IFERROR(INDEX(TABLACONSOLIDADA[Buff Act],MATCH("AGROINSUMOSMONCAYOLOPEZ"&amp;Tabla_Buffers_Agroinsumos[[#This Row],[CODIGO ]],TABLACONSOLIDADA[Bodega]&amp;TABLACONSOLIDADA[Codigo],0)),"")</f>
        <v/>
      </c>
      <c r="BZ215" s="157" t="str">
        <f t="array" ref="BZ215">IFERROR(INDEX(TABLACONSOLIDADA[Inv Fís Act],MATCH("AGROINSUMOSMONCAYOLOPEZ"&amp;Tabla_Buffers_Agroinsumos[[#This Row],[CODIGO ]],TABLACONSOLIDADA[Bodega]&amp;TABLACONSOLIDADA[Codigo],0)),"")</f>
        <v/>
      </c>
      <c r="CA215" s="157" t="str">
        <f t="array" ref="CA21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1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15" s="134">
        <f>IFERROR(SUM(Tabla_Buffers_Agroinsumos[[#This Row],[ML-MP]:[ML-VL]]),"")</f>
        <v>0</v>
      </c>
      <c r="CD215" s="92" t="str">
        <f>IFERROR(Tabla_Buffers_Agroinsumos[[#This Row],[INV FIS ML]]-Tabla_Buffers_Agroinsumos[[#This Row],[BUFFER ML]],"")</f>
        <v/>
      </c>
      <c r="CE21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15" s="134"/>
      <c r="CG215" s="134"/>
      <c r="CH215" s="134"/>
      <c r="CI215" s="134"/>
      <c r="CJ215" s="134"/>
      <c r="CK215" s="134"/>
      <c r="CL215" s="134"/>
      <c r="CM215" s="134"/>
      <c r="CN215" s="134"/>
      <c r="CO215" s="134" t="str">
        <f t="array" ref="CO215">IFERROR(INDEX(TABLACONSOLIDADA[Buff Act],MATCH("AGROINSUMOSAGROHERMANOSLEON"&amp;Tabla_Buffers_Agroinsumos[[#This Row],[CODIGO ]],TABLACONSOLIDADA[Bodega]&amp;TABLACONSOLIDADA[Codigo],0)),"")</f>
        <v/>
      </c>
      <c r="CP215" s="157" t="str">
        <f t="array" ref="CP215">IFERROR(INDEX(TABLACONSOLIDADA[Inv Fís Act],MATCH("AGROINSUMOSAGROHERMANOSLEON"&amp;Tabla_Buffers_Agroinsumos[[#This Row],[CODIGO ]],TABLACONSOLIDADA[Bodega]&amp;TABLACONSOLIDADA[Codigo],0)),"")</f>
        <v/>
      </c>
      <c r="CQ215" s="157" t="str">
        <f t="array" ref="CQ21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1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15" s="134">
        <f>IFERROR(SUM(Tabla_Buffers_Agroinsumos[[#This Row],[AL-MP]:[AL-VL]]),"")</f>
        <v>0</v>
      </c>
      <c r="CT215" s="92" t="str">
        <f>IFERROR(Tabla_Buffers_Agroinsumos[[#This Row],[INV FIS AL]]-Tabla_Buffers_Agroinsumos[[#This Row],[BUFFER AL]],"")</f>
        <v/>
      </c>
      <c r="CU21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15" s="134"/>
      <c r="CW215" s="134"/>
      <c r="CX215" s="134"/>
      <c r="CY215" s="134"/>
      <c r="CZ215" s="134"/>
      <c r="DA215" s="134"/>
      <c r="DB215" s="134"/>
      <c r="DC215" s="134"/>
      <c r="DD215" s="134"/>
      <c r="DE215" s="134" t="str">
        <f t="array" ref="DE215">IFERROR(INDEX(TABLACONSOLIDADA[Buff Act],MATCH("AGROINSUMOSAGRONUEVO"&amp;Tabla_Buffers_Agroinsumos[[#This Row],[CODIGO ]],TABLACONSOLIDADA[Bodega]&amp;TABLACONSOLIDADA[Codigo],0)),"")</f>
        <v/>
      </c>
      <c r="DF215" s="157" t="str">
        <f t="array" ref="DF215">IFERROR(INDEX(TABLACONSOLIDADA[Inv Fís Act],MATCH("AGROINSUMOSAGRONUEVO"&amp;Tabla_Buffers_Agroinsumos[[#This Row],[CODIGO ]],TABLACONSOLIDADA[Bodega]&amp;TABLACONSOLIDADA[Codigo],0)),"")</f>
        <v/>
      </c>
      <c r="DG215" s="157" t="str">
        <f t="array" ref="DG21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1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15" s="134">
        <f>IFERROR(SUM(Tabla_Buffers_Agroinsumos[[#This Row],[AN-MP]:[AN-VL]]),"")</f>
        <v>0</v>
      </c>
      <c r="DJ215" s="92" t="str">
        <f>IFERROR(Tabla_Buffers_Agroinsumos[[#This Row],[INV FIS AN]]-Tabla_Buffers_Agroinsumos[[#This Row],[BUFFER AN]],"")</f>
        <v/>
      </c>
      <c r="DK21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15" s="134"/>
      <c r="DM215" s="134"/>
      <c r="DN215" s="134"/>
      <c r="DO215" s="134"/>
      <c r="DP215" s="134"/>
      <c r="DQ215" s="134"/>
      <c r="DR215" s="134"/>
      <c r="DS215" s="134"/>
      <c r="DT215" s="134"/>
      <c r="DU215" s="134" t="str">
        <f t="array" ref="DU215">IFERROR(INDEX(TABLACONSOLIDADA[Buff Act],MATCH("AGROINSUMOSAGROQUIMICOSSUR"&amp;Tabla_Buffers_Agroinsumos[[#This Row],[CODIGO ]],TABLACONSOLIDADA[Bodega]&amp;TABLACONSOLIDADA[Codigo],0)),"")</f>
        <v/>
      </c>
      <c r="DV215" s="157" t="str">
        <f t="array" ref="DV215">IFERROR(INDEX(TABLACONSOLIDADA[Inv Fís Act],MATCH("AGROINSUMOSAGROQUIMICOSSUR"&amp;Tabla_Buffers_Agroinsumos[[#This Row],[CODIGO ]],TABLACONSOLIDADA[Bodega]&amp;TABLACONSOLIDADA[Codigo],0)),"")</f>
        <v/>
      </c>
      <c r="DW215" s="157" t="str">
        <f t="array" ref="DW21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1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15" s="134">
        <f>IFERROR(SUM(Tabla_Buffers_Agroinsumos[[#This Row],[AS-MP]:[AS-VL]]),"")</f>
        <v>0</v>
      </c>
      <c r="DZ215" s="92" t="str">
        <f>IFERROR(Tabla_Buffers_Agroinsumos[[#This Row],[INV FIS AS]]-Tabla_Buffers_Agroinsumos[[#This Row],[BUFFER AS]],"")</f>
        <v/>
      </c>
      <c r="EA21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15" s="134"/>
      <c r="EC215" s="134"/>
      <c r="ED215" s="134"/>
      <c r="EE215" s="134"/>
      <c r="EF215" s="134"/>
      <c r="EG215" s="134"/>
      <c r="EH215" s="134"/>
      <c r="EI215" s="134"/>
      <c r="EJ215" s="134"/>
      <c r="EK215" s="134" t="str">
        <f t="array" ref="EK215">IFERROR(INDEX(TABLACONSOLIDADA[Buff Act],MATCH("AGROINSUMOSLAFINCA"&amp;Tabla_Buffers_Agroinsumos[[#This Row],[CODIGO ]],TABLACONSOLIDADA[Bodega]&amp;TABLACONSOLIDADA[Codigo],0)),"")</f>
        <v/>
      </c>
      <c r="EL215" s="157" t="str">
        <f t="array" ref="EL215">IFERROR(INDEX(TABLACONSOLIDADA[Inv Fís Act],MATCH("AGROINSUMOSLAFINCA"&amp;Tabla_Buffers_Agroinsumos[[#This Row],[CODIGO ]],TABLACONSOLIDADA[Bodega]&amp;TABLACONSOLIDADA[Codigo],0)),"")</f>
        <v/>
      </c>
      <c r="EM215" s="157" t="str">
        <f t="array" ref="EM21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1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15" s="134">
        <f>IFERROR(SUM(Tabla_Buffers_Agroinsumos[[#This Row],[LF-MP]:[LF-VL]]),"")</f>
        <v>0</v>
      </c>
      <c r="EP215" s="92" t="str">
        <f>IFERROR(Tabla_Buffers_Agroinsumos[[#This Row],[INV FIS LF]]-Tabla_Buffers_Agroinsumos[[#This Row],[BUFFER LF]],"")</f>
        <v/>
      </c>
      <c r="EQ21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15" s="134"/>
      <c r="ES215" s="134"/>
      <c r="ET215" s="134"/>
      <c r="EU215" s="134"/>
      <c r="EV215" s="134"/>
      <c r="EW215" s="134"/>
      <c r="EX215" s="134"/>
      <c r="EY215" s="134"/>
      <c r="EZ215" s="134"/>
      <c r="FA215" s="134" t="str">
        <f t="array" ref="FA215">IFERROR(INDEX(TABLACONSOLIDADA[Buff Act],MATCH("AGROINSUMOSVERONICALEDESMA"&amp;Tabla_Buffers_Agroinsumos[[#This Row],[CODIGO ]],TABLACONSOLIDADA[Bodega]&amp;TABLACONSOLIDADA[Codigo],0)),"")</f>
        <v/>
      </c>
      <c r="FB215" s="157" t="str">
        <f t="array" ref="FB215">IFERROR(INDEX(TABLACONSOLIDADA[Inv Fís Act],MATCH("AGROINSUMOSVERONICALEDESMA"&amp;Tabla_Buffers_Agroinsumos[[#This Row],[CODIGO ]],TABLACONSOLIDADA[Bodega]&amp;TABLACONSOLIDADA[Codigo],0)),"")</f>
        <v/>
      </c>
      <c r="FC215" s="157" t="str">
        <f t="array" ref="FC21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1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15" s="134">
        <f>IFERROR(SUM(Tabla_Buffers_Agroinsumos[[#This Row],[VL-MP]:[VL-LF]]),"")</f>
        <v>0</v>
      </c>
      <c r="FF215" s="92" t="str">
        <f>IFERROR(Tabla_Buffers_Agroinsumos[[#This Row],[INV FIS VL]]-Tabla_Buffers_Agroinsumos[[#This Row],[BUFFER VL]],"")</f>
        <v/>
      </c>
      <c r="FG21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15" s="134"/>
      <c r="FI215" s="134"/>
      <c r="FJ215" s="134"/>
      <c r="FK215" s="134"/>
      <c r="FL215" s="134"/>
      <c r="FM215" s="134"/>
      <c r="FN215" s="134"/>
      <c r="FO215" s="134"/>
      <c r="FP215" s="134"/>
    </row>
    <row r="216" spans="1:172">
      <c r="A216" s="7" t="s">
        <v>385</v>
      </c>
      <c r="B216" s="7" t="s">
        <v>386</v>
      </c>
      <c r="C216" s="7" t="s">
        <v>716</v>
      </c>
      <c r="D216" s="7" t="s">
        <v>718</v>
      </c>
      <c r="E216" s="7" t="s">
        <v>863</v>
      </c>
      <c r="F216" s="19" t="s">
        <v>808</v>
      </c>
      <c r="G216" s="19" t="s">
        <v>802</v>
      </c>
      <c r="H216" s="19">
        <f>VLOOKUP(Tabla_Buffers_Agroinsumos[[#This Row],[CODIGO ]],TABLACONSOLIDADA[[Codigo]:[PV]],6,0)</f>
        <v>0</v>
      </c>
      <c r="I216" s="19">
        <f>VLOOKUP(Tabla_Buffers_Agroinsumos[[#This Row],[CODIGO ]],TABLACONSOLIDADA[[Codigo]:[PV]],5,0)</f>
        <v>0.1</v>
      </c>
      <c r="J216" s="19">
        <v>4</v>
      </c>
      <c r="K216" s="19">
        <v>6</v>
      </c>
      <c r="L216" s="19">
        <f>IFERROR(Tabla_Buffers_Agroinsumos[[#This Row],[BUFFER CENTRAL]]/((Tabla_Buffers_Agroinsumos[[#This Row],[TIEMPO REPOSICION ]]/Tabla_Buffers_Agroinsumos[[#This Row],[FRECUENCIA]])+1),0)</f>
        <v>0</v>
      </c>
      <c r="M216" s="19">
        <f t="array" ref="M216">IFERROR(INDEX(TABLACONSOLIDADA[Buff Act],MATCH("AGROINSUMOSMATERIAPRIMA"&amp;Tabla_Buffers_Agroinsumos[[#This Row],[CODIGO ]],TABLACONSOLIDADA[Bodega]&amp;TABLACONSOLIDADA[Codigo],0)),"")</f>
        <v>500</v>
      </c>
      <c r="N216" s="157">
        <f t="array" ref="N216">IFERROR(INDEX(TABLACONSOLIDADA[Inv Fís Act],MATCH("AGROINSUMOSMATERIAPRIMA"&amp;Tabla_Buffers_Agroinsumos[[#This Row],[CODIGO ]],TABLACONSOLIDADA[Bodega]&amp;TABLACONSOLIDADA[Codigo],0)),"")</f>
        <v>758</v>
      </c>
      <c r="O216" s="157">
        <f t="array" ref="O21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758</v>
      </c>
      <c r="P21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16" s="19">
        <f>IFERROR(SUM(Tabla_Buffers_Agroinsumos[[#This Row],[MP-C]:[MP-VL]]),"")</f>
        <v>0</v>
      </c>
      <c r="R216" s="92">
        <f>IFERROR(Tabla_Buffers_Agroinsumos[[#This Row],[INV FIS MATERIA PRIMA]]-Tabla_Buffers_Agroinsumos[[#This Row],[BUFFER MATERIA PRIMA]],"")</f>
        <v>258</v>
      </c>
      <c r="S21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258</v>
      </c>
      <c r="T216" s="19"/>
      <c r="U216" s="19"/>
      <c r="V216" s="19"/>
      <c r="W216" s="19"/>
      <c r="X216" s="19"/>
      <c r="Y216" s="19"/>
      <c r="Z216" s="19"/>
      <c r="AA216" s="19"/>
      <c r="AB216" s="19"/>
      <c r="AC216" s="152" t="str">
        <f t="array" ref="AC216">IFERROR(INDEX(TABLACONSOLIDADA[Buff Act],MATCH("AGROINSUMOSCENTRAL"&amp;Tabla_Buffers_Agroinsumos[[#This Row],[CODIGO ]],TABLACONSOLIDADA[Bodega]&amp;TABLACONSOLIDADA[Codigo],0)),"")</f>
        <v/>
      </c>
      <c r="AD216" s="157" t="str">
        <f t="array" ref="AD216">IFERROR(INDEX(TABLACONSOLIDADA[Inv Fís Act],MATCH("AGROINSUMOSCENTRAL"&amp;Tabla_Buffers_Agroinsumos[[#This Row],[CODIGO ]],TABLACONSOLIDADA[Bodega]&amp;TABLACONSOLIDADA[Codigo],0)),"")</f>
        <v/>
      </c>
      <c r="AE216" s="157" t="str">
        <f t="array" ref="AE21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1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16" s="91">
        <f>IFERROR(SUM(Tabla_Buffers_Agroinsumos[[#This Row],[C-MP]:[C-VL]]),"")</f>
        <v>0</v>
      </c>
      <c r="AH216" s="92" t="str">
        <f>IFERROR(Tabla_Buffers_Agroinsumos[[#This Row],[INV FIS CENTRAL]]-Tabla_Buffers_Agroinsumos[[#This Row],[BUFFER CENTRAL]],"")</f>
        <v/>
      </c>
      <c r="AI21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16" s="134"/>
      <c r="AK216" s="134"/>
      <c r="AL216" s="134"/>
      <c r="AM216" s="134"/>
      <c r="AN216" s="134"/>
      <c r="AO216" s="134"/>
      <c r="AP216" s="134"/>
      <c r="AQ216" s="134"/>
      <c r="AR216" s="134"/>
      <c r="AS216" s="134" t="str">
        <f t="array" ref="AS216">IFERROR(INDEX(TABLACONSOLIDADA[Buff Act],MATCH("AGROINSUMOScentralPROPIA"&amp;Tabla_Buffers_Agroinsumos[[#This Row],[CODIGO ]],TABLACONSOLIDADA[Bodega]&amp;TABLACONSOLIDADA[Codigo],0)),"")</f>
        <v/>
      </c>
      <c r="AT216" s="157" t="str">
        <f t="array" ref="AT216">IFERROR(INDEX(TABLACONSOLIDADA[Inv Fís Act],MATCH("AGROINSUMOScentralPROPIA"&amp;Tabla_Buffers_Agroinsumos[[#This Row],[CODIGO ]],TABLACONSOLIDADA[Bodega]&amp;TABLACONSOLIDADA[Codigo],0)),"")</f>
        <v/>
      </c>
      <c r="AU216" s="157" t="str">
        <f t="array" ref="AU21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1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16" s="134">
        <f>IFERROR(SUM(Tabla_Buffers_Agroinsumos[[#This Row],[P-MP]:[P-VL]]),"")</f>
        <v>0</v>
      </c>
      <c r="AX216" s="92" t="str">
        <f>IFERROR(Tabla_Buffers_Agroinsumos[[#This Row],[INV FIS PROPIA]]-Tabla_Buffers_Agroinsumos[[#This Row],[BUFFER PROPIA]],"")</f>
        <v/>
      </c>
      <c r="AY21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16" s="134"/>
      <c r="BA216" s="134"/>
      <c r="BB216" s="134"/>
      <c r="BC216" s="134"/>
      <c r="BD216" s="134"/>
      <c r="BE216" s="134"/>
      <c r="BF216" s="134"/>
      <c r="BG216" s="134"/>
      <c r="BH216" s="134"/>
      <c r="BI216" s="91" t="str">
        <f t="array" ref="BI216">IFERROR(INDEX(TABLACONSOLIDADA[Buff Act],MATCH("AGROINSUMOSSTODOMINGO"&amp;Tabla_Buffers_Agroinsumos[[#This Row],[CODIGO ]],TABLACONSOLIDADA[Bodega]&amp;TABLACONSOLIDADA[Codigo],0)),"")</f>
        <v/>
      </c>
      <c r="BJ216" s="157" t="str">
        <f t="array" ref="BJ216">IFERROR(INDEX(TABLACONSOLIDADA[Inv Fís Act],MATCH("AGROINSUMOSSTODOMINGO"&amp;Tabla_Buffers_Agroinsumos[[#This Row],[CODIGO ]],TABLACONSOLIDADA[Bodega]&amp;TABLACONSOLIDADA[Codigo],0)),"")</f>
        <v/>
      </c>
      <c r="BK216" s="157" t="str">
        <f t="array" ref="BK21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1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16" s="91">
        <f>IFERROR(SUM(Tabla_Buffers_Agroinsumos[[#This Row],[SD-MP]:[SD-VL]]),"")</f>
        <v>0</v>
      </c>
      <c r="BN216" s="92"/>
      <c r="BO216" s="92"/>
      <c r="BP216" s="134"/>
      <c r="BQ216" s="134"/>
      <c r="BR216" s="134"/>
      <c r="BS216" s="134"/>
      <c r="BT216" s="134"/>
      <c r="BU216" s="134"/>
      <c r="BV216" s="134"/>
      <c r="BW216" s="134"/>
      <c r="BX216" s="134"/>
      <c r="BY216" s="134" t="str">
        <f t="array" ref="BY216">IFERROR(INDEX(TABLACONSOLIDADA[Buff Act],MATCH("AGROINSUMOSMONCAYOLOPEZ"&amp;Tabla_Buffers_Agroinsumos[[#This Row],[CODIGO ]],TABLACONSOLIDADA[Bodega]&amp;TABLACONSOLIDADA[Codigo],0)),"")</f>
        <v/>
      </c>
      <c r="BZ216" s="157" t="str">
        <f t="array" ref="BZ216">IFERROR(INDEX(TABLACONSOLIDADA[Inv Fís Act],MATCH("AGROINSUMOSMONCAYOLOPEZ"&amp;Tabla_Buffers_Agroinsumos[[#This Row],[CODIGO ]],TABLACONSOLIDADA[Bodega]&amp;TABLACONSOLIDADA[Codigo],0)),"")</f>
        <v/>
      </c>
      <c r="CA216" s="157" t="str">
        <f t="array" ref="CA21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1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16" s="134">
        <f>IFERROR(SUM(Tabla_Buffers_Agroinsumos[[#This Row],[ML-MP]:[ML-VL]]),"")</f>
        <v>0</v>
      </c>
      <c r="CD216" s="92" t="str">
        <f>IFERROR(Tabla_Buffers_Agroinsumos[[#This Row],[INV FIS ML]]-Tabla_Buffers_Agroinsumos[[#This Row],[BUFFER ML]],"")</f>
        <v/>
      </c>
      <c r="CE21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16" s="134"/>
      <c r="CG216" s="134"/>
      <c r="CH216" s="134"/>
      <c r="CI216" s="134"/>
      <c r="CJ216" s="134"/>
      <c r="CK216" s="134"/>
      <c r="CL216" s="134"/>
      <c r="CM216" s="134"/>
      <c r="CN216" s="134"/>
      <c r="CO216" s="134" t="str">
        <f t="array" ref="CO216">IFERROR(INDEX(TABLACONSOLIDADA[Buff Act],MATCH("AGROINSUMOSAGROHERMANOSLEON"&amp;Tabla_Buffers_Agroinsumos[[#This Row],[CODIGO ]],TABLACONSOLIDADA[Bodega]&amp;TABLACONSOLIDADA[Codigo],0)),"")</f>
        <v/>
      </c>
      <c r="CP216" s="157" t="str">
        <f t="array" ref="CP216">IFERROR(INDEX(TABLACONSOLIDADA[Inv Fís Act],MATCH("AGROINSUMOSAGROHERMANOSLEON"&amp;Tabla_Buffers_Agroinsumos[[#This Row],[CODIGO ]],TABLACONSOLIDADA[Bodega]&amp;TABLACONSOLIDADA[Codigo],0)),"")</f>
        <v/>
      </c>
      <c r="CQ216" s="157" t="str">
        <f t="array" ref="CQ21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1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16" s="134">
        <f>IFERROR(SUM(Tabla_Buffers_Agroinsumos[[#This Row],[AL-MP]:[AL-VL]]),"")</f>
        <v>0</v>
      </c>
      <c r="CT216" s="92" t="str">
        <f>IFERROR(Tabla_Buffers_Agroinsumos[[#This Row],[INV FIS AL]]-Tabla_Buffers_Agroinsumos[[#This Row],[BUFFER AL]],"")</f>
        <v/>
      </c>
      <c r="CU21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16" s="134"/>
      <c r="CW216" s="134"/>
      <c r="CX216" s="134"/>
      <c r="CY216" s="134"/>
      <c r="CZ216" s="134"/>
      <c r="DA216" s="134"/>
      <c r="DB216" s="134"/>
      <c r="DC216" s="134"/>
      <c r="DD216" s="134"/>
      <c r="DE216" s="134" t="str">
        <f t="array" ref="DE216">IFERROR(INDEX(TABLACONSOLIDADA[Buff Act],MATCH("AGROINSUMOSAGRONUEVO"&amp;Tabla_Buffers_Agroinsumos[[#This Row],[CODIGO ]],TABLACONSOLIDADA[Bodega]&amp;TABLACONSOLIDADA[Codigo],0)),"")</f>
        <v/>
      </c>
      <c r="DF216" s="157" t="str">
        <f t="array" ref="DF216">IFERROR(INDEX(TABLACONSOLIDADA[Inv Fís Act],MATCH("AGROINSUMOSAGRONUEVO"&amp;Tabla_Buffers_Agroinsumos[[#This Row],[CODIGO ]],TABLACONSOLIDADA[Bodega]&amp;TABLACONSOLIDADA[Codigo],0)),"")</f>
        <v/>
      </c>
      <c r="DG216" s="157" t="str">
        <f t="array" ref="DG21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1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16" s="134">
        <f>IFERROR(SUM(Tabla_Buffers_Agroinsumos[[#This Row],[AN-MP]:[AN-VL]]),"")</f>
        <v>0</v>
      </c>
      <c r="DJ216" s="92" t="str">
        <f>IFERROR(Tabla_Buffers_Agroinsumos[[#This Row],[INV FIS AN]]-Tabla_Buffers_Agroinsumos[[#This Row],[BUFFER AN]],"")</f>
        <v/>
      </c>
      <c r="DK21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16" s="134"/>
      <c r="DM216" s="134"/>
      <c r="DN216" s="134"/>
      <c r="DO216" s="134"/>
      <c r="DP216" s="134"/>
      <c r="DQ216" s="134"/>
      <c r="DR216" s="134"/>
      <c r="DS216" s="134"/>
      <c r="DT216" s="134"/>
      <c r="DU216" s="134" t="str">
        <f t="array" ref="DU216">IFERROR(INDEX(TABLACONSOLIDADA[Buff Act],MATCH("AGROINSUMOSAGROQUIMICOSSUR"&amp;Tabla_Buffers_Agroinsumos[[#This Row],[CODIGO ]],TABLACONSOLIDADA[Bodega]&amp;TABLACONSOLIDADA[Codigo],0)),"")</f>
        <v/>
      </c>
      <c r="DV216" s="157" t="str">
        <f t="array" ref="DV216">IFERROR(INDEX(TABLACONSOLIDADA[Inv Fís Act],MATCH("AGROINSUMOSAGROQUIMICOSSUR"&amp;Tabla_Buffers_Agroinsumos[[#This Row],[CODIGO ]],TABLACONSOLIDADA[Bodega]&amp;TABLACONSOLIDADA[Codigo],0)),"")</f>
        <v/>
      </c>
      <c r="DW216" s="157" t="str">
        <f t="array" ref="DW21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1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16" s="134">
        <f>IFERROR(SUM(Tabla_Buffers_Agroinsumos[[#This Row],[AS-MP]:[AS-VL]]),"")</f>
        <v>0</v>
      </c>
      <c r="DZ216" s="92" t="str">
        <f>IFERROR(Tabla_Buffers_Agroinsumos[[#This Row],[INV FIS AS]]-Tabla_Buffers_Agroinsumos[[#This Row],[BUFFER AS]],"")</f>
        <v/>
      </c>
      <c r="EA21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16" s="134"/>
      <c r="EC216" s="134"/>
      <c r="ED216" s="134"/>
      <c r="EE216" s="134"/>
      <c r="EF216" s="134"/>
      <c r="EG216" s="134"/>
      <c r="EH216" s="134"/>
      <c r="EI216" s="134"/>
      <c r="EJ216" s="134"/>
      <c r="EK216" s="134" t="str">
        <f t="array" ref="EK216">IFERROR(INDEX(TABLACONSOLIDADA[Buff Act],MATCH("AGROINSUMOSLAFINCA"&amp;Tabla_Buffers_Agroinsumos[[#This Row],[CODIGO ]],TABLACONSOLIDADA[Bodega]&amp;TABLACONSOLIDADA[Codigo],0)),"")</f>
        <v/>
      </c>
      <c r="EL216" s="157" t="str">
        <f t="array" ref="EL216">IFERROR(INDEX(TABLACONSOLIDADA[Inv Fís Act],MATCH("AGROINSUMOSLAFINCA"&amp;Tabla_Buffers_Agroinsumos[[#This Row],[CODIGO ]],TABLACONSOLIDADA[Bodega]&amp;TABLACONSOLIDADA[Codigo],0)),"")</f>
        <v/>
      </c>
      <c r="EM216" s="157" t="str">
        <f t="array" ref="EM21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1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16" s="134">
        <f>IFERROR(SUM(Tabla_Buffers_Agroinsumos[[#This Row],[LF-MP]:[LF-VL]]),"")</f>
        <v>0</v>
      </c>
      <c r="EP216" s="92" t="str">
        <f>IFERROR(Tabla_Buffers_Agroinsumos[[#This Row],[INV FIS LF]]-Tabla_Buffers_Agroinsumos[[#This Row],[BUFFER LF]],"")</f>
        <v/>
      </c>
      <c r="EQ21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16" s="134"/>
      <c r="ES216" s="134"/>
      <c r="ET216" s="134"/>
      <c r="EU216" s="134"/>
      <c r="EV216" s="134"/>
      <c r="EW216" s="134"/>
      <c r="EX216" s="134"/>
      <c r="EY216" s="134"/>
      <c r="EZ216" s="134"/>
      <c r="FA216" s="134" t="str">
        <f t="array" ref="FA216">IFERROR(INDEX(TABLACONSOLIDADA[Buff Act],MATCH("AGROINSUMOSVERONICALEDESMA"&amp;Tabla_Buffers_Agroinsumos[[#This Row],[CODIGO ]],TABLACONSOLIDADA[Bodega]&amp;TABLACONSOLIDADA[Codigo],0)),"")</f>
        <v/>
      </c>
      <c r="FB216" s="157" t="str">
        <f t="array" ref="FB216">IFERROR(INDEX(TABLACONSOLIDADA[Inv Fís Act],MATCH("AGROINSUMOSVERONICALEDESMA"&amp;Tabla_Buffers_Agroinsumos[[#This Row],[CODIGO ]],TABLACONSOLIDADA[Bodega]&amp;TABLACONSOLIDADA[Codigo],0)),"")</f>
        <v/>
      </c>
      <c r="FC216" s="157" t="str">
        <f t="array" ref="FC21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1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16" s="134">
        <f>IFERROR(SUM(Tabla_Buffers_Agroinsumos[[#This Row],[VL-MP]:[VL-LF]]),"")</f>
        <v>0</v>
      </c>
      <c r="FF216" s="92" t="str">
        <f>IFERROR(Tabla_Buffers_Agroinsumos[[#This Row],[INV FIS VL]]-Tabla_Buffers_Agroinsumos[[#This Row],[BUFFER VL]],"")</f>
        <v/>
      </c>
      <c r="FG21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16" s="134"/>
      <c r="FI216" s="134"/>
      <c r="FJ216" s="134"/>
      <c r="FK216" s="134"/>
      <c r="FL216" s="134"/>
      <c r="FM216" s="134"/>
      <c r="FN216" s="134"/>
      <c r="FO216" s="134"/>
      <c r="FP216" s="134"/>
    </row>
    <row r="217" spans="1:172">
      <c r="A217" s="7" t="s">
        <v>387</v>
      </c>
      <c r="B217" s="7" t="s">
        <v>1280</v>
      </c>
      <c r="C217" s="7" t="s">
        <v>716</v>
      </c>
      <c r="D217" s="7" t="s">
        <v>718</v>
      </c>
      <c r="E217" s="7" t="s">
        <v>863</v>
      </c>
      <c r="F217" s="19" t="s">
        <v>808</v>
      </c>
      <c r="G217" s="19" t="s">
        <v>802</v>
      </c>
      <c r="H217" s="19">
        <f>VLOOKUP(Tabla_Buffers_Agroinsumos[[#This Row],[CODIGO ]],TABLACONSOLIDADA[[Codigo]:[PV]],6,0)</f>
        <v>0</v>
      </c>
      <c r="I217" s="19">
        <f>VLOOKUP(Tabla_Buffers_Agroinsumos[[#This Row],[CODIGO ]],TABLACONSOLIDADA[[Codigo]:[PV]],5,0)</f>
        <v>0.14000000000000001</v>
      </c>
      <c r="J217" s="19">
        <v>4</v>
      </c>
      <c r="K217" s="19">
        <v>6</v>
      </c>
      <c r="L217" s="19">
        <f>IFERROR(Tabla_Buffers_Agroinsumos[[#This Row],[BUFFER CENTRAL]]/((Tabla_Buffers_Agroinsumos[[#This Row],[TIEMPO REPOSICION ]]/Tabla_Buffers_Agroinsumos[[#This Row],[FRECUENCIA]])+1),0)</f>
        <v>0</v>
      </c>
      <c r="M217" s="19">
        <v>2000</v>
      </c>
      <c r="N217" s="157">
        <f t="array" ref="N217">IFERROR(INDEX(TABLACONSOLIDADA[Inv Fís Act],MATCH("AGROINSUMOSMATERIAPRIMA"&amp;Tabla_Buffers_Agroinsumos[[#This Row],[CODIGO ]],TABLACONSOLIDADA[Bodega]&amp;TABLACONSOLIDADA[Codigo],0)),"")</f>
        <v>264</v>
      </c>
      <c r="O217" s="157">
        <f t="array" ref="O21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264</v>
      </c>
      <c r="P21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17" s="19">
        <f>IFERROR(SUM(Tabla_Buffers_Agroinsumos[[#This Row],[MP-C]:[MP-VL]]),"")</f>
        <v>0</v>
      </c>
      <c r="R217" s="92">
        <f>IFERROR(Tabla_Buffers_Agroinsumos[[#This Row],[INV FIS MATERIA PRIMA]]-Tabla_Buffers_Agroinsumos[[#This Row],[BUFFER MATERIA PRIMA]],"")</f>
        <v>-1736</v>
      </c>
      <c r="S21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-1736</v>
      </c>
      <c r="T217" s="19"/>
      <c r="U217" s="19"/>
      <c r="V217" s="19"/>
      <c r="W217" s="19"/>
      <c r="X217" s="19"/>
      <c r="Y217" s="19"/>
      <c r="Z217" s="19"/>
      <c r="AA217" s="19"/>
      <c r="AB217" s="19"/>
      <c r="AC217" s="152" t="str">
        <f t="array" ref="AC217">IFERROR(INDEX(TABLACONSOLIDADA[Buff Act],MATCH("AGROINSUMOSCENTRAL"&amp;Tabla_Buffers_Agroinsumos[[#This Row],[CODIGO ]],TABLACONSOLIDADA[Bodega]&amp;TABLACONSOLIDADA[Codigo],0)),"")</f>
        <v/>
      </c>
      <c r="AD217" s="157" t="str">
        <f t="array" ref="AD217">IFERROR(INDEX(TABLACONSOLIDADA[Inv Fís Act],MATCH("AGROINSUMOSCENTRAL"&amp;Tabla_Buffers_Agroinsumos[[#This Row],[CODIGO ]],TABLACONSOLIDADA[Bodega]&amp;TABLACONSOLIDADA[Codigo],0)),"")</f>
        <v/>
      </c>
      <c r="AE217" s="157" t="str">
        <f t="array" ref="AE21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1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17" s="91">
        <f>IFERROR(SUM(Tabla_Buffers_Agroinsumos[[#This Row],[C-MP]:[C-VL]]),"")</f>
        <v>0</v>
      </c>
      <c r="AH217" s="92" t="str">
        <f>IFERROR(Tabla_Buffers_Agroinsumos[[#This Row],[INV FIS CENTRAL]]-Tabla_Buffers_Agroinsumos[[#This Row],[BUFFER CENTRAL]],"")</f>
        <v/>
      </c>
      <c r="AI21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17" s="134"/>
      <c r="AK217" s="134"/>
      <c r="AL217" s="134"/>
      <c r="AM217" s="134"/>
      <c r="AN217" s="134"/>
      <c r="AO217" s="134"/>
      <c r="AP217" s="134"/>
      <c r="AQ217" s="134"/>
      <c r="AR217" s="134"/>
      <c r="AS217" s="134" t="str">
        <f t="array" ref="AS217">IFERROR(INDEX(TABLACONSOLIDADA[Buff Act],MATCH("AGROINSUMOScentralPROPIA"&amp;Tabla_Buffers_Agroinsumos[[#This Row],[CODIGO ]],TABLACONSOLIDADA[Bodega]&amp;TABLACONSOLIDADA[Codigo],0)),"")</f>
        <v/>
      </c>
      <c r="AT217" s="157" t="str">
        <f t="array" ref="AT217">IFERROR(INDEX(TABLACONSOLIDADA[Inv Fís Act],MATCH("AGROINSUMOScentralPROPIA"&amp;Tabla_Buffers_Agroinsumos[[#This Row],[CODIGO ]],TABLACONSOLIDADA[Bodega]&amp;TABLACONSOLIDADA[Codigo],0)),"")</f>
        <v/>
      </c>
      <c r="AU217" s="157" t="str">
        <f t="array" ref="AU21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1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17" s="134">
        <f>IFERROR(SUM(Tabla_Buffers_Agroinsumos[[#This Row],[P-MP]:[P-VL]]),"")</f>
        <v>0</v>
      </c>
      <c r="AX217" s="92" t="str">
        <f>IFERROR(Tabla_Buffers_Agroinsumos[[#This Row],[INV FIS PROPIA]]-Tabla_Buffers_Agroinsumos[[#This Row],[BUFFER PROPIA]],"")</f>
        <v/>
      </c>
      <c r="AY21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17" s="134"/>
      <c r="BA217" s="134"/>
      <c r="BB217" s="134"/>
      <c r="BC217" s="134"/>
      <c r="BD217" s="134"/>
      <c r="BE217" s="134"/>
      <c r="BF217" s="134"/>
      <c r="BG217" s="134"/>
      <c r="BH217" s="134"/>
      <c r="BI217" s="91" t="str">
        <f t="array" ref="BI217">IFERROR(INDEX(TABLACONSOLIDADA[Buff Act],MATCH("AGROINSUMOSSTODOMINGO"&amp;Tabla_Buffers_Agroinsumos[[#This Row],[CODIGO ]],TABLACONSOLIDADA[Bodega]&amp;TABLACONSOLIDADA[Codigo],0)),"")</f>
        <v/>
      </c>
      <c r="BJ217" s="157" t="str">
        <f t="array" ref="BJ217">IFERROR(INDEX(TABLACONSOLIDADA[Inv Fís Act],MATCH("AGROINSUMOSSTODOMINGO"&amp;Tabla_Buffers_Agroinsumos[[#This Row],[CODIGO ]],TABLACONSOLIDADA[Bodega]&amp;TABLACONSOLIDADA[Codigo],0)),"")</f>
        <v/>
      </c>
      <c r="BK217" s="157" t="str">
        <f t="array" ref="BK21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1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17" s="91">
        <f>IFERROR(SUM(Tabla_Buffers_Agroinsumos[[#This Row],[SD-MP]:[SD-VL]]),"")</f>
        <v>0</v>
      </c>
      <c r="BN217" s="92"/>
      <c r="BO217" s="92"/>
      <c r="BP217" s="134"/>
      <c r="BQ217" s="134"/>
      <c r="BR217" s="134"/>
      <c r="BS217" s="134"/>
      <c r="BT217" s="134"/>
      <c r="BU217" s="134"/>
      <c r="BV217" s="134"/>
      <c r="BW217" s="134"/>
      <c r="BX217" s="134"/>
      <c r="BY217" s="134" t="str">
        <f t="array" ref="BY217">IFERROR(INDEX(TABLACONSOLIDADA[Buff Act],MATCH("AGROINSUMOSMONCAYOLOPEZ"&amp;Tabla_Buffers_Agroinsumos[[#This Row],[CODIGO ]],TABLACONSOLIDADA[Bodega]&amp;TABLACONSOLIDADA[Codigo],0)),"")</f>
        <v/>
      </c>
      <c r="BZ217" s="157" t="str">
        <f t="array" ref="BZ217">IFERROR(INDEX(TABLACONSOLIDADA[Inv Fís Act],MATCH("AGROINSUMOSMONCAYOLOPEZ"&amp;Tabla_Buffers_Agroinsumos[[#This Row],[CODIGO ]],TABLACONSOLIDADA[Bodega]&amp;TABLACONSOLIDADA[Codigo],0)),"")</f>
        <v/>
      </c>
      <c r="CA217" s="157" t="str">
        <f t="array" ref="CA21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1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17" s="134">
        <f>IFERROR(SUM(Tabla_Buffers_Agroinsumos[[#This Row],[ML-MP]:[ML-VL]]),"")</f>
        <v>0</v>
      </c>
      <c r="CD217" s="92" t="str">
        <f>IFERROR(Tabla_Buffers_Agroinsumos[[#This Row],[INV FIS ML]]-Tabla_Buffers_Agroinsumos[[#This Row],[BUFFER ML]],"")</f>
        <v/>
      </c>
      <c r="CE21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17" s="134"/>
      <c r="CG217" s="134"/>
      <c r="CH217" s="134"/>
      <c r="CI217" s="134"/>
      <c r="CJ217" s="134"/>
      <c r="CK217" s="134"/>
      <c r="CL217" s="134"/>
      <c r="CM217" s="134"/>
      <c r="CN217" s="134"/>
      <c r="CO217" s="134" t="str">
        <f t="array" ref="CO217">IFERROR(INDEX(TABLACONSOLIDADA[Buff Act],MATCH("AGROINSUMOSAGROHERMANOSLEON"&amp;Tabla_Buffers_Agroinsumos[[#This Row],[CODIGO ]],TABLACONSOLIDADA[Bodega]&amp;TABLACONSOLIDADA[Codigo],0)),"")</f>
        <v/>
      </c>
      <c r="CP217" s="157" t="str">
        <f t="array" ref="CP217">IFERROR(INDEX(TABLACONSOLIDADA[Inv Fís Act],MATCH("AGROINSUMOSAGROHERMANOSLEON"&amp;Tabla_Buffers_Agroinsumos[[#This Row],[CODIGO ]],TABLACONSOLIDADA[Bodega]&amp;TABLACONSOLIDADA[Codigo],0)),"")</f>
        <v/>
      </c>
      <c r="CQ217" s="157" t="str">
        <f t="array" ref="CQ21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1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17" s="134">
        <f>IFERROR(SUM(Tabla_Buffers_Agroinsumos[[#This Row],[AL-MP]:[AL-VL]]),"")</f>
        <v>0</v>
      </c>
      <c r="CT217" s="92" t="str">
        <f>IFERROR(Tabla_Buffers_Agroinsumos[[#This Row],[INV FIS AL]]-Tabla_Buffers_Agroinsumos[[#This Row],[BUFFER AL]],"")</f>
        <v/>
      </c>
      <c r="CU21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17" s="134"/>
      <c r="CW217" s="134"/>
      <c r="CX217" s="134"/>
      <c r="CY217" s="134"/>
      <c r="CZ217" s="134"/>
      <c r="DA217" s="134"/>
      <c r="DB217" s="134"/>
      <c r="DC217" s="134"/>
      <c r="DD217" s="134"/>
      <c r="DE217" s="134" t="str">
        <f t="array" ref="DE217">IFERROR(INDEX(TABLACONSOLIDADA[Buff Act],MATCH("AGROINSUMOSAGRONUEVO"&amp;Tabla_Buffers_Agroinsumos[[#This Row],[CODIGO ]],TABLACONSOLIDADA[Bodega]&amp;TABLACONSOLIDADA[Codigo],0)),"")</f>
        <v/>
      </c>
      <c r="DF217" s="157" t="str">
        <f t="array" ref="DF217">IFERROR(INDEX(TABLACONSOLIDADA[Inv Fís Act],MATCH("AGROINSUMOSAGRONUEVO"&amp;Tabla_Buffers_Agroinsumos[[#This Row],[CODIGO ]],TABLACONSOLIDADA[Bodega]&amp;TABLACONSOLIDADA[Codigo],0)),"")</f>
        <v/>
      </c>
      <c r="DG217" s="157" t="str">
        <f t="array" ref="DG21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1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17" s="134">
        <f>IFERROR(SUM(Tabla_Buffers_Agroinsumos[[#This Row],[AN-MP]:[AN-VL]]),"")</f>
        <v>0</v>
      </c>
      <c r="DJ217" s="92" t="str">
        <f>IFERROR(Tabla_Buffers_Agroinsumos[[#This Row],[INV FIS AN]]-Tabla_Buffers_Agroinsumos[[#This Row],[BUFFER AN]],"")</f>
        <v/>
      </c>
      <c r="DK21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17" s="134"/>
      <c r="DM217" s="134"/>
      <c r="DN217" s="134"/>
      <c r="DO217" s="134"/>
      <c r="DP217" s="134"/>
      <c r="DQ217" s="134"/>
      <c r="DR217" s="134"/>
      <c r="DS217" s="134"/>
      <c r="DT217" s="134"/>
      <c r="DU217" s="134" t="str">
        <f t="array" ref="DU217">IFERROR(INDEX(TABLACONSOLIDADA[Buff Act],MATCH("AGROINSUMOSAGROQUIMICOSSUR"&amp;Tabla_Buffers_Agroinsumos[[#This Row],[CODIGO ]],TABLACONSOLIDADA[Bodega]&amp;TABLACONSOLIDADA[Codigo],0)),"")</f>
        <v/>
      </c>
      <c r="DV217" s="157" t="str">
        <f t="array" ref="DV217">IFERROR(INDEX(TABLACONSOLIDADA[Inv Fís Act],MATCH("AGROINSUMOSAGROQUIMICOSSUR"&amp;Tabla_Buffers_Agroinsumos[[#This Row],[CODIGO ]],TABLACONSOLIDADA[Bodega]&amp;TABLACONSOLIDADA[Codigo],0)),"")</f>
        <v/>
      </c>
      <c r="DW217" s="157" t="str">
        <f t="array" ref="DW21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1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17" s="134">
        <f>IFERROR(SUM(Tabla_Buffers_Agroinsumos[[#This Row],[AS-MP]:[AS-VL]]),"")</f>
        <v>0</v>
      </c>
      <c r="DZ217" s="92" t="str">
        <f>IFERROR(Tabla_Buffers_Agroinsumos[[#This Row],[INV FIS AS]]-Tabla_Buffers_Agroinsumos[[#This Row],[BUFFER AS]],"")</f>
        <v/>
      </c>
      <c r="EA21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17" s="134"/>
      <c r="EC217" s="134"/>
      <c r="ED217" s="134"/>
      <c r="EE217" s="134"/>
      <c r="EF217" s="134"/>
      <c r="EG217" s="134"/>
      <c r="EH217" s="134"/>
      <c r="EI217" s="134"/>
      <c r="EJ217" s="134"/>
      <c r="EK217" s="134" t="str">
        <f t="array" ref="EK217">IFERROR(INDEX(TABLACONSOLIDADA[Buff Act],MATCH("AGROINSUMOSLAFINCA"&amp;Tabla_Buffers_Agroinsumos[[#This Row],[CODIGO ]],TABLACONSOLIDADA[Bodega]&amp;TABLACONSOLIDADA[Codigo],0)),"")</f>
        <v/>
      </c>
      <c r="EL217" s="157" t="str">
        <f t="array" ref="EL217">IFERROR(INDEX(TABLACONSOLIDADA[Inv Fís Act],MATCH("AGROINSUMOSLAFINCA"&amp;Tabla_Buffers_Agroinsumos[[#This Row],[CODIGO ]],TABLACONSOLIDADA[Bodega]&amp;TABLACONSOLIDADA[Codigo],0)),"")</f>
        <v/>
      </c>
      <c r="EM217" s="157" t="str">
        <f t="array" ref="EM21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1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17" s="134">
        <f>IFERROR(SUM(Tabla_Buffers_Agroinsumos[[#This Row],[LF-MP]:[LF-VL]]),"")</f>
        <v>0</v>
      </c>
      <c r="EP217" s="92" t="str">
        <f>IFERROR(Tabla_Buffers_Agroinsumos[[#This Row],[INV FIS LF]]-Tabla_Buffers_Agroinsumos[[#This Row],[BUFFER LF]],"")</f>
        <v/>
      </c>
      <c r="EQ21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17" s="134"/>
      <c r="ES217" s="134"/>
      <c r="ET217" s="134"/>
      <c r="EU217" s="134"/>
      <c r="EV217" s="134"/>
      <c r="EW217" s="134"/>
      <c r="EX217" s="134"/>
      <c r="EY217" s="134"/>
      <c r="EZ217" s="134"/>
      <c r="FA217" s="134" t="str">
        <f t="array" ref="FA217">IFERROR(INDEX(TABLACONSOLIDADA[Buff Act],MATCH("AGROINSUMOSVERONICALEDESMA"&amp;Tabla_Buffers_Agroinsumos[[#This Row],[CODIGO ]],TABLACONSOLIDADA[Bodega]&amp;TABLACONSOLIDADA[Codigo],0)),"")</f>
        <v/>
      </c>
      <c r="FB217" s="157" t="str">
        <f t="array" ref="FB217">IFERROR(INDEX(TABLACONSOLIDADA[Inv Fís Act],MATCH("AGROINSUMOSVERONICALEDESMA"&amp;Tabla_Buffers_Agroinsumos[[#This Row],[CODIGO ]],TABLACONSOLIDADA[Bodega]&amp;TABLACONSOLIDADA[Codigo],0)),"")</f>
        <v/>
      </c>
      <c r="FC217" s="157" t="str">
        <f t="array" ref="FC21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1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17" s="134">
        <f>IFERROR(SUM(Tabla_Buffers_Agroinsumos[[#This Row],[VL-MP]:[VL-LF]]),"")</f>
        <v>0</v>
      </c>
      <c r="FF217" s="92" t="str">
        <f>IFERROR(Tabla_Buffers_Agroinsumos[[#This Row],[INV FIS VL]]-Tabla_Buffers_Agroinsumos[[#This Row],[BUFFER VL]],"")</f>
        <v/>
      </c>
      <c r="FG21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17" s="134"/>
      <c r="FI217" s="134"/>
      <c r="FJ217" s="134"/>
      <c r="FK217" s="134"/>
      <c r="FL217" s="134"/>
      <c r="FM217" s="134"/>
      <c r="FN217" s="134"/>
      <c r="FO217" s="134"/>
      <c r="FP217" s="134"/>
    </row>
    <row r="218" spans="1:172">
      <c r="A218" s="7" t="s">
        <v>389</v>
      </c>
      <c r="B218" s="7" t="s">
        <v>390</v>
      </c>
      <c r="C218" s="7" t="s">
        <v>716</v>
      </c>
      <c r="D218" s="7" t="s">
        <v>718</v>
      </c>
      <c r="E218" s="7" t="s">
        <v>863</v>
      </c>
      <c r="F218" s="19" t="s">
        <v>808</v>
      </c>
      <c r="G218" s="19" t="s">
        <v>802</v>
      </c>
      <c r="H218" s="19">
        <f>VLOOKUP(Tabla_Buffers_Agroinsumos[[#This Row],[CODIGO ]],TABLACONSOLIDADA[[Codigo]:[PV]],6,0)</f>
        <v>0</v>
      </c>
      <c r="I218" s="19">
        <f>VLOOKUP(Tabla_Buffers_Agroinsumos[[#This Row],[CODIGO ]],TABLACONSOLIDADA[[Codigo]:[PV]],5,0)</f>
        <v>0.13</v>
      </c>
      <c r="J218" s="19">
        <v>4</v>
      </c>
      <c r="K218" s="19">
        <v>6</v>
      </c>
      <c r="L218" s="19">
        <f>IFERROR(Tabla_Buffers_Agroinsumos[[#This Row],[BUFFER CENTRAL]]/((Tabla_Buffers_Agroinsumos[[#This Row],[TIEMPO REPOSICION ]]/Tabla_Buffers_Agroinsumos[[#This Row],[FRECUENCIA]])+1),0)</f>
        <v>0</v>
      </c>
      <c r="M218" s="19">
        <f t="array" ref="M218">IFERROR(INDEX(TABLACONSOLIDADA[Buff Act],MATCH("AGROINSUMOSMATERIAPRIMA"&amp;Tabla_Buffers_Agroinsumos[[#This Row],[CODIGO ]],TABLACONSOLIDADA[Bodega]&amp;TABLACONSOLIDADA[Codigo],0)),"")</f>
        <v>500</v>
      </c>
      <c r="N218" s="157">
        <f t="array" ref="N218">IFERROR(INDEX(TABLACONSOLIDADA[Inv Fís Act],MATCH("AGROINSUMOSMATERIAPRIMA"&amp;Tabla_Buffers_Agroinsumos[[#This Row],[CODIGO ]],TABLACONSOLIDADA[Bodega]&amp;TABLACONSOLIDADA[Codigo],0)),"")</f>
        <v>1236</v>
      </c>
      <c r="O218" s="157">
        <f t="array" ref="O21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1236</v>
      </c>
      <c r="P21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18" s="19">
        <f>IFERROR(SUM(Tabla_Buffers_Agroinsumos[[#This Row],[MP-C]:[MP-VL]]),"")</f>
        <v>0</v>
      </c>
      <c r="R218" s="92">
        <f>IFERROR(Tabla_Buffers_Agroinsumos[[#This Row],[INV FIS MATERIA PRIMA]]-Tabla_Buffers_Agroinsumos[[#This Row],[BUFFER MATERIA PRIMA]],"")</f>
        <v>736</v>
      </c>
      <c r="S21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736</v>
      </c>
      <c r="T218" s="19"/>
      <c r="U218" s="19"/>
      <c r="V218" s="19"/>
      <c r="W218" s="19"/>
      <c r="X218" s="19"/>
      <c r="Y218" s="19"/>
      <c r="Z218" s="19"/>
      <c r="AA218" s="19"/>
      <c r="AB218" s="19"/>
      <c r="AC218" s="152" t="str">
        <f t="array" ref="AC218">IFERROR(INDEX(TABLACONSOLIDADA[Buff Act],MATCH("AGROINSUMOSCENTRAL"&amp;Tabla_Buffers_Agroinsumos[[#This Row],[CODIGO ]],TABLACONSOLIDADA[Bodega]&amp;TABLACONSOLIDADA[Codigo],0)),"")</f>
        <v/>
      </c>
      <c r="AD218" s="157" t="str">
        <f t="array" ref="AD218">IFERROR(INDEX(TABLACONSOLIDADA[Inv Fís Act],MATCH("AGROINSUMOSCENTRAL"&amp;Tabla_Buffers_Agroinsumos[[#This Row],[CODIGO ]],TABLACONSOLIDADA[Bodega]&amp;TABLACONSOLIDADA[Codigo],0)),"")</f>
        <v/>
      </c>
      <c r="AE218" s="157" t="str">
        <f t="array" ref="AE21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1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18" s="91">
        <f>IFERROR(SUM(Tabla_Buffers_Agroinsumos[[#This Row],[C-MP]:[C-VL]]),"")</f>
        <v>0</v>
      </c>
      <c r="AH218" s="92" t="str">
        <f>IFERROR(Tabla_Buffers_Agroinsumos[[#This Row],[INV FIS CENTRAL]]-Tabla_Buffers_Agroinsumos[[#This Row],[BUFFER CENTRAL]],"")</f>
        <v/>
      </c>
      <c r="AI21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18" s="134"/>
      <c r="AK218" s="134"/>
      <c r="AL218" s="134"/>
      <c r="AM218" s="134"/>
      <c r="AN218" s="134"/>
      <c r="AO218" s="134"/>
      <c r="AP218" s="134"/>
      <c r="AQ218" s="134"/>
      <c r="AR218" s="134"/>
      <c r="AS218" s="134" t="str">
        <f t="array" ref="AS218">IFERROR(INDEX(TABLACONSOLIDADA[Buff Act],MATCH("AGROINSUMOScentralPROPIA"&amp;Tabla_Buffers_Agroinsumos[[#This Row],[CODIGO ]],TABLACONSOLIDADA[Bodega]&amp;TABLACONSOLIDADA[Codigo],0)),"")</f>
        <v/>
      </c>
      <c r="AT218" s="157" t="str">
        <f t="array" ref="AT218">IFERROR(INDEX(TABLACONSOLIDADA[Inv Fís Act],MATCH("AGROINSUMOScentralPROPIA"&amp;Tabla_Buffers_Agroinsumos[[#This Row],[CODIGO ]],TABLACONSOLIDADA[Bodega]&amp;TABLACONSOLIDADA[Codigo],0)),"")</f>
        <v/>
      </c>
      <c r="AU218" s="157" t="str">
        <f t="array" ref="AU21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1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18" s="134">
        <f>IFERROR(SUM(Tabla_Buffers_Agroinsumos[[#This Row],[P-MP]:[P-VL]]),"")</f>
        <v>0</v>
      </c>
      <c r="AX218" s="92" t="str">
        <f>IFERROR(Tabla_Buffers_Agroinsumos[[#This Row],[INV FIS PROPIA]]-Tabla_Buffers_Agroinsumos[[#This Row],[BUFFER PROPIA]],"")</f>
        <v/>
      </c>
      <c r="AY21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18" s="134"/>
      <c r="BA218" s="134"/>
      <c r="BB218" s="134"/>
      <c r="BC218" s="134"/>
      <c r="BD218" s="134"/>
      <c r="BE218" s="134"/>
      <c r="BF218" s="134"/>
      <c r="BG218" s="134"/>
      <c r="BH218" s="134"/>
      <c r="BI218" s="91" t="str">
        <f t="array" ref="BI218">IFERROR(INDEX(TABLACONSOLIDADA[Buff Act],MATCH("AGROINSUMOSSTODOMINGO"&amp;Tabla_Buffers_Agroinsumos[[#This Row],[CODIGO ]],TABLACONSOLIDADA[Bodega]&amp;TABLACONSOLIDADA[Codigo],0)),"")</f>
        <v/>
      </c>
      <c r="BJ218" s="157" t="str">
        <f t="array" ref="BJ218">IFERROR(INDEX(TABLACONSOLIDADA[Inv Fís Act],MATCH("AGROINSUMOSSTODOMINGO"&amp;Tabla_Buffers_Agroinsumos[[#This Row],[CODIGO ]],TABLACONSOLIDADA[Bodega]&amp;TABLACONSOLIDADA[Codigo],0)),"")</f>
        <v/>
      </c>
      <c r="BK218" s="157" t="str">
        <f t="array" ref="BK21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1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18" s="91">
        <f>IFERROR(SUM(Tabla_Buffers_Agroinsumos[[#This Row],[SD-MP]:[SD-VL]]),"")</f>
        <v>0</v>
      </c>
      <c r="BN218" s="92"/>
      <c r="BO218" s="92"/>
      <c r="BP218" s="134"/>
      <c r="BQ218" s="134"/>
      <c r="BR218" s="134"/>
      <c r="BS218" s="134"/>
      <c r="BT218" s="134"/>
      <c r="BU218" s="134"/>
      <c r="BV218" s="134"/>
      <c r="BW218" s="134"/>
      <c r="BX218" s="134"/>
      <c r="BY218" s="134" t="str">
        <f t="array" ref="BY218">IFERROR(INDEX(TABLACONSOLIDADA[Buff Act],MATCH("AGROINSUMOSMONCAYOLOPEZ"&amp;Tabla_Buffers_Agroinsumos[[#This Row],[CODIGO ]],TABLACONSOLIDADA[Bodega]&amp;TABLACONSOLIDADA[Codigo],0)),"")</f>
        <v/>
      </c>
      <c r="BZ218" s="157" t="str">
        <f t="array" ref="BZ218">IFERROR(INDEX(TABLACONSOLIDADA[Inv Fís Act],MATCH("AGROINSUMOSMONCAYOLOPEZ"&amp;Tabla_Buffers_Agroinsumos[[#This Row],[CODIGO ]],TABLACONSOLIDADA[Bodega]&amp;TABLACONSOLIDADA[Codigo],0)),"")</f>
        <v/>
      </c>
      <c r="CA218" s="157" t="str">
        <f t="array" ref="CA21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1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18" s="134">
        <f>IFERROR(SUM(Tabla_Buffers_Agroinsumos[[#This Row],[ML-MP]:[ML-VL]]),"")</f>
        <v>0</v>
      </c>
      <c r="CD218" s="92" t="str">
        <f>IFERROR(Tabla_Buffers_Agroinsumos[[#This Row],[INV FIS ML]]-Tabla_Buffers_Agroinsumos[[#This Row],[BUFFER ML]],"")</f>
        <v/>
      </c>
      <c r="CE21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18" s="134"/>
      <c r="CG218" s="134"/>
      <c r="CH218" s="134"/>
      <c r="CI218" s="134"/>
      <c r="CJ218" s="134"/>
      <c r="CK218" s="134"/>
      <c r="CL218" s="134"/>
      <c r="CM218" s="134"/>
      <c r="CN218" s="134"/>
      <c r="CO218" s="134" t="str">
        <f t="array" ref="CO218">IFERROR(INDEX(TABLACONSOLIDADA[Buff Act],MATCH("AGROINSUMOSAGROHERMANOSLEON"&amp;Tabla_Buffers_Agroinsumos[[#This Row],[CODIGO ]],TABLACONSOLIDADA[Bodega]&amp;TABLACONSOLIDADA[Codigo],0)),"")</f>
        <v/>
      </c>
      <c r="CP218" s="157" t="str">
        <f t="array" ref="CP218">IFERROR(INDEX(TABLACONSOLIDADA[Inv Fís Act],MATCH("AGROINSUMOSAGROHERMANOSLEON"&amp;Tabla_Buffers_Agroinsumos[[#This Row],[CODIGO ]],TABLACONSOLIDADA[Bodega]&amp;TABLACONSOLIDADA[Codigo],0)),"")</f>
        <v/>
      </c>
      <c r="CQ218" s="157" t="str">
        <f t="array" ref="CQ21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1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18" s="134">
        <f>IFERROR(SUM(Tabla_Buffers_Agroinsumos[[#This Row],[AL-MP]:[AL-VL]]),"")</f>
        <v>0</v>
      </c>
      <c r="CT218" s="92" t="str">
        <f>IFERROR(Tabla_Buffers_Agroinsumos[[#This Row],[INV FIS AL]]-Tabla_Buffers_Agroinsumos[[#This Row],[BUFFER AL]],"")</f>
        <v/>
      </c>
      <c r="CU21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18" s="134"/>
      <c r="CW218" s="134"/>
      <c r="CX218" s="134"/>
      <c r="CY218" s="134"/>
      <c r="CZ218" s="134"/>
      <c r="DA218" s="134"/>
      <c r="DB218" s="134"/>
      <c r="DC218" s="134"/>
      <c r="DD218" s="134"/>
      <c r="DE218" s="134" t="str">
        <f t="array" ref="DE218">IFERROR(INDEX(TABLACONSOLIDADA[Buff Act],MATCH("AGROINSUMOSAGRONUEVO"&amp;Tabla_Buffers_Agroinsumos[[#This Row],[CODIGO ]],TABLACONSOLIDADA[Bodega]&amp;TABLACONSOLIDADA[Codigo],0)),"")</f>
        <v/>
      </c>
      <c r="DF218" s="157" t="str">
        <f t="array" ref="DF218">IFERROR(INDEX(TABLACONSOLIDADA[Inv Fís Act],MATCH("AGROINSUMOSAGRONUEVO"&amp;Tabla_Buffers_Agroinsumos[[#This Row],[CODIGO ]],TABLACONSOLIDADA[Bodega]&amp;TABLACONSOLIDADA[Codigo],0)),"")</f>
        <v/>
      </c>
      <c r="DG218" s="157" t="str">
        <f t="array" ref="DG21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1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18" s="134">
        <f>IFERROR(SUM(Tabla_Buffers_Agroinsumos[[#This Row],[AN-MP]:[AN-VL]]),"")</f>
        <v>0</v>
      </c>
      <c r="DJ218" s="92" t="str">
        <f>IFERROR(Tabla_Buffers_Agroinsumos[[#This Row],[INV FIS AN]]-Tabla_Buffers_Agroinsumos[[#This Row],[BUFFER AN]],"")</f>
        <v/>
      </c>
      <c r="DK21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18" s="134"/>
      <c r="DM218" s="134"/>
      <c r="DN218" s="134"/>
      <c r="DO218" s="134"/>
      <c r="DP218" s="134"/>
      <c r="DQ218" s="134"/>
      <c r="DR218" s="134"/>
      <c r="DS218" s="134"/>
      <c r="DT218" s="134"/>
      <c r="DU218" s="134" t="str">
        <f t="array" ref="DU218">IFERROR(INDEX(TABLACONSOLIDADA[Buff Act],MATCH("AGROINSUMOSAGROQUIMICOSSUR"&amp;Tabla_Buffers_Agroinsumos[[#This Row],[CODIGO ]],TABLACONSOLIDADA[Bodega]&amp;TABLACONSOLIDADA[Codigo],0)),"")</f>
        <v/>
      </c>
      <c r="DV218" s="157" t="str">
        <f t="array" ref="DV218">IFERROR(INDEX(TABLACONSOLIDADA[Inv Fís Act],MATCH("AGROINSUMOSAGROQUIMICOSSUR"&amp;Tabla_Buffers_Agroinsumos[[#This Row],[CODIGO ]],TABLACONSOLIDADA[Bodega]&amp;TABLACONSOLIDADA[Codigo],0)),"")</f>
        <v/>
      </c>
      <c r="DW218" s="157" t="str">
        <f t="array" ref="DW21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1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18" s="134">
        <f>IFERROR(SUM(Tabla_Buffers_Agroinsumos[[#This Row],[AS-MP]:[AS-VL]]),"")</f>
        <v>0</v>
      </c>
      <c r="DZ218" s="92" t="str">
        <f>IFERROR(Tabla_Buffers_Agroinsumos[[#This Row],[INV FIS AS]]-Tabla_Buffers_Agroinsumos[[#This Row],[BUFFER AS]],"")</f>
        <v/>
      </c>
      <c r="EA21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18" s="134"/>
      <c r="EC218" s="134"/>
      <c r="ED218" s="134"/>
      <c r="EE218" s="134"/>
      <c r="EF218" s="134"/>
      <c r="EG218" s="134"/>
      <c r="EH218" s="134"/>
      <c r="EI218" s="134"/>
      <c r="EJ218" s="134"/>
      <c r="EK218" s="134" t="str">
        <f t="array" ref="EK218">IFERROR(INDEX(TABLACONSOLIDADA[Buff Act],MATCH("AGROINSUMOSLAFINCA"&amp;Tabla_Buffers_Agroinsumos[[#This Row],[CODIGO ]],TABLACONSOLIDADA[Bodega]&amp;TABLACONSOLIDADA[Codigo],0)),"")</f>
        <v/>
      </c>
      <c r="EL218" s="157" t="str">
        <f t="array" ref="EL218">IFERROR(INDEX(TABLACONSOLIDADA[Inv Fís Act],MATCH("AGROINSUMOSLAFINCA"&amp;Tabla_Buffers_Agroinsumos[[#This Row],[CODIGO ]],TABLACONSOLIDADA[Bodega]&amp;TABLACONSOLIDADA[Codigo],0)),"")</f>
        <v/>
      </c>
      <c r="EM218" s="157" t="str">
        <f t="array" ref="EM21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1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18" s="134">
        <f>IFERROR(SUM(Tabla_Buffers_Agroinsumos[[#This Row],[LF-MP]:[LF-VL]]),"")</f>
        <v>0</v>
      </c>
      <c r="EP218" s="92" t="str">
        <f>IFERROR(Tabla_Buffers_Agroinsumos[[#This Row],[INV FIS LF]]-Tabla_Buffers_Agroinsumos[[#This Row],[BUFFER LF]],"")</f>
        <v/>
      </c>
      <c r="EQ21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18" s="134"/>
      <c r="ES218" s="134"/>
      <c r="ET218" s="134"/>
      <c r="EU218" s="134"/>
      <c r="EV218" s="134"/>
      <c r="EW218" s="134"/>
      <c r="EX218" s="134"/>
      <c r="EY218" s="134"/>
      <c r="EZ218" s="134"/>
      <c r="FA218" s="134" t="str">
        <f t="array" ref="FA218">IFERROR(INDEX(TABLACONSOLIDADA[Buff Act],MATCH("AGROINSUMOSVERONICALEDESMA"&amp;Tabla_Buffers_Agroinsumos[[#This Row],[CODIGO ]],TABLACONSOLIDADA[Bodega]&amp;TABLACONSOLIDADA[Codigo],0)),"")</f>
        <v/>
      </c>
      <c r="FB218" s="157" t="str">
        <f t="array" ref="FB218">IFERROR(INDEX(TABLACONSOLIDADA[Inv Fís Act],MATCH("AGROINSUMOSVERONICALEDESMA"&amp;Tabla_Buffers_Agroinsumos[[#This Row],[CODIGO ]],TABLACONSOLIDADA[Bodega]&amp;TABLACONSOLIDADA[Codigo],0)),"")</f>
        <v/>
      </c>
      <c r="FC218" s="157" t="str">
        <f t="array" ref="FC21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1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18" s="134">
        <f>IFERROR(SUM(Tabla_Buffers_Agroinsumos[[#This Row],[VL-MP]:[VL-LF]]),"")</f>
        <v>0</v>
      </c>
      <c r="FF218" s="92" t="str">
        <f>IFERROR(Tabla_Buffers_Agroinsumos[[#This Row],[INV FIS VL]]-Tabla_Buffers_Agroinsumos[[#This Row],[BUFFER VL]],"")</f>
        <v/>
      </c>
      <c r="FG21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18" s="134"/>
      <c r="FI218" s="134"/>
      <c r="FJ218" s="134"/>
      <c r="FK218" s="134"/>
      <c r="FL218" s="134"/>
      <c r="FM218" s="134"/>
      <c r="FN218" s="134"/>
      <c r="FO218" s="134"/>
      <c r="FP218" s="134"/>
    </row>
    <row r="219" spans="1:172">
      <c r="A219" s="7" t="s">
        <v>391</v>
      </c>
      <c r="B219" s="7" t="s">
        <v>392</v>
      </c>
      <c r="C219" s="7" t="s">
        <v>716</v>
      </c>
      <c r="D219" s="7" t="s">
        <v>718</v>
      </c>
      <c r="E219" s="7" t="s">
        <v>863</v>
      </c>
      <c r="F219" s="19" t="s">
        <v>808</v>
      </c>
      <c r="G219" s="19" t="s">
        <v>802</v>
      </c>
      <c r="H219" s="19">
        <f>VLOOKUP(Tabla_Buffers_Agroinsumos[[#This Row],[CODIGO ]],TABLACONSOLIDADA[[Codigo]:[PV]],6,0)</f>
        <v>0</v>
      </c>
      <c r="I219" s="19">
        <f>VLOOKUP(Tabla_Buffers_Agroinsumos[[#This Row],[CODIGO ]],TABLACONSOLIDADA[[Codigo]:[PV]],5,0)</f>
        <v>0.24</v>
      </c>
      <c r="J219" s="19">
        <v>4</v>
      </c>
      <c r="K219" s="19">
        <v>6</v>
      </c>
      <c r="L219" s="19">
        <f>IFERROR(Tabla_Buffers_Agroinsumos[[#This Row],[BUFFER CENTRAL]]/((Tabla_Buffers_Agroinsumos[[#This Row],[TIEMPO REPOSICION ]]/Tabla_Buffers_Agroinsumos[[#This Row],[FRECUENCIA]])+1),0)</f>
        <v>0</v>
      </c>
      <c r="M219" s="19">
        <f t="array" ref="M219">IFERROR(INDEX(TABLACONSOLIDADA[Buff Act],MATCH("AGROINSUMOSMATERIAPRIMA"&amp;Tabla_Buffers_Agroinsumos[[#This Row],[CODIGO ]],TABLACONSOLIDADA[Bodega]&amp;TABLACONSOLIDADA[Codigo],0)),"")</f>
        <v>500</v>
      </c>
      <c r="N219" s="157">
        <f t="array" ref="N219">IFERROR(INDEX(TABLACONSOLIDADA[Inv Fís Act],MATCH("AGROINSUMOSMATERIAPRIMA"&amp;Tabla_Buffers_Agroinsumos[[#This Row],[CODIGO ]],TABLACONSOLIDADA[Bodega]&amp;TABLACONSOLIDADA[Codigo],0)),"")</f>
        <v>652</v>
      </c>
      <c r="O219" s="157">
        <f t="array" ref="O21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652</v>
      </c>
      <c r="P21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19" s="19">
        <f>IFERROR(SUM(Tabla_Buffers_Agroinsumos[[#This Row],[MP-C]:[MP-VL]]),"")</f>
        <v>0</v>
      </c>
      <c r="R219" s="92">
        <f>IFERROR(Tabla_Buffers_Agroinsumos[[#This Row],[INV FIS MATERIA PRIMA]]-Tabla_Buffers_Agroinsumos[[#This Row],[BUFFER MATERIA PRIMA]],"")</f>
        <v>152</v>
      </c>
      <c r="S21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152</v>
      </c>
      <c r="T219" s="19"/>
      <c r="U219" s="19"/>
      <c r="V219" s="19"/>
      <c r="W219" s="19"/>
      <c r="X219" s="19"/>
      <c r="Y219" s="19"/>
      <c r="Z219" s="19"/>
      <c r="AA219" s="19"/>
      <c r="AB219" s="19"/>
      <c r="AC219" s="152" t="str">
        <f t="array" ref="AC219">IFERROR(INDEX(TABLACONSOLIDADA[Buff Act],MATCH("AGROINSUMOSCENTRAL"&amp;Tabla_Buffers_Agroinsumos[[#This Row],[CODIGO ]],TABLACONSOLIDADA[Bodega]&amp;TABLACONSOLIDADA[Codigo],0)),"")</f>
        <v/>
      </c>
      <c r="AD219" s="157" t="str">
        <f t="array" ref="AD219">IFERROR(INDEX(TABLACONSOLIDADA[Inv Fís Act],MATCH("AGROINSUMOSCENTRAL"&amp;Tabla_Buffers_Agroinsumos[[#This Row],[CODIGO ]],TABLACONSOLIDADA[Bodega]&amp;TABLACONSOLIDADA[Codigo],0)),"")</f>
        <v/>
      </c>
      <c r="AE219" s="157" t="str">
        <f t="array" ref="AE21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1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19" s="91">
        <f>IFERROR(SUM(Tabla_Buffers_Agroinsumos[[#This Row],[C-MP]:[C-VL]]),"")</f>
        <v>0</v>
      </c>
      <c r="AH219" s="92" t="str">
        <f>IFERROR(Tabla_Buffers_Agroinsumos[[#This Row],[INV FIS CENTRAL]]-Tabla_Buffers_Agroinsumos[[#This Row],[BUFFER CENTRAL]],"")</f>
        <v/>
      </c>
      <c r="AI21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19" s="134"/>
      <c r="AK219" s="134"/>
      <c r="AL219" s="134"/>
      <c r="AM219" s="134"/>
      <c r="AN219" s="134"/>
      <c r="AO219" s="134"/>
      <c r="AP219" s="134"/>
      <c r="AQ219" s="134"/>
      <c r="AR219" s="134"/>
      <c r="AS219" s="134" t="str">
        <f t="array" ref="AS219">IFERROR(INDEX(TABLACONSOLIDADA[Buff Act],MATCH("AGROINSUMOScentralPROPIA"&amp;Tabla_Buffers_Agroinsumos[[#This Row],[CODIGO ]],TABLACONSOLIDADA[Bodega]&amp;TABLACONSOLIDADA[Codigo],0)),"")</f>
        <v/>
      </c>
      <c r="AT219" s="157" t="str">
        <f t="array" ref="AT219">IFERROR(INDEX(TABLACONSOLIDADA[Inv Fís Act],MATCH("AGROINSUMOScentralPROPIA"&amp;Tabla_Buffers_Agroinsumos[[#This Row],[CODIGO ]],TABLACONSOLIDADA[Bodega]&amp;TABLACONSOLIDADA[Codigo],0)),"")</f>
        <v/>
      </c>
      <c r="AU219" s="157" t="str">
        <f t="array" ref="AU21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1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19" s="134">
        <f>IFERROR(SUM(Tabla_Buffers_Agroinsumos[[#This Row],[P-MP]:[P-VL]]),"")</f>
        <v>0</v>
      </c>
      <c r="AX219" s="92" t="str">
        <f>IFERROR(Tabla_Buffers_Agroinsumos[[#This Row],[INV FIS PROPIA]]-Tabla_Buffers_Agroinsumos[[#This Row],[BUFFER PROPIA]],"")</f>
        <v/>
      </c>
      <c r="AY21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19" s="134"/>
      <c r="BA219" s="134"/>
      <c r="BB219" s="134"/>
      <c r="BC219" s="134"/>
      <c r="BD219" s="134"/>
      <c r="BE219" s="134"/>
      <c r="BF219" s="134"/>
      <c r="BG219" s="134"/>
      <c r="BH219" s="134"/>
      <c r="BI219" s="91" t="str">
        <f t="array" ref="BI219">IFERROR(INDEX(TABLACONSOLIDADA[Buff Act],MATCH("AGROINSUMOSSTODOMINGO"&amp;Tabla_Buffers_Agroinsumos[[#This Row],[CODIGO ]],TABLACONSOLIDADA[Bodega]&amp;TABLACONSOLIDADA[Codigo],0)),"")</f>
        <v/>
      </c>
      <c r="BJ219" s="157" t="str">
        <f t="array" ref="BJ219">IFERROR(INDEX(TABLACONSOLIDADA[Inv Fís Act],MATCH("AGROINSUMOSSTODOMINGO"&amp;Tabla_Buffers_Agroinsumos[[#This Row],[CODIGO ]],TABLACONSOLIDADA[Bodega]&amp;TABLACONSOLIDADA[Codigo],0)),"")</f>
        <v/>
      </c>
      <c r="BK219" s="157" t="str">
        <f t="array" ref="BK21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1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19" s="91">
        <f>IFERROR(SUM(Tabla_Buffers_Agroinsumos[[#This Row],[SD-MP]:[SD-VL]]),"")</f>
        <v>0</v>
      </c>
      <c r="BN219" s="92"/>
      <c r="BO219" s="92"/>
      <c r="BP219" s="134"/>
      <c r="BQ219" s="134"/>
      <c r="BR219" s="134"/>
      <c r="BS219" s="134"/>
      <c r="BT219" s="134"/>
      <c r="BU219" s="134"/>
      <c r="BV219" s="134"/>
      <c r="BW219" s="134"/>
      <c r="BX219" s="134"/>
      <c r="BY219" s="134" t="str">
        <f t="array" ref="BY219">IFERROR(INDEX(TABLACONSOLIDADA[Buff Act],MATCH("AGROINSUMOSMONCAYOLOPEZ"&amp;Tabla_Buffers_Agroinsumos[[#This Row],[CODIGO ]],TABLACONSOLIDADA[Bodega]&amp;TABLACONSOLIDADA[Codigo],0)),"")</f>
        <v/>
      </c>
      <c r="BZ219" s="157" t="str">
        <f t="array" ref="BZ219">IFERROR(INDEX(TABLACONSOLIDADA[Inv Fís Act],MATCH("AGROINSUMOSMONCAYOLOPEZ"&amp;Tabla_Buffers_Agroinsumos[[#This Row],[CODIGO ]],TABLACONSOLIDADA[Bodega]&amp;TABLACONSOLIDADA[Codigo],0)),"")</f>
        <v/>
      </c>
      <c r="CA219" s="157" t="str">
        <f t="array" ref="CA21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1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19" s="134">
        <f>IFERROR(SUM(Tabla_Buffers_Agroinsumos[[#This Row],[ML-MP]:[ML-VL]]),"")</f>
        <v>0</v>
      </c>
      <c r="CD219" s="92" t="str">
        <f>IFERROR(Tabla_Buffers_Agroinsumos[[#This Row],[INV FIS ML]]-Tabla_Buffers_Agroinsumos[[#This Row],[BUFFER ML]],"")</f>
        <v/>
      </c>
      <c r="CE21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19" s="134"/>
      <c r="CG219" s="134"/>
      <c r="CH219" s="134"/>
      <c r="CI219" s="134"/>
      <c r="CJ219" s="134"/>
      <c r="CK219" s="134"/>
      <c r="CL219" s="134"/>
      <c r="CM219" s="134"/>
      <c r="CN219" s="134"/>
      <c r="CO219" s="134" t="str">
        <f t="array" ref="CO219">IFERROR(INDEX(TABLACONSOLIDADA[Buff Act],MATCH("AGROINSUMOSAGROHERMANOSLEON"&amp;Tabla_Buffers_Agroinsumos[[#This Row],[CODIGO ]],TABLACONSOLIDADA[Bodega]&amp;TABLACONSOLIDADA[Codigo],0)),"")</f>
        <v/>
      </c>
      <c r="CP219" s="157" t="str">
        <f t="array" ref="CP219">IFERROR(INDEX(TABLACONSOLIDADA[Inv Fís Act],MATCH("AGROINSUMOSAGROHERMANOSLEON"&amp;Tabla_Buffers_Agroinsumos[[#This Row],[CODIGO ]],TABLACONSOLIDADA[Bodega]&amp;TABLACONSOLIDADA[Codigo],0)),"")</f>
        <v/>
      </c>
      <c r="CQ219" s="157" t="str">
        <f t="array" ref="CQ21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1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19" s="134">
        <f>IFERROR(SUM(Tabla_Buffers_Agroinsumos[[#This Row],[AL-MP]:[AL-VL]]),"")</f>
        <v>0</v>
      </c>
      <c r="CT219" s="92" t="str">
        <f>IFERROR(Tabla_Buffers_Agroinsumos[[#This Row],[INV FIS AL]]-Tabla_Buffers_Agroinsumos[[#This Row],[BUFFER AL]],"")</f>
        <v/>
      </c>
      <c r="CU21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19" s="134"/>
      <c r="CW219" s="134"/>
      <c r="CX219" s="134"/>
      <c r="CY219" s="134"/>
      <c r="CZ219" s="134"/>
      <c r="DA219" s="134"/>
      <c r="DB219" s="134"/>
      <c r="DC219" s="134"/>
      <c r="DD219" s="134"/>
      <c r="DE219" s="134" t="str">
        <f t="array" ref="DE219">IFERROR(INDEX(TABLACONSOLIDADA[Buff Act],MATCH("AGROINSUMOSAGRONUEVO"&amp;Tabla_Buffers_Agroinsumos[[#This Row],[CODIGO ]],TABLACONSOLIDADA[Bodega]&amp;TABLACONSOLIDADA[Codigo],0)),"")</f>
        <v/>
      </c>
      <c r="DF219" s="157" t="str">
        <f t="array" ref="DF219">IFERROR(INDEX(TABLACONSOLIDADA[Inv Fís Act],MATCH("AGROINSUMOSAGRONUEVO"&amp;Tabla_Buffers_Agroinsumos[[#This Row],[CODIGO ]],TABLACONSOLIDADA[Bodega]&amp;TABLACONSOLIDADA[Codigo],0)),"")</f>
        <v/>
      </c>
      <c r="DG219" s="157" t="str">
        <f t="array" ref="DG21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1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19" s="134">
        <f>IFERROR(SUM(Tabla_Buffers_Agroinsumos[[#This Row],[AN-MP]:[AN-VL]]),"")</f>
        <v>0</v>
      </c>
      <c r="DJ219" s="92" t="str">
        <f>IFERROR(Tabla_Buffers_Agroinsumos[[#This Row],[INV FIS AN]]-Tabla_Buffers_Agroinsumos[[#This Row],[BUFFER AN]],"")</f>
        <v/>
      </c>
      <c r="DK21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19" s="134"/>
      <c r="DM219" s="134"/>
      <c r="DN219" s="134"/>
      <c r="DO219" s="134"/>
      <c r="DP219" s="134"/>
      <c r="DQ219" s="134"/>
      <c r="DR219" s="134"/>
      <c r="DS219" s="134"/>
      <c r="DT219" s="134"/>
      <c r="DU219" s="134" t="str">
        <f t="array" ref="DU219">IFERROR(INDEX(TABLACONSOLIDADA[Buff Act],MATCH("AGROINSUMOSAGROQUIMICOSSUR"&amp;Tabla_Buffers_Agroinsumos[[#This Row],[CODIGO ]],TABLACONSOLIDADA[Bodega]&amp;TABLACONSOLIDADA[Codigo],0)),"")</f>
        <v/>
      </c>
      <c r="DV219" s="157" t="str">
        <f t="array" ref="DV219">IFERROR(INDEX(TABLACONSOLIDADA[Inv Fís Act],MATCH("AGROINSUMOSAGROQUIMICOSSUR"&amp;Tabla_Buffers_Agroinsumos[[#This Row],[CODIGO ]],TABLACONSOLIDADA[Bodega]&amp;TABLACONSOLIDADA[Codigo],0)),"")</f>
        <v/>
      </c>
      <c r="DW219" s="157" t="str">
        <f t="array" ref="DW21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1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19" s="134">
        <f>IFERROR(SUM(Tabla_Buffers_Agroinsumos[[#This Row],[AS-MP]:[AS-VL]]),"")</f>
        <v>0</v>
      </c>
      <c r="DZ219" s="92" t="str">
        <f>IFERROR(Tabla_Buffers_Agroinsumos[[#This Row],[INV FIS AS]]-Tabla_Buffers_Agroinsumos[[#This Row],[BUFFER AS]],"")</f>
        <v/>
      </c>
      <c r="EA21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19" s="134"/>
      <c r="EC219" s="134"/>
      <c r="ED219" s="134"/>
      <c r="EE219" s="134"/>
      <c r="EF219" s="134"/>
      <c r="EG219" s="134"/>
      <c r="EH219" s="134"/>
      <c r="EI219" s="134"/>
      <c r="EJ219" s="134"/>
      <c r="EK219" s="134" t="str">
        <f t="array" ref="EK219">IFERROR(INDEX(TABLACONSOLIDADA[Buff Act],MATCH("AGROINSUMOSLAFINCA"&amp;Tabla_Buffers_Agroinsumos[[#This Row],[CODIGO ]],TABLACONSOLIDADA[Bodega]&amp;TABLACONSOLIDADA[Codigo],0)),"")</f>
        <v/>
      </c>
      <c r="EL219" s="157" t="str">
        <f t="array" ref="EL219">IFERROR(INDEX(TABLACONSOLIDADA[Inv Fís Act],MATCH("AGROINSUMOSLAFINCA"&amp;Tabla_Buffers_Agroinsumos[[#This Row],[CODIGO ]],TABLACONSOLIDADA[Bodega]&amp;TABLACONSOLIDADA[Codigo],0)),"")</f>
        <v/>
      </c>
      <c r="EM219" s="157" t="str">
        <f t="array" ref="EM21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1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19" s="134">
        <f>IFERROR(SUM(Tabla_Buffers_Agroinsumos[[#This Row],[LF-MP]:[LF-VL]]),"")</f>
        <v>0</v>
      </c>
      <c r="EP219" s="92" t="str">
        <f>IFERROR(Tabla_Buffers_Agroinsumos[[#This Row],[INV FIS LF]]-Tabla_Buffers_Agroinsumos[[#This Row],[BUFFER LF]],"")</f>
        <v/>
      </c>
      <c r="EQ21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19" s="134"/>
      <c r="ES219" s="134"/>
      <c r="ET219" s="134"/>
      <c r="EU219" s="134"/>
      <c r="EV219" s="134"/>
      <c r="EW219" s="134"/>
      <c r="EX219" s="134"/>
      <c r="EY219" s="134"/>
      <c r="EZ219" s="134"/>
      <c r="FA219" s="134" t="str">
        <f t="array" ref="FA219">IFERROR(INDEX(TABLACONSOLIDADA[Buff Act],MATCH("AGROINSUMOSVERONICALEDESMA"&amp;Tabla_Buffers_Agroinsumos[[#This Row],[CODIGO ]],TABLACONSOLIDADA[Bodega]&amp;TABLACONSOLIDADA[Codigo],0)),"")</f>
        <v/>
      </c>
      <c r="FB219" s="157" t="str">
        <f t="array" ref="FB219">IFERROR(INDEX(TABLACONSOLIDADA[Inv Fís Act],MATCH("AGROINSUMOSVERONICALEDESMA"&amp;Tabla_Buffers_Agroinsumos[[#This Row],[CODIGO ]],TABLACONSOLIDADA[Bodega]&amp;TABLACONSOLIDADA[Codigo],0)),"")</f>
        <v/>
      </c>
      <c r="FC219" s="157" t="str">
        <f t="array" ref="FC21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1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19" s="134">
        <f>IFERROR(SUM(Tabla_Buffers_Agroinsumos[[#This Row],[VL-MP]:[VL-LF]]),"")</f>
        <v>0</v>
      </c>
      <c r="FF219" s="92" t="str">
        <f>IFERROR(Tabla_Buffers_Agroinsumos[[#This Row],[INV FIS VL]]-Tabla_Buffers_Agroinsumos[[#This Row],[BUFFER VL]],"")</f>
        <v/>
      </c>
      <c r="FG21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19" s="134"/>
      <c r="FI219" s="134"/>
      <c r="FJ219" s="134"/>
      <c r="FK219" s="134"/>
      <c r="FL219" s="134"/>
      <c r="FM219" s="134"/>
      <c r="FN219" s="134"/>
      <c r="FO219" s="134"/>
      <c r="FP219" s="134"/>
    </row>
    <row r="220" spans="1:172">
      <c r="A220" s="7" t="s">
        <v>393</v>
      </c>
      <c r="B220" s="7" t="s">
        <v>394</v>
      </c>
      <c r="C220" s="7" t="s">
        <v>716</v>
      </c>
      <c r="D220" s="7" t="s">
        <v>718</v>
      </c>
      <c r="E220" s="7" t="s">
        <v>863</v>
      </c>
      <c r="F220" s="19" t="s">
        <v>808</v>
      </c>
      <c r="G220" s="19" t="s">
        <v>802</v>
      </c>
      <c r="H220" s="19">
        <f>VLOOKUP(Tabla_Buffers_Agroinsumos[[#This Row],[CODIGO ]],TABLACONSOLIDADA[[Codigo]:[PV]],6,0)</f>
        <v>0</v>
      </c>
      <c r="I220" s="19">
        <f>VLOOKUP(Tabla_Buffers_Agroinsumos[[#This Row],[CODIGO ]],TABLACONSOLIDADA[[Codigo]:[PV]],5,0)</f>
        <v>0.15</v>
      </c>
      <c r="J220" s="19">
        <v>4</v>
      </c>
      <c r="K220" s="19">
        <v>6</v>
      </c>
      <c r="L220" s="19">
        <f>IFERROR(Tabla_Buffers_Agroinsumos[[#This Row],[BUFFER CENTRAL]]/((Tabla_Buffers_Agroinsumos[[#This Row],[TIEMPO REPOSICION ]]/Tabla_Buffers_Agroinsumos[[#This Row],[FRECUENCIA]])+1),0)</f>
        <v>0</v>
      </c>
      <c r="M220" s="19">
        <f t="array" ref="M220">IFERROR(INDEX(TABLACONSOLIDADA[Buff Act],MATCH("AGROINSUMOSMATERIAPRIMA"&amp;Tabla_Buffers_Agroinsumos[[#This Row],[CODIGO ]],TABLACONSOLIDADA[Bodega]&amp;TABLACONSOLIDADA[Codigo],0)),"")</f>
        <v>500</v>
      </c>
      <c r="N220" s="157">
        <f t="array" ref="N220">IFERROR(INDEX(TABLACONSOLIDADA[Inv Fís Act],MATCH("AGROINSUMOSMATERIAPRIMA"&amp;Tabla_Buffers_Agroinsumos[[#This Row],[CODIGO ]],TABLACONSOLIDADA[Bodega]&amp;TABLACONSOLIDADA[Codigo],0)),"")</f>
        <v>355.99995999999999</v>
      </c>
      <c r="O220" s="157">
        <f t="array" ref="O22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355.99995999999999</v>
      </c>
      <c r="P22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20" s="19">
        <f>IFERROR(SUM(Tabla_Buffers_Agroinsumos[[#This Row],[MP-C]:[MP-VL]]),"")</f>
        <v>0</v>
      </c>
      <c r="R220" s="92">
        <f>IFERROR(Tabla_Buffers_Agroinsumos[[#This Row],[INV FIS MATERIA PRIMA]]-Tabla_Buffers_Agroinsumos[[#This Row],[BUFFER MATERIA PRIMA]],"")</f>
        <v>-144.00004000000001</v>
      </c>
      <c r="S22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-144.00004000000001</v>
      </c>
      <c r="T220" s="19"/>
      <c r="U220" s="19"/>
      <c r="V220" s="19"/>
      <c r="W220" s="19"/>
      <c r="X220" s="19"/>
      <c r="Y220" s="19"/>
      <c r="Z220" s="19"/>
      <c r="AA220" s="19"/>
      <c r="AB220" s="19"/>
      <c r="AC220" s="152" t="str">
        <f t="array" ref="AC220">IFERROR(INDEX(TABLACONSOLIDADA[Buff Act],MATCH("AGROINSUMOSCENTRAL"&amp;Tabla_Buffers_Agroinsumos[[#This Row],[CODIGO ]],TABLACONSOLIDADA[Bodega]&amp;TABLACONSOLIDADA[Codigo],0)),"")</f>
        <v/>
      </c>
      <c r="AD220" s="157" t="str">
        <f t="array" ref="AD220">IFERROR(INDEX(TABLACONSOLIDADA[Inv Fís Act],MATCH("AGROINSUMOSCENTRAL"&amp;Tabla_Buffers_Agroinsumos[[#This Row],[CODIGO ]],TABLACONSOLIDADA[Bodega]&amp;TABLACONSOLIDADA[Codigo],0)),"")</f>
        <v/>
      </c>
      <c r="AE220" s="157" t="str">
        <f t="array" ref="AE22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2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20" s="91">
        <f>IFERROR(SUM(Tabla_Buffers_Agroinsumos[[#This Row],[C-MP]:[C-VL]]),"")</f>
        <v>0</v>
      </c>
      <c r="AH220" s="92" t="str">
        <f>IFERROR(Tabla_Buffers_Agroinsumos[[#This Row],[INV FIS CENTRAL]]-Tabla_Buffers_Agroinsumos[[#This Row],[BUFFER CENTRAL]],"")</f>
        <v/>
      </c>
      <c r="AI22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20" s="134"/>
      <c r="AK220" s="134"/>
      <c r="AL220" s="134"/>
      <c r="AM220" s="134"/>
      <c r="AN220" s="134"/>
      <c r="AO220" s="134"/>
      <c r="AP220" s="134"/>
      <c r="AQ220" s="134"/>
      <c r="AR220" s="134"/>
      <c r="AS220" s="134" t="str">
        <f t="array" ref="AS220">IFERROR(INDEX(TABLACONSOLIDADA[Buff Act],MATCH("AGROINSUMOScentralPROPIA"&amp;Tabla_Buffers_Agroinsumos[[#This Row],[CODIGO ]],TABLACONSOLIDADA[Bodega]&amp;TABLACONSOLIDADA[Codigo],0)),"")</f>
        <v/>
      </c>
      <c r="AT220" s="157" t="str">
        <f t="array" ref="AT220">IFERROR(INDEX(TABLACONSOLIDADA[Inv Fís Act],MATCH("AGROINSUMOScentralPROPIA"&amp;Tabla_Buffers_Agroinsumos[[#This Row],[CODIGO ]],TABLACONSOLIDADA[Bodega]&amp;TABLACONSOLIDADA[Codigo],0)),"")</f>
        <v/>
      </c>
      <c r="AU220" s="157" t="str">
        <f t="array" ref="AU22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2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20" s="134">
        <f>IFERROR(SUM(Tabla_Buffers_Agroinsumos[[#This Row],[P-MP]:[P-VL]]),"")</f>
        <v>0</v>
      </c>
      <c r="AX220" s="92" t="str">
        <f>IFERROR(Tabla_Buffers_Agroinsumos[[#This Row],[INV FIS PROPIA]]-Tabla_Buffers_Agroinsumos[[#This Row],[BUFFER PROPIA]],"")</f>
        <v/>
      </c>
      <c r="AY22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20" s="134"/>
      <c r="BA220" s="134"/>
      <c r="BB220" s="134"/>
      <c r="BC220" s="134"/>
      <c r="BD220" s="134"/>
      <c r="BE220" s="134"/>
      <c r="BF220" s="134"/>
      <c r="BG220" s="134"/>
      <c r="BH220" s="134"/>
      <c r="BI220" s="91" t="str">
        <f t="array" ref="BI220">IFERROR(INDEX(TABLACONSOLIDADA[Buff Act],MATCH("AGROINSUMOSSTODOMINGO"&amp;Tabla_Buffers_Agroinsumos[[#This Row],[CODIGO ]],TABLACONSOLIDADA[Bodega]&amp;TABLACONSOLIDADA[Codigo],0)),"")</f>
        <v/>
      </c>
      <c r="BJ220" s="157" t="str">
        <f t="array" ref="BJ220">IFERROR(INDEX(TABLACONSOLIDADA[Inv Fís Act],MATCH("AGROINSUMOSSTODOMINGO"&amp;Tabla_Buffers_Agroinsumos[[#This Row],[CODIGO ]],TABLACONSOLIDADA[Bodega]&amp;TABLACONSOLIDADA[Codigo],0)),"")</f>
        <v/>
      </c>
      <c r="BK220" s="157" t="str">
        <f t="array" ref="BK22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2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20" s="91">
        <f>IFERROR(SUM(Tabla_Buffers_Agroinsumos[[#This Row],[SD-MP]:[SD-VL]]),"")</f>
        <v>0</v>
      </c>
      <c r="BN220" s="92"/>
      <c r="BO220" s="92"/>
      <c r="BP220" s="134"/>
      <c r="BQ220" s="134"/>
      <c r="BR220" s="134"/>
      <c r="BS220" s="134"/>
      <c r="BT220" s="134"/>
      <c r="BU220" s="134"/>
      <c r="BV220" s="134"/>
      <c r="BW220" s="134"/>
      <c r="BX220" s="134"/>
      <c r="BY220" s="134" t="str">
        <f t="array" ref="BY220">IFERROR(INDEX(TABLACONSOLIDADA[Buff Act],MATCH("AGROINSUMOSMONCAYOLOPEZ"&amp;Tabla_Buffers_Agroinsumos[[#This Row],[CODIGO ]],TABLACONSOLIDADA[Bodega]&amp;TABLACONSOLIDADA[Codigo],0)),"")</f>
        <v/>
      </c>
      <c r="BZ220" s="157" t="str">
        <f t="array" ref="BZ220">IFERROR(INDEX(TABLACONSOLIDADA[Inv Fís Act],MATCH("AGROINSUMOSMONCAYOLOPEZ"&amp;Tabla_Buffers_Agroinsumos[[#This Row],[CODIGO ]],TABLACONSOLIDADA[Bodega]&amp;TABLACONSOLIDADA[Codigo],0)),"")</f>
        <v/>
      </c>
      <c r="CA220" s="157" t="str">
        <f t="array" ref="CA22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2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20" s="134">
        <f>IFERROR(SUM(Tabla_Buffers_Agroinsumos[[#This Row],[ML-MP]:[ML-VL]]),"")</f>
        <v>0</v>
      </c>
      <c r="CD220" s="92" t="str">
        <f>IFERROR(Tabla_Buffers_Agroinsumos[[#This Row],[INV FIS ML]]-Tabla_Buffers_Agroinsumos[[#This Row],[BUFFER ML]],"")</f>
        <v/>
      </c>
      <c r="CE22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20" s="134"/>
      <c r="CG220" s="134"/>
      <c r="CH220" s="134"/>
      <c r="CI220" s="134"/>
      <c r="CJ220" s="134"/>
      <c r="CK220" s="134"/>
      <c r="CL220" s="134"/>
      <c r="CM220" s="134"/>
      <c r="CN220" s="134"/>
      <c r="CO220" s="134" t="str">
        <f t="array" ref="CO220">IFERROR(INDEX(TABLACONSOLIDADA[Buff Act],MATCH("AGROINSUMOSAGROHERMANOSLEON"&amp;Tabla_Buffers_Agroinsumos[[#This Row],[CODIGO ]],TABLACONSOLIDADA[Bodega]&amp;TABLACONSOLIDADA[Codigo],0)),"")</f>
        <v/>
      </c>
      <c r="CP220" s="157" t="str">
        <f t="array" ref="CP220">IFERROR(INDEX(TABLACONSOLIDADA[Inv Fís Act],MATCH("AGROINSUMOSAGROHERMANOSLEON"&amp;Tabla_Buffers_Agroinsumos[[#This Row],[CODIGO ]],TABLACONSOLIDADA[Bodega]&amp;TABLACONSOLIDADA[Codigo],0)),"")</f>
        <v/>
      </c>
      <c r="CQ220" s="157" t="str">
        <f t="array" ref="CQ22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2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20" s="134">
        <f>IFERROR(SUM(Tabla_Buffers_Agroinsumos[[#This Row],[AL-MP]:[AL-VL]]),"")</f>
        <v>0</v>
      </c>
      <c r="CT220" s="92" t="str">
        <f>IFERROR(Tabla_Buffers_Agroinsumos[[#This Row],[INV FIS AL]]-Tabla_Buffers_Agroinsumos[[#This Row],[BUFFER AL]],"")</f>
        <v/>
      </c>
      <c r="CU22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20" s="134"/>
      <c r="CW220" s="134"/>
      <c r="CX220" s="134"/>
      <c r="CY220" s="134"/>
      <c r="CZ220" s="134"/>
      <c r="DA220" s="134"/>
      <c r="DB220" s="134"/>
      <c r="DC220" s="134"/>
      <c r="DD220" s="134"/>
      <c r="DE220" s="134" t="str">
        <f t="array" ref="DE220">IFERROR(INDEX(TABLACONSOLIDADA[Buff Act],MATCH("AGROINSUMOSAGRONUEVO"&amp;Tabla_Buffers_Agroinsumos[[#This Row],[CODIGO ]],TABLACONSOLIDADA[Bodega]&amp;TABLACONSOLIDADA[Codigo],0)),"")</f>
        <v/>
      </c>
      <c r="DF220" s="157" t="str">
        <f t="array" ref="DF220">IFERROR(INDEX(TABLACONSOLIDADA[Inv Fís Act],MATCH("AGROINSUMOSAGRONUEVO"&amp;Tabla_Buffers_Agroinsumos[[#This Row],[CODIGO ]],TABLACONSOLIDADA[Bodega]&amp;TABLACONSOLIDADA[Codigo],0)),"")</f>
        <v/>
      </c>
      <c r="DG220" s="157" t="str">
        <f t="array" ref="DG22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2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20" s="134">
        <f>IFERROR(SUM(Tabla_Buffers_Agroinsumos[[#This Row],[AN-MP]:[AN-VL]]),"")</f>
        <v>0</v>
      </c>
      <c r="DJ220" s="92" t="str">
        <f>IFERROR(Tabla_Buffers_Agroinsumos[[#This Row],[INV FIS AN]]-Tabla_Buffers_Agroinsumos[[#This Row],[BUFFER AN]],"")</f>
        <v/>
      </c>
      <c r="DK22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20" s="134"/>
      <c r="DM220" s="134"/>
      <c r="DN220" s="134"/>
      <c r="DO220" s="134"/>
      <c r="DP220" s="134"/>
      <c r="DQ220" s="134"/>
      <c r="DR220" s="134"/>
      <c r="DS220" s="134"/>
      <c r="DT220" s="134"/>
      <c r="DU220" s="134" t="str">
        <f t="array" ref="DU220">IFERROR(INDEX(TABLACONSOLIDADA[Buff Act],MATCH("AGROINSUMOSAGROQUIMICOSSUR"&amp;Tabla_Buffers_Agroinsumos[[#This Row],[CODIGO ]],TABLACONSOLIDADA[Bodega]&amp;TABLACONSOLIDADA[Codigo],0)),"")</f>
        <v/>
      </c>
      <c r="DV220" s="157" t="str">
        <f t="array" ref="DV220">IFERROR(INDEX(TABLACONSOLIDADA[Inv Fís Act],MATCH("AGROINSUMOSAGROQUIMICOSSUR"&amp;Tabla_Buffers_Agroinsumos[[#This Row],[CODIGO ]],TABLACONSOLIDADA[Bodega]&amp;TABLACONSOLIDADA[Codigo],0)),"")</f>
        <v/>
      </c>
      <c r="DW220" s="157" t="str">
        <f t="array" ref="DW22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2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20" s="134">
        <f>IFERROR(SUM(Tabla_Buffers_Agroinsumos[[#This Row],[AS-MP]:[AS-VL]]),"")</f>
        <v>0</v>
      </c>
      <c r="DZ220" s="92" t="str">
        <f>IFERROR(Tabla_Buffers_Agroinsumos[[#This Row],[INV FIS AS]]-Tabla_Buffers_Agroinsumos[[#This Row],[BUFFER AS]],"")</f>
        <v/>
      </c>
      <c r="EA22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20" s="134"/>
      <c r="EC220" s="134"/>
      <c r="ED220" s="134"/>
      <c r="EE220" s="134"/>
      <c r="EF220" s="134"/>
      <c r="EG220" s="134"/>
      <c r="EH220" s="134"/>
      <c r="EI220" s="134"/>
      <c r="EJ220" s="134"/>
      <c r="EK220" s="134" t="str">
        <f t="array" ref="EK220">IFERROR(INDEX(TABLACONSOLIDADA[Buff Act],MATCH("AGROINSUMOSLAFINCA"&amp;Tabla_Buffers_Agroinsumos[[#This Row],[CODIGO ]],TABLACONSOLIDADA[Bodega]&amp;TABLACONSOLIDADA[Codigo],0)),"")</f>
        <v/>
      </c>
      <c r="EL220" s="157" t="str">
        <f t="array" ref="EL220">IFERROR(INDEX(TABLACONSOLIDADA[Inv Fís Act],MATCH("AGROINSUMOSLAFINCA"&amp;Tabla_Buffers_Agroinsumos[[#This Row],[CODIGO ]],TABLACONSOLIDADA[Bodega]&amp;TABLACONSOLIDADA[Codigo],0)),"")</f>
        <v/>
      </c>
      <c r="EM220" s="157" t="str">
        <f t="array" ref="EM22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2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20" s="134">
        <f>IFERROR(SUM(Tabla_Buffers_Agroinsumos[[#This Row],[LF-MP]:[LF-VL]]),"")</f>
        <v>0</v>
      </c>
      <c r="EP220" s="92" t="str">
        <f>IFERROR(Tabla_Buffers_Agroinsumos[[#This Row],[INV FIS LF]]-Tabla_Buffers_Agroinsumos[[#This Row],[BUFFER LF]],"")</f>
        <v/>
      </c>
      <c r="EQ22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20" s="134"/>
      <c r="ES220" s="134"/>
      <c r="ET220" s="134"/>
      <c r="EU220" s="134"/>
      <c r="EV220" s="134"/>
      <c r="EW220" s="134"/>
      <c r="EX220" s="134"/>
      <c r="EY220" s="134"/>
      <c r="EZ220" s="134"/>
      <c r="FA220" s="134" t="str">
        <f t="array" ref="FA220">IFERROR(INDEX(TABLACONSOLIDADA[Buff Act],MATCH("AGROINSUMOSVERONICALEDESMA"&amp;Tabla_Buffers_Agroinsumos[[#This Row],[CODIGO ]],TABLACONSOLIDADA[Bodega]&amp;TABLACONSOLIDADA[Codigo],0)),"")</f>
        <v/>
      </c>
      <c r="FB220" s="157" t="str">
        <f t="array" ref="FB220">IFERROR(INDEX(TABLACONSOLIDADA[Inv Fís Act],MATCH("AGROINSUMOSVERONICALEDESMA"&amp;Tabla_Buffers_Agroinsumos[[#This Row],[CODIGO ]],TABLACONSOLIDADA[Bodega]&amp;TABLACONSOLIDADA[Codigo],0)),"")</f>
        <v/>
      </c>
      <c r="FC220" s="157" t="str">
        <f t="array" ref="FC22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2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20" s="134">
        <f>IFERROR(SUM(Tabla_Buffers_Agroinsumos[[#This Row],[VL-MP]:[VL-LF]]),"")</f>
        <v>0</v>
      </c>
      <c r="FF220" s="92" t="str">
        <f>IFERROR(Tabla_Buffers_Agroinsumos[[#This Row],[INV FIS VL]]-Tabla_Buffers_Agroinsumos[[#This Row],[BUFFER VL]],"")</f>
        <v/>
      </c>
      <c r="FG22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20" s="134"/>
      <c r="FI220" s="134"/>
      <c r="FJ220" s="134"/>
      <c r="FK220" s="134"/>
      <c r="FL220" s="134"/>
      <c r="FM220" s="134"/>
      <c r="FN220" s="134"/>
      <c r="FO220" s="134"/>
      <c r="FP220" s="134"/>
    </row>
    <row r="221" spans="1:172">
      <c r="A221" s="7" t="s">
        <v>878</v>
      </c>
      <c r="B221" s="7" t="s">
        <v>918</v>
      </c>
      <c r="C221" s="7" t="s">
        <v>716</v>
      </c>
      <c r="D221" s="7" t="s">
        <v>718</v>
      </c>
      <c r="E221" s="7" t="s">
        <v>863</v>
      </c>
      <c r="F221" s="19" t="s">
        <v>808</v>
      </c>
      <c r="G221" s="19" t="s">
        <v>802</v>
      </c>
      <c r="H221" s="19">
        <f>VLOOKUP(Tabla_Buffers_Agroinsumos[[#This Row],[CODIGO ]],TABLACONSOLIDADA[[Codigo]:[PV]],6,0)</f>
        <v>0</v>
      </c>
      <c r="I221" s="19">
        <f>VLOOKUP(Tabla_Buffers_Agroinsumos[[#This Row],[CODIGO ]],TABLACONSOLIDADA[[Codigo]:[PV]],5,0)</f>
        <v>0.25</v>
      </c>
      <c r="J221" s="19">
        <v>4</v>
      </c>
      <c r="K221" s="19">
        <v>6</v>
      </c>
      <c r="L221" s="19">
        <f>IFERROR(Tabla_Buffers_Agroinsumos[[#This Row],[BUFFER CENTRAL]]/((Tabla_Buffers_Agroinsumos[[#This Row],[TIEMPO REPOSICION ]]/Tabla_Buffers_Agroinsumos[[#This Row],[FRECUENCIA]])+1),0)</f>
        <v>0</v>
      </c>
      <c r="M221" s="19">
        <f t="array" ref="M221">IFERROR(INDEX(TABLACONSOLIDADA[Buff Act],MATCH("AGROINSUMOSMATERIAPRIMA"&amp;Tabla_Buffers_Agroinsumos[[#This Row],[CODIGO ]],TABLACONSOLIDADA[Bodega]&amp;TABLACONSOLIDADA[Codigo],0)),"")</f>
        <v>500</v>
      </c>
      <c r="N221" s="157">
        <f t="array" ref="N221">IFERROR(INDEX(TABLACONSOLIDADA[Inv Fís Act],MATCH("AGROINSUMOSMATERIAPRIMA"&amp;Tabla_Buffers_Agroinsumos[[#This Row],[CODIGO ]],TABLACONSOLIDADA[Bodega]&amp;TABLACONSOLIDADA[Codigo],0)),"")</f>
        <v>877</v>
      </c>
      <c r="O221" s="157">
        <f t="array" ref="O22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877</v>
      </c>
      <c r="P22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21" s="19">
        <f>IFERROR(SUM(Tabla_Buffers_Agroinsumos[[#This Row],[MP-C]:[MP-VL]]),"")</f>
        <v>0</v>
      </c>
      <c r="R221" s="92">
        <f>IFERROR(Tabla_Buffers_Agroinsumos[[#This Row],[INV FIS MATERIA PRIMA]]-Tabla_Buffers_Agroinsumos[[#This Row],[BUFFER MATERIA PRIMA]],"")</f>
        <v>377</v>
      </c>
      <c r="S22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377</v>
      </c>
      <c r="T221" s="19"/>
      <c r="U221" s="19"/>
      <c r="V221" s="19"/>
      <c r="W221" s="19"/>
      <c r="X221" s="19"/>
      <c r="Y221" s="19"/>
      <c r="Z221" s="19"/>
      <c r="AA221" s="19"/>
      <c r="AB221" s="19"/>
      <c r="AC221" s="152" t="str">
        <f t="array" ref="AC221">IFERROR(INDEX(TABLACONSOLIDADA[Buff Act],MATCH("AGROINSUMOSCENTRAL"&amp;Tabla_Buffers_Agroinsumos[[#This Row],[CODIGO ]],TABLACONSOLIDADA[Bodega]&amp;TABLACONSOLIDADA[Codigo],0)),"")</f>
        <v/>
      </c>
      <c r="AD221" s="157" t="str">
        <f t="array" ref="AD221">IFERROR(INDEX(TABLACONSOLIDADA[Inv Fís Act],MATCH("AGROINSUMOSCENTRAL"&amp;Tabla_Buffers_Agroinsumos[[#This Row],[CODIGO ]],TABLACONSOLIDADA[Bodega]&amp;TABLACONSOLIDADA[Codigo],0)),"")</f>
        <v/>
      </c>
      <c r="AE221" s="157" t="str">
        <f t="array" ref="AE22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2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21" s="91">
        <f>IFERROR(SUM(Tabla_Buffers_Agroinsumos[[#This Row],[C-MP]:[C-VL]]),"")</f>
        <v>0</v>
      </c>
      <c r="AH221" s="92" t="str">
        <f>IFERROR(Tabla_Buffers_Agroinsumos[[#This Row],[INV FIS CENTRAL]]-Tabla_Buffers_Agroinsumos[[#This Row],[BUFFER CENTRAL]],"")</f>
        <v/>
      </c>
      <c r="AI22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21" s="134"/>
      <c r="AK221" s="134"/>
      <c r="AL221" s="134"/>
      <c r="AM221" s="134"/>
      <c r="AN221" s="134"/>
      <c r="AO221" s="134"/>
      <c r="AP221" s="134"/>
      <c r="AQ221" s="134"/>
      <c r="AR221" s="134"/>
      <c r="AS221" s="134" t="str">
        <f t="array" ref="AS221">IFERROR(INDEX(TABLACONSOLIDADA[Buff Act],MATCH("AGROINSUMOScentralPROPIA"&amp;Tabla_Buffers_Agroinsumos[[#This Row],[CODIGO ]],TABLACONSOLIDADA[Bodega]&amp;TABLACONSOLIDADA[Codigo],0)),"")</f>
        <v/>
      </c>
      <c r="AT221" s="157" t="str">
        <f t="array" ref="AT221">IFERROR(INDEX(TABLACONSOLIDADA[Inv Fís Act],MATCH("AGROINSUMOScentralPROPIA"&amp;Tabla_Buffers_Agroinsumos[[#This Row],[CODIGO ]],TABLACONSOLIDADA[Bodega]&amp;TABLACONSOLIDADA[Codigo],0)),"")</f>
        <v/>
      </c>
      <c r="AU221" s="157" t="str">
        <f t="array" ref="AU22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2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21" s="134">
        <f>IFERROR(SUM(Tabla_Buffers_Agroinsumos[[#This Row],[P-MP]:[P-VL]]),"")</f>
        <v>0</v>
      </c>
      <c r="AX221" s="92" t="str">
        <f>IFERROR(Tabla_Buffers_Agroinsumos[[#This Row],[INV FIS PROPIA]]-Tabla_Buffers_Agroinsumos[[#This Row],[BUFFER PROPIA]],"")</f>
        <v/>
      </c>
      <c r="AY22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21" s="134"/>
      <c r="BA221" s="134"/>
      <c r="BB221" s="134"/>
      <c r="BC221" s="134"/>
      <c r="BD221" s="134"/>
      <c r="BE221" s="134"/>
      <c r="BF221" s="134"/>
      <c r="BG221" s="134"/>
      <c r="BH221" s="134"/>
      <c r="BI221" s="91" t="str">
        <f t="array" ref="BI221">IFERROR(INDEX(TABLACONSOLIDADA[Buff Act],MATCH("AGROINSUMOSSTODOMINGO"&amp;Tabla_Buffers_Agroinsumos[[#This Row],[CODIGO ]],TABLACONSOLIDADA[Bodega]&amp;TABLACONSOLIDADA[Codigo],0)),"")</f>
        <v/>
      </c>
      <c r="BJ221" s="157" t="str">
        <f t="array" ref="BJ221">IFERROR(INDEX(TABLACONSOLIDADA[Inv Fís Act],MATCH("AGROINSUMOSSTODOMINGO"&amp;Tabla_Buffers_Agroinsumos[[#This Row],[CODIGO ]],TABLACONSOLIDADA[Bodega]&amp;TABLACONSOLIDADA[Codigo],0)),"")</f>
        <v/>
      </c>
      <c r="BK221" s="157" t="str">
        <f t="array" ref="BK22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2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21" s="91">
        <f>IFERROR(SUM(Tabla_Buffers_Agroinsumos[[#This Row],[SD-MP]:[SD-VL]]),"")</f>
        <v>0</v>
      </c>
      <c r="BN221" s="92"/>
      <c r="BO221" s="92"/>
      <c r="BP221" s="134"/>
      <c r="BQ221" s="134"/>
      <c r="BR221" s="134"/>
      <c r="BS221" s="134"/>
      <c r="BT221" s="134"/>
      <c r="BU221" s="134"/>
      <c r="BV221" s="134"/>
      <c r="BW221" s="134"/>
      <c r="BX221" s="134"/>
      <c r="BY221" s="134" t="str">
        <f t="array" ref="BY221">IFERROR(INDEX(TABLACONSOLIDADA[Buff Act],MATCH("AGROINSUMOSMONCAYOLOPEZ"&amp;Tabla_Buffers_Agroinsumos[[#This Row],[CODIGO ]],TABLACONSOLIDADA[Bodega]&amp;TABLACONSOLIDADA[Codigo],0)),"")</f>
        <v/>
      </c>
      <c r="BZ221" s="157" t="str">
        <f t="array" ref="BZ221">IFERROR(INDEX(TABLACONSOLIDADA[Inv Fís Act],MATCH("AGROINSUMOSMONCAYOLOPEZ"&amp;Tabla_Buffers_Agroinsumos[[#This Row],[CODIGO ]],TABLACONSOLIDADA[Bodega]&amp;TABLACONSOLIDADA[Codigo],0)),"")</f>
        <v/>
      </c>
      <c r="CA221" s="157" t="str">
        <f t="array" ref="CA22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2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21" s="134">
        <f>IFERROR(SUM(Tabla_Buffers_Agroinsumos[[#This Row],[ML-MP]:[ML-VL]]),"")</f>
        <v>0</v>
      </c>
      <c r="CD221" s="92" t="str">
        <f>IFERROR(Tabla_Buffers_Agroinsumos[[#This Row],[INV FIS ML]]-Tabla_Buffers_Agroinsumos[[#This Row],[BUFFER ML]],"")</f>
        <v/>
      </c>
      <c r="CE22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21" s="134"/>
      <c r="CG221" s="134"/>
      <c r="CH221" s="134"/>
      <c r="CI221" s="134"/>
      <c r="CJ221" s="134"/>
      <c r="CK221" s="134"/>
      <c r="CL221" s="134"/>
      <c r="CM221" s="134"/>
      <c r="CN221" s="134"/>
      <c r="CO221" s="134" t="str">
        <f t="array" ref="CO221">IFERROR(INDEX(TABLACONSOLIDADA[Buff Act],MATCH("AGROINSUMOSAGROHERMANOSLEON"&amp;Tabla_Buffers_Agroinsumos[[#This Row],[CODIGO ]],TABLACONSOLIDADA[Bodega]&amp;TABLACONSOLIDADA[Codigo],0)),"")</f>
        <v/>
      </c>
      <c r="CP221" s="157" t="str">
        <f t="array" ref="CP221">IFERROR(INDEX(TABLACONSOLIDADA[Inv Fís Act],MATCH("AGROINSUMOSAGROHERMANOSLEON"&amp;Tabla_Buffers_Agroinsumos[[#This Row],[CODIGO ]],TABLACONSOLIDADA[Bodega]&amp;TABLACONSOLIDADA[Codigo],0)),"")</f>
        <v/>
      </c>
      <c r="CQ221" s="157" t="str">
        <f t="array" ref="CQ22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2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21" s="134">
        <f>IFERROR(SUM(Tabla_Buffers_Agroinsumos[[#This Row],[AL-MP]:[AL-VL]]),"")</f>
        <v>0</v>
      </c>
      <c r="CT221" s="92" t="str">
        <f>IFERROR(Tabla_Buffers_Agroinsumos[[#This Row],[INV FIS AL]]-Tabla_Buffers_Agroinsumos[[#This Row],[BUFFER AL]],"")</f>
        <v/>
      </c>
      <c r="CU22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21" s="134"/>
      <c r="CW221" s="134"/>
      <c r="CX221" s="134"/>
      <c r="CY221" s="134"/>
      <c r="CZ221" s="134"/>
      <c r="DA221" s="134"/>
      <c r="DB221" s="134"/>
      <c r="DC221" s="134"/>
      <c r="DD221" s="134"/>
      <c r="DE221" s="134" t="str">
        <f t="array" ref="DE221">IFERROR(INDEX(TABLACONSOLIDADA[Buff Act],MATCH("AGROINSUMOSAGRONUEVO"&amp;Tabla_Buffers_Agroinsumos[[#This Row],[CODIGO ]],TABLACONSOLIDADA[Bodega]&amp;TABLACONSOLIDADA[Codigo],0)),"")</f>
        <v/>
      </c>
      <c r="DF221" s="157" t="str">
        <f t="array" ref="DF221">IFERROR(INDEX(TABLACONSOLIDADA[Inv Fís Act],MATCH("AGROINSUMOSAGRONUEVO"&amp;Tabla_Buffers_Agroinsumos[[#This Row],[CODIGO ]],TABLACONSOLIDADA[Bodega]&amp;TABLACONSOLIDADA[Codigo],0)),"")</f>
        <v/>
      </c>
      <c r="DG221" s="157" t="str">
        <f t="array" ref="DG22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2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21" s="134">
        <f>IFERROR(SUM(Tabla_Buffers_Agroinsumos[[#This Row],[AN-MP]:[AN-VL]]),"")</f>
        <v>0</v>
      </c>
      <c r="DJ221" s="92" t="str">
        <f>IFERROR(Tabla_Buffers_Agroinsumos[[#This Row],[INV FIS AN]]-Tabla_Buffers_Agroinsumos[[#This Row],[BUFFER AN]],"")</f>
        <v/>
      </c>
      <c r="DK22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21" s="134"/>
      <c r="DM221" s="134"/>
      <c r="DN221" s="134"/>
      <c r="DO221" s="134"/>
      <c r="DP221" s="134"/>
      <c r="DQ221" s="134"/>
      <c r="DR221" s="134"/>
      <c r="DS221" s="134"/>
      <c r="DT221" s="134"/>
      <c r="DU221" s="134" t="str">
        <f t="array" ref="DU221">IFERROR(INDEX(TABLACONSOLIDADA[Buff Act],MATCH("AGROINSUMOSAGROQUIMICOSSUR"&amp;Tabla_Buffers_Agroinsumos[[#This Row],[CODIGO ]],TABLACONSOLIDADA[Bodega]&amp;TABLACONSOLIDADA[Codigo],0)),"")</f>
        <v/>
      </c>
      <c r="DV221" s="157" t="str">
        <f t="array" ref="DV221">IFERROR(INDEX(TABLACONSOLIDADA[Inv Fís Act],MATCH("AGROINSUMOSAGROQUIMICOSSUR"&amp;Tabla_Buffers_Agroinsumos[[#This Row],[CODIGO ]],TABLACONSOLIDADA[Bodega]&amp;TABLACONSOLIDADA[Codigo],0)),"")</f>
        <v/>
      </c>
      <c r="DW221" s="157" t="str">
        <f t="array" ref="DW22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2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21" s="134">
        <f>IFERROR(SUM(Tabla_Buffers_Agroinsumos[[#This Row],[AS-MP]:[AS-VL]]),"")</f>
        <v>0</v>
      </c>
      <c r="DZ221" s="92" t="str">
        <f>IFERROR(Tabla_Buffers_Agroinsumos[[#This Row],[INV FIS AS]]-Tabla_Buffers_Agroinsumos[[#This Row],[BUFFER AS]],"")</f>
        <v/>
      </c>
      <c r="EA22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21" s="134"/>
      <c r="EC221" s="134"/>
      <c r="ED221" s="134"/>
      <c r="EE221" s="134"/>
      <c r="EF221" s="134"/>
      <c r="EG221" s="134"/>
      <c r="EH221" s="134"/>
      <c r="EI221" s="134"/>
      <c r="EJ221" s="134"/>
      <c r="EK221" s="134" t="str">
        <f t="array" ref="EK221">IFERROR(INDEX(TABLACONSOLIDADA[Buff Act],MATCH("AGROINSUMOSLAFINCA"&amp;Tabla_Buffers_Agroinsumos[[#This Row],[CODIGO ]],TABLACONSOLIDADA[Bodega]&amp;TABLACONSOLIDADA[Codigo],0)),"")</f>
        <v/>
      </c>
      <c r="EL221" s="157" t="str">
        <f t="array" ref="EL221">IFERROR(INDEX(TABLACONSOLIDADA[Inv Fís Act],MATCH("AGROINSUMOSLAFINCA"&amp;Tabla_Buffers_Agroinsumos[[#This Row],[CODIGO ]],TABLACONSOLIDADA[Bodega]&amp;TABLACONSOLIDADA[Codigo],0)),"")</f>
        <v/>
      </c>
      <c r="EM221" s="157" t="str">
        <f t="array" ref="EM22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2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21" s="134">
        <f>IFERROR(SUM(Tabla_Buffers_Agroinsumos[[#This Row],[LF-MP]:[LF-VL]]),"")</f>
        <v>0</v>
      </c>
      <c r="EP221" s="92" t="str">
        <f>IFERROR(Tabla_Buffers_Agroinsumos[[#This Row],[INV FIS LF]]-Tabla_Buffers_Agroinsumos[[#This Row],[BUFFER LF]],"")</f>
        <v/>
      </c>
      <c r="EQ22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21" s="134"/>
      <c r="ES221" s="134"/>
      <c r="ET221" s="134"/>
      <c r="EU221" s="134"/>
      <c r="EV221" s="134"/>
      <c r="EW221" s="134"/>
      <c r="EX221" s="134"/>
      <c r="EY221" s="134"/>
      <c r="EZ221" s="134"/>
      <c r="FA221" s="134" t="str">
        <f t="array" ref="FA221">IFERROR(INDEX(TABLACONSOLIDADA[Buff Act],MATCH("AGROINSUMOSVERONICALEDESMA"&amp;Tabla_Buffers_Agroinsumos[[#This Row],[CODIGO ]],TABLACONSOLIDADA[Bodega]&amp;TABLACONSOLIDADA[Codigo],0)),"")</f>
        <v/>
      </c>
      <c r="FB221" s="157" t="str">
        <f t="array" ref="FB221">IFERROR(INDEX(TABLACONSOLIDADA[Inv Fís Act],MATCH("AGROINSUMOSVERONICALEDESMA"&amp;Tabla_Buffers_Agroinsumos[[#This Row],[CODIGO ]],TABLACONSOLIDADA[Bodega]&amp;TABLACONSOLIDADA[Codigo],0)),"")</f>
        <v/>
      </c>
      <c r="FC221" s="157" t="str">
        <f t="array" ref="FC22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2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21" s="134">
        <f>IFERROR(SUM(Tabla_Buffers_Agroinsumos[[#This Row],[VL-MP]:[VL-LF]]),"")</f>
        <v>0</v>
      </c>
      <c r="FF221" s="92" t="str">
        <f>IFERROR(Tabla_Buffers_Agroinsumos[[#This Row],[INV FIS VL]]-Tabla_Buffers_Agroinsumos[[#This Row],[BUFFER VL]],"")</f>
        <v/>
      </c>
      <c r="FG22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21" s="134"/>
      <c r="FI221" s="134"/>
      <c r="FJ221" s="134"/>
      <c r="FK221" s="134"/>
      <c r="FL221" s="134"/>
      <c r="FM221" s="134"/>
      <c r="FN221" s="134"/>
      <c r="FO221" s="134"/>
      <c r="FP221" s="134"/>
    </row>
    <row r="222" spans="1:172">
      <c r="A222" s="7" t="s">
        <v>879</v>
      </c>
      <c r="B222" s="7" t="s">
        <v>919</v>
      </c>
      <c r="C222" s="7" t="s">
        <v>716</v>
      </c>
      <c r="D222" s="7" t="s">
        <v>718</v>
      </c>
      <c r="E222" s="7" t="s">
        <v>863</v>
      </c>
      <c r="F222" s="19" t="s">
        <v>808</v>
      </c>
      <c r="G222" s="19" t="s">
        <v>802</v>
      </c>
      <c r="H222" s="19">
        <f>VLOOKUP(Tabla_Buffers_Agroinsumos[[#This Row],[CODIGO ]],TABLACONSOLIDADA[[Codigo]:[PV]],6,0)</f>
        <v>0</v>
      </c>
      <c r="I222" s="19">
        <f>VLOOKUP(Tabla_Buffers_Agroinsumos[[#This Row],[CODIGO ]],TABLACONSOLIDADA[[Codigo]:[PV]],5,0)</f>
        <v>0.23</v>
      </c>
      <c r="J222" s="19">
        <v>4</v>
      </c>
      <c r="K222" s="19">
        <v>6</v>
      </c>
      <c r="L222" s="19">
        <f>IFERROR(Tabla_Buffers_Agroinsumos[[#This Row],[BUFFER CENTRAL]]/((Tabla_Buffers_Agroinsumos[[#This Row],[TIEMPO REPOSICION ]]/Tabla_Buffers_Agroinsumos[[#This Row],[FRECUENCIA]])+1),0)</f>
        <v>0</v>
      </c>
      <c r="M222" s="19">
        <f t="array" ref="M222">IFERROR(INDEX(TABLACONSOLIDADA[Buff Act],MATCH("AGROINSUMOSMATERIAPRIMA"&amp;Tabla_Buffers_Agroinsumos[[#This Row],[CODIGO ]],TABLACONSOLIDADA[Bodega]&amp;TABLACONSOLIDADA[Codigo],0)),"")</f>
        <v>500</v>
      </c>
      <c r="N222" s="157">
        <f t="array" ref="N222">IFERROR(INDEX(TABLACONSOLIDADA[Inv Fís Act],MATCH("AGROINSUMOSMATERIAPRIMA"&amp;Tabla_Buffers_Agroinsumos[[#This Row],[CODIGO ]],TABLACONSOLIDADA[Bodega]&amp;TABLACONSOLIDADA[Codigo],0)),"")</f>
        <v>1296</v>
      </c>
      <c r="O222" s="157">
        <f t="array" ref="O22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1296</v>
      </c>
      <c r="P22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22" s="19">
        <f>IFERROR(SUM(Tabla_Buffers_Agroinsumos[[#This Row],[MP-C]:[MP-VL]]),"")</f>
        <v>0</v>
      </c>
      <c r="R222" s="92">
        <f>IFERROR(Tabla_Buffers_Agroinsumos[[#This Row],[INV FIS MATERIA PRIMA]]-Tabla_Buffers_Agroinsumos[[#This Row],[BUFFER MATERIA PRIMA]],"")</f>
        <v>796</v>
      </c>
      <c r="S22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796</v>
      </c>
      <c r="T222" s="19"/>
      <c r="U222" s="19"/>
      <c r="V222" s="19"/>
      <c r="W222" s="19"/>
      <c r="X222" s="19"/>
      <c r="Y222" s="19"/>
      <c r="Z222" s="19"/>
      <c r="AA222" s="19"/>
      <c r="AB222" s="19"/>
      <c r="AC222" s="152" t="str">
        <f t="array" ref="AC222">IFERROR(INDEX(TABLACONSOLIDADA[Buff Act],MATCH("AGROINSUMOSCENTRAL"&amp;Tabla_Buffers_Agroinsumos[[#This Row],[CODIGO ]],TABLACONSOLIDADA[Bodega]&amp;TABLACONSOLIDADA[Codigo],0)),"")</f>
        <v/>
      </c>
      <c r="AD222" s="157" t="str">
        <f t="array" ref="AD222">IFERROR(INDEX(TABLACONSOLIDADA[Inv Fís Act],MATCH("AGROINSUMOSCENTRAL"&amp;Tabla_Buffers_Agroinsumos[[#This Row],[CODIGO ]],TABLACONSOLIDADA[Bodega]&amp;TABLACONSOLIDADA[Codigo],0)),"")</f>
        <v/>
      </c>
      <c r="AE222" s="157" t="str">
        <f t="array" ref="AE22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2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22" s="91">
        <f>IFERROR(SUM(Tabla_Buffers_Agroinsumos[[#This Row],[C-MP]:[C-VL]]),"")</f>
        <v>0</v>
      </c>
      <c r="AH222" s="92" t="str">
        <f>IFERROR(Tabla_Buffers_Agroinsumos[[#This Row],[INV FIS CENTRAL]]-Tabla_Buffers_Agroinsumos[[#This Row],[BUFFER CENTRAL]],"")</f>
        <v/>
      </c>
      <c r="AI22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22" s="134"/>
      <c r="AK222" s="134"/>
      <c r="AL222" s="134"/>
      <c r="AM222" s="134"/>
      <c r="AN222" s="134"/>
      <c r="AO222" s="134"/>
      <c r="AP222" s="134"/>
      <c r="AQ222" s="134"/>
      <c r="AR222" s="134"/>
      <c r="AS222" s="134" t="str">
        <f t="array" ref="AS222">IFERROR(INDEX(TABLACONSOLIDADA[Buff Act],MATCH("AGROINSUMOScentralPROPIA"&amp;Tabla_Buffers_Agroinsumos[[#This Row],[CODIGO ]],TABLACONSOLIDADA[Bodega]&amp;TABLACONSOLIDADA[Codigo],0)),"")</f>
        <v/>
      </c>
      <c r="AT222" s="157" t="str">
        <f t="array" ref="AT222">IFERROR(INDEX(TABLACONSOLIDADA[Inv Fís Act],MATCH("AGROINSUMOScentralPROPIA"&amp;Tabla_Buffers_Agroinsumos[[#This Row],[CODIGO ]],TABLACONSOLIDADA[Bodega]&amp;TABLACONSOLIDADA[Codigo],0)),"")</f>
        <v/>
      </c>
      <c r="AU222" s="157" t="str">
        <f t="array" ref="AU22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2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22" s="134">
        <f>IFERROR(SUM(Tabla_Buffers_Agroinsumos[[#This Row],[P-MP]:[P-VL]]),"")</f>
        <v>0</v>
      </c>
      <c r="AX222" s="92" t="str">
        <f>IFERROR(Tabla_Buffers_Agroinsumos[[#This Row],[INV FIS PROPIA]]-Tabla_Buffers_Agroinsumos[[#This Row],[BUFFER PROPIA]],"")</f>
        <v/>
      </c>
      <c r="AY22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22" s="134"/>
      <c r="BA222" s="134"/>
      <c r="BB222" s="134"/>
      <c r="BC222" s="134"/>
      <c r="BD222" s="134"/>
      <c r="BE222" s="134"/>
      <c r="BF222" s="134"/>
      <c r="BG222" s="134"/>
      <c r="BH222" s="134"/>
      <c r="BI222" s="91" t="str">
        <f t="array" ref="BI222">IFERROR(INDEX(TABLACONSOLIDADA[Buff Act],MATCH("AGROINSUMOSSTODOMINGO"&amp;Tabla_Buffers_Agroinsumos[[#This Row],[CODIGO ]],TABLACONSOLIDADA[Bodega]&amp;TABLACONSOLIDADA[Codigo],0)),"")</f>
        <v/>
      </c>
      <c r="BJ222" s="157" t="str">
        <f t="array" ref="BJ222">IFERROR(INDEX(TABLACONSOLIDADA[Inv Fís Act],MATCH("AGROINSUMOSSTODOMINGO"&amp;Tabla_Buffers_Agroinsumos[[#This Row],[CODIGO ]],TABLACONSOLIDADA[Bodega]&amp;TABLACONSOLIDADA[Codigo],0)),"")</f>
        <v/>
      </c>
      <c r="BK222" s="157" t="str">
        <f t="array" ref="BK22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2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22" s="91">
        <f>IFERROR(SUM(Tabla_Buffers_Agroinsumos[[#This Row],[SD-MP]:[SD-VL]]),"")</f>
        <v>0</v>
      </c>
      <c r="BN222" s="92"/>
      <c r="BO222" s="92"/>
      <c r="BP222" s="134"/>
      <c r="BQ222" s="134"/>
      <c r="BR222" s="134"/>
      <c r="BS222" s="134"/>
      <c r="BT222" s="134"/>
      <c r="BU222" s="134"/>
      <c r="BV222" s="134"/>
      <c r="BW222" s="134"/>
      <c r="BX222" s="134"/>
      <c r="BY222" s="134" t="str">
        <f t="array" ref="BY222">IFERROR(INDEX(TABLACONSOLIDADA[Buff Act],MATCH("AGROINSUMOSMONCAYOLOPEZ"&amp;Tabla_Buffers_Agroinsumos[[#This Row],[CODIGO ]],TABLACONSOLIDADA[Bodega]&amp;TABLACONSOLIDADA[Codigo],0)),"")</f>
        <v/>
      </c>
      <c r="BZ222" s="157" t="str">
        <f t="array" ref="BZ222">IFERROR(INDEX(TABLACONSOLIDADA[Inv Fís Act],MATCH("AGROINSUMOSMONCAYOLOPEZ"&amp;Tabla_Buffers_Agroinsumos[[#This Row],[CODIGO ]],TABLACONSOLIDADA[Bodega]&amp;TABLACONSOLIDADA[Codigo],0)),"")</f>
        <v/>
      </c>
      <c r="CA222" s="157" t="str">
        <f t="array" ref="CA22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2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22" s="134">
        <f>IFERROR(SUM(Tabla_Buffers_Agroinsumos[[#This Row],[ML-MP]:[ML-VL]]),"")</f>
        <v>0</v>
      </c>
      <c r="CD222" s="92" t="str">
        <f>IFERROR(Tabla_Buffers_Agroinsumos[[#This Row],[INV FIS ML]]-Tabla_Buffers_Agroinsumos[[#This Row],[BUFFER ML]],"")</f>
        <v/>
      </c>
      <c r="CE22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22" s="134"/>
      <c r="CG222" s="134"/>
      <c r="CH222" s="134"/>
      <c r="CI222" s="134"/>
      <c r="CJ222" s="134"/>
      <c r="CK222" s="134"/>
      <c r="CL222" s="134"/>
      <c r="CM222" s="134"/>
      <c r="CN222" s="134"/>
      <c r="CO222" s="134" t="str">
        <f t="array" ref="CO222">IFERROR(INDEX(TABLACONSOLIDADA[Buff Act],MATCH("AGROINSUMOSAGROHERMANOSLEON"&amp;Tabla_Buffers_Agroinsumos[[#This Row],[CODIGO ]],TABLACONSOLIDADA[Bodega]&amp;TABLACONSOLIDADA[Codigo],0)),"")</f>
        <v/>
      </c>
      <c r="CP222" s="157" t="str">
        <f t="array" ref="CP222">IFERROR(INDEX(TABLACONSOLIDADA[Inv Fís Act],MATCH("AGROINSUMOSAGROHERMANOSLEON"&amp;Tabla_Buffers_Agroinsumos[[#This Row],[CODIGO ]],TABLACONSOLIDADA[Bodega]&amp;TABLACONSOLIDADA[Codigo],0)),"")</f>
        <v/>
      </c>
      <c r="CQ222" s="157" t="str">
        <f t="array" ref="CQ22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2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22" s="134">
        <f>IFERROR(SUM(Tabla_Buffers_Agroinsumos[[#This Row],[AL-MP]:[AL-VL]]),"")</f>
        <v>0</v>
      </c>
      <c r="CT222" s="92" t="str">
        <f>IFERROR(Tabla_Buffers_Agroinsumos[[#This Row],[INV FIS AL]]-Tabla_Buffers_Agroinsumos[[#This Row],[BUFFER AL]],"")</f>
        <v/>
      </c>
      <c r="CU22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22" s="134"/>
      <c r="CW222" s="134"/>
      <c r="CX222" s="134"/>
      <c r="CY222" s="134"/>
      <c r="CZ222" s="134"/>
      <c r="DA222" s="134"/>
      <c r="DB222" s="134"/>
      <c r="DC222" s="134"/>
      <c r="DD222" s="134"/>
      <c r="DE222" s="134" t="str">
        <f t="array" ref="DE222">IFERROR(INDEX(TABLACONSOLIDADA[Buff Act],MATCH("AGROINSUMOSAGRONUEVO"&amp;Tabla_Buffers_Agroinsumos[[#This Row],[CODIGO ]],TABLACONSOLIDADA[Bodega]&amp;TABLACONSOLIDADA[Codigo],0)),"")</f>
        <v/>
      </c>
      <c r="DF222" s="157" t="str">
        <f t="array" ref="DF222">IFERROR(INDEX(TABLACONSOLIDADA[Inv Fís Act],MATCH("AGROINSUMOSAGRONUEVO"&amp;Tabla_Buffers_Agroinsumos[[#This Row],[CODIGO ]],TABLACONSOLIDADA[Bodega]&amp;TABLACONSOLIDADA[Codigo],0)),"")</f>
        <v/>
      </c>
      <c r="DG222" s="157" t="str">
        <f t="array" ref="DG22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2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22" s="134">
        <f>IFERROR(SUM(Tabla_Buffers_Agroinsumos[[#This Row],[AN-MP]:[AN-VL]]),"")</f>
        <v>0</v>
      </c>
      <c r="DJ222" s="92" t="str">
        <f>IFERROR(Tabla_Buffers_Agroinsumos[[#This Row],[INV FIS AN]]-Tabla_Buffers_Agroinsumos[[#This Row],[BUFFER AN]],"")</f>
        <v/>
      </c>
      <c r="DK22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22" s="134"/>
      <c r="DM222" s="134"/>
      <c r="DN222" s="134"/>
      <c r="DO222" s="134"/>
      <c r="DP222" s="134"/>
      <c r="DQ222" s="134"/>
      <c r="DR222" s="134"/>
      <c r="DS222" s="134"/>
      <c r="DT222" s="134"/>
      <c r="DU222" s="134" t="str">
        <f t="array" ref="DU222">IFERROR(INDEX(TABLACONSOLIDADA[Buff Act],MATCH("AGROINSUMOSAGROQUIMICOSSUR"&amp;Tabla_Buffers_Agroinsumos[[#This Row],[CODIGO ]],TABLACONSOLIDADA[Bodega]&amp;TABLACONSOLIDADA[Codigo],0)),"")</f>
        <v/>
      </c>
      <c r="DV222" s="157" t="str">
        <f t="array" ref="DV222">IFERROR(INDEX(TABLACONSOLIDADA[Inv Fís Act],MATCH("AGROINSUMOSAGROQUIMICOSSUR"&amp;Tabla_Buffers_Agroinsumos[[#This Row],[CODIGO ]],TABLACONSOLIDADA[Bodega]&amp;TABLACONSOLIDADA[Codigo],0)),"")</f>
        <v/>
      </c>
      <c r="DW222" s="157" t="str">
        <f t="array" ref="DW22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2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22" s="134">
        <f>IFERROR(SUM(Tabla_Buffers_Agroinsumos[[#This Row],[AS-MP]:[AS-VL]]),"")</f>
        <v>0</v>
      </c>
      <c r="DZ222" s="92" t="str">
        <f>IFERROR(Tabla_Buffers_Agroinsumos[[#This Row],[INV FIS AS]]-Tabla_Buffers_Agroinsumos[[#This Row],[BUFFER AS]],"")</f>
        <v/>
      </c>
      <c r="EA22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22" s="134"/>
      <c r="EC222" s="134"/>
      <c r="ED222" s="134"/>
      <c r="EE222" s="134"/>
      <c r="EF222" s="134"/>
      <c r="EG222" s="134"/>
      <c r="EH222" s="134"/>
      <c r="EI222" s="134"/>
      <c r="EJ222" s="134"/>
      <c r="EK222" s="134" t="str">
        <f t="array" ref="EK222">IFERROR(INDEX(TABLACONSOLIDADA[Buff Act],MATCH("AGROINSUMOSLAFINCA"&amp;Tabla_Buffers_Agroinsumos[[#This Row],[CODIGO ]],TABLACONSOLIDADA[Bodega]&amp;TABLACONSOLIDADA[Codigo],0)),"")</f>
        <v/>
      </c>
      <c r="EL222" s="157" t="str">
        <f t="array" ref="EL222">IFERROR(INDEX(TABLACONSOLIDADA[Inv Fís Act],MATCH("AGROINSUMOSLAFINCA"&amp;Tabla_Buffers_Agroinsumos[[#This Row],[CODIGO ]],TABLACONSOLIDADA[Bodega]&amp;TABLACONSOLIDADA[Codigo],0)),"")</f>
        <v/>
      </c>
      <c r="EM222" s="157" t="str">
        <f t="array" ref="EM22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2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22" s="134">
        <f>IFERROR(SUM(Tabla_Buffers_Agroinsumos[[#This Row],[LF-MP]:[LF-VL]]),"")</f>
        <v>0</v>
      </c>
      <c r="EP222" s="92" t="str">
        <f>IFERROR(Tabla_Buffers_Agroinsumos[[#This Row],[INV FIS LF]]-Tabla_Buffers_Agroinsumos[[#This Row],[BUFFER LF]],"")</f>
        <v/>
      </c>
      <c r="EQ22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22" s="134"/>
      <c r="ES222" s="134"/>
      <c r="ET222" s="134"/>
      <c r="EU222" s="134"/>
      <c r="EV222" s="134"/>
      <c r="EW222" s="134"/>
      <c r="EX222" s="134"/>
      <c r="EY222" s="134"/>
      <c r="EZ222" s="134"/>
      <c r="FA222" s="134" t="str">
        <f t="array" ref="FA222">IFERROR(INDEX(TABLACONSOLIDADA[Buff Act],MATCH("AGROINSUMOSVERONICALEDESMA"&amp;Tabla_Buffers_Agroinsumos[[#This Row],[CODIGO ]],TABLACONSOLIDADA[Bodega]&amp;TABLACONSOLIDADA[Codigo],0)),"")</f>
        <v/>
      </c>
      <c r="FB222" s="157" t="str">
        <f t="array" ref="FB222">IFERROR(INDEX(TABLACONSOLIDADA[Inv Fís Act],MATCH("AGROINSUMOSVERONICALEDESMA"&amp;Tabla_Buffers_Agroinsumos[[#This Row],[CODIGO ]],TABLACONSOLIDADA[Bodega]&amp;TABLACONSOLIDADA[Codigo],0)),"")</f>
        <v/>
      </c>
      <c r="FC222" s="157" t="str">
        <f t="array" ref="FC22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2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22" s="134">
        <f>IFERROR(SUM(Tabla_Buffers_Agroinsumos[[#This Row],[VL-MP]:[VL-LF]]),"")</f>
        <v>0</v>
      </c>
      <c r="FF222" s="92" t="str">
        <f>IFERROR(Tabla_Buffers_Agroinsumos[[#This Row],[INV FIS VL]]-Tabla_Buffers_Agroinsumos[[#This Row],[BUFFER VL]],"")</f>
        <v/>
      </c>
      <c r="FG22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22" s="134"/>
      <c r="FI222" s="134"/>
      <c r="FJ222" s="134"/>
      <c r="FK222" s="134"/>
      <c r="FL222" s="134"/>
      <c r="FM222" s="134"/>
      <c r="FN222" s="134"/>
      <c r="FO222" s="134"/>
      <c r="FP222" s="134"/>
    </row>
    <row r="223" spans="1:172">
      <c r="A223" s="7" t="s">
        <v>395</v>
      </c>
      <c r="B223" s="7" t="s">
        <v>396</v>
      </c>
      <c r="C223" s="7" t="s">
        <v>716</v>
      </c>
      <c r="D223" s="7" t="s">
        <v>718</v>
      </c>
      <c r="E223" s="7" t="s">
        <v>863</v>
      </c>
      <c r="F223" s="19" t="s">
        <v>808</v>
      </c>
      <c r="G223" s="19" t="s">
        <v>802</v>
      </c>
      <c r="H223" s="19">
        <f>VLOOKUP(Tabla_Buffers_Agroinsumos[[#This Row],[CODIGO ]],TABLACONSOLIDADA[[Codigo]:[PV]],6,0)</f>
        <v>0</v>
      </c>
      <c r="I223" s="19">
        <f>VLOOKUP(Tabla_Buffers_Agroinsumos[[#This Row],[CODIGO ]],TABLACONSOLIDADA[[Codigo]:[PV]],5,0)</f>
        <v>0.12</v>
      </c>
      <c r="J223" s="19">
        <v>4</v>
      </c>
      <c r="K223" s="19">
        <v>6</v>
      </c>
      <c r="L223" s="19">
        <f>IFERROR(Tabla_Buffers_Agroinsumos[[#This Row],[BUFFER CENTRAL]]/((Tabla_Buffers_Agroinsumos[[#This Row],[TIEMPO REPOSICION ]]/Tabla_Buffers_Agroinsumos[[#This Row],[FRECUENCIA]])+1),0)</f>
        <v>0</v>
      </c>
      <c r="M223" s="19">
        <f t="array" ref="M223">IFERROR(INDEX(TABLACONSOLIDADA[Buff Act],MATCH("AGROINSUMOSMATERIAPRIMA"&amp;Tabla_Buffers_Agroinsumos[[#This Row],[CODIGO ]],TABLACONSOLIDADA[Bodega]&amp;TABLACONSOLIDADA[Codigo],0)),"")</f>
        <v>0</v>
      </c>
      <c r="N223" s="157">
        <f t="array" ref="N223">IFERROR(INDEX(TABLACONSOLIDADA[Inv Fís Act],MATCH("AGROINSUMOSMATERIAPRIMA"&amp;Tabla_Buffers_Agroinsumos[[#This Row],[CODIGO ]],TABLACONSOLIDADA[Bodega]&amp;TABLACONSOLIDADA[Codigo],0)),"")</f>
        <v>0</v>
      </c>
      <c r="O223" s="157">
        <f t="array" ref="O22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22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23" s="19">
        <f>IFERROR(SUM(Tabla_Buffers_Agroinsumos[[#This Row],[MP-C]:[MP-VL]]),"")</f>
        <v>0</v>
      </c>
      <c r="R223" s="92">
        <f>IFERROR(Tabla_Buffers_Agroinsumos[[#This Row],[INV FIS MATERIA PRIMA]]-Tabla_Buffers_Agroinsumos[[#This Row],[BUFFER MATERIA PRIMA]],"")</f>
        <v>0</v>
      </c>
      <c r="S22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223" s="19"/>
      <c r="U223" s="19"/>
      <c r="V223" s="19"/>
      <c r="W223" s="19"/>
      <c r="X223" s="19"/>
      <c r="Y223" s="19"/>
      <c r="Z223" s="19"/>
      <c r="AA223" s="19"/>
      <c r="AB223" s="19"/>
      <c r="AC223" s="152" t="str">
        <f t="array" ref="AC223">IFERROR(INDEX(TABLACONSOLIDADA[Buff Act],MATCH("AGROINSUMOSCENTRAL"&amp;Tabla_Buffers_Agroinsumos[[#This Row],[CODIGO ]],TABLACONSOLIDADA[Bodega]&amp;TABLACONSOLIDADA[Codigo],0)),"")</f>
        <v/>
      </c>
      <c r="AD223" s="157" t="str">
        <f t="array" ref="AD223">IFERROR(INDEX(TABLACONSOLIDADA[Inv Fís Act],MATCH("AGROINSUMOSCENTRAL"&amp;Tabla_Buffers_Agroinsumos[[#This Row],[CODIGO ]],TABLACONSOLIDADA[Bodega]&amp;TABLACONSOLIDADA[Codigo],0)),"")</f>
        <v/>
      </c>
      <c r="AE223" s="157" t="str">
        <f t="array" ref="AE22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2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23" s="91">
        <f>IFERROR(SUM(Tabla_Buffers_Agroinsumos[[#This Row],[C-MP]:[C-VL]]),"")</f>
        <v>0</v>
      </c>
      <c r="AH223" s="92" t="str">
        <f>IFERROR(Tabla_Buffers_Agroinsumos[[#This Row],[INV FIS CENTRAL]]-Tabla_Buffers_Agroinsumos[[#This Row],[BUFFER CENTRAL]],"")</f>
        <v/>
      </c>
      <c r="AI22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23" s="134"/>
      <c r="AK223" s="134"/>
      <c r="AL223" s="134"/>
      <c r="AM223" s="134"/>
      <c r="AN223" s="134"/>
      <c r="AO223" s="134"/>
      <c r="AP223" s="134"/>
      <c r="AQ223" s="134"/>
      <c r="AR223" s="134"/>
      <c r="AS223" s="134" t="str">
        <f t="array" ref="AS223">IFERROR(INDEX(TABLACONSOLIDADA[Buff Act],MATCH("AGROINSUMOScentralPROPIA"&amp;Tabla_Buffers_Agroinsumos[[#This Row],[CODIGO ]],TABLACONSOLIDADA[Bodega]&amp;TABLACONSOLIDADA[Codigo],0)),"")</f>
        <v/>
      </c>
      <c r="AT223" s="157" t="str">
        <f t="array" ref="AT223">IFERROR(INDEX(TABLACONSOLIDADA[Inv Fís Act],MATCH("AGROINSUMOScentralPROPIA"&amp;Tabla_Buffers_Agroinsumos[[#This Row],[CODIGO ]],TABLACONSOLIDADA[Bodega]&amp;TABLACONSOLIDADA[Codigo],0)),"")</f>
        <v/>
      </c>
      <c r="AU223" s="157" t="str">
        <f t="array" ref="AU22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2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23" s="134">
        <f>IFERROR(SUM(Tabla_Buffers_Agroinsumos[[#This Row],[P-MP]:[P-VL]]),"")</f>
        <v>0</v>
      </c>
      <c r="AX223" s="92" t="str">
        <f>IFERROR(Tabla_Buffers_Agroinsumos[[#This Row],[INV FIS PROPIA]]-Tabla_Buffers_Agroinsumos[[#This Row],[BUFFER PROPIA]],"")</f>
        <v/>
      </c>
      <c r="AY22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23" s="134"/>
      <c r="BA223" s="134"/>
      <c r="BB223" s="134"/>
      <c r="BC223" s="134"/>
      <c r="BD223" s="134"/>
      <c r="BE223" s="134"/>
      <c r="BF223" s="134"/>
      <c r="BG223" s="134"/>
      <c r="BH223" s="134"/>
      <c r="BI223" s="91" t="str">
        <f t="array" ref="BI223">IFERROR(INDEX(TABLACONSOLIDADA[Buff Act],MATCH("AGROINSUMOSSTODOMINGO"&amp;Tabla_Buffers_Agroinsumos[[#This Row],[CODIGO ]],TABLACONSOLIDADA[Bodega]&amp;TABLACONSOLIDADA[Codigo],0)),"")</f>
        <v/>
      </c>
      <c r="BJ223" s="157" t="str">
        <f t="array" ref="BJ223">IFERROR(INDEX(TABLACONSOLIDADA[Inv Fís Act],MATCH("AGROINSUMOSSTODOMINGO"&amp;Tabla_Buffers_Agroinsumos[[#This Row],[CODIGO ]],TABLACONSOLIDADA[Bodega]&amp;TABLACONSOLIDADA[Codigo],0)),"")</f>
        <v/>
      </c>
      <c r="BK223" s="157" t="str">
        <f t="array" ref="BK22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2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23" s="91">
        <f>IFERROR(SUM(Tabla_Buffers_Agroinsumos[[#This Row],[SD-MP]:[SD-VL]]),"")</f>
        <v>0</v>
      </c>
      <c r="BN223" s="92"/>
      <c r="BO223" s="92"/>
      <c r="BP223" s="134"/>
      <c r="BQ223" s="134"/>
      <c r="BR223" s="134"/>
      <c r="BS223" s="134"/>
      <c r="BT223" s="134"/>
      <c r="BU223" s="134"/>
      <c r="BV223" s="134"/>
      <c r="BW223" s="134"/>
      <c r="BX223" s="134"/>
      <c r="BY223" s="134" t="str">
        <f t="array" ref="BY223">IFERROR(INDEX(TABLACONSOLIDADA[Buff Act],MATCH("AGROINSUMOSMONCAYOLOPEZ"&amp;Tabla_Buffers_Agroinsumos[[#This Row],[CODIGO ]],TABLACONSOLIDADA[Bodega]&amp;TABLACONSOLIDADA[Codigo],0)),"")</f>
        <v/>
      </c>
      <c r="BZ223" s="157" t="str">
        <f t="array" ref="BZ223">IFERROR(INDEX(TABLACONSOLIDADA[Inv Fís Act],MATCH("AGROINSUMOSMONCAYOLOPEZ"&amp;Tabla_Buffers_Agroinsumos[[#This Row],[CODIGO ]],TABLACONSOLIDADA[Bodega]&amp;TABLACONSOLIDADA[Codigo],0)),"")</f>
        <v/>
      </c>
      <c r="CA223" s="157" t="str">
        <f t="array" ref="CA22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2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23" s="134">
        <f>IFERROR(SUM(Tabla_Buffers_Agroinsumos[[#This Row],[ML-MP]:[ML-VL]]),"")</f>
        <v>0</v>
      </c>
      <c r="CD223" s="92" t="str">
        <f>IFERROR(Tabla_Buffers_Agroinsumos[[#This Row],[INV FIS ML]]-Tabla_Buffers_Agroinsumos[[#This Row],[BUFFER ML]],"")</f>
        <v/>
      </c>
      <c r="CE22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23" s="134"/>
      <c r="CG223" s="134"/>
      <c r="CH223" s="134"/>
      <c r="CI223" s="134"/>
      <c r="CJ223" s="134"/>
      <c r="CK223" s="134"/>
      <c r="CL223" s="134"/>
      <c r="CM223" s="134"/>
      <c r="CN223" s="134"/>
      <c r="CO223" s="134" t="str">
        <f t="array" ref="CO223">IFERROR(INDEX(TABLACONSOLIDADA[Buff Act],MATCH("AGROINSUMOSAGROHERMANOSLEON"&amp;Tabla_Buffers_Agroinsumos[[#This Row],[CODIGO ]],TABLACONSOLIDADA[Bodega]&amp;TABLACONSOLIDADA[Codigo],0)),"")</f>
        <v/>
      </c>
      <c r="CP223" s="157" t="str">
        <f t="array" ref="CP223">IFERROR(INDEX(TABLACONSOLIDADA[Inv Fís Act],MATCH("AGROINSUMOSAGROHERMANOSLEON"&amp;Tabla_Buffers_Agroinsumos[[#This Row],[CODIGO ]],TABLACONSOLIDADA[Bodega]&amp;TABLACONSOLIDADA[Codigo],0)),"")</f>
        <v/>
      </c>
      <c r="CQ223" s="157" t="str">
        <f t="array" ref="CQ22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2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23" s="134">
        <f>IFERROR(SUM(Tabla_Buffers_Agroinsumos[[#This Row],[AL-MP]:[AL-VL]]),"")</f>
        <v>0</v>
      </c>
      <c r="CT223" s="92" t="str">
        <f>IFERROR(Tabla_Buffers_Agroinsumos[[#This Row],[INV FIS AL]]-Tabla_Buffers_Agroinsumos[[#This Row],[BUFFER AL]],"")</f>
        <v/>
      </c>
      <c r="CU22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23" s="134"/>
      <c r="CW223" s="134"/>
      <c r="CX223" s="134"/>
      <c r="CY223" s="134"/>
      <c r="CZ223" s="134"/>
      <c r="DA223" s="134"/>
      <c r="DB223" s="134"/>
      <c r="DC223" s="134"/>
      <c r="DD223" s="134"/>
      <c r="DE223" s="134" t="str">
        <f t="array" ref="DE223">IFERROR(INDEX(TABLACONSOLIDADA[Buff Act],MATCH("AGROINSUMOSAGRONUEVO"&amp;Tabla_Buffers_Agroinsumos[[#This Row],[CODIGO ]],TABLACONSOLIDADA[Bodega]&amp;TABLACONSOLIDADA[Codigo],0)),"")</f>
        <v/>
      </c>
      <c r="DF223" s="157" t="str">
        <f t="array" ref="DF223">IFERROR(INDEX(TABLACONSOLIDADA[Inv Fís Act],MATCH("AGROINSUMOSAGRONUEVO"&amp;Tabla_Buffers_Agroinsumos[[#This Row],[CODIGO ]],TABLACONSOLIDADA[Bodega]&amp;TABLACONSOLIDADA[Codigo],0)),"")</f>
        <v/>
      </c>
      <c r="DG223" s="157" t="str">
        <f t="array" ref="DG22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2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23" s="134">
        <f>IFERROR(SUM(Tabla_Buffers_Agroinsumos[[#This Row],[AN-MP]:[AN-VL]]),"")</f>
        <v>0</v>
      </c>
      <c r="DJ223" s="92" t="str">
        <f>IFERROR(Tabla_Buffers_Agroinsumos[[#This Row],[INV FIS AN]]-Tabla_Buffers_Agroinsumos[[#This Row],[BUFFER AN]],"")</f>
        <v/>
      </c>
      <c r="DK22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23" s="134"/>
      <c r="DM223" s="134"/>
      <c r="DN223" s="134"/>
      <c r="DO223" s="134"/>
      <c r="DP223" s="134"/>
      <c r="DQ223" s="134"/>
      <c r="DR223" s="134"/>
      <c r="DS223" s="134"/>
      <c r="DT223" s="134"/>
      <c r="DU223" s="134" t="str">
        <f t="array" ref="DU223">IFERROR(INDEX(TABLACONSOLIDADA[Buff Act],MATCH("AGROINSUMOSAGROQUIMICOSSUR"&amp;Tabla_Buffers_Agroinsumos[[#This Row],[CODIGO ]],TABLACONSOLIDADA[Bodega]&amp;TABLACONSOLIDADA[Codigo],0)),"")</f>
        <v/>
      </c>
      <c r="DV223" s="157" t="str">
        <f t="array" ref="DV223">IFERROR(INDEX(TABLACONSOLIDADA[Inv Fís Act],MATCH("AGROINSUMOSAGROQUIMICOSSUR"&amp;Tabla_Buffers_Agroinsumos[[#This Row],[CODIGO ]],TABLACONSOLIDADA[Bodega]&amp;TABLACONSOLIDADA[Codigo],0)),"")</f>
        <v/>
      </c>
      <c r="DW223" s="157" t="str">
        <f t="array" ref="DW22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2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23" s="134">
        <f>IFERROR(SUM(Tabla_Buffers_Agroinsumos[[#This Row],[AS-MP]:[AS-VL]]),"")</f>
        <v>0</v>
      </c>
      <c r="DZ223" s="92" t="str">
        <f>IFERROR(Tabla_Buffers_Agroinsumos[[#This Row],[INV FIS AS]]-Tabla_Buffers_Agroinsumos[[#This Row],[BUFFER AS]],"")</f>
        <v/>
      </c>
      <c r="EA22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23" s="134"/>
      <c r="EC223" s="134"/>
      <c r="ED223" s="134"/>
      <c r="EE223" s="134"/>
      <c r="EF223" s="134"/>
      <c r="EG223" s="134"/>
      <c r="EH223" s="134"/>
      <c r="EI223" s="134"/>
      <c r="EJ223" s="134"/>
      <c r="EK223" s="134" t="str">
        <f t="array" ref="EK223">IFERROR(INDEX(TABLACONSOLIDADA[Buff Act],MATCH("AGROINSUMOSLAFINCA"&amp;Tabla_Buffers_Agroinsumos[[#This Row],[CODIGO ]],TABLACONSOLIDADA[Bodega]&amp;TABLACONSOLIDADA[Codigo],0)),"")</f>
        <v/>
      </c>
      <c r="EL223" s="157" t="str">
        <f t="array" ref="EL223">IFERROR(INDEX(TABLACONSOLIDADA[Inv Fís Act],MATCH("AGROINSUMOSLAFINCA"&amp;Tabla_Buffers_Agroinsumos[[#This Row],[CODIGO ]],TABLACONSOLIDADA[Bodega]&amp;TABLACONSOLIDADA[Codigo],0)),"")</f>
        <v/>
      </c>
      <c r="EM223" s="157" t="str">
        <f t="array" ref="EM22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2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23" s="134">
        <f>IFERROR(SUM(Tabla_Buffers_Agroinsumos[[#This Row],[LF-MP]:[LF-VL]]),"")</f>
        <v>0</v>
      </c>
      <c r="EP223" s="92" t="str">
        <f>IFERROR(Tabla_Buffers_Agroinsumos[[#This Row],[INV FIS LF]]-Tabla_Buffers_Agroinsumos[[#This Row],[BUFFER LF]],"")</f>
        <v/>
      </c>
      <c r="EQ22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23" s="134"/>
      <c r="ES223" s="134"/>
      <c r="ET223" s="134"/>
      <c r="EU223" s="134"/>
      <c r="EV223" s="134"/>
      <c r="EW223" s="134"/>
      <c r="EX223" s="134"/>
      <c r="EY223" s="134"/>
      <c r="EZ223" s="134"/>
      <c r="FA223" s="134" t="str">
        <f t="array" ref="FA223">IFERROR(INDEX(TABLACONSOLIDADA[Buff Act],MATCH("AGROINSUMOSVERONICALEDESMA"&amp;Tabla_Buffers_Agroinsumos[[#This Row],[CODIGO ]],TABLACONSOLIDADA[Bodega]&amp;TABLACONSOLIDADA[Codigo],0)),"")</f>
        <v/>
      </c>
      <c r="FB223" s="157" t="str">
        <f t="array" ref="FB223">IFERROR(INDEX(TABLACONSOLIDADA[Inv Fís Act],MATCH("AGROINSUMOSVERONICALEDESMA"&amp;Tabla_Buffers_Agroinsumos[[#This Row],[CODIGO ]],TABLACONSOLIDADA[Bodega]&amp;TABLACONSOLIDADA[Codigo],0)),"")</f>
        <v/>
      </c>
      <c r="FC223" s="157" t="str">
        <f t="array" ref="FC22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2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23" s="134">
        <f>IFERROR(SUM(Tabla_Buffers_Agroinsumos[[#This Row],[VL-MP]:[VL-LF]]),"")</f>
        <v>0</v>
      </c>
      <c r="FF223" s="92" t="str">
        <f>IFERROR(Tabla_Buffers_Agroinsumos[[#This Row],[INV FIS VL]]-Tabla_Buffers_Agroinsumos[[#This Row],[BUFFER VL]],"")</f>
        <v/>
      </c>
      <c r="FG22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23" s="134"/>
      <c r="FI223" s="134"/>
      <c r="FJ223" s="134"/>
      <c r="FK223" s="134"/>
      <c r="FL223" s="134"/>
      <c r="FM223" s="134"/>
      <c r="FN223" s="134"/>
      <c r="FO223" s="134"/>
      <c r="FP223" s="134"/>
    </row>
    <row r="224" spans="1:172">
      <c r="A224" s="7" t="s">
        <v>397</v>
      </c>
      <c r="B224" s="7" t="s">
        <v>398</v>
      </c>
      <c r="C224" s="7" t="s">
        <v>716</v>
      </c>
      <c r="D224" s="7" t="s">
        <v>718</v>
      </c>
      <c r="E224" s="7" t="s">
        <v>863</v>
      </c>
      <c r="F224" s="19" t="s">
        <v>808</v>
      </c>
      <c r="G224" s="19" t="s">
        <v>802</v>
      </c>
      <c r="H224" s="19">
        <f>VLOOKUP(Tabla_Buffers_Agroinsumos[[#This Row],[CODIGO ]],TABLACONSOLIDADA[[Codigo]:[PV]],6,0)</f>
        <v>0</v>
      </c>
      <c r="I224" s="19">
        <f>VLOOKUP(Tabla_Buffers_Agroinsumos[[#This Row],[CODIGO ]],TABLACONSOLIDADA[[Codigo]:[PV]],5,0)</f>
        <v>0.12</v>
      </c>
      <c r="J224" s="19">
        <v>4</v>
      </c>
      <c r="K224" s="19">
        <v>6</v>
      </c>
      <c r="L224" s="19">
        <f>IFERROR(Tabla_Buffers_Agroinsumos[[#This Row],[BUFFER CENTRAL]]/((Tabla_Buffers_Agroinsumos[[#This Row],[TIEMPO REPOSICION ]]/Tabla_Buffers_Agroinsumos[[#This Row],[FRECUENCIA]])+1),0)</f>
        <v>0</v>
      </c>
      <c r="M224" s="19">
        <f t="array" ref="M224">IFERROR(INDEX(TABLACONSOLIDADA[Buff Act],MATCH("AGROINSUMOSMATERIAPRIMA"&amp;Tabla_Buffers_Agroinsumos[[#This Row],[CODIGO ]],TABLACONSOLIDADA[Bodega]&amp;TABLACONSOLIDADA[Codigo],0)),"")</f>
        <v>0</v>
      </c>
      <c r="N224" s="157">
        <f t="array" ref="N224">IFERROR(INDEX(TABLACONSOLIDADA[Inv Fís Act],MATCH("AGROINSUMOSMATERIAPRIMA"&amp;Tabla_Buffers_Agroinsumos[[#This Row],[CODIGO ]],TABLACONSOLIDADA[Bodega]&amp;TABLACONSOLIDADA[Codigo],0)),"")</f>
        <v>0</v>
      </c>
      <c r="O224" s="157">
        <f t="array" ref="O22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22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24" s="19">
        <f>IFERROR(SUM(Tabla_Buffers_Agroinsumos[[#This Row],[MP-C]:[MP-VL]]),"")</f>
        <v>0</v>
      </c>
      <c r="R224" s="92">
        <f>IFERROR(Tabla_Buffers_Agroinsumos[[#This Row],[INV FIS MATERIA PRIMA]]-Tabla_Buffers_Agroinsumos[[#This Row],[BUFFER MATERIA PRIMA]],"")</f>
        <v>0</v>
      </c>
      <c r="S22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224" s="19"/>
      <c r="U224" s="19"/>
      <c r="V224" s="19"/>
      <c r="W224" s="19"/>
      <c r="X224" s="19"/>
      <c r="Y224" s="19"/>
      <c r="Z224" s="19"/>
      <c r="AA224" s="19"/>
      <c r="AB224" s="19"/>
      <c r="AC224" s="152" t="str">
        <f t="array" ref="AC224">IFERROR(INDEX(TABLACONSOLIDADA[Buff Act],MATCH("AGROINSUMOSCENTRAL"&amp;Tabla_Buffers_Agroinsumos[[#This Row],[CODIGO ]],TABLACONSOLIDADA[Bodega]&amp;TABLACONSOLIDADA[Codigo],0)),"")</f>
        <v/>
      </c>
      <c r="AD224" s="157" t="str">
        <f t="array" ref="AD224">IFERROR(INDEX(TABLACONSOLIDADA[Inv Fís Act],MATCH("AGROINSUMOSCENTRAL"&amp;Tabla_Buffers_Agroinsumos[[#This Row],[CODIGO ]],TABLACONSOLIDADA[Bodega]&amp;TABLACONSOLIDADA[Codigo],0)),"")</f>
        <v/>
      </c>
      <c r="AE224" s="157" t="str">
        <f t="array" ref="AE22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2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24" s="91">
        <f>IFERROR(SUM(Tabla_Buffers_Agroinsumos[[#This Row],[C-MP]:[C-VL]]),"")</f>
        <v>0</v>
      </c>
      <c r="AH224" s="92" t="str">
        <f>IFERROR(Tabla_Buffers_Agroinsumos[[#This Row],[INV FIS CENTRAL]]-Tabla_Buffers_Agroinsumos[[#This Row],[BUFFER CENTRAL]],"")</f>
        <v/>
      </c>
      <c r="AI22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24" s="134"/>
      <c r="AK224" s="134"/>
      <c r="AL224" s="134"/>
      <c r="AM224" s="134"/>
      <c r="AN224" s="134"/>
      <c r="AO224" s="134"/>
      <c r="AP224" s="134"/>
      <c r="AQ224" s="134"/>
      <c r="AR224" s="134"/>
      <c r="AS224" s="134" t="str">
        <f t="array" ref="AS224">IFERROR(INDEX(TABLACONSOLIDADA[Buff Act],MATCH("AGROINSUMOScentralPROPIA"&amp;Tabla_Buffers_Agroinsumos[[#This Row],[CODIGO ]],TABLACONSOLIDADA[Bodega]&amp;TABLACONSOLIDADA[Codigo],0)),"")</f>
        <v/>
      </c>
      <c r="AT224" s="157" t="str">
        <f t="array" ref="AT224">IFERROR(INDEX(TABLACONSOLIDADA[Inv Fís Act],MATCH("AGROINSUMOScentralPROPIA"&amp;Tabla_Buffers_Agroinsumos[[#This Row],[CODIGO ]],TABLACONSOLIDADA[Bodega]&amp;TABLACONSOLIDADA[Codigo],0)),"")</f>
        <v/>
      </c>
      <c r="AU224" s="157" t="str">
        <f t="array" ref="AU22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2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24" s="134">
        <f>IFERROR(SUM(Tabla_Buffers_Agroinsumos[[#This Row],[P-MP]:[P-VL]]),"")</f>
        <v>0</v>
      </c>
      <c r="AX224" s="92" t="str">
        <f>IFERROR(Tabla_Buffers_Agroinsumos[[#This Row],[INV FIS PROPIA]]-Tabla_Buffers_Agroinsumos[[#This Row],[BUFFER PROPIA]],"")</f>
        <v/>
      </c>
      <c r="AY22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24" s="134"/>
      <c r="BA224" s="134"/>
      <c r="BB224" s="134"/>
      <c r="BC224" s="134"/>
      <c r="BD224" s="134"/>
      <c r="BE224" s="134"/>
      <c r="BF224" s="134"/>
      <c r="BG224" s="134"/>
      <c r="BH224" s="134"/>
      <c r="BI224" s="91" t="str">
        <f t="array" ref="BI224">IFERROR(INDEX(TABLACONSOLIDADA[Buff Act],MATCH("AGROINSUMOSSTODOMINGO"&amp;Tabla_Buffers_Agroinsumos[[#This Row],[CODIGO ]],TABLACONSOLIDADA[Bodega]&amp;TABLACONSOLIDADA[Codigo],0)),"")</f>
        <v/>
      </c>
      <c r="BJ224" s="157" t="str">
        <f t="array" ref="BJ224">IFERROR(INDEX(TABLACONSOLIDADA[Inv Fís Act],MATCH("AGROINSUMOSSTODOMINGO"&amp;Tabla_Buffers_Agroinsumos[[#This Row],[CODIGO ]],TABLACONSOLIDADA[Bodega]&amp;TABLACONSOLIDADA[Codigo],0)),"")</f>
        <v/>
      </c>
      <c r="BK224" s="157" t="str">
        <f t="array" ref="BK22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2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24" s="91">
        <f>IFERROR(SUM(Tabla_Buffers_Agroinsumos[[#This Row],[SD-MP]:[SD-VL]]),"")</f>
        <v>0</v>
      </c>
      <c r="BN224" s="92"/>
      <c r="BO224" s="92"/>
      <c r="BP224" s="134"/>
      <c r="BQ224" s="134"/>
      <c r="BR224" s="134"/>
      <c r="BS224" s="134"/>
      <c r="BT224" s="134"/>
      <c r="BU224" s="134"/>
      <c r="BV224" s="134"/>
      <c r="BW224" s="134"/>
      <c r="BX224" s="134"/>
      <c r="BY224" s="134" t="str">
        <f t="array" ref="BY224">IFERROR(INDEX(TABLACONSOLIDADA[Buff Act],MATCH("AGROINSUMOSMONCAYOLOPEZ"&amp;Tabla_Buffers_Agroinsumos[[#This Row],[CODIGO ]],TABLACONSOLIDADA[Bodega]&amp;TABLACONSOLIDADA[Codigo],0)),"")</f>
        <v/>
      </c>
      <c r="BZ224" s="157" t="str">
        <f t="array" ref="BZ224">IFERROR(INDEX(TABLACONSOLIDADA[Inv Fís Act],MATCH("AGROINSUMOSMONCAYOLOPEZ"&amp;Tabla_Buffers_Agroinsumos[[#This Row],[CODIGO ]],TABLACONSOLIDADA[Bodega]&amp;TABLACONSOLIDADA[Codigo],0)),"")</f>
        <v/>
      </c>
      <c r="CA224" s="157" t="str">
        <f t="array" ref="CA22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2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24" s="134">
        <f>IFERROR(SUM(Tabla_Buffers_Agroinsumos[[#This Row],[ML-MP]:[ML-VL]]),"")</f>
        <v>0</v>
      </c>
      <c r="CD224" s="92" t="str">
        <f>IFERROR(Tabla_Buffers_Agroinsumos[[#This Row],[INV FIS ML]]-Tabla_Buffers_Agroinsumos[[#This Row],[BUFFER ML]],"")</f>
        <v/>
      </c>
      <c r="CE22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24" s="134"/>
      <c r="CG224" s="134"/>
      <c r="CH224" s="134"/>
      <c r="CI224" s="134"/>
      <c r="CJ224" s="134"/>
      <c r="CK224" s="134"/>
      <c r="CL224" s="134"/>
      <c r="CM224" s="134"/>
      <c r="CN224" s="134"/>
      <c r="CO224" s="134" t="str">
        <f t="array" ref="CO224">IFERROR(INDEX(TABLACONSOLIDADA[Buff Act],MATCH("AGROINSUMOSAGROHERMANOSLEON"&amp;Tabla_Buffers_Agroinsumos[[#This Row],[CODIGO ]],TABLACONSOLIDADA[Bodega]&amp;TABLACONSOLIDADA[Codigo],0)),"")</f>
        <v/>
      </c>
      <c r="CP224" s="157" t="str">
        <f t="array" ref="CP224">IFERROR(INDEX(TABLACONSOLIDADA[Inv Fís Act],MATCH("AGROINSUMOSAGROHERMANOSLEON"&amp;Tabla_Buffers_Agroinsumos[[#This Row],[CODIGO ]],TABLACONSOLIDADA[Bodega]&amp;TABLACONSOLIDADA[Codigo],0)),"")</f>
        <v/>
      </c>
      <c r="CQ224" s="157" t="str">
        <f t="array" ref="CQ22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2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24" s="134">
        <f>IFERROR(SUM(Tabla_Buffers_Agroinsumos[[#This Row],[AL-MP]:[AL-VL]]),"")</f>
        <v>0</v>
      </c>
      <c r="CT224" s="92" t="str">
        <f>IFERROR(Tabla_Buffers_Agroinsumos[[#This Row],[INV FIS AL]]-Tabla_Buffers_Agroinsumos[[#This Row],[BUFFER AL]],"")</f>
        <v/>
      </c>
      <c r="CU22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24" s="134"/>
      <c r="CW224" s="134"/>
      <c r="CX224" s="134"/>
      <c r="CY224" s="134"/>
      <c r="CZ224" s="134"/>
      <c r="DA224" s="134"/>
      <c r="DB224" s="134"/>
      <c r="DC224" s="134"/>
      <c r="DD224" s="134"/>
      <c r="DE224" s="134" t="str">
        <f t="array" ref="DE224">IFERROR(INDEX(TABLACONSOLIDADA[Buff Act],MATCH("AGROINSUMOSAGRONUEVO"&amp;Tabla_Buffers_Agroinsumos[[#This Row],[CODIGO ]],TABLACONSOLIDADA[Bodega]&amp;TABLACONSOLIDADA[Codigo],0)),"")</f>
        <v/>
      </c>
      <c r="DF224" s="157" t="str">
        <f t="array" ref="DF224">IFERROR(INDEX(TABLACONSOLIDADA[Inv Fís Act],MATCH("AGROINSUMOSAGRONUEVO"&amp;Tabla_Buffers_Agroinsumos[[#This Row],[CODIGO ]],TABLACONSOLIDADA[Bodega]&amp;TABLACONSOLIDADA[Codigo],0)),"")</f>
        <v/>
      </c>
      <c r="DG224" s="157" t="str">
        <f t="array" ref="DG22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2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24" s="134">
        <f>IFERROR(SUM(Tabla_Buffers_Agroinsumos[[#This Row],[AN-MP]:[AN-VL]]),"")</f>
        <v>0</v>
      </c>
      <c r="DJ224" s="92" t="str">
        <f>IFERROR(Tabla_Buffers_Agroinsumos[[#This Row],[INV FIS AN]]-Tabla_Buffers_Agroinsumos[[#This Row],[BUFFER AN]],"")</f>
        <v/>
      </c>
      <c r="DK22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24" s="134"/>
      <c r="DM224" s="134"/>
      <c r="DN224" s="134"/>
      <c r="DO224" s="134"/>
      <c r="DP224" s="134"/>
      <c r="DQ224" s="134"/>
      <c r="DR224" s="134"/>
      <c r="DS224" s="134"/>
      <c r="DT224" s="134"/>
      <c r="DU224" s="134" t="str">
        <f t="array" ref="DU224">IFERROR(INDEX(TABLACONSOLIDADA[Buff Act],MATCH("AGROINSUMOSAGROQUIMICOSSUR"&amp;Tabla_Buffers_Agroinsumos[[#This Row],[CODIGO ]],TABLACONSOLIDADA[Bodega]&amp;TABLACONSOLIDADA[Codigo],0)),"")</f>
        <v/>
      </c>
      <c r="DV224" s="157" t="str">
        <f t="array" ref="DV224">IFERROR(INDEX(TABLACONSOLIDADA[Inv Fís Act],MATCH("AGROINSUMOSAGROQUIMICOSSUR"&amp;Tabla_Buffers_Agroinsumos[[#This Row],[CODIGO ]],TABLACONSOLIDADA[Bodega]&amp;TABLACONSOLIDADA[Codigo],0)),"")</f>
        <v/>
      </c>
      <c r="DW224" s="157" t="str">
        <f t="array" ref="DW22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2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24" s="134">
        <f>IFERROR(SUM(Tabla_Buffers_Agroinsumos[[#This Row],[AS-MP]:[AS-VL]]),"")</f>
        <v>0</v>
      </c>
      <c r="DZ224" s="92" t="str">
        <f>IFERROR(Tabla_Buffers_Agroinsumos[[#This Row],[INV FIS AS]]-Tabla_Buffers_Agroinsumos[[#This Row],[BUFFER AS]],"")</f>
        <v/>
      </c>
      <c r="EA22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24" s="134"/>
      <c r="EC224" s="134"/>
      <c r="ED224" s="134"/>
      <c r="EE224" s="134"/>
      <c r="EF224" s="134"/>
      <c r="EG224" s="134"/>
      <c r="EH224" s="134"/>
      <c r="EI224" s="134"/>
      <c r="EJ224" s="134"/>
      <c r="EK224" s="134" t="str">
        <f t="array" ref="EK224">IFERROR(INDEX(TABLACONSOLIDADA[Buff Act],MATCH("AGROINSUMOSLAFINCA"&amp;Tabla_Buffers_Agroinsumos[[#This Row],[CODIGO ]],TABLACONSOLIDADA[Bodega]&amp;TABLACONSOLIDADA[Codigo],0)),"")</f>
        <v/>
      </c>
      <c r="EL224" s="157" t="str">
        <f t="array" ref="EL224">IFERROR(INDEX(TABLACONSOLIDADA[Inv Fís Act],MATCH("AGROINSUMOSLAFINCA"&amp;Tabla_Buffers_Agroinsumos[[#This Row],[CODIGO ]],TABLACONSOLIDADA[Bodega]&amp;TABLACONSOLIDADA[Codigo],0)),"")</f>
        <v/>
      </c>
      <c r="EM224" s="157" t="str">
        <f t="array" ref="EM22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2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24" s="134">
        <f>IFERROR(SUM(Tabla_Buffers_Agroinsumos[[#This Row],[LF-MP]:[LF-VL]]),"")</f>
        <v>0</v>
      </c>
      <c r="EP224" s="92" t="str">
        <f>IFERROR(Tabla_Buffers_Agroinsumos[[#This Row],[INV FIS LF]]-Tabla_Buffers_Agroinsumos[[#This Row],[BUFFER LF]],"")</f>
        <v/>
      </c>
      <c r="EQ22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24" s="134"/>
      <c r="ES224" s="134"/>
      <c r="ET224" s="134"/>
      <c r="EU224" s="134"/>
      <c r="EV224" s="134"/>
      <c r="EW224" s="134"/>
      <c r="EX224" s="134"/>
      <c r="EY224" s="134"/>
      <c r="EZ224" s="134"/>
      <c r="FA224" s="134" t="str">
        <f t="array" ref="FA224">IFERROR(INDEX(TABLACONSOLIDADA[Buff Act],MATCH("AGROINSUMOSVERONICALEDESMA"&amp;Tabla_Buffers_Agroinsumos[[#This Row],[CODIGO ]],TABLACONSOLIDADA[Bodega]&amp;TABLACONSOLIDADA[Codigo],0)),"")</f>
        <v/>
      </c>
      <c r="FB224" s="157" t="str">
        <f t="array" ref="FB224">IFERROR(INDEX(TABLACONSOLIDADA[Inv Fís Act],MATCH("AGROINSUMOSVERONICALEDESMA"&amp;Tabla_Buffers_Agroinsumos[[#This Row],[CODIGO ]],TABLACONSOLIDADA[Bodega]&amp;TABLACONSOLIDADA[Codigo],0)),"")</f>
        <v/>
      </c>
      <c r="FC224" s="157" t="str">
        <f t="array" ref="FC22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2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24" s="134">
        <f>IFERROR(SUM(Tabla_Buffers_Agroinsumos[[#This Row],[VL-MP]:[VL-LF]]),"")</f>
        <v>0</v>
      </c>
      <c r="FF224" s="92" t="str">
        <f>IFERROR(Tabla_Buffers_Agroinsumos[[#This Row],[INV FIS VL]]-Tabla_Buffers_Agroinsumos[[#This Row],[BUFFER VL]],"")</f>
        <v/>
      </c>
      <c r="FG22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24" s="134"/>
      <c r="FI224" s="134"/>
      <c r="FJ224" s="134"/>
      <c r="FK224" s="134"/>
      <c r="FL224" s="134"/>
      <c r="FM224" s="134"/>
      <c r="FN224" s="134"/>
      <c r="FO224" s="134"/>
      <c r="FP224" s="134"/>
    </row>
    <row r="225" spans="1:172">
      <c r="A225" s="7" t="s">
        <v>399</v>
      </c>
      <c r="B225" s="7" t="s">
        <v>400</v>
      </c>
      <c r="C225" s="7" t="s">
        <v>716</v>
      </c>
      <c r="D225" s="7" t="s">
        <v>718</v>
      </c>
      <c r="E225" s="7" t="s">
        <v>863</v>
      </c>
      <c r="F225" s="19" t="s">
        <v>808</v>
      </c>
      <c r="G225" s="19" t="s">
        <v>802</v>
      </c>
      <c r="H225" s="19">
        <f>VLOOKUP(Tabla_Buffers_Agroinsumos[[#This Row],[CODIGO ]],TABLACONSOLIDADA[[Codigo]:[PV]],6,0)</f>
        <v>0</v>
      </c>
      <c r="I225" s="19">
        <f>VLOOKUP(Tabla_Buffers_Agroinsumos[[#This Row],[CODIGO ]],TABLACONSOLIDADA[[Codigo]:[PV]],5,0)</f>
        <v>0.12</v>
      </c>
      <c r="J225" s="19">
        <v>4</v>
      </c>
      <c r="K225" s="19">
        <v>6</v>
      </c>
      <c r="L225" s="19">
        <f>IFERROR(Tabla_Buffers_Agroinsumos[[#This Row],[BUFFER CENTRAL]]/((Tabla_Buffers_Agroinsumos[[#This Row],[TIEMPO REPOSICION ]]/Tabla_Buffers_Agroinsumos[[#This Row],[FRECUENCIA]])+1),0)</f>
        <v>0</v>
      </c>
      <c r="M225" s="19">
        <f t="array" ref="M225">IFERROR(INDEX(TABLACONSOLIDADA[Buff Act],MATCH("AGROINSUMOSMATERIAPRIMA"&amp;Tabla_Buffers_Agroinsumos[[#This Row],[CODIGO ]],TABLACONSOLIDADA[Bodega]&amp;TABLACONSOLIDADA[Codigo],0)),"")</f>
        <v>0</v>
      </c>
      <c r="N225" s="157">
        <f t="array" ref="N225">IFERROR(INDEX(TABLACONSOLIDADA[Inv Fís Act],MATCH("AGROINSUMOSMATERIAPRIMA"&amp;Tabla_Buffers_Agroinsumos[[#This Row],[CODIGO ]],TABLACONSOLIDADA[Bodega]&amp;TABLACONSOLIDADA[Codigo],0)),"")</f>
        <v>0</v>
      </c>
      <c r="O225" s="157">
        <f t="array" ref="O22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22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25" s="19">
        <f>IFERROR(SUM(Tabla_Buffers_Agroinsumos[[#This Row],[MP-C]:[MP-VL]]),"")</f>
        <v>0</v>
      </c>
      <c r="R225" s="92">
        <f>IFERROR(Tabla_Buffers_Agroinsumos[[#This Row],[INV FIS MATERIA PRIMA]]-Tabla_Buffers_Agroinsumos[[#This Row],[BUFFER MATERIA PRIMA]],"")</f>
        <v>0</v>
      </c>
      <c r="S22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225" s="19"/>
      <c r="U225" s="19"/>
      <c r="V225" s="19"/>
      <c r="W225" s="19"/>
      <c r="X225" s="19"/>
      <c r="Y225" s="19"/>
      <c r="Z225" s="19"/>
      <c r="AA225" s="19"/>
      <c r="AB225" s="19"/>
      <c r="AC225" s="152" t="str">
        <f t="array" ref="AC225">IFERROR(INDEX(TABLACONSOLIDADA[Buff Act],MATCH("AGROINSUMOSCENTRAL"&amp;Tabla_Buffers_Agroinsumos[[#This Row],[CODIGO ]],TABLACONSOLIDADA[Bodega]&amp;TABLACONSOLIDADA[Codigo],0)),"")</f>
        <v/>
      </c>
      <c r="AD225" s="157" t="str">
        <f t="array" ref="AD225">IFERROR(INDEX(TABLACONSOLIDADA[Inv Fís Act],MATCH("AGROINSUMOSCENTRAL"&amp;Tabla_Buffers_Agroinsumos[[#This Row],[CODIGO ]],TABLACONSOLIDADA[Bodega]&amp;TABLACONSOLIDADA[Codigo],0)),"")</f>
        <v/>
      </c>
      <c r="AE225" s="157" t="str">
        <f t="array" ref="AE22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2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25" s="91">
        <f>IFERROR(SUM(Tabla_Buffers_Agroinsumos[[#This Row],[C-MP]:[C-VL]]),"")</f>
        <v>0</v>
      </c>
      <c r="AH225" s="92" t="str">
        <f>IFERROR(Tabla_Buffers_Agroinsumos[[#This Row],[INV FIS CENTRAL]]-Tabla_Buffers_Agroinsumos[[#This Row],[BUFFER CENTRAL]],"")</f>
        <v/>
      </c>
      <c r="AI22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25" s="134"/>
      <c r="AK225" s="134"/>
      <c r="AL225" s="134"/>
      <c r="AM225" s="134"/>
      <c r="AN225" s="134"/>
      <c r="AO225" s="134"/>
      <c r="AP225" s="134"/>
      <c r="AQ225" s="134"/>
      <c r="AR225" s="134"/>
      <c r="AS225" s="134" t="str">
        <f t="array" ref="AS225">IFERROR(INDEX(TABLACONSOLIDADA[Buff Act],MATCH("AGROINSUMOScentralPROPIA"&amp;Tabla_Buffers_Agroinsumos[[#This Row],[CODIGO ]],TABLACONSOLIDADA[Bodega]&amp;TABLACONSOLIDADA[Codigo],0)),"")</f>
        <v/>
      </c>
      <c r="AT225" s="157" t="str">
        <f t="array" ref="AT225">IFERROR(INDEX(TABLACONSOLIDADA[Inv Fís Act],MATCH("AGROINSUMOScentralPROPIA"&amp;Tabla_Buffers_Agroinsumos[[#This Row],[CODIGO ]],TABLACONSOLIDADA[Bodega]&amp;TABLACONSOLIDADA[Codigo],0)),"")</f>
        <v/>
      </c>
      <c r="AU225" s="157" t="str">
        <f t="array" ref="AU22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2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25" s="134">
        <f>IFERROR(SUM(Tabla_Buffers_Agroinsumos[[#This Row],[P-MP]:[P-VL]]),"")</f>
        <v>0</v>
      </c>
      <c r="AX225" s="92" t="str">
        <f>IFERROR(Tabla_Buffers_Agroinsumos[[#This Row],[INV FIS PROPIA]]-Tabla_Buffers_Agroinsumos[[#This Row],[BUFFER PROPIA]],"")</f>
        <v/>
      </c>
      <c r="AY22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25" s="134"/>
      <c r="BA225" s="134"/>
      <c r="BB225" s="134"/>
      <c r="BC225" s="134"/>
      <c r="BD225" s="134"/>
      <c r="BE225" s="134"/>
      <c r="BF225" s="134"/>
      <c r="BG225" s="134"/>
      <c r="BH225" s="134"/>
      <c r="BI225" s="91" t="str">
        <f t="array" ref="BI225">IFERROR(INDEX(TABLACONSOLIDADA[Buff Act],MATCH("AGROINSUMOSSTODOMINGO"&amp;Tabla_Buffers_Agroinsumos[[#This Row],[CODIGO ]],TABLACONSOLIDADA[Bodega]&amp;TABLACONSOLIDADA[Codigo],0)),"")</f>
        <v/>
      </c>
      <c r="BJ225" s="157" t="str">
        <f t="array" ref="BJ225">IFERROR(INDEX(TABLACONSOLIDADA[Inv Fís Act],MATCH("AGROINSUMOSSTODOMINGO"&amp;Tabla_Buffers_Agroinsumos[[#This Row],[CODIGO ]],TABLACONSOLIDADA[Bodega]&amp;TABLACONSOLIDADA[Codigo],0)),"")</f>
        <v/>
      </c>
      <c r="BK225" s="157" t="str">
        <f t="array" ref="BK22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2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25" s="91">
        <f>IFERROR(SUM(Tabla_Buffers_Agroinsumos[[#This Row],[SD-MP]:[SD-VL]]),"")</f>
        <v>0</v>
      </c>
      <c r="BN225" s="92"/>
      <c r="BO225" s="92"/>
      <c r="BP225" s="134"/>
      <c r="BQ225" s="134"/>
      <c r="BR225" s="134"/>
      <c r="BS225" s="134"/>
      <c r="BT225" s="134"/>
      <c r="BU225" s="134"/>
      <c r="BV225" s="134"/>
      <c r="BW225" s="134"/>
      <c r="BX225" s="134"/>
      <c r="BY225" s="134" t="str">
        <f t="array" ref="BY225">IFERROR(INDEX(TABLACONSOLIDADA[Buff Act],MATCH("AGROINSUMOSMONCAYOLOPEZ"&amp;Tabla_Buffers_Agroinsumos[[#This Row],[CODIGO ]],TABLACONSOLIDADA[Bodega]&amp;TABLACONSOLIDADA[Codigo],0)),"")</f>
        <v/>
      </c>
      <c r="BZ225" s="157" t="str">
        <f t="array" ref="BZ225">IFERROR(INDEX(TABLACONSOLIDADA[Inv Fís Act],MATCH("AGROINSUMOSMONCAYOLOPEZ"&amp;Tabla_Buffers_Agroinsumos[[#This Row],[CODIGO ]],TABLACONSOLIDADA[Bodega]&amp;TABLACONSOLIDADA[Codigo],0)),"")</f>
        <v/>
      </c>
      <c r="CA225" s="157" t="str">
        <f t="array" ref="CA22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2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25" s="134">
        <f>IFERROR(SUM(Tabla_Buffers_Agroinsumos[[#This Row],[ML-MP]:[ML-VL]]),"")</f>
        <v>0</v>
      </c>
      <c r="CD225" s="92" t="str">
        <f>IFERROR(Tabla_Buffers_Agroinsumos[[#This Row],[INV FIS ML]]-Tabla_Buffers_Agroinsumos[[#This Row],[BUFFER ML]],"")</f>
        <v/>
      </c>
      <c r="CE22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25" s="134"/>
      <c r="CG225" s="134"/>
      <c r="CH225" s="134"/>
      <c r="CI225" s="134"/>
      <c r="CJ225" s="134"/>
      <c r="CK225" s="134"/>
      <c r="CL225" s="134"/>
      <c r="CM225" s="134"/>
      <c r="CN225" s="134"/>
      <c r="CO225" s="134" t="str">
        <f t="array" ref="CO225">IFERROR(INDEX(TABLACONSOLIDADA[Buff Act],MATCH("AGROINSUMOSAGROHERMANOSLEON"&amp;Tabla_Buffers_Agroinsumos[[#This Row],[CODIGO ]],TABLACONSOLIDADA[Bodega]&amp;TABLACONSOLIDADA[Codigo],0)),"")</f>
        <v/>
      </c>
      <c r="CP225" s="157" t="str">
        <f t="array" ref="CP225">IFERROR(INDEX(TABLACONSOLIDADA[Inv Fís Act],MATCH("AGROINSUMOSAGROHERMANOSLEON"&amp;Tabla_Buffers_Agroinsumos[[#This Row],[CODIGO ]],TABLACONSOLIDADA[Bodega]&amp;TABLACONSOLIDADA[Codigo],0)),"")</f>
        <v/>
      </c>
      <c r="CQ225" s="157" t="str">
        <f t="array" ref="CQ22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2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25" s="134">
        <f>IFERROR(SUM(Tabla_Buffers_Agroinsumos[[#This Row],[AL-MP]:[AL-VL]]),"")</f>
        <v>0</v>
      </c>
      <c r="CT225" s="92" t="str">
        <f>IFERROR(Tabla_Buffers_Agroinsumos[[#This Row],[INV FIS AL]]-Tabla_Buffers_Agroinsumos[[#This Row],[BUFFER AL]],"")</f>
        <v/>
      </c>
      <c r="CU22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25" s="134"/>
      <c r="CW225" s="134"/>
      <c r="CX225" s="134"/>
      <c r="CY225" s="134"/>
      <c r="CZ225" s="134"/>
      <c r="DA225" s="134"/>
      <c r="DB225" s="134"/>
      <c r="DC225" s="134"/>
      <c r="DD225" s="134"/>
      <c r="DE225" s="134" t="str">
        <f t="array" ref="DE225">IFERROR(INDEX(TABLACONSOLIDADA[Buff Act],MATCH("AGROINSUMOSAGRONUEVO"&amp;Tabla_Buffers_Agroinsumos[[#This Row],[CODIGO ]],TABLACONSOLIDADA[Bodega]&amp;TABLACONSOLIDADA[Codigo],0)),"")</f>
        <v/>
      </c>
      <c r="DF225" s="157" t="str">
        <f t="array" ref="DF225">IFERROR(INDEX(TABLACONSOLIDADA[Inv Fís Act],MATCH("AGROINSUMOSAGRONUEVO"&amp;Tabla_Buffers_Agroinsumos[[#This Row],[CODIGO ]],TABLACONSOLIDADA[Bodega]&amp;TABLACONSOLIDADA[Codigo],0)),"")</f>
        <v/>
      </c>
      <c r="DG225" s="157" t="str">
        <f t="array" ref="DG22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2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25" s="134">
        <f>IFERROR(SUM(Tabla_Buffers_Agroinsumos[[#This Row],[AN-MP]:[AN-VL]]),"")</f>
        <v>0</v>
      </c>
      <c r="DJ225" s="92" t="str">
        <f>IFERROR(Tabla_Buffers_Agroinsumos[[#This Row],[INV FIS AN]]-Tabla_Buffers_Agroinsumos[[#This Row],[BUFFER AN]],"")</f>
        <v/>
      </c>
      <c r="DK22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25" s="134"/>
      <c r="DM225" s="134"/>
      <c r="DN225" s="134"/>
      <c r="DO225" s="134"/>
      <c r="DP225" s="134"/>
      <c r="DQ225" s="134"/>
      <c r="DR225" s="134"/>
      <c r="DS225" s="134"/>
      <c r="DT225" s="134"/>
      <c r="DU225" s="134" t="str">
        <f t="array" ref="DU225">IFERROR(INDEX(TABLACONSOLIDADA[Buff Act],MATCH("AGROINSUMOSAGROQUIMICOSSUR"&amp;Tabla_Buffers_Agroinsumos[[#This Row],[CODIGO ]],TABLACONSOLIDADA[Bodega]&amp;TABLACONSOLIDADA[Codigo],0)),"")</f>
        <v/>
      </c>
      <c r="DV225" s="157" t="str">
        <f t="array" ref="DV225">IFERROR(INDEX(TABLACONSOLIDADA[Inv Fís Act],MATCH("AGROINSUMOSAGROQUIMICOSSUR"&amp;Tabla_Buffers_Agroinsumos[[#This Row],[CODIGO ]],TABLACONSOLIDADA[Bodega]&amp;TABLACONSOLIDADA[Codigo],0)),"")</f>
        <v/>
      </c>
      <c r="DW225" s="157" t="str">
        <f t="array" ref="DW22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2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25" s="134">
        <f>IFERROR(SUM(Tabla_Buffers_Agroinsumos[[#This Row],[AS-MP]:[AS-VL]]),"")</f>
        <v>0</v>
      </c>
      <c r="DZ225" s="92" t="str">
        <f>IFERROR(Tabla_Buffers_Agroinsumos[[#This Row],[INV FIS AS]]-Tabla_Buffers_Agroinsumos[[#This Row],[BUFFER AS]],"")</f>
        <v/>
      </c>
      <c r="EA22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25" s="134"/>
      <c r="EC225" s="134"/>
      <c r="ED225" s="134"/>
      <c r="EE225" s="134"/>
      <c r="EF225" s="134"/>
      <c r="EG225" s="134"/>
      <c r="EH225" s="134"/>
      <c r="EI225" s="134"/>
      <c r="EJ225" s="134"/>
      <c r="EK225" s="134" t="str">
        <f t="array" ref="EK225">IFERROR(INDEX(TABLACONSOLIDADA[Buff Act],MATCH("AGROINSUMOSLAFINCA"&amp;Tabla_Buffers_Agroinsumos[[#This Row],[CODIGO ]],TABLACONSOLIDADA[Bodega]&amp;TABLACONSOLIDADA[Codigo],0)),"")</f>
        <v/>
      </c>
      <c r="EL225" s="157" t="str">
        <f t="array" ref="EL225">IFERROR(INDEX(TABLACONSOLIDADA[Inv Fís Act],MATCH("AGROINSUMOSLAFINCA"&amp;Tabla_Buffers_Agroinsumos[[#This Row],[CODIGO ]],TABLACONSOLIDADA[Bodega]&amp;TABLACONSOLIDADA[Codigo],0)),"")</f>
        <v/>
      </c>
      <c r="EM225" s="157" t="str">
        <f t="array" ref="EM22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2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25" s="134">
        <f>IFERROR(SUM(Tabla_Buffers_Agroinsumos[[#This Row],[LF-MP]:[LF-VL]]),"")</f>
        <v>0</v>
      </c>
      <c r="EP225" s="92" t="str">
        <f>IFERROR(Tabla_Buffers_Agroinsumos[[#This Row],[INV FIS LF]]-Tabla_Buffers_Agroinsumos[[#This Row],[BUFFER LF]],"")</f>
        <v/>
      </c>
      <c r="EQ22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25" s="134"/>
      <c r="ES225" s="134"/>
      <c r="ET225" s="134"/>
      <c r="EU225" s="134"/>
      <c r="EV225" s="134"/>
      <c r="EW225" s="134"/>
      <c r="EX225" s="134"/>
      <c r="EY225" s="134"/>
      <c r="EZ225" s="134"/>
      <c r="FA225" s="134" t="str">
        <f t="array" ref="FA225">IFERROR(INDEX(TABLACONSOLIDADA[Buff Act],MATCH("AGROINSUMOSVERONICALEDESMA"&amp;Tabla_Buffers_Agroinsumos[[#This Row],[CODIGO ]],TABLACONSOLIDADA[Bodega]&amp;TABLACONSOLIDADA[Codigo],0)),"")</f>
        <v/>
      </c>
      <c r="FB225" s="157" t="str">
        <f t="array" ref="FB225">IFERROR(INDEX(TABLACONSOLIDADA[Inv Fís Act],MATCH("AGROINSUMOSVERONICALEDESMA"&amp;Tabla_Buffers_Agroinsumos[[#This Row],[CODIGO ]],TABLACONSOLIDADA[Bodega]&amp;TABLACONSOLIDADA[Codigo],0)),"")</f>
        <v/>
      </c>
      <c r="FC225" s="157" t="str">
        <f t="array" ref="FC22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2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25" s="134">
        <f>IFERROR(SUM(Tabla_Buffers_Agroinsumos[[#This Row],[VL-MP]:[VL-LF]]),"")</f>
        <v>0</v>
      </c>
      <c r="FF225" s="92" t="str">
        <f>IFERROR(Tabla_Buffers_Agroinsumos[[#This Row],[INV FIS VL]]-Tabla_Buffers_Agroinsumos[[#This Row],[BUFFER VL]],"")</f>
        <v/>
      </c>
      <c r="FG22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25" s="134"/>
      <c r="FI225" s="134"/>
      <c r="FJ225" s="134"/>
      <c r="FK225" s="134"/>
      <c r="FL225" s="134"/>
      <c r="FM225" s="134"/>
      <c r="FN225" s="134"/>
      <c r="FO225" s="134"/>
      <c r="FP225" s="134"/>
    </row>
    <row r="226" spans="1:172">
      <c r="A226" s="7" t="s">
        <v>401</v>
      </c>
      <c r="B226" s="7" t="s">
        <v>402</v>
      </c>
      <c r="C226" s="7" t="s">
        <v>716</v>
      </c>
      <c r="D226" s="7" t="s">
        <v>718</v>
      </c>
      <c r="E226" s="7" t="s">
        <v>863</v>
      </c>
      <c r="F226" s="19" t="s">
        <v>808</v>
      </c>
      <c r="G226" s="19" t="s">
        <v>802</v>
      </c>
      <c r="H226" s="19">
        <f>VLOOKUP(Tabla_Buffers_Agroinsumos[[#This Row],[CODIGO ]],TABLACONSOLIDADA[[Codigo]:[PV]],6,0)</f>
        <v>0</v>
      </c>
      <c r="I226" s="19">
        <f>VLOOKUP(Tabla_Buffers_Agroinsumos[[#This Row],[CODIGO ]],TABLACONSOLIDADA[[Codigo]:[PV]],5,0)</f>
        <v>0.25</v>
      </c>
      <c r="J226" s="19">
        <v>4</v>
      </c>
      <c r="K226" s="19">
        <v>6</v>
      </c>
      <c r="L226" s="19">
        <f>IFERROR(Tabla_Buffers_Agroinsumos[[#This Row],[BUFFER CENTRAL]]/((Tabla_Buffers_Agroinsumos[[#This Row],[TIEMPO REPOSICION ]]/Tabla_Buffers_Agroinsumos[[#This Row],[FRECUENCIA]])+1),0)</f>
        <v>0</v>
      </c>
      <c r="M226" s="19">
        <f t="array" ref="M226">IFERROR(INDEX(TABLACONSOLIDADA[Buff Act],MATCH("AGROINSUMOSMATERIAPRIMA"&amp;Tabla_Buffers_Agroinsumos[[#This Row],[CODIGO ]],TABLACONSOLIDADA[Bodega]&amp;TABLACONSOLIDADA[Codigo],0)),"")</f>
        <v>0</v>
      </c>
      <c r="N226" s="157">
        <f t="array" ref="N226">IFERROR(INDEX(TABLACONSOLIDADA[Inv Fís Act],MATCH("AGROINSUMOSMATERIAPRIMA"&amp;Tabla_Buffers_Agroinsumos[[#This Row],[CODIGO ]],TABLACONSOLIDADA[Bodega]&amp;TABLACONSOLIDADA[Codigo],0)),"")</f>
        <v>0</v>
      </c>
      <c r="O226" s="157">
        <f t="array" ref="O22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22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26" s="19">
        <f>IFERROR(SUM(Tabla_Buffers_Agroinsumos[[#This Row],[MP-C]:[MP-VL]]),"")</f>
        <v>0</v>
      </c>
      <c r="R226" s="92">
        <f>IFERROR(Tabla_Buffers_Agroinsumos[[#This Row],[INV FIS MATERIA PRIMA]]-Tabla_Buffers_Agroinsumos[[#This Row],[BUFFER MATERIA PRIMA]],"")</f>
        <v>0</v>
      </c>
      <c r="S22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226" s="19"/>
      <c r="U226" s="19"/>
      <c r="V226" s="19"/>
      <c r="W226" s="19"/>
      <c r="X226" s="19"/>
      <c r="Y226" s="19"/>
      <c r="Z226" s="19"/>
      <c r="AA226" s="19"/>
      <c r="AB226" s="19"/>
      <c r="AC226" s="152" t="str">
        <f t="array" ref="AC226">IFERROR(INDEX(TABLACONSOLIDADA[Buff Act],MATCH("AGROINSUMOSCENTRAL"&amp;Tabla_Buffers_Agroinsumos[[#This Row],[CODIGO ]],TABLACONSOLIDADA[Bodega]&amp;TABLACONSOLIDADA[Codigo],0)),"")</f>
        <v/>
      </c>
      <c r="AD226" s="157" t="str">
        <f t="array" ref="AD226">IFERROR(INDEX(TABLACONSOLIDADA[Inv Fís Act],MATCH("AGROINSUMOSCENTRAL"&amp;Tabla_Buffers_Agroinsumos[[#This Row],[CODIGO ]],TABLACONSOLIDADA[Bodega]&amp;TABLACONSOLIDADA[Codigo],0)),"")</f>
        <v/>
      </c>
      <c r="AE226" s="157" t="str">
        <f t="array" ref="AE22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2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26" s="91">
        <f>IFERROR(SUM(Tabla_Buffers_Agroinsumos[[#This Row],[C-MP]:[C-VL]]),"")</f>
        <v>0</v>
      </c>
      <c r="AH226" s="92" t="str">
        <f>IFERROR(Tabla_Buffers_Agroinsumos[[#This Row],[INV FIS CENTRAL]]-Tabla_Buffers_Agroinsumos[[#This Row],[BUFFER CENTRAL]],"")</f>
        <v/>
      </c>
      <c r="AI22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26" s="134"/>
      <c r="AK226" s="134"/>
      <c r="AL226" s="134"/>
      <c r="AM226" s="134"/>
      <c r="AN226" s="134"/>
      <c r="AO226" s="134"/>
      <c r="AP226" s="134"/>
      <c r="AQ226" s="134"/>
      <c r="AR226" s="134"/>
      <c r="AS226" s="134" t="str">
        <f t="array" ref="AS226">IFERROR(INDEX(TABLACONSOLIDADA[Buff Act],MATCH("AGROINSUMOScentralPROPIA"&amp;Tabla_Buffers_Agroinsumos[[#This Row],[CODIGO ]],TABLACONSOLIDADA[Bodega]&amp;TABLACONSOLIDADA[Codigo],0)),"")</f>
        <v/>
      </c>
      <c r="AT226" s="157" t="str">
        <f t="array" ref="AT226">IFERROR(INDEX(TABLACONSOLIDADA[Inv Fís Act],MATCH("AGROINSUMOScentralPROPIA"&amp;Tabla_Buffers_Agroinsumos[[#This Row],[CODIGO ]],TABLACONSOLIDADA[Bodega]&amp;TABLACONSOLIDADA[Codigo],0)),"")</f>
        <v/>
      </c>
      <c r="AU226" s="157" t="str">
        <f t="array" ref="AU22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2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26" s="134">
        <f>IFERROR(SUM(Tabla_Buffers_Agroinsumos[[#This Row],[P-MP]:[P-VL]]),"")</f>
        <v>0</v>
      </c>
      <c r="AX226" s="92" t="str">
        <f>IFERROR(Tabla_Buffers_Agroinsumos[[#This Row],[INV FIS PROPIA]]-Tabla_Buffers_Agroinsumos[[#This Row],[BUFFER PROPIA]],"")</f>
        <v/>
      </c>
      <c r="AY22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26" s="134"/>
      <c r="BA226" s="134"/>
      <c r="BB226" s="134"/>
      <c r="BC226" s="134"/>
      <c r="BD226" s="134"/>
      <c r="BE226" s="134"/>
      <c r="BF226" s="134"/>
      <c r="BG226" s="134"/>
      <c r="BH226" s="134"/>
      <c r="BI226" s="91" t="str">
        <f t="array" ref="BI226">IFERROR(INDEX(TABLACONSOLIDADA[Buff Act],MATCH("AGROINSUMOSSTODOMINGO"&amp;Tabla_Buffers_Agroinsumos[[#This Row],[CODIGO ]],TABLACONSOLIDADA[Bodega]&amp;TABLACONSOLIDADA[Codigo],0)),"")</f>
        <v/>
      </c>
      <c r="BJ226" s="157" t="str">
        <f t="array" ref="BJ226">IFERROR(INDEX(TABLACONSOLIDADA[Inv Fís Act],MATCH("AGROINSUMOSSTODOMINGO"&amp;Tabla_Buffers_Agroinsumos[[#This Row],[CODIGO ]],TABLACONSOLIDADA[Bodega]&amp;TABLACONSOLIDADA[Codigo],0)),"")</f>
        <v/>
      </c>
      <c r="BK226" s="157" t="str">
        <f t="array" ref="BK22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2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26" s="91">
        <f>IFERROR(SUM(Tabla_Buffers_Agroinsumos[[#This Row],[SD-MP]:[SD-VL]]),"")</f>
        <v>0</v>
      </c>
      <c r="BN226" s="92"/>
      <c r="BO226" s="92"/>
      <c r="BP226" s="134"/>
      <c r="BQ226" s="134"/>
      <c r="BR226" s="134"/>
      <c r="BS226" s="134"/>
      <c r="BT226" s="134"/>
      <c r="BU226" s="134"/>
      <c r="BV226" s="134"/>
      <c r="BW226" s="134"/>
      <c r="BX226" s="134"/>
      <c r="BY226" s="134" t="str">
        <f t="array" ref="BY226">IFERROR(INDEX(TABLACONSOLIDADA[Buff Act],MATCH("AGROINSUMOSMONCAYOLOPEZ"&amp;Tabla_Buffers_Agroinsumos[[#This Row],[CODIGO ]],TABLACONSOLIDADA[Bodega]&amp;TABLACONSOLIDADA[Codigo],0)),"")</f>
        <v/>
      </c>
      <c r="BZ226" s="157" t="str">
        <f t="array" ref="BZ226">IFERROR(INDEX(TABLACONSOLIDADA[Inv Fís Act],MATCH("AGROINSUMOSMONCAYOLOPEZ"&amp;Tabla_Buffers_Agroinsumos[[#This Row],[CODIGO ]],TABLACONSOLIDADA[Bodega]&amp;TABLACONSOLIDADA[Codigo],0)),"")</f>
        <v/>
      </c>
      <c r="CA226" s="157" t="str">
        <f t="array" ref="CA22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2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26" s="134">
        <f>IFERROR(SUM(Tabla_Buffers_Agroinsumos[[#This Row],[ML-MP]:[ML-VL]]),"")</f>
        <v>0</v>
      </c>
      <c r="CD226" s="92" t="str">
        <f>IFERROR(Tabla_Buffers_Agroinsumos[[#This Row],[INV FIS ML]]-Tabla_Buffers_Agroinsumos[[#This Row],[BUFFER ML]],"")</f>
        <v/>
      </c>
      <c r="CE22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26" s="134"/>
      <c r="CG226" s="134"/>
      <c r="CH226" s="134"/>
      <c r="CI226" s="134"/>
      <c r="CJ226" s="134"/>
      <c r="CK226" s="134"/>
      <c r="CL226" s="134"/>
      <c r="CM226" s="134"/>
      <c r="CN226" s="134"/>
      <c r="CO226" s="134" t="str">
        <f t="array" ref="CO226">IFERROR(INDEX(TABLACONSOLIDADA[Buff Act],MATCH("AGROINSUMOSAGROHERMANOSLEON"&amp;Tabla_Buffers_Agroinsumos[[#This Row],[CODIGO ]],TABLACONSOLIDADA[Bodega]&amp;TABLACONSOLIDADA[Codigo],0)),"")</f>
        <v/>
      </c>
      <c r="CP226" s="157" t="str">
        <f t="array" ref="CP226">IFERROR(INDEX(TABLACONSOLIDADA[Inv Fís Act],MATCH("AGROINSUMOSAGROHERMANOSLEON"&amp;Tabla_Buffers_Agroinsumos[[#This Row],[CODIGO ]],TABLACONSOLIDADA[Bodega]&amp;TABLACONSOLIDADA[Codigo],0)),"")</f>
        <v/>
      </c>
      <c r="CQ226" s="157" t="str">
        <f t="array" ref="CQ22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2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26" s="134">
        <f>IFERROR(SUM(Tabla_Buffers_Agroinsumos[[#This Row],[AL-MP]:[AL-VL]]),"")</f>
        <v>0</v>
      </c>
      <c r="CT226" s="92" t="str">
        <f>IFERROR(Tabla_Buffers_Agroinsumos[[#This Row],[INV FIS AL]]-Tabla_Buffers_Agroinsumos[[#This Row],[BUFFER AL]],"")</f>
        <v/>
      </c>
      <c r="CU22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26" s="134"/>
      <c r="CW226" s="134"/>
      <c r="CX226" s="134"/>
      <c r="CY226" s="134"/>
      <c r="CZ226" s="134"/>
      <c r="DA226" s="134"/>
      <c r="DB226" s="134"/>
      <c r="DC226" s="134"/>
      <c r="DD226" s="134"/>
      <c r="DE226" s="134" t="str">
        <f t="array" ref="DE226">IFERROR(INDEX(TABLACONSOLIDADA[Buff Act],MATCH("AGROINSUMOSAGRONUEVO"&amp;Tabla_Buffers_Agroinsumos[[#This Row],[CODIGO ]],TABLACONSOLIDADA[Bodega]&amp;TABLACONSOLIDADA[Codigo],0)),"")</f>
        <v/>
      </c>
      <c r="DF226" s="157" t="str">
        <f t="array" ref="DF226">IFERROR(INDEX(TABLACONSOLIDADA[Inv Fís Act],MATCH("AGROINSUMOSAGRONUEVO"&amp;Tabla_Buffers_Agroinsumos[[#This Row],[CODIGO ]],TABLACONSOLIDADA[Bodega]&amp;TABLACONSOLIDADA[Codigo],0)),"")</f>
        <v/>
      </c>
      <c r="DG226" s="157" t="str">
        <f t="array" ref="DG22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2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26" s="134">
        <f>IFERROR(SUM(Tabla_Buffers_Agroinsumos[[#This Row],[AN-MP]:[AN-VL]]),"")</f>
        <v>0</v>
      </c>
      <c r="DJ226" s="92" t="str">
        <f>IFERROR(Tabla_Buffers_Agroinsumos[[#This Row],[INV FIS AN]]-Tabla_Buffers_Agroinsumos[[#This Row],[BUFFER AN]],"")</f>
        <v/>
      </c>
      <c r="DK22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26" s="134"/>
      <c r="DM226" s="134"/>
      <c r="DN226" s="134"/>
      <c r="DO226" s="134"/>
      <c r="DP226" s="134"/>
      <c r="DQ226" s="134"/>
      <c r="DR226" s="134"/>
      <c r="DS226" s="134"/>
      <c r="DT226" s="134"/>
      <c r="DU226" s="134" t="str">
        <f t="array" ref="DU226">IFERROR(INDEX(TABLACONSOLIDADA[Buff Act],MATCH("AGROINSUMOSAGROQUIMICOSSUR"&amp;Tabla_Buffers_Agroinsumos[[#This Row],[CODIGO ]],TABLACONSOLIDADA[Bodega]&amp;TABLACONSOLIDADA[Codigo],0)),"")</f>
        <v/>
      </c>
      <c r="DV226" s="157" t="str">
        <f t="array" ref="DV226">IFERROR(INDEX(TABLACONSOLIDADA[Inv Fís Act],MATCH("AGROINSUMOSAGROQUIMICOSSUR"&amp;Tabla_Buffers_Agroinsumos[[#This Row],[CODIGO ]],TABLACONSOLIDADA[Bodega]&amp;TABLACONSOLIDADA[Codigo],0)),"")</f>
        <v/>
      </c>
      <c r="DW226" s="157" t="str">
        <f t="array" ref="DW22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2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26" s="134">
        <f>IFERROR(SUM(Tabla_Buffers_Agroinsumos[[#This Row],[AS-MP]:[AS-VL]]),"")</f>
        <v>0</v>
      </c>
      <c r="DZ226" s="92" t="str">
        <f>IFERROR(Tabla_Buffers_Agroinsumos[[#This Row],[INV FIS AS]]-Tabla_Buffers_Agroinsumos[[#This Row],[BUFFER AS]],"")</f>
        <v/>
      </c>
      <c r="EA22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26" s="134"/>
      <c r="EC226" s="134"/>
      <c r="ED226" s="134"/>
      <c r="EE226" s="134"/>
      <c r="EF226" s="134"/>
      <c r="EG226" s="134"/>
      <c r="EH226" s="134"/>
      <c r="EI226" s="134"/>
      <c r="EJ226" s="134"/>
      <c r="EK226" s="134" t="str">
        <f t="array" ref="EK226">IFERROR(INDEX(TABLACONSOLIDADA[Buff Act],MATCH("AGROINSUMOSLAFINCA"&amp;Tabla_Buffers_Agroinsumos[[#This Row],[CODIGO ]],TABLACONSOLIDADA[Bodega]&amp;TABLACONSOLIDADA[Codigo],0)),"")</f>
        <v/>
      </c>
      <c r="EL226" s="157" t="str">
        <f t="array" ref="EL226">IFERROR(INDEX(TABLACONSOLIDADA[Inv Fís Act],MATCH("AGROINSUMOSLAFINCA"&amp;Tabla_Buffers_Agroinsumos[[#This Row],[CODIGO ]],TABLACONSOLIDADA[Bodega]&amp;TABLACONSOLIDADA[Codigo],0)),"")</f>
        <v/>
      </c>
      <c r="EM226" s="157" t="str">
        <f t="array" ref="EM22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2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26" s="134">
        <f>IFERROR(SUM(Tabla_Buffers_Agroinsumos[[#This Row],[LF-MP]:[LF-VL]]),"")</f>
        <v>0</v>
      </c>
      <c r="EP226" s="92" t="str">
        <f>IFERROR(Tabla_Buffers_Agroinsumos[[#This Row],[INV FIS LF]]-Tabla_Buffers_Agroinsumos[[#This Row],[BUFFER LF]],"")</f>
        <v/>
      </c>
      <c r="EQ22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26" s="134"/>
      <c r="ES226" s="134"/>
      <c r="ET226" s="134"/>
      <c r="EU226" s="134"/>
      <c r="EV226" s="134"/>
      <c r="EW226" s="134"/>
      <c r="EX226" s="134"/>
      <c r="EY226" s="134"/>
      <c r="EZ226" s="134"/>
      <c r="FA226" s="134" t="str">
        <f t="array" ref="FA226">IFERROR(INDEX(TABLACONSOLIDADA[Buff Act],MATCH("AGROINSUMOSVERONICALEDESMA"&amp;Tabla_Buffers_Agroinsumos[[#This Row],[CODIGO ]],TABLACONSOLIDADA[Bodega]&amp;TABLACONSOLIDADA[Codigo],0)),"")</f>
        <v/>
      </c>
      <c r="FB226" s="157" t="str">
        <f t="array" ref="FB226">IFERROR(INDEX(TABLACONSOLIDADA[Inv Fís Act],MATCH("AGROINSUMOSVERONICALEDESMA"&amp;Tabla_Buffers_Agroinsumos[[#This Row],[CODIGO ]],TABLACONSOLIDADA[Bodega]&amp;TABLACONSOLIDADA[Codigo],0)),"")</f>
        <v/>
      </c>
      <c r="FC226" s="157" t="str">
        <f t="array" ref="FC22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2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26" s="134">
        <f>IFERROR(SUM(Tabla_Buffers_Agroinsumos[[#This Row],[VL-MP]:[VL-LF]]),"")</f>
        <v>0</v>
      </c>
      <c r="FF226" s="92" t="str">
        <f>IFERROR(Tabla_Buffers_Agroinsumos[[#This Row],[INV FIS VL]]-Tabla_Buffers_Agroinsumos[[#This Row],[BUFFER VL]],"")</f>
        <v/>
      </c>
      <c r="FG22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26" s="134"/>
      <c r="FI226" s="134"/>
      <c r="FJ226" s="134"/>
      <c r="FK226" s="134"/>
      <c r="FL226" s="134"/>
      <c r="FM226" s="134"/>
      <c r="FN226" s="134"/>
      <c r="FO226" s="134"/>
      <c r="FP226" s="134"/>
    </row>
    <row r="227" spans="1:172">
      <c r="A227" s="7" t="s">
        <v>403</v>
      </c>
      <c r="B227" s="7" t="s">
        <v>404</v>
      </c>
      <c r="C227" s="7" t="s">
        <v>716</v>
      </c>
      <c r="D227" s="7" t="s">
        <v>718</v>
      </c>
      <c r="E227" s="7" t="s">
        <v>863</v>
      </c>
      <c r="F227" s="19" t="s">
        <v>808</v>
      </c>
      <c r="G227" s="19" t="s">
        <v>802</v>
      </c>
      <c r="H227" s="19">
        <f>VLOOKUP(Tabla_Buffers_Agroinsumos[[#This Row],[CODIGO ]],TABLACONSOLIDADA[[Codigo]:[PV]],6,0)</f>
        <v>0</v>
      </c>
      <c r="I227" s="19">
        <f>VLOOKUP(Tabla_Buffers_Agroinsumos[[#This Row],[CODIGO ]],TABLACONSOLIDADA[[Codigo]:[PV]],5,0)</f>
        <v>0.17</v>
      </c>
      <c r="J227" s="19">
        <v>4</v>
      </c>
      <c r="K227" s="19">
        <v>6</v>
      </c>
      <c r="L227" s="19">
        <f>IFERROR(Tabla_Buffers_Agroinsumos[[#This Row],[BUFFER CENTRAL]]/((Tabla_Buffers_Agroinsumos[[#This Row],[TIEMPO REPOSICION ]]/Tabla_Buffers_Agroinsumos[[#This Row],[FRECUENCIA]])+1),0)</f>
        <v>0</v>
      </c>
      <c r="M227" s="19">
        <f t="array" ref="M227">IFERROR(INDEX(TABLACONSOLIDADA[Buff Act],MATCH("AGROINSUMOSMATERIAPRIMA"&amp;Tabla_Buffers_Agroinsumos[[#This Row],[CODIGO ]],TABLACONSOLIDADA[Bodega]&amp;TABLACONSOLIDADA[Codigo],0)),"")</f>
        <v>800</v>
      </c>
      <c r="N227" s="157">
        <f t="array" ref="N227">IFERROR(INDEX(TABLACONSOLIDADA[Inv Fís Act],MATCH("AGROINSUMOSMATERIAPRIMA"&amp;Tabla_Buffers_Agroinsumos[[#This Row],[CODIGO ]],TABLACONSOLIDADA[Bodega]&amp;TABLACONSOLIDADA[Codigo],0)),"")</f>
        <v>787</v>
      </c>
      <c r="O227" s="157">
        <f t="array" ref="O22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787</v>
      </c>
      <c r="P22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27" s="19">
        <f>IFERROR(SUM(Tabla_Buffers_Agroinsumos[[#This Row],[MP-C]:[MP-VL]]),"")</f>
        <v>0</v>
      </c>
      <c r="R227" s="92">
        <f>IFERROR(Tabla_Buffers_Agroinsumos[[#This Row],[INV FIS MATERIA PRIMA]]-Tabla_Buffers_Agroinsumos[[#This Row],[BUFFER MATERIA PRIMA]],"")</f>
        <v>-13</v>
      </c>
      <c r="S22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-13</v>
      </c>
      <c r="T227" s="19"/>
      <c r="U227" s="19"/>
      <c r="V227" s="19"/>
      <c r="W227" s="19"/>
      <c r="X227" s="19"/>
      <c r="Y227" s="19"/>
      <c r="Z227" s="19"/>
      <c r="AA227" s="19"/>
      <c r="AB227" s="19"/>
      <c r="AC227" s="152" t="str">
        <f t="array" ref="AC227">IFERROR(INDEX(TABLACONSOLIDADA[Buff Act],MATCH("AGROINSUMOSCENTRAL"&amp;Tabla_Buffers_Agroinsumos[[#This Row],[CODIGO ]],TABLACONSOLIDADA[Bodega]&amp;TABLACONSOLIDADA[Codigo],0)),"")</f>
        <v/>
      </c>
      <c r="AD227" s="157" t="str">
        <f t="array" ref="AD227">IFERROR(INDEX(TABLACONSOLIDADA[Inv Fís Act],MATCH("AGROINSUMOSCENTRAL"&amp;Tabla_Buffers_Agroinsumos[[#This Row],[CODIGO ]],TABLACONSOLIDADA[Bodega]&amp;TABLACONSOLIDADA[Codigo],0)),"")</f>
        <v/>
      </c>
      <c r="AE227" s="157" t="str">
        <f t="array" ref="AE22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2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27" s="91">
        <f>IFERROR(SUM(Tabla_Buffers_Agroinsumos[[#This Row],[C-MP]:[C-VL]]),"")</f>
        <v>0</v>
      </c>
      <c r="AH227" s="92" t="str">
        <f>IFERROR(Tabla_Buffers_Agroinsumos[[#This Row],[INV FIS CENTRAL]]-Tabla_Buffers_Agroinsumos[[#This Row],[BUFFER CENTRAL]],"")</f>
        <v/>
      </c>
      <c r="AI22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27" s="134"/>
      <c r="AK227" s="134"/>
      <c r="AL227" s="134"/>
      <c r="AM227" s="134"/>
      <c r="AN227" s="134"/>
      <c r="AO227" s="134"/>
      <c r="AP227" s="134"/>
      <c r="AQ227" s="134"/>
      <c r="AR227" s="134"/>
      <c r="AS227" s="134" t="str">
        <f t="array" ref="AS227">IFERROR(INDEX(TABLACONSOLIDADA[Buff Act],MATCH("AGROINSUMOScentralPROPIA"&amp;Tabla_Buffers_Agroinsumos[[#This Row],[CODIGO ]],TABLACONSOLIDADA[Bodega]&amp;TABLACONSOLIDADA[Codigo],0)),"")</f>
        <v/>
      </c>
      <c r="AT227" s="157" t="str">
        <f t="array" ref="AT227">IFERROR(INDEX(TABLACONSOLIDADA[Inv Fís Act],MATCH("AGROINSUMOScentralPROPIA"&amp;Tabla_Buffers_Agroinsumos[[#This Row],[CODIGO ]],TABLACONSOLIDADA[Bodega]&amp;TABLACONSOLIDADA[Codigo],0)),"")</f>
        <v/>
      </c>
      <c r="AU227" s="157" t="str">
        <f t="array" ref="AU22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2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27" s="134">
        <f>IFERROR(SUM(Tabla_Buffers_Agroinsumos[[#This Row],[P-MP]:[P-VL]]),"")</f>
        <v>0</v>
      </c>
      <c r="AX227" s="92" t="str">
        <f>IFERROR(Tabla_Buffers_Agroinsumos[[#This Row],[INV FIS PROPIA]]-Tabla_Buffers_Agroinsumos[[#This Row],[BUFFER PROPIA]],"")</f>
        <v/>
      </c>
      <c r="AY22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27" s="134"/>
      <c r="BA227" s="134"/>
      <c r="BB227" s="134"/>
      <c r="BC227" s="134"/>
      <c r="BD227" s="134"/>
      <c r="BE227" s="134"/>
      <c r="BF227" s="134"/>
      <c r="BG227" s="134"/>
      <c r="BH227" s="134"/>
      <c r="BI227" s="91" t="str">
        <f t="array" ref="BI227">IFERROR(INDEX(TABLACONSOLIDADA[Buff Act],MATCH("AGROINSUMOSSTODOMINGO"&amp;Tabla_Buffers_Agroinsumos[[#This Row],[CODIGO ]],TABLACONSOLIDADA[Bodega]&amp;TABLACONSOLIDADA[Codigo],0)),"")</f>
        <v/>
      </c>
      <c r="BJ227" s="157" t="str">
        <f t="array" ref="BJ227">IFERROR(INDEX(TABLACONSOLIDADA[Inv Fís Act],MATCH("AGROINSUMOSSTODOMINGO"&amp;Tabla_Buffers_Agroinsumos[[#This Row],[CODIGO ]],TABLACONSOLIDADA[Bodega]&amp;TABLACONSOLIDADA[Codigo],0)),"")</f>
        <v/>
      </c>
      <c r="BK227" s="157" t="str">
        <f t="array" ref="BK22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2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27" s="91">
        <f>IFERROR(SUM(Tabla_Buffers_Agroinsumos[[#This Row],[SD-MP]:[SD-VL]]),"")</f>
        <v>0</v>
      </c>
      <c r="BN227" s="92"/>
      <c r="BO227" s="92"/>
      <c r="BP227" s="134"/>
      <c r="BQ227" s="134"/>
      <c r="BR227" s="134"/>
      <c r="BS227" s="134"/>
      <c r="BT227" s="134"/>
      <c r="BU227" s="134"/>
      <c r="BV227" s="134"/>
      <c r="BW227" s="134"/>
      <c r="BX227" s="134"/>
      <c r="BY227" s="134" t="str">
        <f t="array" ref="BY227">IFERROR(INDEX(TABLACONSOLIDADA[Buff Act],MATCH("AGROINSUMOSMONCAYOLOPEZ"&amp;Tabla_Buffers_Agroinsumos[[#This Row],[CODIGO ]],TABLACONSOLIDADA[Bodega]&amp;TABLACONSOLIDADA[Codigo],0)),"")</f>
        <v/>
      </c>
      <c r="BZ227" s="157" t="str">
        <f t="array" ref="BZ227">IFERROR(INDEX(TABLACONSOLIDADA[Inv Fís Act],MATCH("AGROINSUMOSMONCAYOLOPEZ"&amp;Tabla_Buffers_Agroinsumos[[#This Row],[CODIGO ]],TABLACONSOLIDADA[Bodega]&amp;TABLACONSOLIDADA[Codigo],0)),"")</f>
        <v/>
      </c>
      <c r="CA227" s="157" t="str">
        <f t="array" ref="CA22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2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27" s="134">
        <f>IFERROR(SUM(Tabla_Buffers_Agroinsumos[[#This Row],[ML-MP]:[ML-VL]]),"")</f>
        <v>0</v>
      </c>
      <c r="CD227" s="92" t="str">
        <f>IFERROR(Tabla_Buffers_Agroinsumos[[#This Row],[INV FIS ML]]-Tabla_Buffers_Agroinsumos[[#This Row],[BUFFER ML]],"")</f>
        <v/>
      </c>
      <c r="CE22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27" s="134"/>
      <c r="CG227" s="134"/>
      <c r="CH227" s="134"/>
      <c r="CI227" s="134"/>
      <c r="CJ227" s="134"/>
      <c r="CK227" s="134"/>
      <c r="CL227" s="134"/>
      <c r="CM227" s="134"/>
      <c r="CN227" s="134"/>
      <c r="CO227" s="134" t="str">
        <f t="array" ref="CO227">IFERROR(INDEX(TABLACONSOLIDADA[Buff Act],MATCH("AGROINSUMOSAGROHERMANOSLEON"&amp;Tabla_Buffers_Agroinsumos[[#This Row],[CODIGO ]],TABLACONSOLIDADA[Bodega]&amp;TABLACONSOLIDADA[Codigo],0)),"")</f>
        <v/>
      </c>
      <c r="CP227" s="157" t="str">
        <f t="array" ref="CP227">IFERROR(INDEX(TABLACONSOLIDADA[Inv Fís Act],MATCH("AGROINSUMOSAGROHERMANOSLEON"&amp;Tabla_Buffers_Agroinsumos[[#This Row],[CODIGO ]],TABLACONSOLIDADA[Bodega]&amp;TABLACONSOLIDADA[Codigo],0)),"")</f>
        <v/>
      </c>
      <c r="CQ227" s="157" t="str">
        <f t="array" ref="CQ22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2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27" s="134">
        <f>IFERROR(SUM(Tabla_Buffers_Agroinsumos[[#This Row],[AL-MP]:[AL-VL]]),"")</f>
        <v>0</v>
      </c>
      <c r="CT227" s="92" t="str">
        <f>IFERROR(Tabla_Buffers_Agroinsumos[[#This Row],[INV FIS AL]]-Tabla_Buffers_Agroinsumos[[#This Row],[BUFFER AL]],"")</f>
        <v/>
      </c>
      <c r="CU22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27" s="134"/>
      <c r="CW227" s="134"/>
      <c r="CX227" s="134"/>
      <c r="CY227" s="134"/>
      <c r="CZ227" s="134"/>
      <c r="DA227" s="134"/>
      <c r="DB227" s="134"/>
      <c r="DC227" s="134"/>
      <c r="DD227" s="134"/>
      <c r="DE227" s="134" t="str">
        <f t="array" ref="DE227">IFERROR(INDEX(TABLACONSOLIDADA[Buff Act],MATCH("AGROINSUMOSAGRONUEVO"&amp;Tabla_Buffers_Agroinsumos[[#This Row],[CODIGO ]],TABLACONSOLIDADA[Bodega]&amp;TABLACONSOLIDADA[Codigo],0)),"")</f>
        <v/>
      </c>
      <c r="DF227" s="157" t="str">
        <f t="array" ref="DF227">IFERROR(INDEX(TABLACONSOLIDADA[Inv Fís Act],MATCH("AGROINSUMOSAGRONUEVO"&amp;Tabla_Buffers_Agroinsumos[[#This Row],[CODIGO ]],TABLACONSOLIDADA[Bodega]&amp;TABLACONSOLIDADA[Codigo],0)),"")</f>
        <v/>
      </c>
      <c r="DG227" s="157" t="str">
        <f t="array" ref="DG22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2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27" s="134">
        <f>IFERROR(SUM(Tabla_Buffers_Agroinsumos[[#This Row],[AN-MP]:[AN-VL]]),"")</f>
        <v>0</v>
      </c>
      <c r="DJ227" s="92" t="str">
        <f>IFERROR(Tabla_Buffers_Agroinsumos[[#This Row],[INV FIS AN]]-Tabla_Buffers_Agroinsumos[[#This Row],[BUFFER AN]],"")</f>
        <v/>
      </c>
      <c r="DK22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27" s="134"/>
      <c r="DM227" s="134"/>
      <c r="DN227" s="134"/>
      <c r="DO227" s="134"/>
      <c r="DP227" s="134"/>
      <c r="DQ227" s="134"/>
      <c r="DR227" s="134"/>
      <c r="DS227" s="134"/>
      <c r="DT227" s="134"/>
      <c r="DU227" s="134" t="str">
        <f t="array" ref="DU227">IFERROR(INDEX(TABLACONSOLIDADA[Buff Act],MATCH("AGROINSUMOSAGROQUIMICOSSUR"&amp;Tabla_Buffers_Agroinsumos[[#This Row],[CODIGO ]],TABLACONSOLIDADA[Bodega]&amp;TABLACONSOLIDADA[Codigo],0)),"")</f>
        <v/>
      </c>
      <c r="DV227" s="157" t="str">
        <f t="array" ref="DV227">IFERROR(INDEX(TABLACONSOLIDADA[Inv Fís Act],MATCH("AGROINSUMOSAGROQUIMICOSSUR"&amp;Tabla_Buffers_Agroinsumos[[#This Row],[CODIGO ]],TABLACONSOLIDADA[Bodega]&amp;TABLACONSOLIDADA[Codigo],0)),"")</f>
        <v/>
      </c>
      <c r="DW227" s="157" t="str">
        <f t="array" ref="DW22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2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27" s="134">
        <f>IFERROR(SUM(Tabla_Buffers_Agroinsumos[[#This Row],[AS-MP]:[AS-VL]]),"")</f>
        <v>0</v>
      </c>
      <c r="DZ227" s="92" t="str">
        <f>IFERROR(Tabla_Buffers_Agroinsumos[[#This Row],[INV FIS AS]]-Tabla_Buffers_Agroinsumos[[#This Row],[BUFFER AS]],"")</f>
        <v/>
      </c>
      <c r="EA22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27" s="134"/>
      <c r="EC227" s="134"/>
      <c r="ED227" s="134"/>
      <c r="EE227" s="134"/>
      <c r="EF227" s="134"/>
      <c r="EG227" s="134"/>
      <c r="EH227" s="134"/>
      <c r="EI227" s="134"/>
      <c r="EJ227" s="134"/>
      <c r="EK227" s="134" t="str">
        <f t="array" ref="EK227">IFERROR(INDEX(TABLACONSOLIDADA[Buff Act],MATCH("AGROINSUMOSLAFINCA"&amp;Tabla_Buffers_Agroinsumos[[#This Row],[CODIGO ]],TABLACONSOLIDADA[Bodega]&amp;TABLACONSOLIDADA[Codigo],0)),"")</f>
        <v/>
      </c>
      <c r="EL227" s="157" t="str">
        <f t="array" ref="EL227">IFERROR(INDEX(TABLACONSOLIDADA[Inv Fís Act],MATCH("AGROINSUMOSLAFINCA"&amp;Tabla_Buffers_Agroinsumos[[#This Row],[CODIGO ]],TABLACONSOLIDADA[Bodega]&amp;TABLACONSOLIDADA[Codigo],0)),"")</f>
        <v/>
      </c>
      <c r="EM227" s="157" t="str">
        <f t="array" ref="EM22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2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27" s="134">
        <f>IFERROR(SUM(Tabla_Buffers_Agroinsumos[[#This Row],[LF-MP]:[LF-VL]]),"")</f>
        <v>0</v>
      </c>
      <c r="EP227" s="92" t="str">
        <f>IFERROR(Tabla_Buffers_Agroinsumos[[#This Row],[INV FIS LF]]-Tabla_Buffers_Agroinsumos[[#This Row],[BUFFER LF]],"")</f>
        <v/>
      </c>
      <c r="EQ22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27" s="134"/>
      <c r="ES227" s="134"/>
      <c r="ET227" s="134"/>
      <c r="EU227" s="134"/>
      <c r="EV227" s="134"/>
      <c r="EW227" s="134"/>
      <c r="EX227" s="134"/>
      <c r="EY227" s="134"/>
      <c r="EZ227" s="134"/>
      <c r="FA227" s="134" t="str">
        <f t="array" ref="FA227">IFERROR(INDEX(TABLACONSOLIDADA[Buff Act],MATCH("AGROINSUMOSVERONICALEDESMA"&amp;Tabla_Buffers_Agroinsumos[[#This Row],[CODIGO ]],TABLACONSOLIDADA[Bodega]&amp;TABLACONSOLIDADA[Codigo],0)),"")</f>
        <v/>
      </c>
      <c r="FB227" s="157" t="str">
        <f t="array" ref="FB227">IFERROR(INDEX(TABLACONSOLIDADA[Inv Fís Act],MATCH("AGROINSUMOSVERONICALEDESMA"&amp;Tabla_Buffers_Agroinsumos[[#This Row],[CODIGO ]],TABLACONSOLIDADA[Bodega]&amp;TABLACONSOLIDADA[Codigo],0)),"")</f>
        <v/>
      </c>
      <c r="FC227" s="157" t="str">
        <f t="array" ref="FC22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2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27" s="134">
        <f>IFERROR(SUM(Tabla_Buffers_Agroinsumos[[#This Row],[VL-MP]:[VL-LF]]),"")</f>
        <v>0</v>
      </c>
      <c r="FF227" s="92" t="str">
        <f>IFERROR(Tabla_Buffers_Agroinsumos[[#This Row],[INV FIS VL]]-Tabla_Buffers_Agroinsumos[[#This Row],[BUFFER VL]],"")</f>
        <v/>
      </c>
      <c r="FG22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27" s="134"/>
      <c r="FI227" s="134"/>
      <c r="FJ227" s="134"/>
      <c r="FK227" s="134"/>
      <c r="FL227" s="134"/>
      <c r="FM227" s="134"/>
      <c r="FN227" s="134"/>
      <c r="FO227" s="134"/>
      <c r="FP227" s="134"/>
    </row>
    <row r="228" spans="1:172">
      <c r="A228" s="20" t="s">
        <v>1232</v>
      </c>
      <c r="B228" s="20" t="s">
        <v>1231</v>
      </c>
      <c r="C228" s="20" t="s">
        <v>716</v>
      </c>
      <c r="D228" s="20" t="s">
        <v>718</v>
      </c>
      <c r="E228" s="20" t="s">
        <v>863</v>
      </c>
      <c r="F228" s="111" t="s">
        <v>808</v>
      </c>
      <c r="G228" s="111" t="s">
        <v>802</v>
      </c>
      <c r="H228" s="111" t="e">
        <f>VLOOKUP(Tabla_Buffers_Agroinsumos[[#This Row],[CODIGO ]],TABLACONSOLIDADA[[Codigo]:[PV]],6,0)</f>
        <v>#N/A</v>
      </c>
      <c r="I228" s="111" t="e">
        <f>VLOOKUP(Tabla_Buffers_Agroinsumos[[#This Row],[CODIGO ]],TABLACONSOLIDADA[[Codigo]:[PV]],5,0)</f>
        <v>#N/A</v>
      </c>
      <c r="J228" s="111"/>
      <c r="K228" s="111"/>
      <c r="L228" s="111">
        <f>IFERROR(Tabla_Buffers_Agroinsumos[[#This Row],[BUFFER CENTRAL]]/((Tabla_Buffers_Agroinsumos[[#This Row],[TIEMPO REPOSICION ]]/Tabla_Buffers_Agroinsumos[[#This Row],[FRECUENCIA]])+1),0)</f>
        <v>0</v>
      </c>
      <c r="M228" s="111">
        <v>500</v>
      </c>
      <c r="N228" s="111" t="str">
        <f t="array" ref="N228">IFERROR(INDEX(TABLACONSOLIDADA[Inv Fís Act],MATCH("AGROINSUMOSMATERIAPRIMA"&amp;Tabla_Buffers_Agroinsumos[[#This Row],[CODIGO ]],TABLACONSOLIDADA[Bodega]&amp;TABLACONSOLIDADA[Codigo],0)),"")</f>
        <v/>
      </c>
      <c r="O228" s="179" t="str">
        <f t="array" ref="O22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28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28" s="111">
        <f>IFERROR(SUM(Tabla_Buffers_Agroinsumos[[#This Row],[MP-C]:[MP-VL]]),"")</f>
        <v>0</v>
      </c>
      <c r="R228" s="154" t="str">
        <f>IFERROR(Tabla_Buffers_Agroinsumos[[#This Row],[INV FIS MATERIA PRIMA]]-Tabla_Buffers_Agroinsumos[[#This Row],[BUFFER MATERIA PRIMA]],"")</f>
        <v/>
      </c>
      <c r="S228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28" s="111"/>
      <c r="U228" s="111"/>
      <c r="V228" s="111"/>
      <c r="W228" s="111"/>
      <c r="X228" s="111"/>
      <c r="Y228" s="111"/>
      <c r="Z228" s="111"/>
      <c r="AA228" s="111"/>
      <c r="AB228" s="111"/>
      <c r="AC228" s="152" t="str">
        <f t="array" ref="AC228">IFERROR(INDEX(TABLACONSOLIDADA[Buff Act],MATCH("AGROINSUMOSCENTRAL"&amp;Tabla_Buffers_Agroinsumos[[#This Row],[CODIGO ]],TABLACONSOLIDADA[Bodega]&amp;TABLACONSOLIDADA[Codigo],0)),"")</f>
        <v/>
      </c>
      <c r="AD228" s="111" t="str">
        <f t="array" ref="AD228">IFERROR(INDEX(TABLACONSOLIDADA[Inv Fís Act],MATCH("AGROINSUMOSCENTRAL"&amp;Tabla_Buffers_Agroinsumos[[#This Row],[CODIGO ]],TABLACONSOLIDADA[Bodega]&amp;TABLACONSOLIDADA[Codigo],0)),"")</f>
        <v/>
      </c>
      <c r="AE228" s="179" t="str">
        <f t="array" ref="AE22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28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28" s="153">
        <f>IFERROR(SUM(Tabla_Buffers_Agroinsumos[[#This Row],[C-MP]:[C-VL]]),"")</f>
        <v>0</v>
      </c>
      <c r="AH228" s="154" t="str">
        <f>IFERROR(Tabla_Buffers_Agroinsumos[[#This Row],[INV FIS CENTRAL]]-Tabla_Buffers_Agroinsumos[[#This Row],[BUFFER CENTRAL]],"")</f>
        <v/>
      </c>
      <c r="AI228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28" s="135"/>
      <c r="AK228" s="135"/>
      <c r="AL228" s="135"/>
      <c r="AM228" s="135"/>
      <c r="AN228" s="135"/>
      <c r="AO228" s="135"/>
      <c r="AP228" s="135"/>
      <c r="AQ228" s="135"/>
      <c r="AR228" s="135"/>
      <c r="AS228" s="135" t="str">
        <f t="array" ref="AS228">IFERROR(INDEX(TABLACONSOLIDADA[Buff Act],MATCH("AGROINSUMOScentralPROPIA"&amp;Tabla_Buffers_Agroinsumos[[#This Row],[CODIGO ]],TABLACONSOLIDADA[Bodega]&amp;TABLACONSOLIDADA[Codigo],0)),"")</f>
        <v/>
      </c>
      <c r="AT228" s="111" t="str">
        <f t="array" ref="AT228">IFERROR(INDEX(TABLACONSOLIDADA[Inv Fís Act],MATCH("AGROINSUMOScentralPROPIA"&amp;Tabla_Buffers_Agroinsumos[[#This Row],[CODIGO ]],TABLACONSOLIDADA[Bodega]&amp;TABLACONSOLIDADA[Codigo],0)),"")</f>
        <v/>
      </c>
      <c r="AU228" s="179" t="str">
        <f t="array" ref="AU22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28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28" s="135">
        <f>IFERROR(SUM(Tabla_Buffers_Agroinsumos[[#This Row],[P-MP]:[P-VL]]),"")</f>
        <v>0</v>
      </c>
      <c r="AX228" s="154" t="str">
        <f>IFERROR(Tabla_Buffers_Agroinsumos[[#This Row],[INV FIS PROPIA]]-Tabla_Buffers_Agroinsumos[[#This Row],[BUFFER PROPIA]],"")</f>
        <v/>
      </c>
      <c r="AY228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28" s="135"/>
      <c r="BA228" s="135"/>
      <c r="BB228" s="135"/>
      <c r="BC228" s="135"/>
      <c r="BD228" s="135"/>
      <c r="BE228" s="135"/>
      <c r="BF228" s="135"/>
      <c r="BG228" s="135"/>
      <c r="BH228" s="135"/>
      <c r="BI228" s="153" t="str">
        <f t="array" ref="BI228">IFERROR(INDEX(TABLACONSOLIDADA[Buff Act],MATCH("AGROINSUMOSSTODOMINGO"&amp;Tabla_Buffers_Agroinsumos[[#This Row],[CODIGO ]],TABLACONSOLIDADA[Bodega]&amp;TABLACONSOLIDADA[Codigo],0)),"")</f>
        <v/>
      </c>
      <c r="BJ228" s="111" t="str">
        <f t="array" ref="BJ228">IFERROR(INDEX(TABLACONSOLIDADA[Inv Fís Act],MATCH("AGROINSUMOSSTODOMINGO"&amp;Tabla_Buffers_Agroinsumos[[#This Row],[CODIGO ]],TABLACONSOLIDADA[Bodega]&amp;TABLACONSOLIDADA[Codigo],0)),"")</f>
        <v/>
      </c>
      <c r="BK228" s="179" t="str">
        <f t="array" ref="BK22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28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28" s="153">
        <f>IFERROR(SUM(Tabla_Buffers_Agroinsumos[[#This Row],[SD-MP]:[SD-VL]]),"")</f>
        <v>0</v>
      </c>
      <c r="BN228" s="154"/>
      <c r="BO228" s="154"/>
      <c r="BP228" s="135"/>
      <c r="BQ228" s="135"/>
      <c r="BR228" s="135"/>
      <c r="BS228" s="135"/>
      <c r="BT228" s="135"/>
      <c r="BU228" s="135"/>
      <c r="BV228" s="135"/>
      <c r="BW228" s="135"/>
      <c r="BX228" s="135"/>
      <c r="BY228" s="135" t="str">
        <f t="array" ref="BY228">IFERROR(INDEX(TABLACONSOLIDADA[Buff Act],MATCH("AGROINSUMOSMONCAYOLOPEZ"&amp;Tabla_Buffers_Agroinsumos[[#This Row],[CODIGO ]],TABLACONSOLIDADA[Bodega]&amp;TABLACONSOLIDADA[Codigo],0)),"")</f>
        <v/>
      </c>
      <c r="BZ228" s="111" t="str">
        <f t="array" ref="BZ228">IFERROR(INDEX(TABLACONSOLIDADA[Inv Fís Act],MATCH("AGROINSUMOSMONCAYOLOPEZ"&amp;Tabla_Buffers_Agroinsumos[[#This Row],[CODIGO ]],TABLACONSOLIDADA[Bodega]&amp;TABLACONSOLIDADA[Codigo],0)),"")</f>
        <v/>
      </c>
      <c r="CA228" s="179" t="str">
        <f t="array" ref="CA22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28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28" s="135">
        <f>IFERROR(SUM(Tabla_Buffers_Agroinsumos[[#This Row],[ML-MP]:[ML-VL]]),"")</f>
        <v>0</v>
      </c>
      <c r="CD228" s="154" t="str">
        <f>IFERROR(Tabla_Buffers_Agroinsumos[[#This Row],[INV FIS ML]]-Tabla_Buffers_Agroinsumos[[#This Row],[BUFFER ML]],"")</f>
        <v/>
      </c>
      <c r="CE228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28" s="135"/>
      <c r="CG228" s="135"/>
      <c r="CH228" s="135"/>
      <c r="CI228" s="135"/>
      <c r="CJ228" s="135"/>
      <c r="CK228" s="135"/>
      <c r="CL228" s="135"/>
      <c r="CM228" s="135"/>
      <c r="CN228" s="135"/>
      <c r="CO228" s="135" t="str">
        <f t="array" ref="CO228">IFERROR(INDEX(TABLACONSOLIDADA[Buff Act],MATCH("AGROINSUMOSAGROHERMANOSLEON"&amp;Tabla_Buffers_Agroinsumos[[#This Row],[CODIGO ]],TABLACONSOLIDADA[Bodega]&amp;TABLACONSOLIDADA[Codigo],0)),"")</f>
        <v/>
      </c>
      <c r="CP228" s="111" t="str">
        <f t="array" ref="CP228">IFERROR(INDEX(TABLACONSOLIDADA[Inv Fís Act],MATCH("AGROINSUMOSAGROHERMANOSLEON"&amp;Tabla_Buffers_Agroinsumos[[#This Row],[CODIGO ]],TABLACONSOLIDADA[Bodega]&amp;TABLACONSOLIDADA[Codigo],0)),"")</f>
        <v/>
      </c>
      <c r="CQ228" s="179" t="str">
        <f t="array" ref="CQ22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28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28" s="135">
        <f>IFERROR(SUM(Tabla_Buffers_Agroinsumos[[#This Row],[AL-MP]:[AL-VL]]),"")</f>
        <v>0</v>
      </c>
      <c r="CT228" s="154" t="str">
        <f>IFERROR(Tabla_Buffers_Agroinsumos[[#This Row],[INV FIS AL]]-Tabla_Buffers_Agroinsumos[[#This Row],[BUFFER AL]],"")</f>
        <v/>
      </c>
      <c r="CU228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28" s="135"/>
      <c r="CW228" s="135"/>
      <c r="CX228" s="135"/>
      <c r="CY228" s="135"/>
      <c r="CZ228" s="135"/>
      <c r="DA228" s="135"/>
      <c r="DB228" s="135"/>
      <c r="DC228" s="135"/>
      <c r="DD228" s="135"/>
      <c r="DE228" s="135" t="str">
        <f t="array" ref="DE228">IFERROR(INDEX(TABLACONSOLIDADA[Buff Act],MATCH("AGROINSUMOSAGRONUEVO"&amp;Tabla_Buffers_Agroinsumos[[#This Row],[CODIGO ]],TABLACONSOLIDADA[Bodega]&amp;TABLACONSOLIDADA[Codigo],0)),"")</f>
        <v/>
      </c>
      <c r="DF228" s="111" t="str">
        <f t="array" ref="DF228">IFERROR(INDEX(TABLACONSOLIDADA[Inv Fís Act],MATCH("AGROINSUMOSAGRONUEVO"&amp;Tabla_Buffers_Agroinsumos[[#This Row],[CODIGO ]],TABLACONSOLIDADA[Bodega]&amp;TABLACONSOLIDADA[Codigo],0)),"")</f>
        <v/>
      </c>
      <c r="DG228" s="179" t="str">
        <f t="array" ref="DG22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28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28" s="135">
        <f>IFERROR(SUM(Tabla_Buffers_Agroinsumos[[#This Row],[AN-MP]:[AN-VL]]),"")</f>
        <v>0</v>
      </c>
      <c r="DJ228" s="154" t="str">
        <f>IFERROR(Tabla_Buffers_Agroinsumos[[#This Row],[INV FIS AN]]-Tabla_Buffers_Agroinsumos[[#This Row],[BUFFER AN]],"")</f>
        <v/>
      </c>
      <c r="DK228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28" s="135"/>
      <c r="DM228" s="135"/>
      <c r="DN228" s="135"/>
      <c r="DO228" s="135"/>
      <c r="DP228" s="135"/>
      <c r="DQ228" s="135"/>
      <c r="DR228" s="135"/>
      <c r="DS228" s="135"/>
      <c r="DT228" s="135"/>
      <c r="DU228" s="135" t="str">
        <f t="array" ref="DU228">IFERROR(INDEX(TABLACONSOLIDADA[Buff Act],MATCH("AGROINSUMOSAGROQUIMICOSSUR"&amp;Tabla_Buffers_Agroinsumos[[#This Row],[CODIGO ]],TABLACONSOLIDADA[Bodega]&amp;TABLACONSOLIDADA[Codigo],0)),"")</f>
        <v/>
      </c>
      <c r="DV228" s="111" t="str">
        <f t="array" ref="DV228">IFERROR(INDEX(TABLACONSOLIDADA[Inv Fís Act],MATCH("AGROINSUMOSAGROQUIMICOSSUR"&amp;Tabla_Buffers_Agroinsumos[[#This Row],[CODIGO ]],TABLACONSOLIDADA[Bodega]&amp;TABLACONSOLIDADA[Codigo],0)),"")</f>
        <v/>
      </c>
      <c r="DW228" s="179" t="str">
        <f t="array" ref="DW22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28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28" s="135">
        <f>IFERROR(SUM(Tabla_Buffers_Agroinsumos[[#This Row],[AS-MP]:[AS-VL]]),"")</f>
        <v>0</v>
      </c>
      <c r="DZ228" s="154" t="str">
        <f>IFERROR(Tabla_Buffers_Agroinsumos[[#This Row],[INV FIS AS]]-Tabla_Buffers_Agroinsumos[[#This Row],[BUFFER AS]],"")</f>
        <v/>
      </c>
      <c r="EA228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28" s="135"/>
      <c r="EC228" s="135"/>
      <c r="ED228" s="135"/>
      <c r="EE228" s="135"/>
      <c r="EF228" s="135"/>
      <c r="EG228" s="135"/>
      <c r="EH228" s="135"/>
      <c r="EI228" s="135"/>
      <c r="EJ228" s="135"/>
      <c r="EK228" s="135" t="str">
        <f t="array" ref="EK228">IFERROR(INDEX(TABLACONSOLIDADA[Buff Act],MATCH("AGROINSUMOSLAFINCA"&amp;Tabla_Buffers_Agroinsumos[[#This Row],[CODIGO ]],TABLACONSOLIDADA[Bodega]&amp;TABLACONSOLIDADA[Codigo],0)),"")</f>
        <v/>
      </c>
      <c r="EL228" s="111" t="str">
        <f t="array" ref="EL228">IFERROR(INDEX(TABLACONSOLIDADA[Inv Fís Act],MATCH("AGROINSUMOSLAFINCA"&amp;Tabla_Buffers_Agroinsumos[[#This Row],[CODIGO ]],TABLACONSOLIDADA[Bodega]&amp;TABLACONSOLIDADA[Codigo],0)),"")</f>
        <v/>
      </c>
      <c r="EM228" s="179" t="str">
        <f t="array" ref="EM22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28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28" s="135">
        <f>IFERROR(SUM(Tabla_Buffers_Agroinsumos[[#This Row],[LF-MP]:[LF-VL]]),"")</f>
        <v>0</v>
      </c>
      <c r="EP228" s="154" t="str">
        <f>IFERROR(Tabla_Buffers_Agroinsumos[[#This Row],[INV FIS LF]]-Tabla_Buffers_Agroinsumos[[#This Row],[BUFFER LF]],"")</f>
        <v/>
      </c>
      <c r="EQ228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28" s="135"/>
      <c r="ES228" s="135"/>
      <c r="ET228" s="135"/>
      <c r="EU228" s="135"/>
      <c r="EV228" s="135"/>
      <c r="EW228" s="135"/>
      <c r="EX228" s="135"/>
      <c r="EY228" s="135"/>
      <c r="EZ228" s="135"/>
      <c r="FA228" s="135" t="str">
        <f t="array" ref="FA228">IFERROR(INDEX(TABLACONSOLIDADA[Buff Act],MATCH("AGROINSUMOSVERONICALEDESMA"&amp;Tabla_Buffers_Agroinsumos[[#This Row],[CODIGO ]],TABLACONSOLIDADA[Bodega]&amp;TABLACONSOLIDADA[Codigo],0)),"")</f>
        <v/>
      </c>
      <c r="FB228" s="111" t="str">
        <f t="array" ref="FB228">IFERROR(INDEX(TABLACONSOLIDADA[Inv Fís Act],MATCH("AGROINSUMOSVERONICALEDESMA"&amp;Tabla_Buffers_Agroinsumos[[#This Row],[CODIGO ]],TABLACONSOLIDADA[Bodega]&amp;TABLACONSOLIDADA[Codigo],0)),"")</f>
        <v/>
      </c>
      <c r="FC228" s="179" t="str">
        <f t="array" ref="FC22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28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28" s="135">
        <f>IFERROR(SUM(Tabla_Buffers_Agroinsumos[[#This Row],[VL-MP]:[VL-LF]]),"")</f>
        <v>0</v>
      </c>
      <c r="FF228" s="154" t="str">
        <f>IFERROR(Tabla_Buffers_Agroinsumos[[#This Row],[INV FIS VL]]-Tabla_Buffers_Agroinsumos[[#This Row],[BUFFER VL]],"")</f>
        <v/>
      </c>
      <c r="FG228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28" s="135"/>
      <c r="FI228" s="135"/>
      <c r="FJ228" s="135"/>
      <c r="FK228" s="135"/>
      <c r="FL228" s="135"/>
      <c r="FM228" s="135"/>
      <c r="FN228" s="135"/>
      <c r="FO228" s="135"/>
      <c r="FP228" s="135"/>
    </row>
    <row r="229" spans="1:172">
      <c r="A229" s="7" t="s">
        <v>405</v>
      </c>
      <c r="B229" s="7" t="s">
        <v>406</v>
      </c>
      <c r="C229" s="7" t="s">
        <v>716</v>
      </c>
      <c r="D229" s="7" t="s">
        <v>718</v>
      </c>
      <c r="E229" s="7" t="s">
        <v>863</v>
      </c>
      <c r="F229" s="19" t="s">
        <v>808</v>
      </c>
      <c r="G229" s="19" t="s">
        <v>802</v>
      </c>
      <c r="H229" s="19">
        <f>VLOOKUP(Tabla_Buffers_Agroinsumos[[#This Row],[CODIGO ]],TABLACONSOLIDADA[[Codigo]:[PV]],6,0)</f>
        <v>0</v>
      </c>
      <c r="I229" s="19">
        <f>VLOOKUP(Tabla_Buffers_Agroinsumos[[#This Row],[CODIGO ]],TABLACONSOLIDADA[[Codigo]:[PV]],5,0)</f>
        <v>0.24</v>
      </c>
      <c r="J229" s="19">
        <v>4</v>
      </c>
      <c r="K229" s="19">
        <v>6</v>
      </c>
      <c r="L229" s="19">
        <f>IFERROR(Tabla_Buffers_Agroinsumos[[#This Row],[BUFFER CENTRAL]]/((Tabla_Buffers_Agroinsumos[[#This Row],[TIEMPO REPOSICION ]]/Tabla_Buffers_Agroinsumos[[#This Row],[FRECUENCIA]])+1),0)</f>
        <v>0</v>
      </c>
      <c r="M229" s="19">
        <f t="array" ref="M229">IFERROR(INDEX(TABLACONSOLIDADA[Buff Act],MATCH("AGROINSUMOSMATERIAPRIMA"&amp;Tabla_Buffers_Agroinsumos[[#This Row],[CODIGO ]],TABLACONSOLIDADA[Bodega]&amp;TABLACONSOLIDADA[Codigo],0)),"")</f>
        <v>500</v>
      </c>
      <c r="N229" s="157">
        <f t="array" ref="N229">IFERROR(INDEX(TABLACONSOLIDADA[Inv Fís Act],MATCH("AGROINSUMOSMATERIAPRIMA"&amp;Tabla_Buffers_Agroinsumos[[#This Row],[CODIGO ]],TABLACONSOLIDADA[Bodega]&amp;TABLACONSOLIDADA[Codigo],0)),"")</f>
        <v>566</v>
      </c>
      <c r="O229" s="157">
        <f t="array" ref="O22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566</v>
      </c>
      <c r="P22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29" s="19">
        <f>IFERROR(SUM(Tabla_Buffers_Agroinsumos[[#This Row],[MP-C]:[MP-VL]]),"")</f>
        <v>0</v>
      </c>
      <c r="R229" s="92">
        <f>IFERROR(Tabla_Buffers_Agroinsumos[[#This Row],[INV FIS MATERIA PRIMA]]-Tabla_Buffers_Agroinsumos[[#This Row],[BUFFER MATERIA PRIMA]],"")</f>
        <v>66</v>
      </c>
      <c r="S22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66</v>
      </c>
      <c r="T229" s="19"/>
      <c r="U229" s="19"/>
      <c r="V229" s="19"/>
      <c r="W229" s="19"/>
      <c r="X229" s="19"/>
      <c r="Y229" s="19"/>
      <c r="Z229" s="19"/>
      <c r="AA229" s="19"/>
      <c r="AB229" s="19"/>
      <c r="AC229" s="152" t="str">
        <f t="array" ref="AC229">IFERROR(INDEX(TABLACONSOLIDADA[Buff Act],MATCH("AGROINSUMOSCENTRAL"&amp;Tabla_Buffers_Agroinsumos[[#This Row],[CODIGO ]],TABLACONSOLIDADA[Bodega]&amp;TABLACONSOLIDADA[Codigo],0)),"")</f>
        <v/>
      </c>
      <c r="AD229" s="157" t="str">
        <f t="array" ref="AD229">IFERROR(INDEX(TABLACONSOLIDADA[Inv Fís Act],MATCH("AGROINSUMOSCENTRAL"&amp;Tabla_Buffers_Agroinsumos[[#This Row],[CODIGO ]],TABLACONSOLIDADA[Bodega]&amp;TABLACONSOLIDADA[Codigo],0)),"")</f>
        <v/>
      </c>
      <c r="AE229" s="157" t="str">
        <f t="array" ref="AE22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2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29" s="91">
        <f>IFERROR(SUM(Tabla_Buffers_Agroinsumos[[#This Row],[C-MP]:[C-VL]]),"")</f>
        <v>0</v>
      </c>
      <c r="AH229" s="92" t="str">
        <f>IFERROR(Tabla_Buffers_Agroinsumos[[#This Row],[INV FIS CENTRAL]]-Tabla_Buffers_Agroinsumos[[#This Row],[BUFFER CENTRAL]],"")</f>
        <v/>
      </c>
      <c r="AI22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29" s="134"/>
      <c r="AK229" s="134"/>
      <c r="AL229" s="134"/>
      <c r="AM229" s="134"/>
      <c r="AN229" s="134"/>
      <c r="AO229" s="134"/>
      <c r="AP229" s="134"/>
      <c r="AQ229" s="134"/>
      <c r="AR229" s="134"/>
      <c r="AS229" s="134" t="str">
        <f t="array" ref="AS229">IFERROR(INDEX(TABLACONSOLIDADA[Buff Act],MATCH("AGROINSUMOScentralPROPIA"&amp;Tabla_Buffers_Agroinsumos[[#This Row],[CODIGO ]],TABLACONSOLIDADA[Bodega]&amp;TABLACONSOLIDADA[Codigo],0)),"")</f>
        <v/>
      </c>
      <c r="AT229" s="157" t="str">
        <f t="array" ref="AT229">IFERROR(INDEX(TABLACONSOLIDADA[Inv Fís Act],MATCH("AGROINSUMOScentralPROPIA"&amp;Tabla_Buffers_Agroinsumos[[#This Row],[CODIGO ]],TABLACONSOLIDADA[Bodega]&amp;TABLACONSOLIDADA[Codigo],0)),"")</f>
        <v/>
      </c>
      <c r="AU229" s="157" t="str">
        <f t="array" ref="AU22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2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29" s="134">
        <f>IFERROR(SUM(Tabla_Buffers_Agroinsumos[[#This Row],[P-MP]:[P-VL]]),"")</f>
        <v>0</v>
      </c>
      <c r="AX229" s="92" t="str">
        <f>IFERROR(Tabla_Buffers_Agroinsumos[[#This Row],[INV FIS PROPIA]]-Tabla_Buffers_Agroinsumos[[#This Row],[BUFFER PROPIA]],"")</f>
        <v/>
      </c>
      <c r="AY22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29" s="134"/>
      <c r="BA229" s="134"/>
      <c r="BB229" s="134"/>
      <c r="BC229" s="134"/>
      <c r="BD229" s="134"/>
      <c r="BE229" s="134"/>
      <c r="BF229" s="134"/>
      <c r="BG229" s="134"/>
      <c r="BH229" s="134"/>
      <c r="BI229" s="91" t="str">
        <f t="array" ref="BI229">IFERROR(INDEX(TABLACONSOLIDADA[Buff Act],MATCH("AGROINSUMOSSTODOMINGO"&amp;Tabla_Buffers_Agroinsumos[[#This Row],[CODIGO ]],TABLACONSOLIDADA[Bodega]&amp;TABLACONSOLIDADA[Codigo],0)),"")</f>
        <v/>
      </c>
      <c r="BJ229" s="157" t="str">
        <f t="array" ref="BJ229">IFERROR(INDEX(TABLACONSOLIDADA[Inv Fís Act],MATCH("AGROINSUMOSSTODOMINGO"&amp;Tabla_Buffers_Agroinsumos[[#This Row],[CODIGO ]],TABLACONSOLIDADA[Bodega]&amp;TABLACONSOLIDADA[Codigo],0)),"")</f>
        <v/>
      </c>
      <c r="BK229" s="157" t="str">
        <f t="array" ref="BK22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2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29" s="91">
        <f>IFERROR(SUM(Tabla_Buffers_Agroinsumos[[#This Row],[SD-MP]:[SD-VL]]),"")</f>
        <v>0</v>
      </c>
      <c r="BN229" s="92"/>
      <c r="BO229" s="92"/>
      <c r="BP229" s="134"/>
      <c r="BQ229" s="134"/>
      <c r="BR229" s="134"/>
      <c r="BS229" s="134"/>
      <c r="BT229" s="134"/>
      <c r="BU229" s="134"/>
      <c r="BV229" s="134"/>
      <c r="BW229" s="134"/>
      <c r="BX229" s="134"/>
      <c r="BY229" s="134" t="str">
        <f t="array" ref="BY229">IFERROR(INDEX(TABLACONSOLIDADA[Buff Act],MATCH("AGROINSUMOSMONCAYOLOPEZ"&amp;Tabla_Buffers_Agroinsumos[[#This Row],[CODIGO ]],TABLACONSOLIDADA[Bodega]&amp;TABLACONSOLIDADA[Codigo],0)),"")</f>
        <v/>
      </c>
      <c r="BZ229" s="157" t="str">
        <f t="array" ref="BZ229">IFERROR(INDEX(TABLACONSOLIDADA[Inv Fís Act],MATCH("AGROINSUMOSMONCAYOLOPEZ"&amp;Tabla_Buffers_Agroinsumos[[#This Row],[CODIGO ]],TABLACONSOLIDADA[Bodega]&amp;TABLACONSOLIDADA[Codigo],0)),"")</f>
        <v/>
      </c>
      <c r="CA229" s="157" t="str">
        <f t="array" ref="CA22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2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29" s="134">
        <f>IFERROR(SUM(Tabla_Buffers_Agroinsumos[[#This Row],[ML-MP]:[ML-VL]]),"")</f>
        <v>0</v>
      </c>
      <c r="CD229" s="92" t="str">
        <f>IFERROR(Tabla_Buffers_Agroinsumos[[#This Row],[INV FIS ML]]-Tabla_Buffers_Agroinsumos[[#This Row],[BUFFER ML]],"")</f>
        <v/>
      </c>
      <c r="CE22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29" s="134"/>
      <c r="CG229" s="134"/>
      <c r="CH229" s="134"/>
      <c r="CI229" s="134"/>
      <c r="CJ229" s="134"/>
      <c r="CK229" s="134"/>
      <c r="CL229" s="134"/>
      <c r="CM229" s="134"/>
      <c r="CN229" s="134"/>
      <c r="CO229" s="134" t="str">
        <f t="array" ref="CO229">IFERROR(INDEX(TABLACONSOLIDADA[Buff Act],MATCH("AGROINSUMOSAGROHERMANOSLEON"&amp;Tabla_Buffers_Agroinsumos[[#This Row],[CODIGO ]],TABLACONSOLIDADA[Bodega]&amp;TABLACONSOLIDADA[Codigo],0)),"")</f>
        <v/>
      </c>
      <c r="CP229" s="157" t="str">
        <f t="array" ref="CP229">IFERROR(INDEX(TABLACONSOLIDADA[Inv Fís Act],MATCH("AGROINSUMOSAGROHERMANOSLEON"&amp;Tabla_Buffers_Agroinsumos[[#This Row],[CODIGO ]],TABLACONSOLIDADA[Bodega]&amp;TABLACONSOLIDADA[Codigo],0)),"")</f>
        <v/>
      </c>
      <c r="CQ229" s="157" t="str">
        <f t="array" ref="CQ22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2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29" s="134">
        <f>IFERROR(SUM(Tabla_Buffers_Agroinsumos[[#This Row],[AL-MP]:[AL-VL]]),"")</f>
        <v>0</v>
      </c>
      <c r="CT229" s="92" t="str">
        <f>IFERROR(Tabla_Buffers_Agroinsumos[[#This Row],[INV FIS AL]]-Tabla_Buffers_Agroinsumos[[#This Row],[BUFFER AL]],"")</f>
        <v/>
      </c>
      <c r="CU22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29" s="134"/>
      <c r="CW229" s="134"/>
      <c r="CX229" s="134"/>
      <c r="CY229" s="134"/>
      <c r="CZ229" s="134"/>
      <c r="DA229" s="134"/>
      <c r="DB229" s="134"/>
      <c r="DC229" s="134"/>
      <c r="DD229" s="134"/>
      <c r="DE229" s="134" t="str">
        <f t="array" ref="DE229">IFERROR(INDEX(TABLACONSOLIDADA[Buff Act],MATCH("AGROINSUMOSAGRONUEVO"&amp;Tabla_Buffers_Agroinsumos[[#This Row],[CODIGO ]],TABLACONSOLIDADA[Bodega]&amp;TABLACONSOLIDADA[Codigo],0)),"")</f>
        <v/>
      </c>
      <c r="DF229" s="157" t="str">
        <f t="array" ref="DF229">IFERROR(INDEX(TABLACONSOLIDADA[Inv Fís Act],MATCH("AGROINSUMOSAGRONUEVO"&amp;Tabla_Buffers_Agroinsumos[[#This Row],[CODIGO ]],TABLACONSOLIDADA[Bodega]&amp;TABLACONSOLIDADA[Codigo],0)),"")</f>
        <v/>
      </c>
      <c r="DG229" s="157" t="str">
        <f t="array" ref="DG22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2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29" s="134">
        <f>IFERROR(SUM(Tabla_Buffers_Agroinsumos[[#This Row],[AN-MP]:[AN-VL]]),"")</f>
        <v>0</v>
      </c>
      <c r="DJ229" s="92" t="str">
        <f>IFERROR(Tabla_Buffers_Agroinsumos[[#This Row],[INV FIS AN]]-Tabla_Buffers_Agroinsumos[[#This Row],[BUFFER AN]],"")</f>
        <v/>
      </c>
      <c r="DK22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29" s="134"/>
      <c r="DM229" s="134"/>
      <c r="DN229" s="134"/>
      <c r="DO229" s="134"/>
      <c r="DP229" s="134"/>
      <c r="DQ229" s="134"/>
      <c r="DR229" s="134"/>
      <c r="DS229" s="134"/>
      <c r="DT229" s="134"/>
      <c r="DU229" s="134" t="str">
        <f t="array" ref="DU229">IFERROR(INDEX(TABLACONSOLIDADA[Buff Act],MATCH("AGROINSUMOSAGROQUIMICOSSUR"&amp;Tabla_Buffers_Agroinsumos[[#This Row],[CODIGO ]],TABLACONSOLIDADA[Bodega]&amp;TABLACONSOLIDADA[Codigo],0)),"")</f>
        <v/>
      </c>
      <c r="DV229" s="157" t="str">
        <f t="array" ref="DV229">IFERROR(INDEX(TABLACONSOLIDADA[Inv Fís Act],MATCH("AGROINSUMOSAGROQUIMICOSSUR"&amp;Tabla_Buffers_Agroinsumos[[#This Row],[CODIGO ]],TABLACONSOLIDADA[Bodega]&amp;TABLACONSOLIDADA[Codigo],0)),"")</f>
        <v/>
      </c>
      <c r="DW229" s="157" t="str">
        <f t="array" ref="DW22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2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29" s="134">
        <f>IFERROR(SUM(Tabla_Buffers_Agroinsumos[[#This Row],[AS-MP]:[AS-VL]]),"")</f>
        <v>0</v>
      </c>
      <c r="DZ229" s="92" t="str">
        <f>IFERROR(Tabla_Buffers_Agroinsumos[[#This Row],[INV FIS AS]]-Tabla_Buffers_Agroinsumos[[#This Row],[BUFFER AS]],"")</f>
        <v/>
      </c>
      <c r="EA22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29" s="134"/>
      <c r="EC229" s="134"/>
      <c r="ED229" s="134"/>
      <c r="EE229" s="134"/>
      <c r="EF229" s="134"/>
      <c r="EG229" s="134"/>
      <c r="EH229" s="134"/>
      <c r="EI229" s="134"/>
      <c r="EJ229" s="134"/>
      <c r="EK229" s="134" t="str">
        <f t="array" ref="EK229">IFERROR(INDEX(TABLACONSOLIDADA[Buff Act],MATCH("AGROINSUMOSLAFINCA"&amp;Tabla_Buffers_Agroinsumos[[#This Row],[CODIGO ]],TABLACONSOLIDADA[Bodega]&amp;TABLACONSOLIDADA[Codigo],0)),"")</f>
        <v/>
      </c>
      <c r="EL229" s="157" t="str">
        <f t="array" ref="EL229">IFERROR(INDEX(TABLACONSOLIDADA[Inv Fís Act],MATCH("AGROINSUMOSLAFINCA"&amp;Tabla_Buffers_Agroinsumos[[#This Row],[CODIGO ]],TABLACONSOLIDADA[Bodega]&amp;TABLACONSOLIDADA[Codigo],0)),"")</f>
        <v/>
      </c>
      <c r="EM229" s="157" t="str">
        <f t="array" ref="EM22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2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29" s="134">
        <f>IFERROR(SUM(Tabla_Buffers_Agroinsumos[[#This Row],[LF-MP]:[LF-VL]]),"")</f>
        <v>0</v>
      </c>
      <c r="EP229" s="92" t="str">
        <f>IFERROR(Tabla_Buffers_Agroinsumos[[#This Row],[INV FIS LF]]-Tabla_Buffers_Agroinsumos[[#This Row],[BUFFER LF]],"")</f>
        <v/>
      </c>
      <c r="EQ22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29" s="134"/>
      <c r="ES229" s="134"/>
      <c r="ET229" s="134"/>
      <c r="EU229" s="134"/>
      <c r="EV229" s="134"/>
      <c r="EW229" s="134"/>
      <c r="EX229" s="134"/>
      <c r="EY229" s="134"/>
      <c r="EZ229" s="134"/>
      <c r="FA229" s="134" t="str">
        <f t="array" ref="FA229">IFERROR(INDEX(TABLACONSOLIDADA[Buff Act],MATCH("AGROINSUMOSVERONICALEDESMA"&amp;Tabla_Buffers_Agroinsumos[[#This Row],[CODIGO ]],TABLACONSOLIDADA[Bodega]&amp;TABLACONSOLIDADA[Codigo],0)),"")</f>
        <v/>
      </c>
      <c r="FB229" s="157" t="str">
        <f t="array" ref="FB229">IFERROR(INDEX(TABLACONSOLIDADA[Inv Fís Act],MATCH("AGROINSUMOSVERONICALEDESMA"&amp;Tabla_Buffers_Agroinsumos[[#This Row],[CODIGO ]],TABLACONSOLIDADA[Bodega]&amp;TABLACONSOLIDADA[Codigo],0)),"")</f>
        <v/>
      </c>
      <c r="FC229" s="157" t="str">
        <f t="array" ref="FC22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2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29" s="134">
        <f>IFERROR(SUM(Tabla_Buffers_Agroinsumos[[#This Row],[VL-MP]:[VL-LF]]),"")</f>
        <v>0</v>
      </c>
      <c r="FF229" s="92" t="str">
        <f>IFERROR(Tabla_Buffers_Agroinsumos[[#This Row],[INV FIS VL]]-Tabla_Buffers_Agroinsumos[[#This Row],[BUFFER VL]],"")</f>
        <v/>
      </c>
      <c r="FG22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29" s="134"/>
      <c r="FI229" s="134"/>
      <c r="FJ229" s="134"/>
      <c r="FK229" s="134"/>
      <c r="FL229" s="134"/>
      <c r="FM229" s="134"/>
      <c r="FN229" s="134"/>
      <c r="FO229" s="134"/>
      <c r="FP229" s="134"/>
    </row>
    <row r="230" spans="1:172">
      <c r="A230" s="20" t="s">
        <v>1248</v>
      </c>
      <c r="B230" s="20" t="s">
        <v>1245</v>
      </c>
      <c r="C230" s="20" t="s">
        <v>716</v>
      </c>
      <c r="D230" s="20" t="s">
        <v>718</v>
      </c>
      <c r="E230" s="20" t="s">
        <v>863</v>
      </c>
      <c r="F230" s="111" t="s">
        <v>808</v>
      </c>
      <c r="G230" s="111" t="s">
        <v>802</v>
      </c>
      <c r="H230" s="111" t="e">
        <f>VLOOKUP(Tabla_Buffers_Agroinsumos[[#This Row],[CODIGO ]],TABLACONSOLIDADA[[Codigo]:[PV]],6,0)</f>
        <v>#N/A</v>
      </c>
      <c r="I230" s="111" t="e">
        <f>VLOOKUP(Tabla_Buffers_Agroinsumos[[#This Row],[CODIGO ]],TABLACONSOLIDADA[[Codigo]:[PV]],5,0)</f>
        <v>#N/A</v>
      </c>
      <c r="J230" s="111"/>
      <c r="K230" s="111"/>
      <c r="L230" s="111">
        <f>IFERROR(Tabla_Buffers_Agroinsumos[[#This Row],[BUFFER CENTRAL]]/((Tabla_Buffers_Agroinsumos[[#This Row],[TIEMPO REPOSICION ]]/Tabla_Buffers_Agroinsumos[[#This Row],[FRECUENCIA]])+1),0)</f>
        <v>0</v>
      </c>
      <c r="M230" s="111">
        <v>500</v>
      </c>
      <c r="N230" s="111" t="str">
        <f t="array" ref="N230">IFERROR(INDEX(TABLACONSOLIDADA[Inv Fís Act],MATCH("AGROINSUMOSMATERIAPRIMA"&amp;Tabla_Buffers_Agroinsumos[[#This Row],[CODIGO ]],TABLACONSOLIDADA[Bodega]&amp;TABLACONSOLIDADA[Codigo],0)),"")</f>
        <v/>
      </c>
      <c r="O230" s="161" t="str">
        <f t="array" ref="O23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30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30" s="111">
        <f>IFERROR(SUM(Tabla_Buffers_Agroinsumos[[#This Row],[MP-C]:[MP-VL]]),"")</f>
        <v>0</v>
      </c>
      <c r="R230" s="154" t="str">
        <f>IFERROR(Tabla_Buffers_Agroinsumos[[#This Row],[INV FIS MATERIA PRIMA]]-Tabla_Buffers_Agroinsumos[[#This Row],[BUFFER MATERIA PRIMA]],"")</f>
        <v/>
      </c>
      <c r="S230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30" s="111"/>
      <c r="U230" s="111"/>
      <c r="V230" s="111"/>
      <c r="W230" s="111"/>
      <c r="X230" s="111"/>
      <c r="Y230" s="111"/>
      <c r="Z230" s="111"/>
      <c r="AA230" s="111"/>
      <c r="AB230" s="111"/>
      <c r="AC230" s="152" t="str">
        <f t="array" ref="AC230">IFERROR(INDEX(TABLACONSOLIDADA[Buff Act],MATCH("AGROINSUMOSCENTRAL"&amp;Tabla_Buffers_Agroinsumos[[#This Row],[CODIGO ]],TABLACONSOLIDADA[Bodega]&amp;TABLACONSOLIDADA[Codigo],0)),"")</f>
        <v/>
      </c>
      <c r="AD230" s="111" t="str">
        <f t="array" ref="AD230">IFERROR(INDEX(TABLACONSOLIDADA[Inv Fís Act],MATCH("AGROINSUMOSCENTRAL"&amp;Tabla_Buffers_Agroinsumos[[#This Row],[CODIGO ]],TABLACONSOLIDADA[Bodega]&amp;TABLACONSOLIDADA[Codigo],0)),"")</f>
        <v/>
      </c>
      <c r="AE230" s="161" t="str">
        <f t="array" ref="AE23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30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30" s="153">
        <f>IFERROR(SUM(Tabla_Buffers_Agroinsumos[[#This Row],[C-MP]:[C-VL]]),"")</f>
        <v>0</v>
      </c>
      <c r="AH230" s="154" t="str">
        <f>IFERROR(Tabla_Buffers_Agroinsumos[[#This Row],[INV FIS CENTRAL]]-Tabla_Buffers_Agroinsumos[[#This Row],[BUFFER CENTRAL]],"")</f>
        <v/>
      </c>
      <c r="AI230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30" s="135"/>
      <c r="AK230" s="135"/>
      <c r="AL230" s="135"/>
      <c r="AM230" s="135"/>
      <c r="AN230" s="135"/>
      <c r="AO230" s="135"/>
      <c r="AP230" s="135"/>
      <c r="AQ230" s="135"/>
      <c r="AR230" s="135"/>
      <c r="AS230" s="135" t="str">
        <f t="array" ref="AS230">IFERROR(INDEX(TABLACONSOLIDADA[Buff Act],MATCH("AGROINSUMOScentralPROPIA"&amp;Tabla_Buffers_Agroinsumos[[#This Row],[CODIGO ]],TABLACONSOLIDADA[Bodega]&amp;TABLACONSOLIDADA[Codigo],0)),"")</f>
        <v/>
      </c>
      <c r="AT230" s="111" t="str">
        <f t="array" ref="AT230">IFERROR(INDEX(TABLACONSOLIDADA[Inv Fís Act],MATCH("AGROINSUMOScentralPROPIA"&amp;Tabla_Buffers_Agroinsumos[[#This Row],[CODIGO ]],TABLACONSOLIDADA[Bodega]&amp;TABLACONSOLIDADA[Codigo],0)),"")</f>
        <v/>
      </c>
      <c r="AU230" s="161" t="str">
        <f t="array" ref="AU23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30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30" s="135">
        <f>IFERROR(SUM(Tabla_Buffers_Agroinsumos[[#This Row],[P-MP]:[P-VL]]),"")</f>
        <v>0</v>
      </c>
      <c r="AX230" s="154" t="str">
        <f>IFERROR(Tabla_Buffers_Agroinsumos[[#This Row],[INV FIS PROPIA]]-Tabla_Buffers_Agroinsumos[[#This Row],[BUFFER PROPIA]],"")</f>
        <v/>
      </c>
      <c r="AY230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30" s="135"/>
      <c r="BA230" s="135"/>
      <c r="BB230" s="135"/>
      <c r="BC230" s="135"/>
      <c r="BD230" s="135"/>
      <c r="BE230" s="135"/>
      <c r="BF230" s="135"/>
      <c r="BG230" s="135"/>
      <c r="BH230" s="135"/>
      <c r="BI230" s="153" t="str">
        <f t="array" ref="BI230">IFERROR(INDEX(TABLACONSOLIDADA[Buff Act],MATCH("AGROINSUMOSSTODOMINGO"&amp;Tabla_Buffers_Agroinsumos[[#This Row],[CODIGO ]],TABLACONSOLIDADA[Bodega]&amp;TABLACONSOLIDADA[Codigo],0)),"")</f>
        <v/>
      </c>
      <c r="BJ230" s="111" t="str">
        <f t="array" ref="BJ230">IFERROR(INDEX(TABLACONSOLIDADA[Inv Fís Act],MATCH("AGROINSUMOSSTODOMINGO"&amp;Tabla_Buffers_Agroinsumos[[#This Row],[CODIGO ]],TABLACONSOLIDADA[Bodega]&amp;TABLACONSOLIDADA[Codigo],0)),"")</f>
        <v/>
      </c>
      <c r="BK230" s="161" t="str">
        <f t="array" ref="BK23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30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30" s="153">
        <f>IFERROR(SUM(Tabla_Buffers_Agroinsumos[[#This Row],[SD-MP]:[SD-VL]]),"")</f>
        <v>0</v>
      </c>
      <c r="BN230" s="154"/>
      <c r="BO230" s="154"/>
      <c r="BP230" s="135"/>
      <c r="BQ230" s="135"/>
      <c r="BR230" s="135"/>
      <c r="BS230" s="135"/>
      <c r="BT230" s="135"/>
      <c r="BU230" s="135"/>
      <c r="BV230" s="135"/>
      <c r="BW230" s="135"/>
      <c r="BX230" s="135"/>
      <c r="BY230" s="135" t="str">
        <f t="array" ref="BY230">IFERROR(INDEX(TABLACONSOLIDADA[Buff Act],MATCH("AGROINSUMOSMONCAYOLOPEZ"&amp;Tabla_Buffers_Agroinsumos[[#This Row],[CODIGO ]],TABLACONSOLIDADA[Bodega]&amp;TABLACONSOLIDADA[Codigo],0)),"")</f>
        <v/>
      </c>
      <c r="BZ230" s="111" t="str">
        <f t="array" ref="BZ230">IFERROR(INDEX(TABLACONSOLIDADA[Inv Fís Act],MATCH("AGROINSUMOSMONCAYOLOPEZ"&amp;Tabla_Buffers_Agroinsumos[[#This Row],[CODIGO ]],TABLACONSOLIDADA[Bodega]&amp;TABLACONSOLIDADA[Codigo],0)),"")</f>
        <v/>
      </c>
      <c r="CA230" s="161" t="str">
        <f t="array" ref="CA23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30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30" s="135">
        <f>IFERROR(SUM(Tabla_Buffers_Agroinsumos[[#This Row],[ML-MP]:[ML-VL]]),"")</f>
        <v>0</v>
      </c>
      <c r="CD230" s="154" t="str">
        <f>IFERROR(Tabla_Buffers_Agroinsumos[[#This Row],[INV FIS ML]]-Tabla_Buffers_Agroinsumos[[#This Row],[BUFFER ML]],"")</f>
        <v/>
      </c>
      <c r="CE230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30" s="135"/>
      <c r="CG230" s="135"/>
      <c r="CH230" s="135"/>
      <c r="CI230" s="135"/>
      <c r="CJ230" s="135"/>
      <c r="CK230" s="135"/>
      <c r="CL230" s="135"/>
      <c r="CM230" s="135"/>
      <c r="CN230" s="135"/>
      <c r="CO230" s="135" t="str">
        <f t="array" ref="CO230">IFERROR(INDEX(TABLACONSOLIDADA[Buff Act],MATCH("AGROINSUMOSAGROHERMANOSLEON"&amp;Tabla_Buffers_Agroinsumos[[#This Row],[CODIGO ]],TABLACONSOLIDADA[Bodega]&amp;TABLACONSOLIDADA[Codigo],0)),"")</f>
        <v/>
      </c>
      <c r="CP230" s="111" t="str">
        <f t="array" ref="CP230">IFERROR(INDEX(TABLACONSOLIDADA[Inv Fís Act],MATCH("AGROINSUMOSAGROHERMANOSLEON"&amp;Tabla_Buffers_Agroinsumos[[#This Row],[CODIGO ]],TABLACONSOLIDADA[Bodega]&amp;TABLACONSOLIDADA[Codigo],0)),"")</f>
        <v/>
      </c>
      <c r="CQ230" s="161" t="str">
        <f t="array" ref="CQ23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30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30" s="135">
        <f>IFERROR(SUM(Tabla_Buffers_Agroinsumos[[#This Row],[AL-MP]:[AL-VL]]),"")</f>
        <v>0</v>
      </c>
      <c r="CT230" s="154" t="str">
        <f>IFERROR(Tabla_Buffers_Agroinsumos[[#This Row],[INV FIS AL]]-Tabla_Buffers_Agroinsumos[[#This Row],[BUFFER AL]],"")</f>
        <v/>
      </c>
      <c r="CU230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30" s="135"/>
      <c r="CW230" s="135"/>
      <c r="CX230" s="135"/>
      <c r="CY230" s="135"/>
      <c r="CZ230" s="135"/>
      <c r="DA230" s="135"/>
      <c r="DB230" s="135"/>
      <c r="DC230" s="135"/>
      <c r="DD230" s="135"/>
      <c r="DE230" s="135" t="str">
        <f t="array" ref="DE230">IFERROR(INDEX(TABLACONSOLIDADA[Buff Act],MATCH("AGROINSUMOSAGRONUEVO"&amp;Tabla_Buffers_Agroinsumos[[#This Row],[CODIGO ]],TABLACONSOLIDADA[Bodega]&amp;TABLACONSOLIDADA[Codigo],0)),"")</f>
        <v/>
      </c>
      <c r="DF230" s="111" t="str">
        <f t="array" ref="DF230">IFERROR(INDEX(TABLACONSOLIDADA[Inv Fís Act],MATCH("AGROINSUMOSAGRONUEVO"&amp;Tabla_Buffers_Agroinsumos[[#This Row],[CODIGO ]],TABLACONSOLIDADA[Bodega]&amp;TABLACONSOLIDADA[Codigo],0)),"")</f>
        <v/>
      </c>
      <c r="DG230" s="161" t="str">
        <f t="array" ref="DG23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30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30" s="135">
        <f>IFERROR(SUM(Tabla_Buffers_Agroinsumos[[#This Row],[AN-MP]:[AN-VL]]),"")</f>
        <v>0</v>
      </c>
      <c r="DJ230" s="154" t="str">
        <f>IFERROR(Tabla_Buffers_Agroinsumos[[#This Row],[INV FIS AN]]-Tabla_Buffers_Agroinsumos[[#This Row],[BUFFER AN]],"")</f>
        <v/>
      </c>
      <c r="DK230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30" s="135"/>
      <c r="DM230" s="135"/>
      <c r="DN230" s="135"/>
      <c r="DO230" s="135"/>
      <c r="DP230" s="135"/>
      <c r="DQ230" s="135"/>
      <c r="DR230" s="135"/>
      <c r="DS230" s="135"/>
      <c r="DT230" s="135"/>
      <c r="DU230" s="135" t="str">
        <f t="array" ref="DU230">IFERROR(INDEX(TABLACONSOLIDADA[Buff Act],MATCH("AGROINSUMOSAGROQUIMICOSSUR"&amp;Tabla_Buffers_Agroinsumos[[#This Row],[CODIGO ]],TABLACONSOLIDADA[Bodega]&amp;TABLACONSOLIDADA[Codigo],0)),"")</f>
        <v/>
      </c>
      <c r="DV230" s="111" t="str">
        <f t="array" ref="DV230">IFERROR(INDEX(TABLACONSOLIDADA[Inv Fís Act],MATCH("AGROINSUMOSAGROQUIMICOSSUR"&amp;Tabla_Buffers_Agroinsumos[[#This Row],[CODIGO ]],TABLACONSOLIDADA[Bodega]&amp;TABLACONSOLIDADA[Codigo],0)),"")</f>
        <v/>
      </c>
      <c r="DW230" s="161" t="str">
        <f t="array" ref="DW23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30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30" s="135">
        <f>IFERROR(SUM(Tabla_Buffers_Agroinsumos[[#This Row],[AS-MP]:[AS-VL]]),"")</f>
        <v>0</v>
      </c>
      <c r="DZ230" s="154" t="str">
        <f>IFERROR(Tabla_Buffers_Agroinsumos[[#This Row],[INV FIS AS]]-Tabla_Buffers_Agroinsumos[[#This Row],[BUFFER AS]],"")</f>
        <v/>
      </c>
      <c r="EA230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30" s="135"/>
      <c r="EC230" s="135"/>
      <c r="ED230" s="135"/>
      <c r="EE230" s="135"/>
      <c r="EF230" s="135"/>
      <c r="EG230" s="135"/>
      <c r="EH230" s="135"/>
      <c r="EI230" s="135"/>
      <c r="EJ230" s="135"/>
      <c r="EK230" s="135" t="str">
        <f t="array" ref="EK230">IFERROR(INDEX(TABLACONSOLIDADA[Buff Act],MATCH("AGROINSUMOSLAFINCA"&amp;Tabla_Buffers_Agroinsumos[[#This Row],[CODIGO ]],TABLACONSOLIDADA[Bodega]&amp;TABLACONSOLIDADA[Codigo],0)),"")</f>
        <v/>
      </c>
      <c r="EL230" s="111" t="str">
        <f t="array" ref="EL230">IFERROR(INDEX(TABLACONSOLIDADA[Inv Fís Act],MATCH("AGROINSUMOSLAFINCA"&amp;Tabla_Buffers_Agroinsumos[[#This Row],[CODIGO ]],TABLACONSOLIDADA[Bodega]&amp;TABLACONSOLIDADA[Codigo],0)),"")</f>
        <v/>
      </c>
      <c r="EM230" s="161" t="str">
        <f t="array" ref="EM23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30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30" s="135">
        <f>IFERROR(SUM(Tabla_Buffers_Agroinsumos[[#This Row],[LF-MP]:[LF-VL]]),"")</f>
        <v>0</v>
      </c>
      <c r="EP230" s="154" t="str">
        <f>IFERROR(Tabla_Buffers_Agroinsumos[[#This Row],[INV FIS LF]]-Tabla_Buffers_Agroinsumos[[#This Row],[BUFFER LF]],"")</f>
        <v/>
      </c>
      <c r="EQ230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30" s="135"/>
      <c r="ES230" s="135"/>
      <c r="ET230" s="135"/>
      <c r="EU230" s="135"/>
      <c r="EV230" s="135"/>
      <c r="EW230" s="135"/>
      <c r="EX230" s="135"/>
      <c r="EY230" s="135"/>
      <c r="EZ230" s="135"/>
      <c r="FA230" s="135" t="str">
        <f t="array" ref="FA230">IFERROR(INDEX(TABLACONSOLIDADA[Buff Act],MATCH("AGROINSUMOSVERONICALEDESMA"&amp;Tabla_Buffers_Agroinsumos[[#This Row],[CODIGO ]],TABLACONSOLIDADA[Bodega]&amp;TABLACONSOLIDADA[Codigo],0)),"")</f>
        <v/>
      </c>
      <c r="FB230" s="111" t="str">
        <f t="array" ref="FB230">IFERROR(INDEX(TABLACONSOLIDADA[Inv Fís Act],MATCH("AGROINSUMOSVERONICALEDESMA"&amp;Tabla_Buffers_Agroinsumos[[#This Row],[CODIGO ]],TABLACONSOLIDADA[Bodega]&amp;TABLACONSOLIDADA[Codigo],0)),"")</f>
        <v/>
      </c>
      <c r="FC230" s="161" t="str">
        <f t="array" ref="FC23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30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30" s="135">
        <f>IFERROR(SUM(Tabla_Buffers_Agroinsumos[[#This Row],[VL-MP]:[VL-LF]]),"")</f>
        <v>0</v>
      </c>
      <c r="FF230" s="154" t="str">
        <f>IFERROR(Tabla_Buffers_Agroinsumos[[#This Row],[INV FIS VL]]-Tabla_Buffers_Agroinsumos[[#This Row],[BUFFER VL]],"")</f>
        <v/>
      </c>
      <c r="FG230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30" s="135"/>
      <c r="FI230" s="135"/>
      <c r="FJ230" s="135"/>
      <c r="FK230" s="135"/>
      <c r="FL230" s="135"/>
      <c r="FM230" s="135"/>
      <c r="FN230" s="135"/>
      <c r="FO230" s="135"/>
      <c r="FP230" s="135"/>
    </row>
    <row r="231" spans="1:172">
      <c r="A231" s="20" t="s">
        <v>1250</v>
      </c>
      <c r="B231" s="20" t="s">
        <v>1247</v>
      </c>
      <c r="C231" s="20" t="s">
        <v>716</v>
      </c>
      <c r="D231" s="20" t="s">
        <v>718</v>
      </c>
      <c r="E231" s="20" t="s">
        <v>863</v>
      </c>
      <c r="F231" s="111" t="s">
        <v>808</v>
      </c>
      <c r="G231" s="111" t="s">
        <v>802</v>
      </c>
      <c r="H231" s="111" t="e">
        <f>VLOOKUP(Tabla_Buffers_Agroinsumos[[#This Row],[CODIGO ]],TABLACONSOLIDADA[[Codigo]:[PV]],6,0)</f>
        <v>#N/A</v>
      </c>
      <c r="I231" s="111" t="e">
        <f>VLOOKUP(Tabla_Buffers_Agroinsumos[[#This Row],[CODIGO ]],TABLACONSOLIDADA[[Codigo]:[PV]],5,0)</f>
        <v>#N/A</v>
      </c>
      <c r="J231" s="111"/>
      <c r="K231" s="111"/>
      <c r="L231" s="111">
        <f>IFERROR(Tabla_Buffers_Agroinsumos[[#This Row],[BUFFER CENTRAL]]/((Tabla_Buffers_Agroinsumos[[#This Row],[TIEMPO REPOSICION ]]/Tabla_Buffers_Agroinsumos[[#This Row],[FRECUENCIA]])+1),0)</f>
        <v>0</v>
      </c>
      <c r="M231" s="111">
        <v>500</v>
      </c>
      <c r="N231" s="111" t="str">
        <f t="array" ref="N231">IFERROR(INDEX(TABLACONSOLIDADA[Inv Fís Act],MATCH("AGROINSUMOSMATERIAPRIMA"&amp;Tabla_Buffers_Agroinsumos[[#This Row],[CODIGO ]],TABLACONSOLIDADA[Bodega]&amp;TABLACONSOLIDADA[Codigo],0)),"")</f>
        <v/>
      </c>
      <c r="O231" s="161" t="str">
        <f t="array" ref="O23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31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31" s="111">
        <f>IFERROR(SUM(Tabla_Buffers_Agroinsumos[[#This Row],[MP-C]:[MP-VL]]),"")</f>
        <v>0</v>
      </c>
      <c r="R231" s="154" t="str">
        <f>IFERROR(Tabla_Buffers_Agroinsumos[[#This Row],[INV FIS MATERIA PRIMA]]-Tabla_Buffers_Agroinsumos[[#This Row],[BUFFER MATERIA PRIMA]],"")</f>
        <v/>
      </c>
      <c r="S231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31" s="111"/>
      <c r="U231" s="111"/>
      <c r="V231" s="111"/>
      <c r="W231" s="111"/>
      <c r="X231" s="111"/>
      <c r="Y231" s="111"/>
      <c r="Z231" s="111"/>
      <c r="AA231" s="111"/>
      <c r="AB231" s="111"/>
      <c r="AC231" s="152" t="str">
        <f t="array" ref="AC231">IFERROR(INDEX(TABLACONSOLIDADA[Buff Act],MATCH("AGROINSUMOSCENTRAL"&amp;Tabla_Buffers_Agroinsumos[[#This Row],[CODIGO ]],TABLACONSOLIDADA[Bodega]&amp;TABLACONSOLIDADA[Codigo],0)),"")</f>
        <v/>
      </c>
      <c r="AD231" s="111" t="str">
        <f t="array" ref="AD231">IFERROR(INDEX(TABLACONSOLIDADA[Inv Fís Act],MATCH("AGROINSUMOSCENTRAL"&amp;Tabla_Buffers_Agroinsumos[[#This Row],[CODIGO ]],TABLACONSOLIDADA[Bodega]&amp;TABLACONSOLIDADA[Codigo],0)),"")</f>
        <v/>
      </c>
      <c r="AE231" s="161" t="str">
        <f t="array" ref="AE23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31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31" s="153">
        <f>IFERROR(SUM(Tabla_Buffers_Agroinsumos[[#This Row],[C-MP]:[C-VL]]),"")</f>
        <v>0</v>
      </c>
      <c r="AH231" s="154" t="str">
        <f>IFERROR(Tabla_Buffers_Agroinsumos[[#This Row],[INV FIS CENTRAL]]-Tabla_Buffers_Agroinsumos[[#This Row],[BUFFER CENTRAL]],"")</f>
        <v/>
      </c>
      <c r="AI231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31" s="135"/>
      <c r="AK231" s="135"/>
      <c r="AL231" s="135"/>
      <c r="AM231" s="135"/>
      <c r="AN231" s="135"/>
      <c r="AO231" s="135"/>
      <c r="AP231" s="135"/>
      <c r="AQ231" s="135"/>
      <c r="AR231" s="135"/>
      <c r="AS231" s="135" t="str">
        <f t="array" ref="AS231">IFERROR(INDEX(TABLACONSOLIDADA[Buff Act],MATCH("AGROINSUMOScentralPROPIA"&amp;Tabla_Buffers_Agroinsumos[[#This Row],[CODIGO ]],TABLACONSOLIDADA[Bodega]&amp;TABLACONSOLIDADA[Codigo],0)),"")</f>
        <v/>
      </c>
      <c r="AT231" s="111" t="str">
        <f t="array" ref="AT231">IFERROR(INDEX(TABLACONSOLIDADA[Inv Fís Act],MATCH("AGROINSUMOScentralPROPIA"&amp;Tabla_Buffers_Agroinsumos[[#This Row],[CODIGO ]],TABLACONSOLIDADA[Bodega]&amp;TABLACONSOLIDADA[Codigo],0)),"")</f>
        <v/>
      </c>
      <c r="AU231" s="161" t="str">
        <f t="array" ref="AU23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31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31" s="135">
        <f>IFERROR(SUM(Tabla_Buffers_Agroinsumos[[#This Row],[P-MP]:[P-VL]]),"")</f>
        <v>0</v>
      </c>
      <c r="AX231" s="154" t="str">
        <f>IFERROR(Tabla_Buffers_Agroinsumos[[#This Row],[INV FIS PROPIA]]-Tabla_Buffers_Agroinsumos[[#This Row],[BUFFER PROPIA]],"")</f>
        <v/>
      </c>
      <c r="AY231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31" s="135"/>
      <c r="BA231" s="135"/>
      <c r="BB231" s="135"/>
      <c r="BC231" s="135"/>
      <c r="BD231" s="135"/>
      <c r="BE231" s="135"/>
      <c r="BF231" s="135"/>
      <c r="BG231" s="135"/>
      <c r="BH231" s="135"/>
      <c r="BI231" s="153" t="str">
        <f t="array" ref="BI231">IFERROR(INDEX(TABLACONSOLIDADA[Buff Act],MATCH("AGROINSUMOSSTODOMINGO"&amp;Tabla_Buffers_Agroinsumos[[#This Row],[CODIGO ]],TABLACONSOLIDADA[Bodega]&amp;TABLACONSOLIDADA[Codigo],0)),"")</f>
        <v/>
      </c>
      <c r="BJ231" s="111" t="str">
        <f t="array" ref="BJ231">IFERROR(INDEX(TABLACONSOLIDADA[Inv Fís Act],MATCH("AGROINSUMOSSTODOMINGO"&amp;Tabla_Buffers_Agroinsumos[[#This Row],[CODIGO ]],TABLACONSOLIDADA[Bodega]&amp;TABLACONSOLIDADA[Codigo],0)),"")</f>
        <v/>
      </c>
      <c r="BK231" s="161" t="str">
        <f t="array" ref="BK23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31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31" s="153">
        <f>IFERROR(SUM(Tabla_Buffers_Agroinsumos[[#This Row],[SD-MP]:[SD-VL]]),"")</f>
        <v>0</v>
      </c>
      <c r="BN231" s="154"/>
      <c r="BO231" s="154"/>
      <c r="BP231" s="135"/>
      <c r="BQ231" s="135"/>
      <c r="BR231" s="135"/>
      <c r="BS231" s="135"/>
      <c r="BT231" s="135"/>
      <c r="BU231" s="135"/>
      <c r="BV231" s="135"/>
      <c r="BW231" s="135"/>
      <c r="BX231" s="135"/>
      <c r="BY231" s="135" t="str">
        <f t="array" ref="BY231">IFERROR(INDEX(TABLACONSOLIDADA[Buff Act],MATCH("AGROINSUMOSMONCAYOLOPEZ"&amp;Tabla_Buffers_Agroinsumos[[#This Row],[CODIGO ]],TABLACONSOLIDADA[Bodega]&amp;TABLACONSOLIDADA[Codigo],0)),"")</f>
        <v/>
      </c>
      <c r="BZ231" s="111" t="str">
        <f t="array" ref="BZ231">IFERROR(INDEX(TABLACONSOLIDADA[Inv Fís Act],MATCH("AGROINSUMOSMONCAYOLOPEZ"&amp;Tabla_Buffers_Agroinsumos[[#This Row],[CODIGO ]],TABLACONSOLIDADA[Bodega]&amp;TABLACONSOLIDADA[Codigo],0)),"")</f>
        <v/>
      </c>
      <c r="CA231" s="161" t="str">
        <f t="array" ref="CA23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31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31" s="135">
        <f>IFERROR(SUM(Tabla_Buffers_Agroinsumos[[#This Row],[ML-MP]:[ML-VL]]),"")</f>
        <v>0</v>
      </c>
      <c r="CD231" s="154" t="str">
        <f>IFERROR(Tabla_Buffers_Agroinsumos[[#This Row],[INV FIS ML]]-Tabla_Buffers_Agroinsumos[[#This Row],[BUFFER ML]],"")</f>
        <v/>
      </c>
      <c r="CE231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31" s="135"/>
      <c r="CG231" s="135"/>
      <c r="CH231" s="135"/>
      <c r="CI231" s="135"/>
      <c r="CJ231" s="135"/>
      <c r="CK231" s="135"/>
      <c r="CL231" s="135"/>
      <c r="CM231" s="135"/>
      <c r="CN231" s="135"/>
      <c r="CO231" s="135" t="str">
        <f t="array" ref="CO231">IFERROR(INDEX(TABLACONSOLIDADA[Buff Act],MATCH("AGROINSUMOSAGROHERMANOSLEON"&amp;Tabla_Buffers_Agroinsumos[[#This Row],[CODIGO ]],TABLACONSOLIDADA[Bodega]&amp;TABLACONSOLIDADA[Codigo],0)),"")</f>
        <v/>
      </c>
      <c r="CP231" s="111" t="str">
        <f t="array" ref="CP231">IFERROR(INDEX(TABLACONSOLIDADA[Inv Fís Act],MATCH("AGROINSUMOSAGROHERMANOSLEON"&amp;Tabla_Buffers_Agroinsumos[[#This Row],[CODIGO ]],TABLACONSOLIDADA[Bodega]&amp;TABLACONSOLIDADA[Codigo],0)),"")</f>
        <v/>
      </c>
      <c r="CQ231" s="161" t="str">
        <f t="array" ref="CQ23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31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31" s="135">
        <f>IFERROR(SUM(Tabla_Buffers_Agroinsumos[[#This Row],[AL-MP]:[AL-VL]]),"")</f>
        <v>0</v>
      </c>
      <c r="CT231" s="154" t="str">
        <f>IFERROR(Tabla_Buffers_Agroinsumos[[#This Row],[INV FIS AL]]-Tabla_Buffers_Agroinsumos[[#This Row],[BUFFER AL]],"")</f>
        <v/>
      </c>
      <c r="CU231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31" s="135"/>
      <c r="CW231" s="135"/>
      <c r="CX231" s="135"/>
      <c r="CY231" s="135"/>
      <c r="CZ231" s="135"/>
      <c r="DA231" s="135"/>
      <c r="DB231" s="135"/>
      <c r="DC231" s="135"/>
      <c r="DD231" s="135"/>
      <c r="DE231" s="135" t="str">
        <f t="array" ref="DE231">IFERROR(INDEX(TABLACONSOLIDADA[Buff Act],MATCH("AGROINSUMOSAGRONUEVO"&amp;Tabla_Buffers_Agroinsumos[[#This Row],[CODIGO ]],TABLACONSOLIDADA[Bodega]&amp;TABLACONSOLIDADA[Codigo],0)),"")</f>
        <v/>
      </c>
      <c r="DF231" s="111" t="str">
        <f t="array" ref="DF231">IFERROR(INDEX(TABLACONSOLIDADA[Inv Fís Act],MATCH("AGROINSUMOSAGRONUEVO"&amp;Tabla_Buffers_Agroinsumos[[#This Row],[CODIGO ]],TABLACONSOLIDADA[Bodega]&amp;TABLACONSOLIDADA[Codigo],0)),"")</f>
        <v/>
      </c>
      <c r="DG231" s="161" t="str">
        <f t="array" ref="DG23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31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31" s="135">
        <f>IFERROR(SUM(Tabla_Buffers_Agroinsumos[[#This Row],[AN-MP]:[AN-VL]]),"")</f>
        <v>0</v>
      </c>
      <c r="DJ231" s="154" t="str">
        <f>IFERROR(Tabla_Buffers_Agroinsumos[[#This Row],[INV FIS AN]]-Tabla_Buffers_Agroinsumos[[#This Row],[BUFFER AN]],"")</f>
        <v/>
      </c>
      <c r="DK231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31" s="135"/>
      <c r="DM231" s="135"/>
      <c r="DN231" s="135"/>
      <c r="DO231" s="135"/>
      <c r="DP231" s="135"/>
      <c r="DQ231" s="135"/>
      <c r="DR231" s="135"/>
      <c r="DS231" s="135"/>
      <c r="DT231" s="135"/>
      <c r="DU231" s="135" t="str">
        <f t="array" ref="DU231">IFERROR(INDEX(TABLACONSOLIDADA[Buff Act],MATCH("AGROINSUMOSAGROQUIMICOSSUR"&amp;Tabla_Buffers_Agroinsumos[[#This Row],[CODIGO ]],TABLACONSOLIDADA[Bodega]&amp;TABLACONSOLIDADA[Codigo],0)),"")</f>
        <v/>
      </c>
      <c r="DV231" s="111" t="str">
        <f t="array" ref="DV231">IFERROR(INDEX(TABLACONSOLIDADA[Inv Fís Act],MATCH("AGROINSUMOSAGROQUIMICOSSUR"&amp;Tabla_Buffers_Agroinsumos[[#This Row],[CODIGO ]],TABLACONSOLIDADA[Bodega]&amp;TABLACONSOLIDADA[Codigo],0)),"")</f>
        <v/>
      </c>
      <c r="DW231" s="161" t="str">
        <f t="array" ref="DW23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31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31" s="135">
        <f>IFERROR(SUM(Tabla_Buffers_Agroinsumos[[#This Row],[AS-MP]:[AS-VL]]),"")</f>
        <v>0</v>
      </c>
      <c r="DZ231" s="154" t="str">
        <f>IFERROR(Tabla_Buffers_Agroinsumos[[#This Row],[INV FIS AS]]-Tabla_Buffers_Agroinsumos[[#This Row],[BUFFER AS]],"")</f>
        <v/>
      </c>
      <c r="EA231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31" s="135"/>
      <c r="EC231" s="135"/>
      <c r="ED231" s="135"/>
      <c r="EE231" s="135"/>
      <c r="EF231" s="135"/>
      <c r="EG231" s="135"/>
      <c r="EH231" s="135"/>
      <c r="EI231" s="135"/>
      <c r="EJ231" s="135"/>
      <c r="EK231" s="135" t="str">
        <f t="array" ref="EK231">IFERROR(INDEX(TABLACONSOLIDADA[Buff Act],MATCH("AGROINSUMOSLAFINCA"&amp;Tabla_Buffers_Agroinsumos[[#This Row],[CODIGO ]],TABLACONSOLIDADA[Bodega]&amp;TABLACONSOLIDADA[Codigo],0)),"")</f>
        <v/>
      </c>
      <c r="EL231" s="111" t="str">
        <f t="array" ref="EL231">IFERROR(INDEX(TABLACONSOLIDADA[Inv Fís Act],MATCH("AGROINSUMOSLAFINCA"&amp;Tabla_Buffers_Agroinsumos[[#This Row],[CODIGO ]],TABLACONSOLIDADA[Bodega]&amp;TABLACONSOLIDADA[Codigo],0)),"")</f>
        <v/>
      </c>
      <c r="EM231" s="161" t="str">
        <f t="array" ref="EM23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31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31" s="135">
        <f>IFERROR(SUM(Tabla_Buffers_Agroinsumos[[#This Row],[LF-MP]:[LF-VL]]),"")</f>
        <v>0</v>
      </c>
      <c r="EP231" s="154" t="str">
        <f>IFERROR(Tabla_Buffers_Agroinsumos[[#This Row],[INV FIS LF]]-Tabla_Buffers_Agroinsumos[[#This Row],[BUFFER LF]],"")</f>
        <v/>
      </c>
      <c r="EQ231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31" s="135"/>
      <c r="ES231" s="135"/>
      <c r="ET231" s="135"/>
      <c r="EU231" s="135"/>
      <c r="EV231" s="135"/>
      <c r="EW231" s="135"/>
      <c r="EX231" s="135"/>
      <c r="EY231" s="135"/>
      <c r="EZ231" s="135"/>
      <c r="FA231" s="135" t="str">
        <f t="array" ref="FA231">IFERROR(INDEX(TABLACONSOLIDADA[Buff Act],MATCH("AGROINSUMOSVERONICALEDESMA"&amp;Tabla_Buffers_Agroinsumos[[#This Row],[CODIGO ]],TABLACONSOLIDADA[Bodega]&amp;TABLACONSOLIDADA[Codigo],0)),"")</f>
        <v/>
      </c>
      <c r="FB231" s="111" t="str">
        <f t="array" ref="FB231">IFERROR(INDEX(TABLACONSOLIDADA[Inv Fís Act],MATCH("AGROINSUMOSVERONICALEDESMA"&amp;Tabla_Buffers_Agroinsumos[[#This Row],[CODIGO ]],TABLACONSOLIDADA[Bodega]&amp;TABLACONSOLIDADA[Codigo],0)),"")</f>
        <v/>
      </c>
      <c r="FC231" s="161" t="str">
        <f t="array" ref="FC23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31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31" s="135">
        <f>IFERROR(SUM(Tabla_Buffers_Agroinsumos[[#This Row],[VL-MP]:[VL-LF]]),"")</f>
        <v>0</v>
      </c>
      <c r="FF231" s="154" t="str">
        <f>IFERROR(Tabla_Buffers_Agroinsumos[[#This Row],[INV FIS VL]]-Tabla_Buffers_Agroinsumos[[#This Row],[BUFFER VL]],"")</f>
        <v/>
      </c>
      <c r="FG231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31" s="135"/>
      <c r="FI231" s="135"/>
      <c r="FJ231" s="135"/>
      <c r="FK231" s="135"/>
      <c r="FL231" s="135"/>
      <c r="FM231" s="135"/>
      <c r="FN231" s="135"/>
      <c r="FO231" s="135"/>
      <c r="FP231" s="135"/>
    </row>
    <row r="232" spans="1:172">
      <c r="A232" s="7" t="s">
        <v>880</v>
      </c>
      <c r="B232" s="7" t="s">
        <v>915</v>
      </c>
      <c r="C232" s="7" t="s">
        <v>716</v>
      </c>
      <c r="D232" s="7" t="s">
        <v>718</v>
      </c>
      <c r="E232" s="7" t="s">
        <v>863</v>
      </c>
      <c r="F232" s="19" t="s">
        <v>808</v>
      </c>
      <c r="G232" s="19" t="s">
        <v>802</v>
      </c>
      <c r="H232" s="19">
        <f>VLOOKUP(Tabla_Buffers_Agroinsumos[[#This Row],[CODIGO ]],TABLACONSOLIDADA[[Codigo]:[PV]],6,0)</f>
        <v>0</v>
      </c>
      <c r="I232" s="19">
        <f>VLOOKUP(Tabla_Buffers_Agroinsumos[[#This Row],[CODIGO ]],TABLACONSOLIDADA[[Codigo]:[PV]],5,0)</f>
        <v>0.11</v>
      </c>
      <c r="J232" s="19">
        <v>4</v>
      </c>
      <c r="K232" s="19">
        <v>6</v>
      </c>
      <c r="L232" s="19">
        <f>IFERROR(Tabla_Buffers_Agroinsumos[[#This Row],[BUFFER CENTRAL]]/((Tabla_Buffers_Agroinsumos[[#This Row],[TIEMPO REPOSICION ]]/Tabla_Buffers_Agroinsumos[[#This Row],[FRECUENCIA]])+1),0)</f>
        <v>0</v>
      </c>
      <c r="M232" s="19">
        <f t="array" ref="M232">IFERROR(INDEX(TABLACONSOLIDADA[Buff Act],MATCH("AGROINSUMOSMATERIAPRIMA"&amp;Tabla_Buffers_Agroinsumos[[#This Row],[CODIGO ]],TABLACONSOLIDADA[Bodega]&amp;TABLACONSOLIDADA[Codigo],0)),"")</f>
        <v>500</v>
      </c>
      <c r="N232" s="157">
        <f t="array" ref="N232">IFERROR(INDEX(TABLACONSOLIDADA[Inv Fís Act],MATCH("AGROINSUMOSMATERIAPRIMA"&amp;Tabla_Buffers_Agroinsumos[[#This Row],[CODIGO ]],TABLACONSOLIDADA[Bodega]&amp;TABLACONSOLIDADA[Codigo],0)),"")</f>
        <v>328</v>
      </c>
      <c r="O232" s="157">
        <f t="array" ref="O23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828</v>
      </c>
      <c r="P23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32" s="19">
        <f>IFERROR(SUM(Tabla_Buffers_Agroinsumos[[#This Row],[MP-C]:[MP-VL]]),"")</f>
        <v>0</v>
      </c>
      <c r="R232" s="92">
        <f>IFERROR(Tabla_Buffers_Agroinsumos[[#This Row],[INV FIS MATERIA PRIMA]]-Tabla_Buffers_Agroinsumos[[#This Row],[BUFFER MATERIA PRIMA]],"")</f>
        <v>-172</v>
      </c>
      <c r="S23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-172</v>
      </c>
      <c r="T232" s="19"/>
      <c r="U232" s="19"/>
      <c r="V232" s="19"/>
      <c r="W232" s="19"/>
      <c r="X232" s="19"/>
      <c r="Y232" s="19"/>
      <c r="Z232" s="19"/>
      <c r="AA232" s="19"/>
      <c r="AB232" s="19"/>
      <c r="AC232" s="152" t="str">
        <f t="array" ref="AC232">IFERROR(INDEX(TABLACONSOLIDADA[Buff Act],MATCH("AGROINSUMOSCENTRAL"&amp;Tabla_Buffers_Agroinsumos[[#This Row],[CODIGO ]],TABLACONSOLIDADA[Bodega]&amp;TABLACONSOLIDADA[Codigo],0)),"")</f>
        <v/>
      </c>
      <c r="AD232" s="157" t="str">
        <f t="array" ref="AD232">IFERROR(INDEX(TABLACONSOLIDADA[Inv Fís Act],MATCH("AGROINSUMOSCENTRAL"&amp;Tabla_Buffers_Agroinsumos[[#This Row],[CODIGO ]],TABLACONSOLIDADA[Bodega]&amp;TABLACONSOLIDADA[Codigo],0)),"")</f>
        <v/>
      </c>
      <c r="AE232" s="157" t="str">
        <f t="array" ref="AE23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3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32" s="91">
        <f>IFERROR(SUM(Tabla_Buffers_Agroinsumos[[#This Row],[C-MP]:[C-VL]]),"")</f>
        <v>0</v>
      </c>
      <c r="AH232" s="92" t="str">
        <f>IFERROR(Tabla_Buffers_Agroinsumos[[#This Row],[INV FIS CENTRAL]]-Tabla_Buffers_Agroinsumos[[#This Row],[BUFFER CENTRAL]],"")</f>
        <v/>
      </c>
      <c r="AI23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32" s="134"/>
      <c r="AK232" s="134"/>
      <c r="AL232" s="134"/>
      <c r="AM232" s="134"/>
      <c r="AN232" s="134"/>
      <c r="AO232" s="134"/>
      <c r="AP232" s="134"/>
      <c r="AQ232" s="134"/>
      <c r="AR232" s="134"/>
      <c r="AS232" s="134" t="str">
        <f t="array" ref="AS232">IFERROR(INDEX(TABLACONSOLIDADA[Buff Act],MATCH("AGROINSUMOScentralPROPIA"&amp;Tabla_Buffers_Agroinsumos[[#This Row],[CODIGO ]],TABLACONSOLIDADA[Bodega]&amp;TABLACONSOLIDADA[Codigo],0)),"")</f>
        <v/>
      </c>
      <c r="AT232" s="157" t="str">
        <f t="array" ref="AT232">IFERROR(INDEX(TABLACONSOLIDADA[Inv Fís Act],MATCH("AGROINSUMOScentralPROPIA"&amp;Tabla_Buffers_Agroinsumos[[#This Row],[CODIGO ]],TABLACONSOLIDADA[Bodega]&amp;TABLACONSOLIDADA[Codigo],0)),"")</f>
        <v/>
      </c>
      <c r="AU232" s="157" t="str">
        <f t="array" ref="AU23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3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32" s="134">
        <f>IFERROR(SUM(Tabla_Buffers_Agroinsumos[[#This Row],[P-MP]:[P-VL]]),"")</f>
        <v>0</v>
      </c>
      <c r="AX232" s="92" t="str">
        <f>IFERROR(Tabla_Buffers_Agroinsumos[[#This Row],[INV FIS PROPIA]]-Tabla_Buffers_Agroinsumos[[#This Row],[BUFFER PROPIA]],"")</f>
        <v/>
      </c>
      <c r="AY23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32" s="134"/>
      <c r="BA232" s="134"/>
      <c r="BB232" s="134"/>
      <c r="BC232" s="134"/>
      <c r="BD232" s="134"/>
      <c r="BE232" s="134"/>
      <c r="BF232" s="134"/>
      <c r="BG232" s="134"/>
      <c r="BH232" s="134"/>
      <c r="BI232" s="91" t="str">
        <f t="array" ref="BI232">IFERROR(INDEX(TABLACONSOLIDADA[Buff Act],MATCH("AGROINSUMOSSTODOMINGO"&amp;Tabla_Buffers_Agroinsumos[[#This Row],[CODIGO ]],TABLACONSOLIDADA[Bodega]&amp;TABLACONSOLIDADA[Codigo],0)),"")</f>
        <v/>
      </c>
      <c r="BJ232" s="157" t="str">
        <f t="array" ref="BJ232">IFERROR(INDEX(TABLACONSOLIDADA[Inv Fís Act],MATCH("AGROINSUMOSSTODOMINGO"&amp;Tabla_Buffers_Agroinsumos[[#This Row],[CODIGO ]],TABLACONSOLIDADA[Bodega]&amp;TABLACONSOLIDADA[Codigo],0)),"")</f>
        <v/>
      </c>
      <c r="BK232" s="157" t="str">
        <f t="array" ref="BK23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3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32" s="91">
        <f>IFERROR(SUM(Tabla_Buffers_Agroinsumos[[#This Row],[SD-MP]:[SD-VL]]),"")</f>
        <v>0</v>
      </c>
      <c r="BN232" s="92"/>
      <c r="BO232" s="92"/>
      <c r="BP232" s="134"/>
      <c r="BQ232" s="134"/>
      <c r="BR232" s="134"/>
      <c r="BS232" s="134"/>
      <c r="BT232" s="134"/>
      <c r="BU232" s="134"/>
      <c r="BV232" s="134"/>
      <c r="BW232" s="134"/>
      <c r="BX232" s="134"/>
      <c r="BY232" s="134" t="str">
        <f t="array" ref="BY232">IFERROR(INDEX(TABLACONSOLIDADA[Buff Act],MATCH("AGROINSUMOSMONCAYOLOPEZ"&amp;Tabla_Buffers_Agroinsumos[[#This Row],[CODIGO ]],TABLACONSOLIDADA[Bodega]&amp;TABLACONSOLIDADA[Codigo],0)),"")</f>
        <v/>
      </c>
      <c r="BZ232" s="157" t="str">
        <f t="array" ref="BZ232">IFERROR(INDEX(TABLACONSOLIDADA[Inv Fís Act],MATCH("AGROINSUMOSMONCAYOLOPEZ"&amp;Tabla_Buffers_Agroinsumos[[#This Row],[CODIGO ]],TABLACONSOLIDADA[Bodega]&amp;TABLACONSOLIDADA[Codigo],0)),"")</f>
        <v/>
      </c>
      <c r="CA232" s="157" t="str">
        <f t="array" ref="CA23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3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32" s="134">
        <f>IFERROR(SUM(Tabla_Buffers_Agroinsumos[[#This Row],[ML-MP]:[ML-VL]]),"")</f>
        <v>0</v>
      </c>
      <c r="CD232" s="92" t="str">
        <f>IFERROR(Tabla_Buffers_Agroinsumos[[#This Row],[INV FIS ML]]-Tabla_Buffers_Agroinsumos[[#This Row],[BUFFER ML]],"")</f>
        <v/>
      </c>
      <c r="CE23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32" s="134"/>
      <c r="CG232" s="134"/>
      <c r="CH232" s="134"/>
      <c r="CI232" s="134"/>
      <c r="CJ232" s="134"/>
      <c r="CK232" s="134"/>
      <c r="CL232" s="134"/>
      <c r="CM232" s="134"/>
      <c r="CN232" s="134"/>
      <c r="CO232" s="134" t="str">
        <f t="array" ref="CO232">IFERROR(INDEX(TABLACONSOLIDADA[Buff Act],MATCH("AGROINSUMOSAGROHERMANOSLEON"&amp;Tabla_Buffers_Agroinsumos[[#This Row],[CODIGO ]],TABLACONSOLIDADA[Bodega]&amp;TABLACONSOLIDADA[Codigo],0)),"")</f>
        <v/>
      </c>
      <c r="CP232" s="157" t="str">
        <f t="array" ref="CP232">IFERROR(INDEX(TABLACONSOLIDADA[Inv Fís Act],MATCH("AGROINSUMOSAGROHERMANOSLEON"&amp;Tabla_Buffers_Agroinsumos[[#This Row],[CODIGO ]],TABLACONSOLIDADA[Bodega]&amp;TABLACONSOLIDADA[Codigo],0)),"")</f>
        <v/>
      </c>
      <c r="CQ232" s="157" t="str">
        <f t="array" ref="CQ23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3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32" s="134">
        <f>IFERROR(SUM(Tabla_Buffers_Agroinsumos[[#This Row],[AL-MP]:[AL-VL]]),"")</f>
        <v>0</v>
      </c>
      <c r="CT232" s="92" t="str">
        <f>IFERROR(Tabla_Buffers_Agroinsumos[[#This Row],[INV FIS AL]]-Tabla_Buffers_Agroinsumos[[#This Row],[BUFFER AL]],"")</f>
        <v/>
      </c>
      <c r="CU23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32" s="134"/>
      <c r="CW232" s="134"/>
      <c r="CX232" s="134"/>
      <c r="CY232" s="134"/>
      <c r="CZ232" s="134"/>
      <c r="DA232" s="134"/>
      <c r="DB232" s="134"/>
      <c r="DC232" s="134"/>
      <c r="DD232" s="134"/>
      <c r="DE232" s="134" t="str">
        <f t="array" ref="DE232">IFERROR(INDEX(TABLACONSOLIDADA[Buff Act],MATCH("AGROINSUMOSAGRONUEVO"&amp;Tabla_Buffers_Agroinsumos[[#This Row],[CODIGO ]],TABLACONSOLIDADA[Bodega]&amp;TABLACONSOLIDADA[Codigo],0)),"")</f>
        <v/>
      </c>
      <c r="DF232" s="157" t="str">
        <f t="array" ref="DF232">IFERROR(INDEX(TABLACONSOLIDADA[Inv Fís Act],MATCH("AGROINSUMOSAGRONUEVO"&amp;Tabla_Buffers_Agroinsumos[[#This Row],[CODIGO ]],TABLACONSOLIDADA[Bodega]&amp;TABLACONSOLIDADA[Codigo],0)),"")</f>
        <v/>
      </c>
      <c r="DG232" s="157" t="str">
        <f t="array" ref="DG23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3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32" s="134">
        <f>IFERROR(SUM(Tabla_Buffers_Agroinsumos[[#This Row],[AN-MP]:[AN-VL]]),"")</f>
        <v>0</v>
      </c>
      <c r="DJ232" s="92" t="str">
        <f>IFERROR(Tabla_Buffers_Agroinsumos[[#This Row],[INV FIS AN]]-Tabla_Buffers_Agroinsumos[[#This Row],[BUFFER AN]],"")</f>
        <v/>
      </c>
      <c r="DK23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32" s="134"/>
      <c r="DM232" s="134"/>
      <c r="DN232" s="134"/>
      <c r="DO232" s="134"/>
      <c r="DP232" s="134"/>
      <c r="DQ232" s="134"/>
      <c r="DR232" s="134"/>
      <c r="DS232" s="134"/>
      <c r="DT232" s="134"/>
      <c r="DU232" s="134" t="str">
        <f t="array" ref="DU232">IFERROR(INDEX(TABLACONSOLIDADA[Buff Act],MATCH("AGROINSUMOSAGROQUIMICOSSUR"&amp;Tabla_Buffers_Agroinsumos[[#This Row],[CODIGO ]],TABLACONSOLIDADA[Bodega]&amp;TABLACONSOLIDADA[Codigo],0)),"")</f>
        <v/>
      </c>
      <c r="DV232" s="157" t="str">
        <f t="array" ref="DV232">IFERROR(INDEX(TABLACONSOLIDADA[Inv Fís Act],MATCH("AGROINSUMOSAGROQUIMICOSSUR"&amp;Tabla_Buffers_Agroinsumos[[#This Row],[CODIGO ]],TABLACONSOLIDADA[Bodega]&amp;TABLACONSOLIDADA[Codigo],0)),"")</f>
        <v/>
      </c>
      <c r="DW232" s="157" t="str">
        <f t="array" ref="DW23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3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32" s="134">
        <f>IFERROR(SUM(Tabla_Buffers_Agroinsumos[[#This Row],[AS-MP]:[AS-VL]]),"")</f>
        <v>0</v>
      </c>
      <c r="DZ232" s="92" t="str">
        <f>IFERROR(Tabla_Buffers_Agroinsumos[[#This Row],[INV FIS AS]]-Tabla_Buffers_Agroinsumos[[#This Row],[BUFFER AS]],"")</f>
        <v/>
      </c>
      <c r="EA23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32" s="134"/>
      <c r="EC232" s="134"/>
      <c r="ED232" s="134"/>
      <c r="EE232" s="134"/>
      <c r="EF232" s="134"/>
      <c r="EG232" s="134"/>
      <c r="EH232" s="134"/>
      <c r="EI232" s="134"/>
      <c r="EJ232" s="134"/>
      <c r="EK232" s="134" t="str">
        <f t="array" ref="EK232">IFERROR(INDEX(TABLACONSOLIDADA[Buff Act],MATCH("AGROINSUMOSLAFINCA"&amp;Tabla_Buffers_Agroinsumos[[#This Row],[CODIGO ]],TABLACONSOLIDADA[Bodega]&amp;TABLACONSOLIDADA[Codigo],0)),"")</f>
        <v/>
      </c>
      <c r="EL232" s="157" t="str">
        <f t="array" ref="EL232">IFERROR(INDEX(TABLACONSOLIDADA[Inv Fís Act],MATCH("AGROINSUMOSLAFINCA"&amp;Tabla_Buffers_Agroinsumos[[#This Row],[CODIGO ]],TABLACONSOLIDADA[Bodega]&amp;TABLACONSOLIDADA[Codigo],0)),"")</f>
        <v/>
      </c>
      <c r="EM232" s="157" t="str">
        <f t="array" ref="EM23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3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32" s="134">
        <f>IFERROR(SUM(Tabla_Buffers_Agroinsumos[[#This Row],[LF-MP]:[LF-VL]]),"")</f>
        <v>0</v>
      </c>
      <c r="EP232" s="92" t="str">
        <f>IFERROR(Tabla_Buffers_Agroinsumos[[#This Row],[INV FIS LF]]-Tabla_Buffers_Agroinsumos[[#This Row],[BUFFER LF]],"")</f>
        <v/>
      </c>
      <c r="EQ23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32" s="134"/>
      <c r="ES232" s="134"/>
      <c r="ET232" s="134"/>
      <c r="EU232" s="134"/>
      <c r="EV232" s="134"/>
      <c r="EW232" s="134"/>
      <c r="EX232" s="134"/>
      <c r="EY232" s="134"/>
      <c r="EZ232" s="134"/>
      <c r="FA232" s="134" t="str">
        <f t="array" ref="FA232">IFERROR(INDEX(TABLACONSOLIDADA[Buff Act],MATCH("AGROINSUMOSVERONICALEDESMA"&amp;Tabla_Buffers_Agroinsumos[[#This Row],[CODIGO ]],TABLACONSOLIDADA[Bodega]&amp;TABLACONSOLIDADA[Codigo],0)),"")</f>
        <v/>
      </c>
      <c r="FB232" s="157" t="str">
        <f t="array" ref="FB232">IFERROR(INDEX(TABLACONSOLIDADA[Inv Fís Act],MATCH("AGROINSUMOSVERONICALEDESMA"&amp;Tabla_Buffers_Agroinsumos[[#This Row],[CODIGO ]],TABLACONSOLIDADA[Bodega]&amp;TABLACONSOLIDADA[Codigo],0)),"")</f>
        <v/>
      </c>
      <c r="FC232" s="157" t="str">
        <f t="array" ref="FC23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3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32" s="134">
        <f>IFERROR(SUM(Tabla_Buffers_Agroinsumos[[#This Row],[VL-MP]:[VL-LF]]),"")</f>
        <v>0</v>
      </c>
      <c r="FF232" s="92" t="str">
        <f>IFERROR(Tabla_Buffers_Agroinsumos[[#This Row],[INV FIS VL]]-Tabla_Buffers_Agroinsumos[[#This Row],[BUFFER VL]],"")</f>
        <v/>
      </c>
      <c r="FG23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32" s="134"/>
      <c r="FI232" s="134"/>
      <c r="FJ232" s="134"/>
      <c r="FK232" s="134"/>
      <c r="FL232" s="134"/>
      <c r="FM232" s="134"/>
      <c r="FN232" s="134"/>
      <c r="FO232" s="134"/>
      <c r="FP232" s="134"/>
    </row>
    <row r="233" spans="1:172">
      <c r="A233" s="7" t="s">
        <v>1249</v>
      </c>
      <c r="B233" s="20" t="s">
        <v>1246</v>
      </c>
      <c r="C233" s="20" t="s">
        <v>716</v>
      </c>
      <c r="D233" s="20" t="s">
        <v>718</v>
      </c>
      <c r="E233" s="20" t="s">
        <v>863</v>
      </c>
      <c r="F233" s="111" t="s">
        <v>808</v>
      </c>
      <c r="G233" s="111" t="s">
        <v>802</v>
      </c>
      <c r="H233" s="19" t="e">
        <f>VLOOKUP(Tabla_Buffers_Agroinsumos[[#This Row],[CODIGO ]],TABLACONSOLIDADA[[Codigo]:[PV]],6,0)</f>
        <v>#N/A</v>
      </c>
      <c r="I233" s="19" t="e">
        <f>VLOOKUP(Tabla_Buffers_Agroinsumos[[#This Row],[CODIGO ]],TABLACONSOLIDADA[[Codigo]:[PV]],5,0)</f>
        <v>#N/A</v>
      </c>
      <c r="J233" s="19"/>
      <c r="K233" s="19"/>
      <c r="L233" s="19">
        <f>IFERROR(Tabla_Buffers_Agroinsumos[[#This Row],[BUFFER CENTRAL]]/((Tabla_Buffers_Agroinsumos[[#This Row],[TIEMPO REPOSICION ]]/Tabla_Buffers_Agroinsumos[[#This Row],[FRECUENCIA]])+1),0)</f>
        <v>0</v>
      </c>
      <c r="M233" s="19">
        <v>500</v>
      </c>
      <c r="N233" s="19" t="str">
        <f t="array" ref="N233">IFERROR(INDEX(TABLACONSOLIDADA[Inv Fís Act],MATCH("AGROINSUMOSMATERIAPRIMA"&amp;Tabla_Buffers_Agroinsumos[[#This Row],[CODIGO ]],TABLACONSOLIDADA[Bodega]&amp;TABLACONSOLIDADA[Codigo],0)),"")</f>
        <v/>
      </c>
      <c r="O233" s="160" t="str">
        <f t="array" ref="O23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3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33" s="19">
        <f>IFERROR(SUM(Tabla_Buffers_Agroinsumos[[#This Row],[MP-C]:[MP-VL]]),"")</f>
        <v>0</v>
      </c>
      <c r="R233" s="92" t="str">
        <f>IFERROR(Tabla_Buffers_Agroinsumos[[#This Row],[INV FIS MATERIA PRIMA]]-Tabla_Buffers_Agroinsumos[[#This Row],[BUFFER MATERIA PRIMA]],"")</f>
        <v/>
      </c>
      <c r="S23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33" s="19"/>
      <c r="U233" s="19"/>
      <c r="V233" s="19"/>
      <c r="W233" s="19"/>
      <c r="X233" s="19"/>
      <c r="Y233" s="19"/>
      <c r="Z233" s="19"/>
      <c r="AA233" s="19"/>
      <c r="AB233" s="19"/>
      <c r="AC233" s="152" t="str">
        <f t="array" ref="AC233">IFERROR(INDEX(TABLACONSOLIDADA[Buff Act],MATCH("AGROINSUMOSCENTRAL"&amp;Tabla_Buffers_Agroinsumos[[#This Row],[CODIGO ]],TABLACONSOLIDADA[Bodega]&amp;TABLACONSOLIDADA[Codigo],0)),"")</f>
        <v/>
      </c>
      <c r="AD233" s="19" t="str">
        <f t="array" ref="AD233">IFERROR(INDEX(TABLACONSOLIDADA[Inv Fís Act],MATCH("AGROINSUMOSCENTRAL"&amp;Tabla_Buffers_Agroinsumos[[#This Row],[CODIGO ]],TABLACONSOLIDADA[Bodega]&amp;TABLACONSOLIDADA[Codigo],0)),"")</f>
        <v/>
      </c>
      <c r="AE233" s="160" t="str">
        <f t="array" ref="AE23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3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33" s="91">
        <f>IFERROR(SUM(Tabla_Buffers_Agroinsumos[[#This Row],[C-MP]:[C-VL]]),"")</f>
        <v>0</v>
      </c>
      <c r="AH233" s="92" t="str">
        <f>IFERROR(Tabla_Buffers_Agroinsumos[[#This Row],[INV FIS CENTRAL]]-Tabla_Buffers_Agroinsumos[[#This Row],[BUFFER CENTRAL]],"")</f>
        <v/>
      </c>
      <c r="AI23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33" s="134"/>
      <c r="AK233" s="134"/>
      <c r="AL233" s="134"/>
      <c r="AM233" s="134"/>
      <c r="AN233" s="134"/>
      <c r="AO233" s="134"/>
      <c r="AP233" s="134"/>
      <c r="AQ233" s="134"/>
      <c r="AR233" s="134"/>
      <c r="AS233" s="134" t="str">
        <f t="array" ref="AS233">IFERROR(INDEX(TABLACONSOLIDADA[Buff Act],MATCH("AGROINSUMOScentralPROPIA"&amp;Tabla_Buffers_Agroinsumos[[#This Row],[CODIGO ]],TABLACONSOLIDADA[Bodega]&amp;TABLACONSOLIDADA[Codigo],0)),"")</f>
        <v/>
      </c>
      <c r="AT233" s="19" t="str">
        <f t="array" ref="AT233">IFERROR(INDEX(TABLACONSOLIDADA[Inv Fís Act],MATCH("AGROINSUMOScentralPROPIA"&amp;Tabla_Buffers_Agroinsumos[[#This Row],[CODIGO ]],TABLACONSOLIDADA[Bodega]&amp;TABLACONSOLIDADA[Codigo],0)),"")</f>
        <v/>
      </c>
      <c r="AU233" s="160" t="str">
        <f t="array" ref="AU23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3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33" s="134">
        <f>IFERROR(SUM(Tabla_Buffers_Agroinsumos[[#This Row],[P-MP]:[P-VL]]),"")</f>
        <v>0</v>
      </c>
      <c r="AX233" s="92" t="str">
        <f>IFERROR(Tabla_Buffers_Agroinsumos[[#This Row],[INV FIS PROPIA]]-Tabla_Buffers_Agroinsumos[[#This Row],[BUFFER PROPIA]],"")</f>
        <v/>
      </c>
      <c r="AY23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33" s="134"/>
      <c r="BA233" s="134"/>
      <c r="BB233" s="134"/>
      <c r="BC233" s="134"/>
      <c r="BD233" s="134"/>
      <c r="BE233" s="134"/>
      <c r="BF233" s="134"/>
      <c r="BG233" s="134"/>
      <c r="BH233" s="134"/>
      <c r="BI233" s="91" t="str">
        <f t="array" ref="BI233">IFERROR(INDEX(TABLACONSOLIDADA[Buff Act],MATCH("AGROINSUMOSSTODOMINGO"&amp;Tabla_Buffers_Agroinsumos[[#This Row],[CODIGO ]],TABLACONSOLIDADA[Bodega]&amp;TABLACONSOLIDADA[Codigo],0)),"")</f>
        <v/>
      </c>
      <c r="BJ233" s="19" t="str">
        <f t="array" ref="BJ233">IFERROR(INDEX(TABLACONSOLIDADA[Inv Fís Act],MATCH("AGROINSUMOSSTODOMINGO"&amp;Tabla_Buffers_Agroinsumos[[#This Row],[CODIGO ]],TABLACONSOLIDADA[Bodega]&amp;TABLACONSOLIDADA[Codigo],0)),"")</f>
        <v/>
      </c>
      <c r="BK233" s="160" t="str">
        <f t="array" ref="BK23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3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33" s="91">
        <f>IFERROR(SUM(Tabla_Buffers_Agroinsumos[[#This Row],[SD-MP]:[SD-VL]]),"")</f>
        <v>0</v>
      </c>
      <c r="BN233" s="92"/>
      <c r="BO233" s="92"/>
      <c r="BP233" s="134"/>
      <c r="BQ233" s="134"/>
      <c r="BR233" s="134"/>
      <c r="BS233" s="134"/>
      <c r="BT233" s="134"/>
      <c r="BU233" s="134"/>
      <c r="BV233" s="134"/>
      <c r="BW233" s="134"/>
      <c r="BX233" s="134"/>
      <c r="BY233" s="134" t="str">
        <f t="array" ref="BY233">IFERROR(INDEX(TABLACONSOLIDADA[Buff Act],MATCH("AGROINSUMOSMONCAYOLOPEZ"&amp;Tabla_Buffers_Agroinsumos[[#This Row],[CODIGO ]],TABLACONSOLIDADA[Bodega]&amp;TABLACONSOLIDADA[Codigo],0)),"")</f>
        <v/>
      </c>
      <c r="BZ233" s="19" t="str">
        <f t="array" ref="BZ233">IFERROR(INDEX(TABLACONSOLIDADA[Inv Fís Act],MATCH("AGROINSUMOSMONCAYOLOPEZ"&amp;Tabla_Buffers_Agroinsumos[[#This Row],[CODIGO ]],TABLACONSOLIDADA[Bodega]&amp;TABLACONSOLIDADA[Codigo],0)),"")</f>
        <v/>
      </c>
      <c r="CA233" s="160" t="str">
        <f t="array" ref="CA23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3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33" s="134">
        <f>IFERROR(SUM(Tabla_Buffers_Agroinsumos[[#This Row],[ML-MP]:[ML-VL]]),"")</f>
        <v>0</v>
      </c>
      <c r="CD233" s="92" t="str">
        <f>IFERROR(Tabla_Buffers_Agroinsumos[[#This Row],[INV FIS ML]]-Tabla_Buffers_Agroinsumos[[#This Row],[BUFFER ML]],"")</f>
        <v/>
      </c>
      <c r="CE23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33" s="134"/>
      <c r="CG233" s="134"/>
      <c r="CH233" s="134"/>
      <c r="CI233" s="134"/>
      <c r="CJ233" s="134"/>
      <c r="CK233" s="134"/>
      <c r="CL233" s="134"/>
      <c r="CM233" s="134"/>
      <c r="CN233" s="134"/>
      <c r="CO233" s="134" t="str">
        <f t="array" ref="CO233">IFERROR(INDEX(TABLACONSOLIDADA[Buff Act],MATCH("AGROINSUMOSAGROHERMANOSLEON"&amp;Tabla_Buffers_Agroinsumos[[#This Row],[CODIGO ]],TABLACONSOLIDADA[Bodega]&amp;TABLACONSOLIDADA[Codigo],0)),"")</f>
        <v/>
      </c>
      <c r="CP233" s="19" t="str">
        <f t="array" ref="CP233">IFERROR(INDEX(TABLACONSOLIDADA[Inv Fís Act],MATCH("AGROINSUMOSAGROHERMANOSLEON"&amp;Tabla_Buffers_Agroinsumos[[#This Row],[CODIGO ]],TABLACONSOLIDADA[Bodega]&amp;TABLACONSOLIDADA[Codigo],0)),"")</f>
        <v/>
      </c>
      <c r="CQ233" s="160" t="str">
        <f t="array" ref="CQ23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3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33" s="134">
        <f>IFERROR(SUM(Tabla_Buffers_Agroinsumos[[#This Row],[AL-MP]:[AL-VL]]),"")</f>
        <v>0</v>
      </c>
      <c r="CT233" s="92" t="str">
        <f>IFERROR(Tabla_Buffers_Agroinsumos[[#This Row],[INV FIS AL]]-Tabla_Buffers_Agroinsumos[[#This Row],[BUFFER AL]],"")</f>
        <v/>
      </c>
      <c r="CU23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33" s="134"/>
      <c r="CW233" s="134"/>
      <c r="CX233" s="134"/>
      <c r="CY233" s="134"/>
      <c r="CZ233" s="134"/>
      <c r="DA233" s="134"/>
      <c r="DB233" s="134"/>
      <c r="DC233" s="134"/>
      <c r="DD233" s="134"/>
      <c r="DE233" s="134" t="str">
        <f t="array" ref="DE233">IFERROR(INDEX(TABLACONSOLIDADA[Buff Act],MATCH("AGROINSUMOSAGRONUEVO"&amp;Tabla_Buffers_Agroinsumos[[#This Row],[CODIGO ]],TABLACONSOLIDADA[Bodega]&amp;TABLACONSOLIDADA[Codigo],0)),"")</f>
        <v/>
      </c>
      <c r="DF233" s="19" t="str">
        <f t="array" ref="DF233">IFERROR(INDEX(TABLACONSOLIDADA[Inv Fís Act],MATCH("AGROINSUMOSAGRONUEVO"&amp;Tabla_Buffers_Agroinsumos[[#This Row],[CODIGO ]],TABLACONSOLIDADA[Bodega]&amp;TABLACONSOLIDADA[Codigo],0)),"")</f>
        <v/>
      </c>
      <c r="DG233" s="160" t="str">
        <f t="array" ref="DG23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3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33" s="134">
        <f>IFERROR(SUM(Tabla_Buffers_Agroinsumos[[#This Row],[AN-MP]:[AN-VL]]),"")</f>
        <v>0</v>
      </c>
      <c r="DJ233" s="92" t="str">
        <f>IFERROR(Tabla_Buffers_Agroinsumos[[#This Row],[INV FIS AN]]-Tabla_Buffers_Agroinsumos[[#This Row],[BUFFER AN]],"")</f>
        <v/>
      </c>
      <c r="DK23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33" s="134"/>
      <c r="DM233" s="134"/>
      <c r="DN233" s="134"/>
      <c r="DO233" s="134"/>
      <c r="DP233" s="134"/>
      <c r="DQ233" s="134"/>
      <c r="DR233" s="134"/>
      <c r="DS233" s="134"/>
      <c r="DT233" s="134"/>
      <c r="DU233" s="134" t="str">
        <f t="array" ref="DU233">IFERROR(INDEX(TABLACONSOLIDADA[Buff Act],MATCH("AGROINSUMOSAGROQUIMICOSSUR"&amp;Tabla_Buffers_Agroinsumos[[#This Row],[CODIGO ]],TABLACONSOLIDADA[Bodega]&amp;TABLACONSOLIDADA[Codigo],0)),"")</f>
        <v/>
      </c>
      <c r="DV233" s="19" t="str">
        <f t="array" ref="DV233">IFERROR(INDEX(TABLACONSOLIDADA[Inv Fís Act],MATCH("AGROINSUMOSAGROQUIMICOSSUR"&amp;Tabla_Buffers_Agroinsumos[[#This Row],[CODIGO ]],TABLACONSOLIDADA[Bodega]&amp;TABLACONSOLIDADA[Codigo],0)),"")</f>
        <v/>
      </c>
      <c r="DW233" s="160" t="str">
        <f t="array" ref="DW23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3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33" s="134">
        <f>IFERROR(SUM(Tabla_Buffers_Agroinsumos[[#This Row],[AS-MP]:[AS-VL]]),"")</f>
        <v>0</v>
      </c>
      <c r="DZ233" s="92" t="str">
        <f>IFERROR(Tabla_Buffers_Agroinsumos[[#This Row],[INV FIS AS]]-Tabla_Buffers_Agroinsumos[[#This Row],[BUFFER AS]],"")</f>
        <v/>
      </c>
      <c r="EA23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33" s="134"/>
      <c r="EC233" s="134"/>
      <c r="ED233" s="134"/>
      <c r="EE233" s="134"/>
      <c r="EF233" s="134"/>
      <c r="EG233" s="134"/>
      <c r="EH233" s="134"/>
      <c r="EI233" s="134"/>
      <c r="EJ233" s="134"/>
      <c r="EK233" s="134" t="str">
        <f t="array" ref="EK233">IFERROR(INDEX(TABLACONSOLIDADA[Buff Act],MATCH("AGROINSUMOSLAFINCA"&amp;Tabla_Buffers_Agroinsumos[[#This Row],[CODIGO ]],TABLACONSOLIDADA[Bodega]&amp;TABLACONSOLIDADA[Codigo],0)),"")</f>
        <v/>
      </c>
      <c r="EL233" s="19" t="str">
        <f t="array" ref="EL233">IFERROR(INDEX(TABLACONSOLIDADA[Inv Fís Act],MATCH("AGROINSUMOSLAFINCA"&amp;Tabla_Buffers_Agroinsumos[[#This Row],[CODIGO ]],TABLACONSOLIDADA[Bodega]&amp;TABLACONSOLIDADA[Codigo],0)),"")</f>
        <v/>
      </c>
      <c r="EM233" s="160" t="str">
        <f t="array" ref="EM23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3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33" s="134">
        <f>IFERROR(SUM(Tabla_Buffers_Agroinsumos[[#This Row],[LF-MP]:[LF-VL]]),"")</f>
        <v>0</v>
      </c>
      <c r="EP233" s="92" t="str">
        <f>IFERROR(Tabla_Buffers_Agroinsumos[[#This Row],[INV FIS LF]]-Tabla_Buffers_Agroinsumos[[#This Row],[BUFFER LF]],"")</f>
        <v/>
      </c>
      <c r="EQ23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33" s="134"/>
      <c r="ES233" s="134"/>
      <c r="ET233" s="134"/>
      <c r="EU233" s="134"/>
      <c r="EV233" s="134"/>
      <c r="EW233" s="134"/>
      <c r="EX233" s="134"/>
      <c r="EY233" s="134"/>
      <c r="EZ233" s="134"/>
      <c r="FA233" s="134" t="str">
        <f t="array" ref="FA233">IFERROR(INDEX(TABLACONSOLIDADA[Buff Act],MATCH("AGROINSUMOSVERONICALEDESMA"&amp;Tabla_Buffers_Agroinsumos[[#This Row],[CODIGO ]],TABLACONSOLIDADA[Bodega]&amp;TABLACONSOLIDADA[Codigo],0)),"")</f>
        <v/>
      </c>
      <c r="FB233" s="19" t="str">
        <f t="array" ref="FB233">IFERROR(INDEX(TABLACONSOLIDADA[Inv Fís Act],MATCH("AGROINSUMOSVERONICALEDESMA"&amp;Tabla_Buffers_Agroinsumos[[#This Row],[CODIGO ]],TABLACONSOLIDADA[Bodega]&amp;TABLACONSOLIDADA[Codigo],0)),"")</f>
        <v/>
      </c>
      <c r="FC233" s="160" t="str">
        <f t="array" ref="FC23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3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33" s="134">
        <f>IFERROR(SUM(Tabla_Buffers_Agroinsumos[[#This Row],[VL-MP]:[VL-LF]]),"")</f>
        <v>0</v>
      </c>
      <c r="FF233" s="92" t="str">
        <f>IFERROR(Tabla_Buffers_Agroinsumos[[#This Row],[INV FIS VL]]-Tabla_Buffers_Agroinsumos[[#This Row],[BUFFER VL]],"")</f>
        <v/>
      </c>
      <c r="FG23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33" s="134"/>
      <c r="FI233" s="134"/>
      <c r="FJ233" s="134"/>
      <c r="FK233" s="134"/>
      <c r="FL233" s="134"/>
      <c r="FM233" s="134"/>
      <c r="FN233" s="134"/>
      <c r="FO233" s="134"/>
      <c r="FP233" s="134"/>
    </row>
    <row r="234" spans="1:172">
      <c r="A234" s="7" t="s">
        <v>881</v>
      </c>
      <c r="B234" s="7" t="s">
        <v>916</v>
      </c>
      <c r="C234" s="7" t="s">
        <v>716</v>
      </c>
      <c r="D234" s="7" t="s">
        <v>718</v>
      </c>
      <c r="E234" s="7" t="s">
        <v>863</v>
      </c>
      <c r="F234" s="19" t="s">
        <v>808</v>
      </c>
      <c r="G234" s="19" t="s">
        <v>802</v>
      </c>
      <c r="H234" s="19">
        <f>VLOOKUP(Tabla_Buffers_Agroinsumos[[#This Row],[CODIGO ]],TABLACONSOLIDADA[[Codigo]:[PV]],6,0)</f>
        <v>0</v>
      </c>
      <c r="I234" s="19">
        <f>VLOOKUP(Tabla_Buffers_Agroinsumos[[#This Row],[CODIGO ]],TABLACONSOLIDADA[[Codigo]:[PV]],5,0)</f>
        <v>0.12</v>
      </c>
      <c r="J234" s="19">
        <v>4</v>
      </c>
      <c r="K234" s="19">
        <v>6</v>
      </c>
      <c r="L234" s="19">
        <f>IFERROR(Tabla_Buffers_Agroinsumos[[#This Row],[BUFFER CENTRAL]]/((Tabla_Buffers_Agroinsumos[[#This Row],[TIEMPO REPOSICION ]]/Tabla_Buffers_Agroinsumos[[#This Row],[FRECUENCIA]])+1),0)</f>
        <v>0</v>
      </c>
      <c r="M234" s="19">
        <f t="array" ref="M234">IFERROR(INDEX(TABLACONSOLIDADA[Buff Act],MATCH("AGROINSUMOSMATERIAPRIMA"&amp;Tabla_Buffers_Agroinsumos[[#This Row],[CODIGO ]],TABLACONSOLIDADA[Bodega]&amp;TABLACONSOLIDADA[Codigo],0)),"")</f>
        <v>500</v>
      </c>
      <c r="N234" s="157">
        <f t="array" ref="N234">IFERROR(INDEX(TABLACONSOLIDADA[Inv Fís Act],MATCH("AGROINSUMOSMATERIAPRIMA"&amp;Tabla_Buffers_Agroinsumos[[#This Row],[CODIGO ]],TABLACONSOLIDADA[Bodega]&amp;TABLACONSOLIDADA[Codigo],0)),"")</f>
        <v>741</v>
      </c>
      <c r="O234" s="157">
        <f t="array" ref="O23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741</v>
      </c>
      <c r="P23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34" s="19">
        <f>IFERROR(SUM(Tabla_Buffers_Agroinsumos[[#This Row],[MP-C]:[MP-VL]]),"")</f>
        <v>0</v>
      </c>
      <c r="R234" s="92">
        <f>IFERROR(Tabla_Buffers_Agroinsumos[[#This Row],[INV FIS MATERIA PRIMA]]-Tabla_Buffers_Agroinsumos[[#This Row],[BUFFER MATERIA PRIMA]],"")</f>
        <v>241</v>
      </c>
      <c r="S23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241</v>
      </c>
      <c r="T234" s="19"/>
      <c r="U234" s="19"/>
      <c r="V234" s="19"/>
      <c r="W234" s="19"/>
      <c r="X234" s="19"/>
      <c r="Y234" s="19"/>
      <c r="Z234" s="19"/>
      <c r="AA234" s="19"/>
      <c r="AB234" s="19"/>
      <c r="AC234" s="152" t="str">
        <f t="array" ref="AC234">IFERROR(INDEX(TABLACONSOLIDADA[Buff Act],MATCH("AGROINSUMOSCENTRAL"&amp;Tabla_Buffers_Agroinsumos[[#This Row],[CODIGO ]],TABLACONSOLIDADA[Bodega]&amp;TABLACONSOLIDADA[Codigo],0)),"")</f>
        <v/>
      </c>
      <c r="AD234" s="157" t="str">
        <f t="array" ref="AD234">IFERROR(INDEX(TABLACONSOLIDADA[Inv Fís Act],MATCH("AGROINSUMOSCENTRAL"&amp;Tabla_Buffers_Agroinsumos[[#This Row],[CODIGO ]],TABLACONSOLIDADA[Bodega]&amp;TABLACONSOLIDADA[Codigo],0)),"")</f>
        <v/>
      </c>
      <c r="AE234" s="157" t="str">
        <f t="array" ref="AE23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3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34" s="91">
        <f>IFERROR(SUM(Tabla_Buffers_Agroinsumos[[#This Row],[C-MP]:[C-VL]]),"")</f>
        <v>0</v>
      </c>
      <c r="AH234" s="92" t="str">
        <f>IFERROR(Tabla_Buffers_Agroinsumos[[#This Row],[INV FIS CENTRAL]]-Tabla_Buffers_Agroinsumos[[#This Row],[BUFFER CENTRAL]],"")</f>
        <v/>
      </c>
      <c r="AI23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34" s="134"/>
      <c r="AK234" s="134"/>
      <c r="AL234" s="134"/>
      <c r="AM234" s="134"/>
      <c r="AN234" s="134"/>
      <c r="AO234" s="134"/>
      <c r="AP234" s="134"/>
      <c r="AQ234" s="134"/>
      <c r="AR234" s="134"/>
      <c r="AS234" s="134" t="str">
        <f t="array" ref="AS234">IFERROR(INDEX(TABLACONSOLIDADA[Buff Act],MATCH("AGROINSUMOScentralPROPIA"&amp;Tabla_Buffers_Agroinsumos[[#This Row],[CODIGO ]],TABLACONSOLIDADA[Bodega]&amp;TABLACONSOLIDADA[Codigo],0)),"")</f>
        <v/>
      </c>
      <c r="AT234" s="157" t="str">
        <f t="array" ref="AT234">IFERROR(INDEX(TABLACONSOLIDADA[Inv Fís Act],MATCH("AGROINSUMOScentralPROPIA"&amp;Tabla_Buffers_Agroinsumos[[#This Row],[CODIGO ]],TABLACONSOLIDADA[Bodega]&amp;TABLACONSOLIDADA[Codigo],0)),"")</f>
        <v/>
      </c>
      <c r="AU234" s="157" t="str">
        <f t="array" ref="AU23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3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34" s="134">
        <f>IFERROR(SUM(Tabla_Buffers_Agroinsumos[[#This Row],[P-MP]:[P-VL]]),"")</f>
        <v>0</v>
      </c>
      <c r="AX234" s="92" t="str">
        <f>IFERROR(Tabla_Buffers_Agroinsumos[[#This Row],[INV FIS PROPIA]]-Tabla_Buffers_Agroinsumos[[#This Row],[BUFFER PROPIA]],"")</f>
        <v/>
      </c>
      <c r="AY23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34" s="134"/>
      <c r="BA234" s="134"/>
      <c r="BB234" s="134"/>
      <c r="BC234" s="134"/>
      <c r="BD234" s="134"/>
      <c r="BE234" s="134"/>
      <c r="BF234" s="134"/>
      <c r="BG234" s="134"/>
      <c r="BH234" s="134"/>
      <c r="BI234" s="91" t="str">
        <f t="array" ref="BI234">IFERROR(INDEX(TABLACONSOLIDADA[Buff Act],MATCH("AGROINSUMOSSTODOMINGO"&amp;Tabla_Buffers_Agroinsumos[[#This Row],[CODIGO ]],TABLACONSOLIDADA[Bodega]&amp;TABLACONSOLIDADA[Codigo],0)),"")</f>
        <v/>
      </c>
      <c r="BJ234" s="157" t="str">
        <f t="array" ref="BJ234">IFERROR(INDEX(TABLACONSOLIDADA[Inv Fís Act],MATCH("AGROINSUMOSSTODOMINGO"&amp;Tabla_Buffers_Agroinsumos[[#This Row],[CODIGO ]],TABLACONSOLIDADA[Bodega]&amp;TABLACONSOLIDADA[Codigo],0)),"")</f>
        <v/>
      </c>
      <c r="BK234" s="157" t="str">
        <f t="array" ref="BK23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3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34" s="91">
        <f>IFERROR(SUM(Tabla_Buffers_Agroinsumos[[#This Row],[SD-MP]:[SD-VL]]),"")</f>
        <v>0</v>
      </c>
      <c r="BN234" s="92"/>
      <c r="BO234" s="92"/>
      <c r="BP234" s="134"/>
      <c r="BQ234" s="134"/>
      <c r="BR234" s="134"/>
      <c r="BS234" s="134"/>
      <c r="BT234" s="134"/>
      <c r="BU234" s="134"/>
      <c r="BV234" s="134"/>
      <c r="BW234" s="134"/>
      <c r="BX234" s="134"/>
      <c r="BY234" s="134" t="str">
        <f t="array" ref="BY234">IFERROR(INDEX(TABLACONSOLIDADA[Buff Act],MATCH("AGROINSUMOSMONCAYOLOPEZ"&amp;Tabla_Buffers_Agroinsumos[[#This Row],[CODIGO ]],TABLACONSOLIDADA[Bodega]&amp;TABLACONSOLIDADA[Codigo],0)),"")</f>
        <v/>
      </c>
      <c r="BZ234" s="157" t="str">
        <f t="array" ref="BZ234">IFERROR(INDEX(TABLACONSOLIDADA[Inv Fís Act],MATCH("AGROINSUMOSMONCAYOLOPEZ"&amp;Tabla_Buffers_Agroinsumos[[#This Row],[CODIGO ]],TABLACONSOLIDADA[Bodega]&amp;TABLACONSOLIDADA[Codigo],0)),"")</f>
        <v/>
      </c>
      <c r="CA234" s="157" t="str">
        <f t="array" ref="CA23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3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34" s="134">
        <f>IFERROR(SUM(Tabla_Buffers_Agroinsumos[[#This Row],[ML-MP]:[ML-VL]]),"")</f>
        <v>0</v>
      </c>
      <c r="CD234" s="92" t="str">
        <f>IFERROR(Tabla_Buffers_Agroinsumos[[#This Row],[INV FIS ML]]-Tabla_Buffers_Agroinsumos[[#This Row],[BUFFER ML]],"")</f>
        <v/>
      </c>
      <c r="CE23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34" s="134"/>
      <c r="CG234" s="134"/>
      <c r="CH234" s="134"/>
      <c r="CI234" s="134"/>
      <c r="CJ234" s="134"/>
      <c r="CK234" s="134"/>
      <c r="CL234" s="134"/>
      <c r="CM234" s="134"/>
      <c r="CN234" s="134"/>
      <c r="CO234" s="134" t="str">
        <f t="array" ref="CO234">IFERROR(INDEX(TABLACONSOLIDADA[Buff Act],MATCH("AGROINSUMOSAGROHERMANOSLEON"&amp;Tabla_Buffers_Agroinsumos[[#This Row],[CODIGO ]],TABLACONSOLIDADA[Bodega]&amp;TABLACONSOLIDADA[Codigo],0)),"")</f>
        <v/>
      </c>
      <c r="CP234" s="157" t="str">
        <f t="array" ref="CP234">IFERROR(INDEX(TABLACONSOLIDADA[Inv Fís Act],MATCH("AGROINSUMOSAGROHERMANOSLEON"&amp;Tabla_Buffers_Agroinsumos[[#This Row],[CODIGO ]],TABLACONSOLIDADA[Bodega]&amp;TABLACONSOLIDADA[Codigo],0)),"")</f>
        <v/>
      </c>
      <c r="CQ234" s="157" t="str">
        <f t="array" ref="CQ23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3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34" s="134">
        <f>IFERROR(SUM(Tabla_Buffers_Agroinsumos[[#This Row],[AL-MP]:[AL-VL]]),"")</f>
        <v>0</v>
      </c>
      <c r="CT234" s="92" t="str">
        <f>IFERROR(Tabla_Buffers_Agroinsumos[[#This Row],[INV FIS AL]]-Tabla_Buffers_Agroinsumos[[#This Row],[BUFFER AL]],"")</f>
        <v/>
      </c>
      <c r="CU23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34" s="134"/>
      <c r="CW234" s="134"/>
      <c r="CX234" s="134"/>
      <c r="CY234" s="134"/>
      <c r="CZ234" s="134"/>
      <c r="DA234" s="134"/>
      <c r="DB234" s="134"/>
      <c r="DC234" s="134"/>
      <c r="DD234" s="134"/>
      <c r="DE234" s="134" t="str">
        <f t="array" ref="DE234">IFERROR(INDEX(TABLACONSOLIDADA[Buff Act],MATCH("AGROINSUMOSAGRONUEVO"&amp;Tabla_Buffers_Agroinsumos[[#This Row],[CODIGO ]],TABLACONSOLIDADA[Bodega]&amp;TABLACONSOLIDADA[Codigo],0)),"")</f>
        <v/>
      </c>
      <c r="DF234" s="157" t="str">
        <f t="array" ref="DF234">IFERROR(INDEX(TABLACONSOLIDADA[Inv Fís Act],MATCH("AGROINSUMOSAGRONUEVO"&amp;Tabla_Buffers_Agroinsumos[[#This Row],[CODIGO ]],TABLACONSOLIDADA[Bodega]&amp;TABLACONSOLIDADA[Codigo],0)),"")</f>
        <v/>
      </c>
      <c r="DG234" s="157" t="str">
        <f t="array" ref="DG23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3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34" s="134">
        <f>IFERROR(SUM(Tabla_Buffers_Agroinsumos[[#This Row],[AN-MP]:[AN-VL]]),"")</f>
        <v>0</v>
      </c>
      <c r="DJ234" s="92" t="str">
        <f>IFERROR(Tabla_Buffers_Agroinsumos[[#This Row],[INV FIS AN]]-Tabla_Buffers_Agroinsumos[[#This Row],[BUFFER AN]],"")</f>
        <v/>
      </c>
      <c r="DK23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34" s="134"/>
      <c r="DM234" s="134"/>
      <c r="DN234" s="134"/>
      <c r="DO234" s="134"/>
      <c r="DP234" s="134"/>
      <c r="DQ234" s="134"/>
      <c r="DR234" s="134"/>
      <c r="DS234" s="134"/>
      <c r="DT234" s="134"/>
      <c r="DU234" s="134" t="str">
        <f t="array" ref="DU234">IFERROR(INDEX(TABLACONSOLIDADA[Buff Act],MATCH("AGROINSUMOSAGROQUIMICOSSUR"&amp;Tabla_Buffers_Agroinsumos[[#This Row],[CODIGO ]],TABLACONSOLIDADA[Bodega]&amp;TABLACONSOLIDADA[Codigo],0)),"")</f>
        <v/>
      </c>
      <c r="DV234" s="157" t="str">
        <f t="array" ref="DV234">IFERROR(INDEX(TABLACONSOLIDADA[Inv Fís Act],MATCH("AGROINSUMOSAGROQUIMICOSSUR"&amp;Tabla_Buffers_Agroinsumos[[#This Row],[CODIGO ]],TABLACONSOLIDADA[Bodega]&amp;TABLACONSOLIDADA[Codigo],0)),"")</f>
        <v/>
      </c>
      <c r="DW234" s="157" t="str">
        <f t="array" ref="DW23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3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34" s="134">
        <f>IFERROR(SUM(Tabla_Buffers_Agroinsumos[[#This Row],[AS-MP]:[AS-VL]]),"")</f>
        <v>0</v>
      </c>
      <c r="DZ234" s="92" t="str">
        <f>IFERROR(Tabla_Buffers_Agroinsumos[[#This Row],[INV FIS AS]]-Tabla_Buffers_Agroinsumos[[#This Row],[BUFFER AS]],"")</f>
        <v/>
      </c>
      <c r="EA23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34" s="134"/>
      <c r="EC234" s="134"/>
      <c r="ED234" s="134"/>
      <c r="EE234" s="134"/>
      <c r="EF234" s="134"/>
      <c r="EG234" s="134"/>
      <c r="EH234" s="134"/>
      <c r="EI234" s="134"/>
      <c r="EJ234" s="134"/>
      <c r="EK234" s="134" t="str">
        <f t="array" ref="EK234">IFERROR(INDEX(TABLACONSOLIDADA[Buff Act],MATCH("AGROINSUMOSLAFINCA"&amp;Tabla_Buffers_Agroinsumos[[#This Row],[CODIGO ]],TABLACONSOLIDADA[Bodega]&amp;TABLACONSOLIDADA[Codigo],0)),"")</f>
        <v/>
      </c>
      <c r="EL234" s="157" t="str">
        <f t="array" ref="EL234">IFERROR(INDEX(TABLACONSOLIDADA[Inv Fís Act],MATCH("AGROINSUMOSLAFINCA"&amp;Tabla_Buffers_Agroinsumos[[#This Row],[CODIGO ]],TABLACONSOLIDADA[Bodega]&amp;TABLACONSOLIDADA[Codigo],0)),"")</f>
        <v/>
      </c>
      <c r="EM234" s="157" t="str">
        <f t="array" ref="EM23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3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34" s="134">
        <f>IFERROR(SUM(Tabla_Buffers_Agroinsumos[[#This Row],[LF-MP]:[LF-VL]]),"")</f>
        <v>0</v>
      </c>
      <c r="EP234" s="92" t="str">
        <f>IFERROR(Tabla_Buffers_Agroinsumos[[#This Row],[INV FIS LF]]-Tabla_Buffers_Agroinsumos[[#This Row],[BUFFER LF]],"")</f>
        <v/>
      </c>
      <c r="EQ23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34" s="134"/>
      <c r="ES234" s="134"/>
      <c r="ET234" s="134"/>
      <c r="EU234" s="134"/>
      <c r="EV234" s="134"/>
      <c r="EW234" s="134"/>
      <c r="EX234" s="134"/>
      <c r="EY234" s="134"/>
      <c r="EZ234" s="134"/>
      <c r="FA234" s="134" t="str">
        <f t="array" ref="FA234">IFERROR(INDEX(TABLACONSOLIDADA[Buff Act],MATCH("AGROINSUMOSVERONICALEDESMA"&amp;Tabla_Buffers_Agroinsumos[[#This Row],[CODIGO ]],TABLACONSOLIDADA[Bodega]&amp;TABLACONSOLIDADA[Codigo],0)),"")</f>
        <v/>
      </c>
      <c r="FB234" s="157" t="str">
        <f t="array" ref="FB234">IFERROR(INDEX(TABLACONSOLIDADA[Inv Fís Act],MATCH("AGROINSUMOSVERONICALEDESMA"&amp;Tabla_Buffers_Agroinsumos[[#This Row],[CODIGO ]],TABLACONSOLIDADA[Bodega]&amp;TABLACONSOLIDADA[Codigo],0)),"")</f>
        <v/>
      </c>
      <c r="FC234" s="157" t="str">
        <f t="array" ref="FC23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3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34" s="134">
        <f>IFERROR(SUM(Tabla_Buffers_Agroinsumos[[#This Row],[VL-MP]:[VL-LF]]),"")</f>
        <v>0</v>
      </c>
      <c r="FF234" s="92" t="str">
        <f>IFERROR(Tabla_Buffers_Agroinsumos[[#This Row],[INV FIS VL]]-Tabla_Buffers_Agroinsumos[[#This Row],[BUFFER VL]],"")</f>
        <v/>
      </c>
      <c r="FG23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34" s="134"/>
      <c r="FI234" s="134"/>
      <c r="FJ234" s="134"/>
      <c r="FK234" s="134"/>
      <c r="FL234" s="134"/>
      <c r="FM234" s="134"/>
      <c r="FN234" s="134"/>
      <c r="FO234" s="134"/>
      <c r="FP234" s="134"/>
    </row>
    <row r="235" spans="1:172">
      <c r="A235" s="7" t="s">
        <v>882</v>
      </c>
      <c r="B235" s="7" t="s">
        <v>917</v>
      </c>
      <c r="C235" s="7" t="s">
        <v>716</v>
      </c>
      <c r="D235" s="7" t="s">
        <v>718</v>
      </c>
      <c r="E235" s="7" t="s">
        <v>863</v>
      </c>
      <c r="F235" s="19" t="s">
        <v>808</v>
      </c>
      <c r="G235" s="19" t="s">
        <v>802</v>
      </c>
      <c r="H235" s="19">
        <f>VLOOKUP(Tabla_Buffers_Agroinsumos[[#This Row],[CODIGO ]],TABLACONSOLIDADA[[Codigo]:[PV]],6,0)</f>
        <v>0</v>
      </c>
      <c r="I235" s="19">
        <f>VLOOKUP(Tabla_Buffers_Agroinsumos[[#This Row],[CODIGO ]],TABLACONSOLIDADA[[Codigo]:[PV]],5,0)</f>
        <v>0.19</v>
      </c>
      <c r="J235" s="19">
        <v>4</v>
      </c>
      <c r="K235" s="19">
        <v>6</v>
      </c>
      <c r="L235" s="19">
        <f>IFERROR(Tabla_Buffers_Agroinsumos[[#This Row],[BUFFER CENTRAL]]/((Tabla_Buffers_Agroinsumos[[#This Row],[TIEMPO REPOSICION ]]/Tabla_Buffers_Agroinsumos[[#This Row],[FRECUENCIA]])+1),0)</f>
        <v>0</v>
      </c>
      <c r="M235" s="19">
        <f t="array" ref="M235">IFERROR(INDEX(TABLACONSOLIDADA[Buff Act],MATCH("AGROINSUMOSMATERIAPRIMA"&amp;Tabla_Buffers_Agroinsumos[[#This Row],[CODIGO ]],TABLACONSOLIDADA[Bodega]&amp;TABLACONSOLIDADA[Codigo],0)),"")</f>
        <v>500</v>
      </c>
      <c r="N235" s="157">
        <f t="array" ref="N235">IFERROR(INDEX(TABLACONSOLIDADA[Inv Fís Act],MATCH("AGROINSUMOSMATERIAPRIMA"&amp;Tabla_Buffers_Agroinsumos[[#This Row],[CODIGO ]],TABLACONSOLIDADA[Bodega]&amp;TABLACONSOLIDADA[Codigo],0)),"")</f>
        <v>1487</v>
      </c>
      <c r="O235" s="157">
        <f t="array" ref="O23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1487</v>
      </c>
      <c r="P23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35" s="19">
        <f>IFERROR(SUM(Tabla_Buffers_Agroinsumos[[#This Row],[MP-C]:[MP-VL]]),"")</f>
        <v>0</v>
      </c>
      <c r="R235" s="92">
        <f>IFERROR(Tabla_Buffers_Agroinsumos[[#This Row],[INV FIS MATERIA PRIMA]]-Tabla_Buffers_Agroinsumos[[#This Row],[BUFFER MATERIA PRIMA]],"")</f>
        <v>987</v>
      </c>
      <c r="S23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987</v>
      </c>
      <c r="T235" s="19"/>
      <c r="U235" s="19"/>
      <c r="V235" s="19"/>
      <c r="W235" s="19"/>
      <c r="X235" s="19"/>
      <c r="Y235" s="19"/>
      <c r="Z235" s="19"/>
      <c r="AA235" s="19"/>
      <c r="AB235" s="19"/>
      <c r="AC235" s="152" t="str">
        <f t="array" ref="AC235">IFERROR(INDEX(TABLACONSOLIDADA[Buff Act],MATCH("AGROINSUMOSCENTRAL"&amp;Tabla_Buffers_Agroinsumos[[#This Row],[CODIGO ]],TABLACONSOLIDADA[Bodega]&amp;TABLACONSOLIDADA[Codigo],0)),"")</f>
        <v/>
      </c>
      <c r="AD235" s="157" t="str">
        <f t="array" ref="AD235">IFERROR(INDEX(TABLACONSOLIDADA[Inv Fís Act],MATCH("AGROINSUMOSCENTRAL"&amp;Tabla_Buffers_Agroinsumos[[#This Row],[CODIGO ]],TABLACONSOLIDADA[Bodega]&amp;TABLACONSOLIDADA[Codigo],0)),"")</f>
        <v/>
      </c>
      <c r="AE235" s="157" t="str">
        <f t="array" ref="AE23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3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35" s="91">
        <f>IFERROR(SUM(Tabla_Buffers_Agroinsumos[[#This Row],[C-MP]:[C-VL]]),"")</f>
        <v>0</v>
      </c>
      <c r="AH235" s="92" t="str">
        <f>IFERROR(Tabla_Buffers_Agroinsumos[[#This Row],[INV FIS CENTRAL]]-Tabla_Buffers_Agroinsumos[[#This Row],[BUFFER CENTRAL]],"")</f>
        <v/>
      </c>
      <c r="AI23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35" s="134"/>
      <c r="AK235" s="134"/>
      <c r="AL235" s="134"/>
      <c r="AM235" s="134"/>
      <c r="AN235" s="134"/>
      <c r="AO235" s="134"/>
      <c r="AP235" s="134"/>
      <c r="AQ235" s="134"/>
      <c r="AR235" s="134"/>
      <c r="AS235" s="134" t="str">
        <f t="array" ref="AS235">IFERROR(INDEX(TABLACONSOLIDADA[Buff Act],MATCH("AGROINSUMOScentralPROPIA"&amp;Tabla_Buffers_Agroinsumos[[#This Row],[CODIGO ]],TABLACONSOLIDADA[Bodega]&amp;TABLACONSOLIDADA[Codigo],0)),"")</f>
        <v/>
      </c>
      <c r="AT235" s="157" t="str">
        <f t="array" ref="AT235">IFERROR(INDEX(TABLACONSOLIDADA[Inv Fís Act],MATCH("AGROINSUMOScentralPROPIA"&amp;Tabla_Buffers_Agroinsumos[[#This Row],[CODIGO ]],TABLACONSOLIDADA[Bodega]&amp;TABLACONSOLIDADA[Codigo],0)),"")</f>
        <v/>
      </c>
      <c r="AU235" s="157" t="str">
        <f t="array" ref="AU23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3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35" s="134">
        <f>IFERROR(SUM(Tabla_Buffers_Agroinsumos[[#This Row],[P-MP]:[P-VL]]),"")</f>
        <v>0</v>
      </c>
      <c r="AX235" s="92" t="str">
        <f>IFERROR(Tabla_Buffers_Agroinsumos[[#This Row],[INV FIS PROPIA]]-Tabla_Buffers_Agroinsumos[[#This Row],[BUFFER PROPIA]],"")</f>
        <v/>
      </c>
      <c r="AY23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35" s="134"/>
      <c r="BA235" s="134"/>
      <c r="BB235" s="134"/>
      <c r="BC235" s="134"/>
      <c r="BD235" s="134"/>
      <c r="BE235" s="134"/>
      <c r="BF235" s="134"/>
      <c r="BG235" s="134"/>
      <c r="BH235" s="134"/>
      <c r="BI235" s="91" t="str">
        <f t="array" ref="BI235">IFERROR(INDEX(TABLACONSOLIDADA[Buff Act],MATCH("AGROINSUMOSSTODOMINGO"&amp;Tabla_Buffers_Agroinsumos[[#This Row],[CODIGO ]],TABLACONSOLIDADA[Bodega]&amp;TABLACONSOLIDADA[Codigo],0)),"")</f>
        <v/>
      </c>
      <c r="BJ235" s="157" t="str">
        <f t="array" ref="BJ235">IFERROR(INDEX(TABLACONSOLIDADA[Inv Fís Act],MATCH("AGROINSUMOSSTODOMINGO"&amp;Tabla_Buffers_Agroinsumos[[#This Row],[CODIGO ]],TABLACONSOLIDADA[Bodega]&amp;TABLACONSOLIDADA[Codigo],0)),"")</f>
        <v/>
      </c>
      <c r="BK235" s="157" t="str">
        <f t="array" ref="BK23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3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35" s="91">
        <f>IFERROR(SUM(Tabla_Buffers_Agroinsumos[[#This Row],[SD-MP]:[SD-VL]]),"")</f>
        <v>0</v>
      </c>
      <c r="BN235" s="92"/>
      <c r="BO235" s="92"/>
      <c r="BP235" s="134"/>
      <c r="BQ235" s="134"/>
      <c r="BR235" s="134"/>
      <c r="BS235" s="134"/>
      <c r="BT235" s="134"/>
      <c r="BU235" s="134"/>
      <c r="BV235" s="134"/>
      <c r="BW235" s="134"/>
      <c r="BX235" s="134"/>
      <c r="BY235" s="134" t="str">
        <f t="array" ref="BY235">IFERROR(INDEX(TABLACONSOLIDADA[Buff Act],MATCH("AGROINSUMOSMONCAYOLOPEZ"&amp;Tabla_Buffers_Agroinsumos[[#This Row],[CODIGO ]],TABLACONSOLIDADA[Bodega]&amp;TABLACONSOLIDADA[Codigo],0)),"")</f>
        <v/>
      </c>
      <c r="BZ235" s="157" t="str">
        <f t="array" ref="BZ235">IFERROR(INDEX(TABLACONSOLIDADA[Inv Fís Act],MATCH("AGROINSUMOSMONCAYOLOPEZ"&amp;Tabla_Buffers_Agroinsumos[[#This Row],[CODIGO ]],TABLACONSOLIDADA[Bodega]&amp;TABLACONSOLIDADA[Codigo],0)),"")</f>
        <v/>
      </c>
      <c r="CA235" s="157" t="str">
        <f t="array" ref="CA23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3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35" s="134">
        <f>IFERROR(SUM(Tabla_Buffers_Agroinsumos[[#This Row],[ML-MP]:[ML-VL]]),"")</f>
        <v>0</v>
      </c>
      <c r="CD235" s="92" t="str">
        <f>IFERROR(Tabla_Buffers_Agroinsumos[[#This Row],[INV FIS ML]]-Tabla_Buffers_Agroinsumos[[#This Row],[BUFFER ML]],"")</f>
        <v/>
      </c>
      <c r="CE23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35" s="134"/>
      <c r="CG235" s="134"/>
      <c r="CH235" s="134"/>
      <c r="CI235" s="134"/>
      <c r="CJ235" s="134"/>
      <c r="CK235" s="134"/>
      <c r="CL235" s="134"/>
      <c r="CM235" s="134"/>
      <c r="CN235" s="134"/>
      <c r="CO235" s="134" t="str">
        <f t="array" ref="CO235">IFERROR(INDEX(TABLACONSOLIDADA[Buff Act],MATCH("AGROINSUMOSAGROHERMANOSLEON"&amp;Tabla_Buffers_Agroinsumos[[#This Row],[CODIGO ]],TABLACONSOLIDADA[Bodega]&amp;TABLACONSOLIDADA[Codigo],0)),"")</f>
        <v/>
      </c>
      <c r="CP235" s="157" t="str">
        <f t="array" ref="CP235">IFERROR(INDEX(TABLACONSOLIDADA[Inv Fís Act],MATCH("AGROINSUMOSAGROHERMANOSLEON"&amp;Tabla_Buffers_Agroinsumos[[#This Row],[CODIGO ]],TABLACONSOLIDADA[Bodega]&amp;TABLACONSOLIDADA[Codigo],0)),"")</f>
        <v/>
      </c>
      <c r="CQ235" s="157" t="str">
        <f t="array" ref="CQ23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3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35" s="134">
        <f>IFERROR(SUM(Tabla_Buffers_Agroinsumos[[#This Row],[AL-MP]:[AL-VL]]),"")</f>
        <v>0</v>
      </c>
      <c r="CT235" s="92" t="str">
        <f>IFERROR(Tabla_Buffers_Agroinsumos[[#This Row],[INV FIS AL]]-Tabla_Buffers_Agroinsumos[[#This Row],[BUFFER AL]],"")</f>
        <v/>
      </c>
      <c r="CU23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35" s="134"/>
      <c r="CW235" s="134"/>
      <c r="CX235" s="134"/>
      <c r="CY235" s="134"/>
      <c r="CZ235" s="134"/>
      <c r="DA235" s="134"/>
      <c r="DB235" s="134"/>
      <c r="DC235" s="134"/>
      <c r="DD235" s="134"/>
      <c r="DE235" s="134" t="str">
        <f t="array" ref="DE235">IFERROR(INDEX(TABLACONSOLIDADA[Buff Act],MATCH("AGROINSUMOSAGRONUEVO"&amp;Tabla_Buffers_Agroinsumos[[#This Row],[CODIGO ]],TABLACONSOLIDADA[Bodega]&amp;TABLACONSOLIDADA[Codigo],0)),"")</f>
        <v/>
      </c>
      <c r="DF235" s="157" t="str">
        <f t="array" ref="DF235">IFERROR(INDEX(TABLACONSOLIDADA[Inv Fís Act],MATCH("AGROINSUMOSAGRONUEVO"&amp;Tabla_Buffers_Agroinsumos[[#This Row],[CODIGO ]],TABLACONSOLIDADA[Bodega]&amp;TABLACONSOLIDADA[Codigo],0)),"")</f>
        <v/>
      </c>
      <c r="DG235" s="157" t="str">
        <f t="array" ref="DG23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3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35" s="134">
        <f>IFERROR(SUM(Tabla_Buffers_Agroinsumos[[#This Row],[AN-MP]:[AN-VL]]),"")</f>
        <v>0</v>
      </c>
      <c r="DJ235" s="92" t="str">
        <f>IFERROR(Tabla_Buffers_Agroinsumos[[#This Row],[INV FIS AN]]-Tabla_Buffers_Agroinsumos[[#This Row],[BUFFER AN]],"")</f>
        <v/>
      </c>
      <c r="DK23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35" s="134"/>
      <c r="DM235" s="134"/>
      <c r="DN235" s="134"/>
      <c r="DO235" s="134"/>
      <c r="DP235" s="134"/>
      <c r="DQ235" s="134"/>
      <c r="DR235" s="134"/>
      <c r="DS235" s="134"/>
      <c r="DT235" s="134"/>
      <c r="DU235" s="134" t="str">
        <f t="array" ref="DU235">IFERROR(INDEX(TABLACONSOLIDADA[Buff Act],MATCH("AGROINSUMOSAGROQUIMICOSSUR"&amp;Tabla_Buffers_Agroinsumos[[#This Row],[CODIGO ]],TABLACONSOLIDADA[Bodega]&amp;TABLACONSOLIDADA[Codigo],0)),"")</f>
        <v/>
      </c>
      <c r="DV235" s="157" t="str">
        <f t="array" ref="DV235">IFERROR(INDEX(TABLACONSOLIDADA[Inv Fís Act],MATCH("AGROINSUMOSAGROQUIMICOSSUR"&amp;Tabla_Buffers_Agroinsumos[[#This Row],[CODIGO ]],TABLACONSOLIDADA[Bodega]&amp;TABLACONSOLIDADA[Codigo],0)),"")</f>
        <v/>
      </c>
      <c r="DW235" s="157" t="str">
        <f t="array" ref="DW23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3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35" s="134">
        <f>IFERROR(SUM(Tabla_Buffers_Agroinsumos[[#This Row],[AS-MP]:[AS-VL]]),"")</f>
        <v>0</v>
      </c>
      <c r="DZ235" s="92" t="str">
        <f>IFERROR(Tabla_Buffers_Agroinsumos[[#This Row],[INV FIS AS]]-Tabla_Buffers_Agroinsumos[[#This Row],[BUFFER AS]],"")</f>
        <v/>
      </c>
      <c r="EA23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35" s="134"/>
      <c r="EC235" s="134"/>
      <c r="ED235" s="134"/>
      <c r="EE235" s="134"/>
      <c r="EF235" s="134"/>
      <c r="EG235" s="134"/>
      <c r="EH235" s="134"/>
      <c r="EI235" s="134"/>
      <c r="EJ235" s="134"/>
      <c r="EK235" s="134" t="str">
        <f t="array" ref="EK235">IFERROR(INDEX(TABLACONSOLIDADA[Buff Act],MATCH("AGROINSUMOSLAFINCA"&amp;Tabla_Buffers_Agroinsumos[[#This Row],[CODIGO ]],TABLACONSOLIDADA[Bodega]&amp;TABLACONSOLIDADA[Codigo],0)),"")</f>
        <v/>
      </c>
      <c r="EL235" s="157" t="str">
        <f t="array" ref="EL235">IFERROR(INDEX(TABLACONSOLIDADA[Inv Fís Act],MATCH("AGROINSUMOSLAFINCA"&amp;Tabla_Buffers_Agroinsumos[[#This Row],[CODIGO ]],TABLACONSOLIDADA[Bodega]&amp;TABLACONSOLIDADA[Codigo],0)),"")</f>
        <v/>
      </c>
      <c r="EM235" s="157" t="str">
        <f t="array" ref="EM23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3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35" s="134">
        <f>IFERROR(SUM(Tabla_Buffers_Agroinsumos[[#This Row],[LF-MP]:[LF-VL]]),"")</f>
        <v>0</v>
      </c>
      <c r="EP235" s="92" t="str">
        <f>IFERROR(Tabla_Buffers_Agroinsumos[[#This Row],[INV FIS LF]]-Tabla_Buffers_Agroinsumos[[#This Row],[BUFFER LF]],"")</f>
        <v/>
      </c>
      <c r="EQ23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35" s="134"/>
      <c r="ES235" s="134"/>
      <c r="ET235" s="134"/>
      <c r="EU235" s="134"/>
      <c r="EV235" s="134"/>
      <c r="EW235" s="134"/>
      <c r="EX235" s="134"/>
      <c r="EY235" s="134"/>
      <c r="EZ235" s="134"/>
      <c r="FA235" s="134" t="str">
        <f t="array" ref="FA235">IFERROR(INDEX(TABLACONSOLIDADA[Buff Act],MATCH("AGROINSUMOSVERONICALEDESMA"&amp;Tabla_Buffers_Agroinsumos[[#This Row],[CODIGO ]],TABLACONSOLIDADA[Bodega]&amp;TABLACONSOLIDADA[Codigo],0)),"")</f>
        <v/>
      </c>
      <c r="FB235" s="157" t="str">
        <f t="array" ref="FB235">IFERROR(INDEX(TABLACONSOLIDADA[Inv Fís Act],MATCH("AGROINSUMOSVERONICALEDESMA"&amp;Tabla_Buffers_Agroinsumos[[#This Row],[CODIGO ]],TABLACONSOLIDADA[Bodega]&amp;TABLACONSOLIDADA[Codigo],0)),"")</f>
        <v/>
      </c>
      <c r="FC235" s="157" t="str">
        <f t="array" ref="FC23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3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35" s="134">
        <f>IFERROR(SUM(Tabla_Buffers_Agroinsumos[[#This Row],[VL-MP]:[VL-LF]]),"")</f>
        <v>0</v>
      </c>
      <c r="FF235" s="92" t="str">
        <f>IFERROR(Tabla_Buffers_Agroinsumos[[#This Row],[INV FIS VL]]-Tabla_Buffers_Agroinsumos[[#This Row],[BUFFER VL]],"")</f>
        <v/>
      </c>
      <c r="FG23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35" s="134"/>
      <c r="FI235" s="134"/>
      <c r="FJ235" s="134"/>
      <c r="FK235" s="134"/>
      <c r="FL235" s="134"/>
      <c r="FM235" s="134"/>
      <c r="FN235" s="134"/>
      <c r="FO235" s="134"/>
      <c r="FP235" s="134"/>
    </row>
    <row r="236" spans="1:172">
      <c r="A236" s="7" t="s">
        <v>407</v>
      </c>
      <c r="B236" s="7" t="s">
        <v>408</v>
      </c>
      <c r="C236" s="7" t="s">
        <v>716</v>
      </c>
      <c r="D236" s="7" t="s">
        <v>718</v>
      </c>
      <c r="E236" s="7" t="s">
        <v>863</v>
      </c>
      <c r="F236" s="19" t="s">
        <v>808</v>
      </c>
      <c r="G236" s="19" t="s">
        <v>802</v>
      </c>
      <c r="H236" s="19">
        <f>VLOOKUP(Tabla_Buffers_Agroinsumos[[#This Row],[CODIGO ]],TABLACONSOLIDADA[[Codigo]:[PV]],6,0)</f>
        <v>0</v>
      </c>
      <c r="I236" s="19">
        <f>VLOOKUP(Tabla_Buffers_Agroinsumos[[#This Row],[CODIGO ]],TABLACONSOLIDADA[[Codigo]:[PV]],5,0)</f>
        <v>0.16</v>
      </c>
      <c r="J236" s="19">
        <v>4</v>
      </c>
      <c r="K236" s="19">
        <v>6</v>
      </c>
      <c r="L236" s="19">
        <f>IFERROR(Tabla_Buffers_Agroinsumos[[#This Row],[BUFFER CENTRAL]]/((Tabla_Buffers_Agroinsumos[[#This Row],[TIEMPO REPOSICION ]]/Tabla_Buffers_Agroinsumos[[#This Row],[FRECUENCIA]])+1),0)</f>
        <v>0</v>
      </c>
      <c r="M236" s="19">
        <f t="array" ref="M236">IFERROR(INDEX(TABLACONSOLIDADA[Buff Act],MATCH("AGROINSUMOSMATERIAPRIMA"&amp;Tabla_Buffers_Agroinsumos[[#This Row],[CODIGO ]],TABLACONSOLIDADA[Bodega]&amp;TABLACONSOLIDADA[Codigo],0)),"")</f>
        <v>1600</v>
      </c>
      <c r="N236" s="157">
        <f t="array" ref="N236">IFERROR(INDEX(TABLACONSOLIDADA[Inv Fís Act],MATCH("AGROINSUMOSMATERIAPRIMA"&amp;Tabla_Buffers_Agroinsumos[[#This Row],[CODIGO ]],TABLACONSOLIDADA[Bodega]&amp;TABLACONSOLIDADA[Codigo],0)),"")</f>
        <v>2403</v>
      </c>
      <c r="O236" s="157">
        <f t="array" ref="O23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2403</v>
      </c>
      <c r="P23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36" s="19">
        <f>IFERROR(SUM(Tabla_Buffers_Agroinsumos[[#This Row],[MP-C]:[MP-VL]]),"")</f>
        <v>0</v>
      </c>
      <c r="R236" s="92">
        <f>IFERROR(Tabla_Buffers_Agroinsumos[[#This Row],[INV FIS MATERIA PRIMA]]-Tabla_Buffers_Agroinsumos[[#This Row],[BUFFER MATERIA PRIMA]],"")</f>
        <v>803</v>
      </c>
      <c r="S23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803</v>
      </c>
      <c r="T236" s="19"/>
      <c r="U236" s="19"/>
      <c r="V236" s="19"/>
      <c r="W236" s="19"/>
      <c r="X236" s="19"/>
      <c r="Y236" s="19"/>
      <c r="Z236" s="19"/>
      <c r="AA236" s="19"/>
      <c r="AB236" s="19"/>
      <c r="AC236" s="152" t="str">
        <f t="array" ref="AC236">IFERROR(INDEX(TABLACONSOLIDADA[Buff Act],MATCH("AGROINSUMOSCENTRAL"&amp;Tabla_Buffers_Agroinsumos[[#This Row],[CODIGO ]],TABLACONSOLIDADA[Bodega]&amp;TABLACONSOLIDADA[Codigo],0)),"")</f>
        <v/>
      </c>
      <c r="AD236" s="157" t="str">
        <f t="array" ref="AD236">IFERROR(INDEX(TABLACONSOLIDADA[Inv Fís Act],MATCH("AGROINSUMOSCENTRAL"&amp;Tabla_Buffers_Agroinsumos[[#This Row],[CODIGO ]],TABLACONSOLIDADA[Bodega]&amp;TABLACONSOLIDADA[Codigo],0)),"")</f>
        <v/>
      </c>
      <c r="AE236" s="157" t="str">
        <f t="array" ref="AE23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3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36" s="91">
        <f>IFERROR(SUM(Tabla_Buffers_Agroinsumos[[#This Row],[C-MP]:[C-VL]]),"")</f>
        <v>0</v>
      </c>
      <c r="AH236" s="92" t="str">
        <f>IFERROR(Tabla_Buffers_Agroinsumos[[#This Row],[INV FIS CENTRAL]]-Tabla_Buffers_Agroinsumos[[#This Row],[BUFFER CENTRAL]],"")</f>
        <v/>
      </c>
      <c r="AI23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36" s="134"/>
      <c r="AK236" s="134"/>
      <c r="AL236" s="134"/>
      <c r="AM236" s="134"/>
      <c r="AN236" s="134"/>
      <c r="AO236" s="134"/>
      <c r="AP236" s="134"/>
      <c r="AQ236" s="134"/>
      <c r="AR236" s="134"/>
      <c r="AS236" s="134" t="str">
        <f t="array" ref="AS236">IFERROR(INDEX(TABLACONSOLIDADA[Buff Act],MATCH("AGROINSUMOScentralPROPIA"&amp;Tabla_Buffers_Agroinsumos[[#This Row],[CODIGO ]],TABLACONSOLIDADA[Bodega]&amp;TABLACONSOLIDADA[Codigo],0)),"")</f>
        <v/>
      </c>
      <c r="AT236" s="157" t="str">
        <f t="array" ref="AT236">IFERROR(INDEX(TABLACONSOLIDADA[Inv Fís Act],MATCH("AGROINSUMOScentralPROPIA"&amp;Tabla_Buffers_Agroinsumos[[#This Row],[CODIGO ]],TABLACONSOLIDADA[Bodega]&amp;TABLACONSOLIDADA[Codigo],0)),"")</f>
        <v/>
      </c>
      <c r="AU236" s="157" t="str">
        <f t="array" ref="AU23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3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36" s="134">
        <f>IFERROR(SUM(Tabla_Buffers_Agroinsumos[[#This Row],[P-MP]:[P-VL]]),"")</f>
        <v>0</v>
      </c>
      <c r="AX236" s="92" t="str">
        <f>IFERROR(Tabla_Buffers_Agroinsumos[[#This Row],[INV FIS PROPIA]]-Tabla_Buffers_Agroinsumos[[#This Row],[BUFFER PROPIA]],"")</f>
        <v/>
      </c>
      <c r="AY23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36" s="134"/>
      <c r="BA236" s="134"/>
      <c r="BB236" s="134"/>
      <c r="BC236" s="134"/>
      <c r="BD236" s="134"/>
      <c r="BE236" s="134"/>
      <c r="BF236" s="134"/>
      <c r="BG236" s="134"/>
      <c r="BH236" s="134"/>
      <c r="BI236" s="91" t="str">
        <f t="array" ref="BI236">IFERROR(INDEX(TABLACONSOLIDADA[Buff Act],MATCH("AGROINSUMOSSTODOMINGO"&amp;Tabla_Buffers_Agroinsumos[[#This Row],[CODIGO ]],TABLACONSOLIDADA[Bodega]&amp;TABLACONSOLIDADA[Codigo],0)),"")</f>
        <v/>
      </c>
      <c r="BJ236" s="157" t="str">
        <f t="array" ref="BJ236">IFERROR(INDEX(TABLACONSOLIDADA[Inv Fís Act],MATCH("AGROINSUMOSSTODOMINGO"&amp;Tabla_Buffers_Agroinsumos[[#This Row],[CODIGO ]],TABLACONSOLIDADA[Bodega]&amp;TABLACONSOLIDADA[Codigo],0)),"")</f>
        <v/>
      </c>
      <c r="BK236" s="157" t="str">
        <f t="array" ref="BK23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3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36" s="91">
        <f>IFERROR(SUM(Tabla_Buffers_Agroinsumos[[#This Row],[SD-MP]:[SD-VL]]),"")</f>
        <v>0</v>
      </c>
      <c r="BN236" s="92"/>
      <c r="BO236" s="92"/>
      <c r="BP236" s="134"/>
      <c r="BQ236" s="134"/>
      <c r="BR236" s="134"/>
      <c r="BS236" s="134"/>
      <c r="BT236" s="134"/>
      <c r="BU236" s="134"/>
      <c r="BV236" s="134"/>
      <c r="BW236" s="134"/>
      <c r="BX236" s="134"/>
      <c r="BY236" s="134" t="str">
        <f t="array" ref="BY236">IFERROR(INDEX(TABLACONSOLIDADA[Buff Act],MATCH("AGROINSUMOSMONCAYOLOPEZ"&amp;Tabla_Buffers_Agroinsumos[[#This Row],[CODIGO ]],TABLACONSOLIDADA[Bodega]&amp;TABLACONSOLIDADA[Codigo],0)),"")</f>
        <v/>
      </c>
      <c r="BZ236" s="157" t="str">
        <f t="array" ref="BZ236">IFERROR(INDEX(TABLACONSOLIDADA[Inv Fís Act],MATCH("AGROINSUMOSMONCAYOLOPEZ"&amp;Tabla_Buffers_Agroinsumos[[#This Row],[CODIGO ]],TABLACONSOLIDADA[Bodega]&amp;TABLACONSOLIDADA[Codigo],0)),"")</f>
        <v/>
      </c>
      <c r="CA236" s="157" t="str">
        <f t="array" ref="CA23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3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36" s="134">
        <f>IFERROR(SUM(Tabla_Buffers_Agroinsumos[[#This Row],[ML-MP]:[ML-VL]]),"")</f>
        <v>0</v>
      </c>
      <c r="CD236" s="92" t="str">
        <f>IFERROR(Tabla_Buffers_Agroinsumos[[#This Row],[INV FIS ML]]-Tabla_Buffers_Agroinsumos[[#This Row],[BUFFER ML]],"")</f>
        <v/>
      </c>
      <c r="CE23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36" s="134"/>
      <c r="CG236" s="134"/>
      <c r="CH236" s="134"/>
      <c r="CI236" s="134"/>
      <c r="CJ236" s="134"/>
      <c r="CK236" s="134"/>
      <c r="CL236" s="134"/>
      <c r="CM236" s="134"/>
      <c r="CN236" s="134"/>
      <c r="CO236" s="134" t="str">
        <f t="array" ref="CO236">IFERROR(INDEX(TABLACONSOLIDADA[Buff Act],MATCH("AGROINSUMOSAGROHERMANOSLEON"&amp;Tabla_Buffers_Agroinsumos[[#This Row],[CODIGO ]],TABLACONSOLIDADA[Bodega]&amp;TABLACONSOLIDADA[Codigo],0)),"")</f>
        <v/>
      </c>
      <c r="CP236" s="157" t="str">
        <f t="array" ref="CP236">IFERROR(INDEX(TABLACONSOLIDADA[Inv Fís Act],MATCH("AGROINSUMOSAGROHERMANOSLEON"&amp;Tabla_Buffers_Agroinsumos[[#This Row],[CODIGO ]],TABLACONSOLIDADA[Bodega]&amp;TABLACONSOLIDADA[Codigo],0)),"")</f>
        <v/>
      </c>
      <c r="CQ236" s="157" t="str">
        <f t="array" ref="CQ23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3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36" s="134">
        <f>IFERROR(SUM(Tabla_Buffers_Agroinsumos[[#This Row],[AL-MP]:[AL-VL]]),"")</f>
        <v>0</v>
      </c>
      <c r="CT236" s="92" t="str">
        <f>IFERROR(Tabla_Buffers_Agroinsumos[[#This Row],[INV FIS AL]]-Tabla_Buffers_Agroinsumos[[#This Row],[BUFFER AL]],"")</f>
        <v/>
      </c>
      <c r="CU23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36" s="134"/>
      <c r="CW236" s="134"/>
      <c r="CX236" s="134"/>
      <c r="CY236" s="134"/>
      <c r="CZ236" s="134"/>
      <c r="DA236" s="134"/>
      <c r="DB236" s="134"/>
      <c r="DC236" s="134"/>
      <c r="DD236" s="134"/>
      <c r="DE236" s="134" t="str">
        <f t="array" ref="DE236">IFERROR(INDEX(TABLACONSOLIDADA[Buff Act],MATCH("AGROINSUMOSAGRONUEVO"&amp;Tabla_Buffers_Agroinsumos[[#This Row],[CODIGO ]],TABLACONSOLIDADA[Bodega]&amp;TABLACONSOLIDADA[Codigo],0)),"")</f>
        <v/>
      </c>
      <c r="DF236" s="157" t="str">
        <f t="array" ref="DF236">IFERROR(INDEX(TABLACONSOLIDADA[Inv Fís Act],MATCH("AGROINSUMOSAGRONUEVO"&amp;Tabla_Buffers_Agroinsumos[[#This Row],[CODIGO ]],TABLACONSOLIDADA[Bodega]&amp;TABLACONSOLIDADA[Codigo],0)),"")</f>
        <v/>
      </c>
      <c r="DG236" s="157" t="str">
        <f t="array" ref="DG23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3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36" s="134">
        <f>IFERROR(SUM(Tabla_Buffers_Agroinsumos[[#This Row],[AN-MP]:[AN-VL]]),"")</f>
        <v>0</v>
      </c>
      <c r="DJ236" s="92" t="str">
        <f>IFERROR(Tabla_Buffers_Agroinsumos[[#This Row],[INV FIS AN]]-Tabla_Buffers_Agroinsumos[[#This Row],[BUFFER AN]],"")</f>
        <v/>
      </c>
      <c r="DK23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36" s="134"/>
      <c r="DM236" s="134"/>
      <c r="DN236" s="134"/>
      <c r="DO236" s="134"/>
      <c r="DP236" s="134"/>
      <c r="DQ236" s="134"/>
      <c r="DR236" s="134"/>
      <c r="DS236" s="134"/>
      <c r="DT236" s="134"/>
      <c r="DU236" s="134" t="str">
        <f t="array" ref="DU236">IFERROR(INDEX(TABLACONSOLIDADA[Buff Act],MATCH("AGROINSUMOSAGROQUIMICOSSUR"&amp;Tabla_Buffers_Agroinsumos[[#This Row],[CODIGO ]],TABLACONSOLIDADA[Bodega]&amp;TABLACONSOLIDADA[Codigo],0)),"")</f>
        <v/>
      </c>
      <c r="DV236" s="157" t="str">
        <f t="array" ref="DV236">IFERROR(INDEX(TABLACONSOLIDADA[Inv Fís Act],MATCH("AGROINSUMOSAGROQUIMICOSSUR"&amp;Tabla_Buffers_Agroinsumos[[#This Row],[CODIGO ]],TABLACONSOLIDADA[Bodega]&amp;TABLACONSOLIDADA[Codigo],0)),"")</f>
        <v/>
      </c>
      <c r="DW236" s="157" t="str">
        <f t="array" ref="DW23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3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36" s="134">
        <f>IFERROR(SUM(Tabla_Buffers_Agroinsumos[[#This Row],[AS-MP]:[AS-VL]]),"")</f>
        <v>0</v>
      </c>
      <c r="DZ236" s="92" t="str">
        <f>IFERROR(Tabla_Buffers_Agroinsumos[[#This Row],[INV FIS AS]]-Tabla_Buffers_Agroinsumos[[#This Row],[BUFFER AS]],"")</f>
        <v/>
      </c>
      <c r="EA23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36" s="134"/>
      <c r="EC236" s="134"/>
      <c r="ED236" s="134"/>
      <c r="EE236" s="134"/>
      <c r="EF236" s="134"/>
      <c r="EG236" s="134"/>
      <c r="EH236" s="134"/>
      <c r="EI236" s="134"/>
      <c r="EJ236" s="134"/>
      <c r="EK236" s="134" t="str">
        <f t="array" ref="EK236">IFERROR(INDEX(TABLACONSOLIDADA[Buff Act],MATCH("AGROINSUMOSLAFINCA"&amp;Tabla_Buffers_Agroinsumos[[#This Row],[CODIGO ]],TABLACONSOLIDADA[Bodega]&amp;TABLACONSOLIDADA[Codigo],0)),"")</f>
        <v/>
      </c>
      <c r="EL236" s="157" t="str">
        <f t="array" ref="EL236">IFERROR(INDEX(TABLACONSOLIDADA[Inv Fís Act],MATCH("AGROINSUMOSLAFINCA"&amp;Tabla_Buffers_Agroinsumos[[#This Row],[CODIGO ]],TABLACONSOLIDADA[Bodega]&amp;TABLACONSOLIDADA[Codigo],0)),"")</f>
        <v/>
      </c>
      <c r="EM236" s="157" t="str">
        <f t="array" ref="EM23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3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36" s="134">
        <f>IFERROR(SUM(Tabla_Buffers_Agroinsumos[[#This Row],[LF-MP]:[LF-VL]]),"")</f>
        <v>0</v>
      </c>
      <c r="EP236" s="92" t="str">
        <f>IFERROR(Tabla_Buffers_Agroinsumos[[#This Row],[INV FIS LF]]-Tabla_Buffers_Agroinsumos[[#This Row],[BUFFER LF]],"")</f>
        <v/>
      </c>
      <c r="EQ23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36" s="134"/>
      <c r="ES236" s="134"/>
      <c r="ET236" s="134"/>
      <c r="EU236" s="134"/>
      <c r="EV236" s="134"/>
      <c r="EW236" s="134"/>
      <c r="EX236" s="134"/>
      <c r="EY236" s="134"/>
      <c r="EZ236" s="134"/>
      <c r="FA236" s="134" t="str">
        <f t="array" ref="FA236">IFERROR(INDEX(TABLACONSOLIDADA[Buff Act],MATCH("AGROINSUMOSVERONICALEDESMA"&amp;Tabla_Buffers_Agroinsumos[[#This Row],[CODIGO ]],TABLACONSOLIDADA[Bodega]&amp;TABLACONSOLIDADA[Codigo],0)),"")</f>
        <v/>
      </c>
      <c r="FB236" s="157" t="str">
        <f t="array" ref="FB236">IFERROR(INDEX(TABLACONSOLIDADA[Inv Fís Act],MATCH("AGROINSUMOSVERONICALEDESMA"&amp;Tabla_Buffers_Agroinsumos[[#This Row],[CODIGO ]],TABLACONSOLIDADA[Bodega]&amp;TABLACONSOLIDADA[Codigo],0)),"")</f>
        <v/>
      </c>
      <c r="FC236" s="157" t="str">
        <f t="array" ref="FC23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3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36" s="134">
        <f>IFERROR(SUM(Tabla_Buffers_Agroinsumos[[#This Row],[VL-MP]:[VL-LF]]),"")</f>
        <v>0</v>
      </c>
      <c r="FF236" s="92" t="str">
        <f>IFERROR(Tabla_Buffers_Agroinsumos[[#This Row],[INV FIS VL]]-Tabla_Buffers_Agroinsumos[[#This Row],[BUFFER VL]],"")</f>
        <v/>
      </c>
      <c r="FG23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36" s="134"/>
      <c r="FI236" s="134"/>
      <c r="FJ236" s="134"/>
      <c r="FK236" s="134"/>
      <c r="FL236" s="134"/>
      <c r="FM236" s="134"/>
      <c r="FN236" s="134"/>
      <c r="FO236" s="134"/>
      <c r="FP236" s="134"/>
    </row>
    <row r="237" spans="1:172">
      <c r="A237" s="7" t="s">
        <v>409</v>
      </c>
      <c r="B237" s="7" t="s">
        <v>410</v>
      </c>
      <c r="C237" s="7" t="s">
        <v>716</v>
      </c>
      <c r="D237" s="7" t="s">
        <v>718</v>
      </c>
      <c r="E237" s="7" t="s">
        <v>863</v>
      </c>
      <c r="F237" s="19" t="s">
        <v>808</v>
      </c>
      <c r="G237" s="19" t="s">
        <v>802</v>
      </c>
      <c r="H237" s="19">
        <f>VLOOKUP(Tabla_Buffers_Agroinsumos[[#This Row],[CODIGO ]],TABLACONSOLIDADA[[Codigo]:[PV]],6,0)</f>
        <v>0</v>
      </c>
      <c r="I237" s="19">
        <f>VLOOKUP(Tabla_Buffers_Agroinsumos[[#This Row],[CODIGO ]],TABLACONSOLIDADA[[Codigo]:[PV]],5,0)</f>
        <v>0.17</v>
      </c>
      <c r="J237" s="19">
        <v>4</v>
      </c>
      <c r="K237" s="19">
        <v>6</v>
      </c>
      <c r="L237" s="19">
        <f>IFERROR(Tabla_Buffers_Agroinsumos[[#This Row],[BUFFER CENTRAL]]/((Tabla_Buffers_Agroinsumos[[#This Row],[TIEMPO REPOSICION ]]/Tabla_Buffers_Agroinsumos[[#This Row],[FRECUENCIA]])+1),0)</f>
        <v>0</v>
      </c>
      <c r="M237" s="19">
        <f t="array" ref="M237">IFERROR(INDEX(TABLACONSOLIDADA[Buff Act],MATCH("AGROINSUMOSMATERIAPRIMA"&amp;Tabla_Buffers_Agroinsumos[[#This Row],[CODIGO ]],TABLACONSOLIDADA[Bodega]&amp;TABLACONSOLIDADA[Codigo],0)),"")</f>
        <v>1200</v>
      </c>
      <c r="N237" s="157">
        <f t="array" ref="N237">IFERROR(INDEX(TABLACONSOLIDADA[Inv Fís Act],MATCH("AGROINSUMOSMATERIAPRIMA"&amp;Tabla_Buffers_Agroinsumos[[#This Row],[CODIGO ]],TABLACONSOLIDADA[Bodega]&amp;TABLACONSOLIDADA[Codigo],0)),"")</f>
        <v>2385</v>
      </c>
      <c r="O237" s="157">
        <f t="array" ref="O23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2385</v>
      </c>
      <c r="P23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37" s="19">
        <f>IFERROR(SUM(Tabla_Buffers_Agroinsumos[[#This Row],[MP-C]:[MP-VL]]),"")</f>
        <v>0</v>
      </c>
      <c r="R237" s="92">
        <f>IFERROR(Tabla_Buffers_Agroinsumos[[#This Row],[INV FIS MATERIA PRIMA]]-Tabla_Buffers_Agroinsumos[[#This Row],[BUFFER MATERIA PRIMA]],"")</f>
        <v>1185</v>
      </c>
      <c r="S23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1185</v>
      </c>
      <c r="T237" s="19"/>
      <c r="U237" s="19"/>
      <c r="V237" s="19"/>
      <c r="W237" s="19"/>
      <c r="X237" s="19"/>
      <c r="Y237" s="19"/>
      <c r="Z237" s="19"/>
      <c r="AA237" s="19"/>
      <c r="AB237" s="19"/>
      <c r="AC237" s="152" t="str">
        <f t="array" ref="AC237">IFERROR(INDEX(TABLACONSOLIDADA[Buff Act],MATCH("AGROINSUMOSCENTRAL"&amp;Tabla_Buffers_Agroinsumos[[#This Row],[CODIGO ]],TABLACONSOLIDADA[Bodega]&amp;TABLACONSOLIDADA[Codigo],0)),"")</f>
        <v/>
      </c>
      <c r="AD237" s="157" t="str">
        <f t="array" ref="AD237">IFERROR(INDEX(TABLACONSOLIDADA[Inv Fís Act],MATCH("AGROINSUMOSCENTRAL"&amp;Tabla_Buffers_Agroinsumos[[#This Row],[CODIGO ]],TABLACONSOLIDADA[Bodega]&amp;TABLACONSOLIDADA[Codigo],0)),"")</f>
        <v/>
      </c>
      <c r="AE237" s="157" t="str">
        <f t="array" ref="AE23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3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37" s="91">
        <f>IFERROR(SUM(Tabla_Buffers_Agroinsumos[[#This Row],[C-MP]:[C-VL]]),"")</f>
        <v>0</v>
      </c>
      <c r="AH237" s="92" t="str">
        <f>IFERROR(Tabla_Buffers_Agroinsumos[[#This Row],[INV FIS CENTRAL]]-Tabla_Buffers_Agroinsumos[[#This Row],[BUFFER CENTRAL]],"")</f>
        <v/>
      </c>
      <c r="AI23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37" s="134"/>
      <c r="AK237" s="134"/>
      <c r="AL237" s="134"/>
      <c r="AM237" s="134"/>
      <c r="AN237" s="134"/>
      <c r="AO237" s="134"/>
      <c r="AP237" s="134"/>
      <c r="AQ237" s="134"/>
      <c r="AR237" s="134"/>
      <c r="AS237" s="134" t="str">
        <f t="array" ref="AS237">IFERROR(INDEX(TABLACONSOLIDADA[Buff Act],MATCH("AGROINSUMOScentralPROPIA"&amp;Tabla_Buffers_Agroinsumos[[#This Row],[CODIGO ]],TABLACONSOLIDADA[Bodega]&amp;TABLACONSOLIDADA[Codigo],0)),"")</f>
        <v/>
      </c>
      <c r="AT237" s="157" t="str">
        <f t="array" ref="AT237">IFERROR(INDEX(TABLACONSOLIDADA[Inv Fís Act],MATCH("AGROINSUMOScentralPROPIA"&amp;Tabla_Buffers_Agroinsumos[[#This Row],[CODIGO ]],TABLACONSOLIDADA[Bodega]&amp;TABLACONSOLIDADA[Codigo],0)),"")</f>
        <v/>
      </c>
      <c r="AU237" s="157" t="str">
        <f t="array" ref="AU23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3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37" s="134">
        <f>IFERROR(SUM(Tabla_Buffers_Agroinsumos[[#This Row],[P-MP]:[P-VL]]),"")</f>
        <v>0</v>
      </c>
      <c r="AX237" s="92" t="str">
        <f>IFERROR(Tabla_Buffers_Agroinsumos[[#This Row],[INV FIS PROPIA]]-Tabla_Buffers_Agroinsumos[[#This Row],[BUFFER PROPIA]],"")</f>
        <v/>
      </c>
      <c r="AY23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37" s="134"/>
      <c r="BA237" s="134"/>
      <c r="BB237" s="134"/>
      <c r="BC237" s="134"/>
      <c r="BD237" s="134"/>
      <c r="BE237" s="134"/>
      <c r="BF237" s="134"/>
      <c r="BG237" s="134"/>
      <c r="BH237" s="134"/>
      <c r="BI237" s="91" t="str">
        <f t="array" ref="BI237">IFERROR(INDEX(TABLACONSOLIDADA[Buff Act],MATCH("AGROINSUMOSSTODOMINGO"&amp;Tabla_Buffers_Agroinsumos[[#This Row],[CODIGO ]],TABLACONSOLIDADA[Bodega]&amp;TABLACONSOLIDADA[Codigo],0)),"")</f>
        <v/>
      </c>
      <c r="BJ237" s="157" t="str">
        <f t="array" ref="BJ237">IFERROR(INDEX(TABLACONSOLIDADA[Inv Fís Act],MATCH("AGROINSUMOSSTODOMINGO"&amp;Tabla_Buffers_Agroinsumos[[#This Row],[CODIGO ]],TABLACONSOLIDADA[Bodega]&amp;TABLACONSOLIDADA[Codigo],0)),"")</f>
        <v/>
      </c>
      <c r="BK237" s="157" t="str">
        <f t="array" ref="BK23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3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37" s="91">
        <f>IFERROR(SUM(Tabla_Buffers_Agroinsumos[[#This Row],[SD-MP]:[SD-VL]]),"")</f>
        <v>0</v>
      </c>
      <c r="BN237" s="92"/>
      <c r="BO237" s="92"/>
      <c r="BP237" s="134"/>
      <c r="BQ237" s="134"/>
      <c r="BR237" s="134"/>
      <c r="BS237" s="134"/>
      <c r="BT237" s="134"/>
      <c r="BU237" s="134"/>
      <c r="BV237" s="134"/>
      <c r="BW237" s="134"/>
      <c r="BX237" s="134"/>
      <c r="BY237" s="134" t="str">
        <f t="array" ref="BY237">IFERROR(INDEX(TABLACONSOLIDADA[Buff Act],MATCH("AGROINSUMOSMONCAYOLOPEZ"&amp;Tabla_Buffers_Agroinsumos[[#This Row],[CODIGO ]],TABLACONSOLIDADA[Bodega]&amp;TABLACONSOLIDADA[Codigo],0)),"")</f>
        <v/>
      </c>
      <c r="BZ237" s="157" t="str">
        <f t="array" ref="BZ237">IFERROR(INDEX(TABLACONSOLIDADA[Inv Fís Act],MATCH("AGROINSUMOSMONCAYOLOPEZ"&amp;Tabla_Buffers_Agroinsumos[[#This Row],[CODIGO ]],TABLACONSOLIDADA[Bodega]&amp;TABLACONSOLIDADA[Codigo],0)),"")</f>
        <v/>
      </c>
      <c r="CA237" s="157" t="str">
        <f t="array" ref="CA23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3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37" s="134">
        <f>IFERROR(SUM(Tabla_Buffers_Agroinsumos[[#This Row],[ML-MP]:[ML-VL]]),"")</f>
        <v>0</v>
      </c>
      <c r="CD237" s="92" t="str">
        <f>IFERROR(Tabla_Buffers_Agroinsumos[[#This Row],[INV FIS ML]]-Tabla_Buffers_Agroinsumos[[#This Row],[BUFFER ML]],"")</f>
        <v/>
      </c>
      <c r="CE23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37" s="134"/>
      <c r="CG237" s="134"/>
      <c r="CH237" s="134"/>
      <c r="CI237" s="134"/>
      <c r="CJ237" s="134"/>
      <c r="CK237" s="134"/>
      <c r="CL237" s="134"/>
      <c r="CM237" s="134"/>
      <c r="CN237" s="134"/>
      <c r="CO237" s="134" t="str">
        <f t="array" ref="CO237">IFERROR(INDEX(TABLACONSOLIDADA[Buff Act],MATCH("AGROINSUMOSAGROHERMANOSLEON"&amp;Tabla_Buffers_Agroinsumos[[#This Row],[CODIGO ]],TABLACONSOLIDADA[Bodega]&amp;TABLACONSOLIDADA[Codigo],0)),"")</f>
        <v/>
      </c>
      <c r="CP237" s="157" t="str">
        <f t="array" ref="CP237">IFERROR(INDEX(TABLACONSOLIDADA[Inv Fís Act],MATCH("AGROINSUMOSAGROHERMANOSLEON"&amp;Tabla_Buffers_Agroinsumos[[#This Row],[CODIGO ]],TABLACONSOLIDADA[Bodega]&amp;TABLACONSOLIDADA[Codigo],0)),"")</f>
        <v/>
      </c>
      <c r="CQ237" s="157" t="str">
        <f t="array" ref="CQ23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3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37" s="134">
        <f>IFERROR(SUM(Tabla_Buffers_Agroinsumos[[#This Row],[AL-MP]:[AL-VL]]),"")</f>
        <v>0</v>
      </c>
      <c r="CT237" s="92" t="str">
        <f>IFERROR(Tabla_Buffers_Agroinsumos[[#This Row],[INV FIS AL]]-Tabla_Buffers_Agroinsumos[[#This Row],[BUFFER AL]],"")</f>
        <v/>
      </c>
      <c r="CU23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37" s="134"/>
      <c r="CW237" s="134"/>
      <c r="CX237" s="134"/>
      <c r="CY237" s="134"/>
      <c r="CZ237" s="134"/>
      <c r="DA237" s="134"/>
      <c r="DB237" s="134"/>
      <c r="DC237" s="134"/>
      <c r="DD237" s="134"/>
      <c r="DE237" s="134" t="str">
        <f t="array" ref="DE237">IFERROR(INDEX(TABLACONSOLIDADA[Buff Act],MATCH("AGROINSUMOSAGRONUEVO"&amp;Tabla_Buffers_Agroinsumos[[#This Row],[CODIGO ]],TABLACONSOLIDADA[Bodega]&amp;TABLACONSOLIDADA[Codigo],0)),"")</f>
        <v/>
      </c>
      <c r="DF237" s="157" t="str">
        <f t="array" ref="DF237">IFERROR(INDEX(TABLACONSOLIDADA[Inv Fís Act],MATCH("AGROINSUMOSAGRONUEVO"&amp;Tabla_Buffers_Agroinsumos[[#This Row],[CODIGO ]],TABLACONSOLIDADA[Bodega]&amp;TABLACONSOLIDADA[Codigo],0)),"")</f>
        <v/>
      </c>
      <c r="DG237" s="157" t="str">
        <f t="array" ref="DG23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3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37" s="134">
        <f>IFERROR(SUM(Tabla_Buffers_Agroinsumos[[#This Row],[AN-MP]:[AN-VL]]),"")</f>
        <v>0</v>
      </c>
      <c r="DJ237" s="92" t="str">
        <f>IFERROR(Tabla_Buffers_Agroinsumos[[#This Row],[INV FIS AN]]-Tabla_Buffers_Agroinsumos[[#This Row],[BUFFER AN]],"")</f>
        <v/>
      </c>
      <c r="DK23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37" s="134"/>
      <c r="DM237" s="134"/>
      <c r="DN237" s="134"/>
      <c r="DO237" s="134"/>
      <c r="DP237" s="134"/>
      <c r="DQ237" s="134"/>
      <c r="DR237" s="134"/>
      <c r="DS237" s="134"/>
      <c r="DT237" s="134"/>
      <c r="DU237" s="134" t="str">
        <f t="array" ref="DU237">IFERROR(INDEX(TABLACONSOLIDADA[Buff Act],MATCH("AGROINSUMOSAGROQUIMICOSSUR"&amp;Tabla_Buffers_Agroinsumos[[#This Row],[CODIGO ]],TABLACONSOLIDADA[Bodega]&amp;TABLACONSOLIDADA[Codigo],0)),"")</f>
        <v/>
      </c>
      <c r="DV237" s="157" t="str">
        <f t="array" ref="DV237">IFERROR(INDEX(TABLACONSOLIDADA[Inv Fís Act],MATCH("AGROINSUMOSAGROQUIMICOSSUR"&amp;Tabla_Buffers_Agroinsumos[[#This Row],[CODIGO ]],TABLACONSOLIDADA[Bodega]&amp;TABLACONSOLIDADA[Codigo],0)),"")</f>
        <v/>
      </c>
      <c r="DW237" s="157" t="str">
        <f t="array" ref="DW23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3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37" s="134">
        <f>IFERROR(SUM(Tabla_Buffers_Agroinsumos[[#This Row],[AS-MP]:[AS-VL]]),"")</f>
        <v>0</v>
      </c>
      <c r="DZ237" s="92" t="str">
        <f>IFERROR(Tabla_Buffers_Agroinsumos[[#This Row],[INV FIS AS]]-Tabla_Buffers_Agroinsumos[[#This Row],[BUFFER AS]],"")</f>
        <v/>
      </c>
      <c r="EA23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37" s="134"/>
      <c r="EC237" s="134"/>
      <c r="ED237" s="134"/>
      <c r="EE237" s="134"/>
      <c r="EF237" s="134"/>
      <c r="EG237" s="134"/>
      <c r="EH237" s="134"/>
      <c r="EI237" s="134"/>
      <c r="EJ237" s="134"/>
      <c r="EK237" s="134" t="str">
        <f t="array" ref="EK237">IFERROR(INDEX(TABLACONSOLIDADA[Buff Act],MATCH("AGROINSUMOSLAFINCA"&amp;Tabla_Buffers_Agroinsumos[[#This Row],[CODIGO ]],TABLACONSOLIDADA[Bodega]&amp;TABLACONSOLIDADA[Codigo],0)),"")</f>
        <v/>
      </c>
      <c r="EL237" s="157" t="str">
        <f t="array" ref="EL237">IFERROR(INDEX(TABLACONSOLIDADA[Inv Fís Act],MATCH("AGROINSUMOSLAFINCA"&amp;Tabla_Buffers_Agroinsumos[[#This Row],[CODIGO ]],TABLACONSOLIDADA[Bodega]&amp;TABLACONSOLIDADA[Codigo],0)),"")</f>
        <v/>
      </c>
      <c r="EM237" s="157" t="str">
        <f t="array" ref="EM23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3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37" s="134">
        <f>IFERROR(SUM(Tabla_Buffers_Agroinsumos[[#This Row],[LF-MP]:[LF-VL]]),"")</f>
        <v>0</v>
      </c>
      <c r="EP237" s="92" t="str">
        <f>IFERROR(Tabla_Buffers_Agroinsumos[[#This Row],[INV FIS LF]]-Tabla_Buffers_Agroinsumos[[#This Row],[BUFFER LF]],"")</f>
        <v/>
      </c>
      <c r="EQ23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37" s="134"/>
      <c r="ES237" s="134"/>
      <c r="ET237" s="134"/>
      <c r="EU237" s="134"/>
      <c r="EV237" s="134"/>
      <c r="EW237" s="134"/>
      <c r="EX237" s="134"/>
      <c r="EY237" s="134"/>
      <c r="EZ237" s="134"/>
      <c r="FA237" s="134" t="str">
        <f t="array" ref="FA237">IFERROR(INDEX(TABLACONSOLIDADA[Buff Act],MATCH("AGROINSUMOSVERONICALEDESMA"&amp;Tabla_Buffers_Agroinsumos[[#This Row],[CODIGO ]],TABLACONSOLIDADA[Bodega]&amp;TABLACONSOLIDADA[Codigo],0)),"")</f>
        <v/>
      </c>
      <c r="FB237" s="157" t="str">
        <f t="array" ref="FB237">IFERROR(INDEX(TABLACONSOLIDADA[Inv Fís Act],MATCH("AGROINSUMOSVERONICALEDESMA"&amp;Tabla_Buffers_Agroinsumos[[#This Row],[CODIGO ]],TABLACONSOLIDADA[Bodega]&amp;TABLACONSOLIDADA[Codigo],0)),"")</f>
        <v/>
      </c>
      <c r="FC237" s="157" t="str">
        <f t="array" ref="FC23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3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37" s="134">
        <f>IFERROR(SUM(Tabla_Buffers_Agroinsumos[[#This Row],[VL-MP]:[VL-LF]]),"")</f>
        <v>0</v>
      </c>
      <c r="FF237" s="92" t="str">
        <f>IFERROR(Tabla_Buffers_Agroinsumos[[#This Row],[INV FIS VL]]-Tabla_Buffers_Agroinsumos[[#This Row],[BUFFER VL]],"")</f>
        <v/>
      </c>
      <c r="FG23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37" s="134"/>
      <c r="FI237" s="134"/>
      <c r="FJ237" s="134"/>
      <c r="FK237" s="134"/>
      <c r="FL237" s="134"/>
      <c r="FM237" s="134"/>
      <c r="FN237" s="134"/>
      <c r="FO237" s="134"/>
      <c r="FP237" s="134"/>
    </row>
    <row r="238" spans="1:172">
      <c r="A238" s="7" t="s">
        <v>411</v>
      </c>
      <c r="B238" s="7" t="s">
        <v>412</v>
      </c>
      <c r="C238" s="7" t="s">
        <v>939</v>
      </c>
      <c r="D238" s="7" t="s">
        <v>718</v>
      </c>
      <c r="E238" s="7" t="s">
        <v>863</v>
      </c>
      <c r="F238" s="19"/>
      <c r="G238" s="19" t="s">
        <v>802</v>
      </c>
      <c r="H238" s="19">
        <f>VLOOKUP(Tabla_Buffers_Agroinsumos[[#This Row],[CODIGO ]],TABLACONSOLIDADA[[Codigo]:[PV]],6,0)</f>
        <v>0</v>
      </c>
      <c r="I238" s="19">
        <f>VLOOKUP(Tabla_Buffers_Agroinsumos[[#This Row],[CODIGO ]],TABLACONSOLIDADA[[Codigo]:[PV]],5,0)</f>
        <v>0.11</v>
      </c>
      <c r="J238" s="19">
        <v>4</v>
      </c>
      <c r="K238" s="19">
        <v>4</v>
      </c>
      <c r="L238" s="19">
        <f>IFERROR(Tabla_Buffers_Agroinsumos[[#This Row],[BUFFER CENTRAL]]/((Tabla_Buffers_Agroinsumos[[#This Row],[TIEMPO REPOSICION ]]/Tabla_Buffers_Agroinsumos[[#This Row],[FRECUENCIA]])+1),0)</f>
        <v>0</v>
      </c>
      <c r="M238" s="19">
        <f t="array" ref="M238">IFERROR(INDEX(TABLACONSOLIDADA[Buff Act],MATCH("AGROINSUMOSMATERIAPRIMA"&amp;Tabla_Buffers_Agroinsumos[[#This Row],[CODIGO ]],TABLACONSOLIDADA[Bodega]&amp;TABLACONSOLIDADA[Codigo],0)),"")</f>
        <v>1000</v>
      </c>
      <c r="N238" s="157">
        <f t="array" ref="N238">IFERROR(INDEX(TABLACONSOLIDADA[Inv Fís Act],MATCH("AGROINSUMOSMATERIAPRIMA"&amp;Tabla_Buffers_Agroinsumos[[#This Row],[CODIGO ]],TABLACONSOLIDADA[Bodega]&amp;TABLACONSOLIDADA[Codigo],0)),"")</f>
        <v>1890</v>
      </c>
      <c r="O238" s="157">
        <f t="array" ref="O23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1890</v>
      </c>
      <c r="P23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38" s="19">
        <f>IFERROR(SUM(Tabla_Buffers_Agroinsumos[[#This Row],[MP-C]:[MP-VL]]),"")</f>
        <v>0</v>
      </c>
      <c r="R238" s="92">
        <f>IFERROR(Tabla_Buffers_Agroinsumos[[#This Row],[INV FIS MATERIA PRIMA]]-Tabla_Buffers_Agroinsumos[[#This Row],[BUFFER MATERIA PRIMA]],"")</f>
        <v>890</v>
      </c>
      <c r="S23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890</v>
      </c>
      <c r="T238" s="19"/>
      <c r="U238" s="19"/>
      <c r="V238" s="19"/>
      <c r="W238" s="19"/>
      <c r="X238" s="19"/>
      <c r="Y238" s="19"/>
      <c r="Z238" s="19"/>
      <c r="AA238" s="19"/>
      <c r="AB238" s="19"/>
      <c r="AC238" s="152" t="str">
        <f t="array" ref="AC238">IFERROR(INDEX(TABLACONSOLIDADA[Buff Act],MATCH("AGROINSUMOSCENTRAL"&amp;Tabla_Buffers_Agroinsumos[[#This Row],[CODIGO ]],TABLACONSOLIDADA[Bodega]&amp;TABLACONSOLIDADA[Codigo],0)),"")</f>
        <v/>
      </c>
      <c r="AD238" s="157" t="str">
        <f t="array" ref="AD238">IFERROR(INDEX(TABLACONSOLIDADA[Inv Fís Act],MATCH("AGROINSUMOSCENTRAL"&amp;Tabla_Buffers_Agroinsumos[[#This Row],[CODIGO ]],TABLACONSOLIDADA[Bodega]&amp;TABLACONSOLIDADA[Codigo],0)),"")</f>
        <v/>
      </c>
      <c r="AE238" s="157" t="str">
        <f t="array" ref="AE23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3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38" s="91">
        <f>IFERROR(SUM(Tabla_Buffers_Agroinsumos[[#This Row],[C-MP]:[C-VL]]),"")</f>
        <v>0</v>
      </c>
      <c r="AH238" s="92" t="str">
        <f>IFERROR(Tabla_Buffers_Agroinsumos[[#This Row],[INV FIS CENTRAL]]-Tabla_Buffers_Agroinsumos[[#This Row],[BUFFER CENTRAL]],"")</f>
        <v/>
      </c>
      <c r="AI23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38" s="134"/>
      <c r="AK238" s="134"/>
      <c r="AL238" s="134"/>
      <c r="AM238" s="134"/>
      <c r="AN238" s="134"/>
      <c r="AO238" s="134"/>
      <c r="AP238" s="134"/>
      <c r="AQ238" s="134"/>
      <c r="AR238" s="134"/>
      <c r="AS238" s="134" t="str">
        <f t="array" ref="AS238">IFERROR(INDEX(TABLACONSOLIDADA[Buff Act],MATCH("AGROINSUMOScentralPROPIA"&amp;Tabla_Buffers_Agroinsumos[[#This Row],[CODIGO ]],TABLACONSOLIDADA[Bodega]&amp;TABLACONSOLIDADA[Codigo],0)),"")</f>
        <v/>
      </c>
      <c r="AT238" s="157" t="str">
        <f t="array" ref="AT238">IFERROR(INDEX(TABLACONSOLIDADA[Inv Fís Act],MATCH("AGROINSUMOScentralPROPIA"&amp;Tabla_Buffers_Agroinsumos[[#This Row],[CODIGO ]],TABLACONSOLIDADA[Bodega]&amp;TABLACONSOLIDADA[Codigo],0)),"")</f>
        <v/>
      </c>
      <c r="AU238" s="157" t="str">
        <f t="array" ref="AU23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3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38" s="134">
        <f>IFERROR(SUM(Tabla_Buffers_Agroinsumos[[#This Row],[P-MP]:[P-VL]]),"")</f>
        <v>0</v>
      </c>
      <c r="AX238" s="92" t="str">
        <f>IFERROR(Tabla_Buffers_Agroinsumos[[#This Row],[INV FIS PROPIA]]-Tabla_Buffers_Agroinsumos[[#This Row],[BUFFER PROPIA]],"")</f>
        <v/>
      </c>
      <c r="AY23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38" s="134"/>
      <c r="BA238" s="134"/>
      <c r="BB238" s="134"/>
      <c r="BC238" s="134"/>
      <c r="BD238" s="134"/>
      <c r="BE238" s="134"/>
      <c r="BF238" s="134"/>
      <c r="BG238" s="134"/>
      <c r="BH238" s="134"/>
      <c r="BI238" s="91" t="str">
        <f t="array" ref="BI238">IFERROR(INDEX(TABLACONSOLIDADA[Buff Act],MATCH("AGROINSUMOSSTODOMINGO"&amp;Tabla_Buffers_Agroinsumos[[#This Row],[CODIGO ]],TABLACONSOLIDADA[Bodega]&amp;TABLACONSOLIDADA[Codigo],0)),"")</f>
        <v/>
      </c>
      <c r="BJ238" s="157" t="str">
        <f t="array" ref="BJ238">IFERROR(INDEX(TABLACONSOLIDADA[Inv Fís Act],MATCH("AGROINSUMOSSTODOMINGO"&amp;Tabla_Buffers_Agroinsumos[[#This Row],[CODIGO ]],TABLACONSOLIDADA[Bodega]&amp;TABLACONSOLIDADA[Codigo],0)),"")</f>
        <v/>
      </c>
      <c r="BK238" s="157" t="str">
        <f t="array" ref="BK23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3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38" s="91">
        <f>IFERROR(SUM(Tabla_Buffers_Agroinsumos[[#This Row],[SD-MP]:[SD-VL]]),"")</f>
        <v>0</v>
      </c>
      <c r="BN238" s="92"/>
      <c r="BO238" s="92"/>
      <c r="BP238" s="134"/>
      <c r="BQ238" s="134"/>
      <c r="BR238" s="134"/>
      <c r="BS238" s="134"/>
      <c r="BT238" s="134"/>
      <c r="BU238" s="134"/>
      <c r="BV238" s="134"/>
      <c r="BW238" s="134"/>
      <c r="BX238" s="134"/>
      <c r="BY238" s="134" t="str">
        <f t="array" ref="BY238">IFERROR(INDEX(TABLACONSOLIDADA[Buff Act],MATCH("AGROINSUMOSMONCAYOLOPEZ"&amp;Tabla_Buffers_Agroinsumos[[#This Row],[CODIGO ]],TABLACONSOLIDADA[Bodega]&amp;TABLACONSOLIDADA[Codigo],0)),"")</f>
        <v/>
      </c>
      <c r="BZ238" s="157" t="str">
        <f t="array" ref="BZ238">IFERROR(INDEX(TABLACONSOLIDADA[Inv Fís Act],MATCH("AGROINSUMOSMONCAYOLOPEZ"&amp;Tabla_Buffers_Agroinsumos[[#This Row],[CODIGO ]],TABLACONSOLIDADA[Bodega]&amp;TABLACONSOLIDADA[Codigo],0)),"")</f>
        <v/>
      </c>
      <c r="CA238" s="157" t="str">
        <f t="array" ref="CA23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3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38" s="134">
        <f>IFERROR(SUM(Tabla_Buffers_Agroinsumos[[#This Row],[ML-MP]:[ML-VL]]),"")</f>
        <v>0</v>
      </c>
      <c r="CD238" s="92" t="str">
        <f>IFERROR(Tabla_Buffers_Agroinsumos[[#This Row],[INV FIS ML]]-Tabla_Buffers_Agroinsumos[[#This Row],[BUFFER ML]],"")</f>
        <v/>
      </c>
      <c r="CE23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38" s="134"/>
      <c r="CG238" s="134"/>
      <c r="CH238" s="134"/>
      <c r="CI238" s="134"/>
      <c r="CJ238" s="134"/>
      <c r="CK238" s="134"/>
      <c r="CL238" s="134"/>
      <c r="CM238" s="134"/>
      <c r="CN238" s="134"/>
      <c r="CO238" s="134" t="str">
        <f t="array" ref="CO238">IFERROR(INDEX(TABLACONSOLIDADA[Buff Act],MATCH("AGROINSUMOSAGROHERMANOSLEON"&amp;Tabla_Buffers_Agroinsumos[[#This Row],[CODIGO ]],TABLACONSOLIDADA[Bodega]&amp;TABLACONSOLIDADA[Codigo],0)),"")</f>
        <v/>
      </c>
      <c r="CP238" s="157" t="str">
        <f t="array" ref="CP238">IFERROR(INDEX(TABLACONSOLIDADA[Inv Fís Act],MATCH("AGROINSUMOSAGROHERMANOSLEON"&amp;Tabla_Buffers_Agroinsumos[[#This Row],[CODIGO ]],TABLACONSOLIDADA[Bodega]&amp;TABLACONSOLIDADA[Codigo],0)),"")</f>
        <v/>
      </c>
      <c r="CQ238" s="157" t="str">
        <f t="array" ref="CQ23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3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38" s="134">
        <f>IFERROR(SUM(Tabla_Buffers_Agroinsumos[[#This Row],[AL-MP]:[AL-VL]]),"")</f>
        <v>0</v>
      </c>
      <c r="CT238" s="92" t="str">
        <f>IFERROR(Tabla_Buffers_Agroinsumos[[#This Row],[INV FIS AL]]-Tabla_Buffers_Agroinsumos[[#This Row],[BUFFER AL]],"")</f>
        <v/>
      </c>
      <c r="CU23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38" s="134"/>
      <c r="CW238" s="134"/>
      <c r="CX238" s="134"/>
      <c r="CY238" s="134"/>
      <c r="CZ238" s="134"/>
      <c r="DA238" s="134"/>
      <c r="DB238" s="134"/>
      <c r="DC238" s="134"/>
      <c r="DD238" s="134"/>
      <c r="DE238" s="134" t="str">
        <f t="array" ref="DE238">IFERROR(INDEX(TABLACONSOLIDADA[Buff Act],MATCH("AGROINSUMOSAGRONUEVO"&amp;Tabla_Buffers_Agroinsumos[[#This Row],[CODIGO ]],TABLACONSOLIDADA[Bodega]&amp;TABLACONSOLIDADA[Codigo],0)),"")</f>
        <v/>
      </c>
      <c r="DF238" s="157" t="str">
        <f t="array" ref="DF238">IFERROR(INDEX(TABLACONSOLIDADA[Inv Fís Act],MATCH("AGROINSUMOSAGRONUEVO"&amp;Tabla_Buffers_Agroinsumos[[#This Row],[CODIGO ]],TABLACONSOLIDADA[Bodega]&amp;TABLACONSOLIDADA[Codigo],0)),"")</f>
        <v/>
      </c>
      <c r="DG238" s="157" t="str">
        <f t="array" ref="DG23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3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38" s="134">
        <f>IFERROR(SUM(Tabla_Buffers_Agroinsumos[[#This Row],[AN-MP]:[AN-VL]]),"")</f>
        <v>0</v>
      </c>
      <c r="DJ238" s="92" t="str">
        <f>IFERROR(Tabla_Buffers_Agroinsumos[[#This Row],[INV FIS AN]]-Tabla_Buffers_Agroinsumos[[#This Row],[BUFFER AN]],"")</f>
        <v/>
      </c>
      <c r="DK23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38" s="134"/>
      <c r="DM238" s="134"/>
      <c r="DN238" s="134"/>
      <c r="DO238" s="134"/>
      <c r="DP238" s="134"/>
      <c r="DQ238" s="134"/>
      <c r="DR238" s="134"/>
      <c r="DS238" s="134"/>
      <c r="DT238" s="134"/>
      <c r="DU238" s="134" t="str">
        <f t="array" ref="DU238">IFERROR(INDEX(TABLACONSOLIDADA[Buff Act],MATCH("AGROINSUMOSAGROQUIMICOSSUR"&amp;Tabla_Buffers_Agroinsumos[[#This Row],[CODIGO ]],TABLACONSOLIDADA[Bodega]&amp;TABLACONSOLIDADA[Codigo],0)),"")</f>
        <v/>
      </c>
      <c r="DV238" s="157" t="str">
        <f t="array" ref="DV238">IFERROR(INDEX(TABLACONSOLIDADA[Inv Fís Act],MATCH("AGROINSUMOSAGROQUIMICOSSUR"&amp;Tabla_Buffers_Agroinsumos[[#This Row],[CODIGO ]],TABLACONSOLIDADA[Bodega]&amp;TABLACONSOLIDADA[Codigo],0)),"")</f>
        <v/>
      </c>
      <c r="DW238" s="157" t="str">
        <f t="array" ref="DW23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3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38" s="134">
        <f>IFERROR(SUM(Tabla_Buffers_Agroinsumos[[#This Row],[AS-MP]:[AS-VL]]),"")</f>
        <v>0</v>
      </c>
      <c r="DZ238" s="92" t="str">
        <f>IFERROR(Tabla_Buffers_Agroinsumos[[#This Row],[INV FIS AS]]-Tabla_Buffers_Agroinsumos[[#This Row],[BUFFER AS]],"")</f>
        <v/>
      </c>
      <c r="EA23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38" s="134"/>
      <c r="EC238" s="134"/>
      <c r="ED238" s="134"/>
      <c r="EE238" s="134"/>
      <c r="EF238" s="134"/>
      <c r="EG238" s="134"/>
      <c r="EH238" s="134"/>
      <c r="EI238" s="134"/>
      <c r="EJ238" s="134"/>
      <c r="EK238" s="134" t="str">
        <f t="array" ref="EK238">IFERROR(INDEX(TABLACONSOLIDADA[Buff Act],MATCH("AGROINSUMOSLAFINCA"&amp;Tabla_Buffers_Agroinsumos[[#This Row],[CODIGO ]],TABLACONSOLIDADA[Bodega]&amp;TABLACONSOLIDADA[Codigo],0)),"")</f>
        <v/>
      </c>
      <c r="EL238" s="157" t="str">
        <f t="array" ref="EL238">IFERROR(INDEX(TABLACONSOLIDADA[Inv Fís Act],MATCH("AGROINSUMOSLAFINCA"&amp;Tabla_Buffers_Agroinsumos[[#This Row],[CODIGO ]],TABLACONSOLIDADA[Bodega]&amp;TABLACONSOLIDADA[Codigo],0)),"")</f>
        <v/>
      </c>
      <c r="EM238" s="157" t="str">
        <f t="array" ref="EM23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3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38" s="134">
        <f>IFERROR(SUM(Tabla_Buffers_Agroinsumos[[#This Row],[LF-MP]:[LF-VL]]),"")</f>
        <v>0</v>
      </c>
      <c r="EP238" s="92" t="str">
        <f>IFERROR(Tabla_Buffers_Agroinsumos[[#This Row],[INV FIS LF]]-Tabla_Buffers_Agroinsumos[[#This Row],[BUFFER LF]],"")</f>
        <v/>
      </c>
      <c r="EQ23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38" s="134"/>
      <c r="ES238" s="134"/>
      <c r="ET238" s="134"/>
      <c r="EU238" s="134"/>
      <c r="EV238" s="134"/>
      <c r="EW238" s="134"/>
      <c r="EX238" s="134"/>
      <c r="EY238" s="134"/>
      <c r="EZ238" s="134"/>
      <c r="FA238" s="134" t="str">
        <f t="array" ref="FA238">IFERROR(INDEX(TABLACONSOLIDADA[Buff Act],MATCH("AGROINSUMOSVERONICALEDESMA"&amp;Tabla_Buffers_Agroinsumos[[#This Row],[CODIGO ]],TABLACONSOLIDADA[Bodega]&amp;TABLACONSOLIDADA[Codigo],0)),"")</f>
        <v/>
      </c>
      <c r="FB238" s="157" t="str">
        <f t="array" ref="FB238">IFERROR(INDEX(TABLACONSOLIDADA[Inv Fís Act],MATCH("AGROINSUMOSVERONICALEDESMA"&amp;Tabla_Buffers_Agroinsumos[[#This Row],[CODIGO ]],TABLACONSOLIDADA[Bodega]&amp;TABLACONSOLIDADA[Codigo],0)),"")</f>
        <v/>
      </c>
      <c r="FC238" s="157" t="str">
        <f t="array" ref="FC23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3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38" s="134">
        <f>IFERROR(SUM(Tabla_Buffers_Agroinsumos[[#This Row],[VL-MP]:[VL-LF]]),"")</f>
        <v>0</v>
      </c>
      <c r="FF238" s="92" t="str">
        <f>IFERROR(Tabla_Buffers_Agroinsumos[[#This Row],[INV FIS VL]]-Tabla_Buffers_Agroinsumos[[#This Row],[BUFFER VL]],"")</f>
        <v/>
      </c>
      <c r="FG23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38" s="134"/>
      <c r="FI238" s="134"/>
      <c r="FJ238" s="134"/>
      <c r="FK238" s="134"/>
      <c r="FL238" s="134"/>
      <c r="FM238" s="134"/>
      <c r="FN238" s="134"/>
      <c r="FO238" s="134"/>
      <c r="FP238" s="134"/>
    </row>
    <row r="239" spans="1:172">
      <c r="A239" s="7" t="s">
        <v>413</v>
      </c>
      <c r="B239" s="7" t="s">
        <v>414</v>
      </c>
      <c r="C239" s="7" t="s">
        <v>716</v>
      </c>
      <c r="D239" s="7" t="s">
        <v>718</v>
      </c>
      <c r="E239" s="7" t="s">
        <v>863</v>
      </c>
      <c r="F239" s="19" t="s">
        <v>808</v>
      </c>
      <c r="G239" s="19" t="s">
        <v>802</v>
      </c>
      <c r="H239" s="19">
        <f>VLOOKUP(Tabla_Buffers_Agroinsumos[[#This Row],[CODIGO ]],TABLACONSOLIDADA[[Codigo]:[PV]],6,0)</f>
        <v>0</v>
      </c>
      <c r="I239" s="19">
        <f>VLOOKUP(Tabla_Buffers_Agroinsumos[[#This Row],[CODIGO ]],TABLACONSOLIDADA[[Codigo]:[PV]],5,0)</f>
        <v>0.16</v>
      </c>
      <c r="J239" s="19">
        <v>4</v>
      </c>
      <c r="K239" s="19">
        <v>6</v>
      </c>
      <c r="L239" s="19">
        <f>IFERROR(Tabla_Buffers_Agroinsumos[[#This Row],[BUFFER CENTRAL]]/((Tabla_Buffers_Agroinsumos[[#This Row],[TIEMPO REPOSICION ]]/Tabla_Buffers_Agroinsumos[[#This Row],[FRECUENCIA]])+1),0)</f>
        <v>0</v>
      </c>
      <c r="M239" s="19">
        <f t="array" ref="M239">IFERROR(INDEX(TABLACONSOLIDADA[Buff Act],MATCH("AGROINSUMOSMATERIAPRIMA"&amp;Tabla_Buffers_Agroinsumos[[#This Row],[CODIGO ]],TABLACONSOLIDADA[Bodega]&amp;TABLACONSOLIDADA[Codigo],0)),"")</f>
        <v>800</v>
      </c>
      <c r="N239" s="157">
        <f t="array" ref="N239">IFERROR(INDEX(TABLACONSOLIDADA[Inv Fís Act],MATCH("AGROINSUMOSMATERIAPRIMA"&amp;Tabla_Buffers_Agroinsumos[[#This Row],[CODIGO ]],TABLACONSOLIDADA[Bodega]&amp;TABLACONSOLIDADA[Codigo],0)),"")</f>
        <v>951</v>
      </c>
      <c r="O239" s="157">
        <f t="array" ref="O23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951</v>
      </c>
      <c r="P23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39" s="19">
        <f>IFERROR(SUM(Tabla_Buffers_Agroinsumos[[#This Row],[MP-C]:[MP-VL]]),"")</f>
        <v>0</v>
      </c>
      <c r="R239" s="92">
        <f>IFERROR(Tabla_Buffers_Agroinsumos[[#This Row],[INV FIS MATERIA PRIMA]]-Tabla_Buffers_Agroinsumos[[#This Row],[BUFFER MATERIA PRIMA]],"")</f>
        <v>151</v>
      </c>
      <c r="S23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151</v>
      </c>
      <c r="T239" s="19"/>
      <c r="U239" s="19"/>
      <c r="V239" s="19"/>
      <c r="W239" s="19"/>
      <c r="X239" s="19"/>
      <c r="Y239" s="19"/>
      <c r="Z239" s="19"/>
      <c r="AA239" s="19"/>
      <c r="AB239" s="19"/>
      <c r="AC239" s="152" t="str">
        <f t="array" ref="AC239">IFERROR(INDEX(TABLACONSOLIDADA[Buff Act],MATCH("AGROINSUMOSCENTRAL"&amp;Tabla_Buffers_Agroinsumos[[#This Row],[CODIGO ]],TABLACONSOLIDADA[Bodega]&amp;TABLACONSOLIDADA[Codigo],0)),"")</f>
        <v/>
      </c>
      <c r="AD239" s="157" t="str">
        <f t="array" ref="AD239">IFERROR(INDEX(TABLACONSOLIDADA[Inv Fís Act],MATCH("AGROINSUMOSCENTRAL"&amp;Tabla_Buffers_Agroinsumos[[#This Row],[CODIGO ]],TABLACONSOLIDADA[Bodega]&amp;TABLACONSOLIDADA[Codigo],0)),"")</f>
        <v/>
      </c>
      <c r="AE239" s="157" t="str">
        <f t="array" ref="AE23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3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39" s="91">
        <f>IFERROR(SUM(Tabla_Buffers_Agroinsumos[[#This Row],[C-MP]:[C-VL]]),"")</f>
        <v>0</v>
      </c>
      <c r="AH239" s="92" t="str">
        <f>IFERROR(Tabla_Buffers_Agroinsumos[[#This Row],[INV FIS CENTRAL]]-Tabla_Buffers_Agroinsumos[[#This Row],[BUFFER CENTRAL]],"")</f>
        <v/>
      </c>
      <c r="AI23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39" s="134"/>
      <c r="AK239" s="134"/>
      <c r="AL239" s="134"/>
      <c r="AM239" s="134"/>
      <c r="AN239" s="134"/>
      <c r="AO239" s="134"/>
      <c r="AP239" s="134"/>
      <c r="AQ239" s="134"/>
      <c r="AR239" s="134"/>
      <c r="AS239" s="134" t="str">
        <f t="array" ref="AS239">IFERROR(INDEX(TABLACONSOLIDADA[Buff Act],MATCH("AGROINSUMOScentralPROPIA"&amp;Tabla_Buffers_Agroinsumos[[#This Row],[CODIGO ]],TABLACONSOLIDADA[Bodega]&amp;TABLACONSOLIDADA[Codigo],0)),"")</f>
        <v/>
      </c>
      <c r="AT239" s="157" t="str">
        <f t="array" ref="AT239">IFERROR(INDEX(TABLACONSOLIDADA[Inv Fís Act],MATCH("AGROINSUMOScentralPROPIA"&amp;Tabla_Buffers_Agroinsumos[[#This Row],[CODIGO ]],TABLACONSOLIDADA[Bodega]&amp;TABLACONSOLIDADA[Codigo],0)),"")</f>
        <v/>
      </c>
      <c r="AU239" s="157" t="str">
        <f t="array" ref="AU23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3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39" s="134">
        <f>IFERROR(SUM(Tabla_Buffers_Agroinsumos[[#This Row],[P-MP]:[P-VL]]),"")</f>
        <v>0</v>
      </c>
      <c r="AX239" s="92" t="str">
        <f>IFERROR(Tabla_Buffers_Agroinsumos[[#This Row],[INV FIS PROPIA]]-Tabla_Buffers_Agroinsumos[[#This Row],[BUFFER PROPIA]],"")</f>
        <v/>
      </c>
      <c r="AY23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39" s="134"/>
      <c r="BA239" s="134"/>
      <c r="BB239" s="134"/>
      <c r="BC239" s="134"/>
      <c r="BD239" s="134"/>
      <c r="BE239" s="134"/>
      <c r="BF239" s="134"/>
      <c r="BG239" s="134"/>
      <c r="BH239" s="134"/>
      <c r="BI239" s="91" t="str">
        <f t="array" ref="BI239">IFERROR(INDEX(TABLACONSOLIDADA[Buff Act],MATCH("AGROINSUMOSSTODOMINGO"&amp;Tabla_Buffers_Agroinsumos[[#This Row],[CODIGO ]],TABLACONSOLIDADA[Bodega]&amp;TABLACONSOLIDADA[Codigo],0)),"")</f>
        <v/>
      </c>
      <c r="BJ239" s="157" t="str">
        <f t="array" ref="BJ239">IFERROR(INDEX(TABLACONSOLIDADA[Inv Fís Act],MATCH("AGROINSUMOSSTODOMINGO"&amp;Tabla_Buffers_Agroinsumos[[#This Row],[CODIGO ]],TABLACONSOLIDADA[Bodega]&amp;TABLACONSOLIDADA[Codigo],0)),"")</f>
        <v/>
      </c>
      <c r="BK239" s="157" t="str">
        <f t="array" ref="BK23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3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39" s="91">
        <f>IFERROR(SUM(Tabla_Buffers_Agroinsumos[[#This Row],[SD-MP]:[SD-VL]]),"")</f>
        <v>0</v>
      </c>
      <c r="BN239" s="92"/>
      <c r="BO239" s="92"/>
      <c r="BP239" s="134"/>
      <c r="BQ239" s="134"/>
      <c r="BR239" s="134"/>
      <c r="BS239" s="134"/>
      <c r="BT239" s="134"/>
      <c r="BU239" s="134"/>
      <c r="BV239" s="134"/>
      <c r="BW239" s="134"/>
      <c r="BX239" s="134"/>
      <c r="BY239" s="134" t="str">
        <f t="array" ref="BY239">IFERROR(INDEX(TABLACONSOLIDADA[Buff Act],MATCH("AGROINSUMOSMONCAYOLOPEZ"&amp;Tabla_Buffers_Agroinsumos[[#This Row],[CODIGO ]],TABLACONSOLIDADA[Bodega]&amp;TABLACONSOLIDADA[Codigo],0)),"")</f>
        <v/>
      </c>
      <c r="BZ239" s="157" t="str">
        <f t="array" ref="BZ239">IFERROR(INDEX(TABLACONSOLIDADA[Inv Fís Act],MATCH("AGROINSUMOSMONCAYOLOPEZ"&amp;Tabla_Buffers_Agroinsumos[[#This Row],[CODIGO ]],TABLACONSOLIDADA[Bodega]&amp;TABLACONSOLIDADA[Codigo],0)),"")</f>
        <v/>
      </c>
      <c r="CA239" s="157" t="str">
        <f t="array" ref="CA23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3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39" s="134">
        <f>IFERROR(SUM(Tabla_Buffers_Agroinsumos[[#This Row],[ML-MP]:[ML-VL]]),"")</f>
        <v>0</v>
      </c>
      <c r="CD239" s="92" t="str">
        <f>IFERROR(Tabla_Buffers_Agroinsumos[[#This Row],[INV FIS ML]]-Tabla_Buffers_Agroinsumos[[#This Row],[BUFFER ML]],"")</f>
        <v/>
      </c>
      <c r="CE23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39" s="134"/>
      <c r="CG239" s="134"/>
      <c r="CH239" s="134"/>
      <c r="CI239" s="134"/>
      <c r="CJ239" s="134"/>
      <c r="CK239" s="134"/>
      <c r="CL239" s="134"/>
      <c r="CM239" s="134"/>
      <c r="CN239" s="134"/>
      <c r="CO239" s="134" t="str">
        <f t="array" ref="CO239">IFERROR(INDEX(TABLACONSOLIDADA[Buff Act],MATCH("AGROINSUMOSAGROHERMANOSLEON"&amp;Tabla_Buffers_Agroinsumos[[#This Row],[CODIGO ]],TABLACONSOLIDADA[Bodega]&amp;TABLACONSOLIDADA[Codigo],0)),"")</f>
        <v/>
      </c>
      <c r="CP239" s="157" t="str">
        <f t="array" ref="CP239">IFERROR(INDEX(TABLACONSOLIDADA[Inv Fís Act],MATCH("AGROINSUMOSAGROHERMANOSLEON"&amp;Tabla_Buffers_Agroinsumos[[#This Row],[CODIGO ]],TABLACONSOLIDADA[Bodega]&amp;TABLACONSOLIDADA[Codigo],0)),"")</f>
        <v/>
      </c>
      <c r="CQ239" s="157" t="str">
        <f t="array" ref="CQ23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3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39" s="134">
        <f>IFERROR(SUM(Tabla_Buffers_Agroinsumos[[#This Row],[AL-MP]:[AL-VL]]),"")</f>
        <v>0</v>
      </c>
      <c r="CT239" s="92" t="str">
        <f>IFERROR(Tabla_Buffers_Agroinsumos[[#This Row],[INV FIS AL]]-Tabla_Buffers_Agroinsumos[[#This Row],[BUFFER AL]],"")</f>
        <v/>
      </c>
      <c r="CU23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39" s="134"/>
      <c r="CW239" s="134"/>
      <c r="CX239" s="134"/>
      <c r="CY239" s="134"/>
      <c r="CZ239" s="134"/>
      <c r="DA239" s="134"/>
      <c r="DB239" s="134"/>
      <c r="DC239" s="134"/>
      <c r="DD239" s="134"/>
      <c r="DE239" s="134" t="str">
        <f t="array" ref="DE239">IFERROR(INDEX(TABLACONSOLIDADA[Buff Act],MATCH("AGROINSUMOSAGRONUEVO"&amp;Tabla_Buffers_Agroinsumos[[#This Row],[CODIGO ]],TABLACONSOLIDADA[Bodega]&amp;TABLACONSOLIDADA[Codigo],0)),"")</f>
        <v/>
      </c>
      <c r="DF239" s="157" t="str">
        <f t="array" ref="DF239">IFERROR(INDEX(TABLACONSOLIDADA[Inv Fís Act],MATCH("AGROINSUMOSAGRONUEVO"&amp;Tabla_Buffers_Agroinsumos[[#This Row],[CODIGO ]],TABLACONSOLIDADA[Bodega]&amp;TABLACONSOLIDADA[Codigo],0)),"")</f>
        <v/>
      </c>
      <c r="DG239" s="157" t="str">
        <f t="array" ref="DG23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3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39" s="134">
        <f>IFERROR(SUM(Tabla_Buffers_Agroinsumos[[#This Row],[AN-MP]:[AN-VL]]),"")</f>
        <v>0</v>
      </c>
      <c r="DJ239" s="92" t="str">
        <f>IFERROR(Tabla_Buffers_Agroinsumos[[#This Row],[INV FIS AN]]-Tabla_Buffers_Agroinsumos[[#This Row],[BUFFER AN]],"")</f>
        <v/>
      </c>
      <c r="DK23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39" s="134"/>
      <c r="DM239" s="134"/>
      <c r="DN239" s="134"/>
      <c r="DO239" s="134"/>
      <c r="DP239" s="134"/>
      <c r="DQ239" s="134"/>
      <c r="DR239" s="134"/>
      <c r="DS239" s="134"/>
      <c r="DT239" s="134"/>
      <c r="DU239" s="134" t="str">
        <f t="array" ref="DU239">IFERROR(INDEX(TABLACONSOLIDADA[Buff Act],MATCH("AGROINSUMOSAGROQUIMICOSSUR"&amp;Tabla_Buffers_Agroinsumos[[#This Row],[CODIGO ]],TABLACONSOLIDADA[Bodega]&amp;TABLACONSOLIDADA[Codigo],0)),"")</f>
        <v/>
      </c>
      <c r="DV239" s="157" t="str">
        <f t="array" ref="DV239">IFERROR(INDEX(TABLACONSOLIDADA[Inv Fís Act],MATCH("AGROINSUMOSAGROQUIMICOSSUR"&amp;Tabla_Buffers_Agroinsumos[[#This Row],[CODIGO ]],TABLACONSOLIDADA[Bodega]&amp;TABLACONSOLIDADA[Codigo],0)),"")</f>
        <v/>
      </c>
      <c r="DW239" s="157" t="str">
        <f t="array" ref="DW23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3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39" s="134">
        <f>IFERROR(SUM(Tabla_Buffers_Agroinsumos[[#This Row],[AS-MP]:[AS-VL]]),"")</f>
        <v>0</v>
      </c>
      <c r="DZ239" s="92" t="str">
        <f>IFERROR(Tabla_Buffers_Agroinsumos[[#This Row],[INV FIS AS]]-Tabla_Buffers_Agroinsumos[[#This Row],[BUFFER AS]],"")</f>
        <v/>
      </c>
      <c r="EA23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39" s="134"/>
      <c r="EC239" s="134"/>
      <c r="ED239" s="134"/>
      <c r="EE239" s="134"/>
      <c r="EF239" s="134"/>
      <c r="EG239" s="134"/>
      <c r="EH239" s="134"/>
      <c r="EI239" s="134"/>
      <c r="EJ239" s="134"/>
      <c r="EK239" s="134" t="str">
        <f t="array" ref="EK239">IFERROR(INDEX(TABLACONSOLIDADA[Buff Act],MATCH("AGROINSUMOSLAFINCA"&amp;Tabla_Buffers_Agroinsumos[[#This Row],[CODIGO ]],TABLACONSOLIDADA[Bodega]&amp;TABLACONSOLIDADA[Codigo],0)),"")</f>
        <v/>
      </c>
      <c r="EL239" s="157" t="str">
        <f t="array" ref="EL239">IFERROR(INDEX(TABLACONSOLIDADA[Inv Fís Act],MATCH("AGROINSUMOSLAFINCA"&amp;Tabla_Buffers_Agroinsumos[[#This Row],[CODIGO ]],TABLACONSOLIDADA[Bodega]&amp;TABLACONSOLIDADA[Codigo],0)),"")</f>
        <v/>
      </c>
      <c r="EM239" s="157" t="str">
        <f t="array" ref="EM23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3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39" s="134">
        <f>IFERROR(SUM(Tabla_Buffers_Agroinsumos[[#This Row],[LF-MP]:[LF-VL]]),"")</f>
        <v>0</v>
      </c>
      <c r="EP239" s="92" t="str">
        <f>IFERROR(Tabla_Buffers_Agroinsumos[[#This Row],[INV FIS LF]]-Tabla_Buffers_Agroinsumos[[#This Row],[BUFFER LF]],"")</f>
        <v/>
      </c>
      <c r="EQ23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39" s="134"/>
      <c r="ES239" s="134"/>
      <c r="ET239" s="134"/>
      <c r="EU239" s="134"/>
      <c r="EV239" s="134"/>
      <c r="EW239" s="134"/>
      <c r="EX239" s="134"/>
      <c r="EY239" s="134"/>
      <c r="EZ239" s="134"/>
      <c r="FA239" s="134" t="str">
        <f t="array" ref="FA239">IFERROR(INDEX(TABLACONSOLIDADA[Buff Act],MATCH("AGROINSUMOSVERONICALEDESMA"&amp;Tabla_Buffers_Agroinsumos[[#This Row],[CODIGO ]],TABLACONSOLIDADA[Bodega]&amp;TABLACONSOLIDADA[Codigo],0)),"")</f>
        <v/>
      </c>
      <c r="FB239" s="157" t="str">
        <f t="array" ref="FB239">IFERROR(INDEX(TABLACONSOLIDADA[Inv Fís Act],MATCH("AGROINSUMOSVERONICALEDESMA"&amp;Tabla_Buffers_Agroinsumos[[#This Row],[CODIGO ]],TABLACONSOLIDADA[Bodega]&amp;TABLACONSOLIDADA[Codigo],0)),"")</f>
        <v/>
      </c>
      <c r="FC239" s="157" t="str">
        <f t="array" ref="FC23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3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39" s="134">
        <f>IFERROR(SUM(Tabla_Buffers_Agroinsumos[[#This Row],[VL-MP]:[VL-LF]]),"")</f>
        <v>0</v>
      </c>
      <c r="FF239" s="92" t="str">
        <f>IFERROR(Tabla_Buffers_Agroinsumos[[#This Row],[INV FIS VL]]-Tabla_Buffers_Agroinsumos[[#This Row],[BUFFER VL]],"")</f>
        <v/>
      </c>
      <c r="FG23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39" s="134"/>
      <c r="FI239" s="134"/>
      <c r="FJ239" s="134"/>
      <c r="FK239" s="134"/>
      <c r="FL239" s="134"/>
      <c r="FM239" s="134"/>
      <c r="FN239" s="134"/>
      <c r="FO239" s="134"/>
      <c r="FP239" s="134"/>
    </row>
    <row r="240" spans="1:172">
      <c r="A240" s="7" t="s">
        <v>415</v>
      </c>
      <c r="B240" s="7" t="s">
        <v>796</v>
      </c>
      <c r="C240" s="7" t="s">
        <v>716</v>
      </c>
      <c r="D240" s="7" t="s">
        <v>718</v>
      </c>
      <c r="E240" s="7" t="s">
        <v>863</v>
      </c>
      <c r="F240" s="19" t="s">
        <v>808</v>
      </c>
      <c r="G240" s="19" t="s">
        <v>802</v>
      </c>
      <c r="H240" s="19">
        <f>VLOOKUP(Tabla_Buffers_Agroinsumos[[#This Row],[CODIGO ]],TABLACONSOLIDADA[[Codigo]:[PV]],6,0)</f>
        <v>0</v>
      </c>
      <c r="I240" s="19">
        <f>VLOOKUP(Tabla_Buffers_Agroinsumos[[#This Row],[CODIGO ]],TABLACONSOLIDADA[[Codigo]:[PV]],5,0)</f>
        <v>0.11</v>
      </c>
      <c r="J240" s="19">
        <v>4</v>
      </c>
      <c r="K240" s="19">
        <v>6</v>
      </c>
      <c r="L240" s="19">
        <f>IFERROR(Tabla_Buffers_Agroinsumos[[#This Row],[BUFFER CENTRAL]]/((Tabla_Buffers_Agroinsumos[[#This Row],[TIEMPO REPOSICION ]]/Tabla_Buffers_Agroinsumos[[#This Row],[FRECUENCIA]])+1),0)</f>
        <v>0</v>
      </c>
      <c r="M240" s="19">
        <f t="array" ref="M240">IFERROR(INDEX(TABLACONSOLIDADA[Buff Act],MATCH("AGROINSUMOSMATERIAPRIMA"&amp;Tabla_Buffers_Agroinsumos[[#This Row],[CODIGO ]],TABLACONSOLIDADA[Bodega]&amp;TABLACONSOLIDADA[Codigo],0)),"")</f>
        <v>0</v>
      </c>
      <c r="N240" s="157">
        <f t="array" ref="N240">IFERROR(INDEX(TABLACONSOLIDADA[Inv Fís Act],MATCH("AGROINSUMOSMATERIAPRIMA"&amp;Tabla_Buffers_Agroinsumos[[#This Row],[CODIGO ]],TABLACONSOLIDADA[Bodega]&amp;TABLACONSOLIDADA[Codigo],0)),"")</f>
        <v>620</v>
      </c>
      <c r="O240" s="157">
        <f t="array" ref="O24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620</v>
      </c>
      <c r="P24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40" s="19">
        <f>IFERROR(SUM(Tabla_Buffers_Agroinsumos[[#This Row],[MP-C]:[MP-VL]]),"")</f>
        <v>0</v>
      </c>
      <c r="R240" s="92">
        <f>IFERROR(Tabla_Buffers_Agroinsumos[[#This Row],[INV FIS MATERIA PRIMA]]-Tabla_Buffers_Agroinsumos[[#This Row],[BUFFER MATERIA PRIMA]],"")</f>
        <v>620</v>
      </c>
      <c r="S24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620</v>
      </c>
      <c r="T240" s="19"/>
      <c r="U240" s="19"/>
      <c r="V240" s="19"/>
      <c r="W240" s="19"/>
      <c r="X240" s="19"/>
      <c r="Y240" s="19"/>
      <c r="Z240" s="19"/>
      <c r="AA240" s="19"/>
      <c r="AB240" s="19"/>
      <c r="AC240" s="152" t="str">
        <f t="array" ref="AC240">IFERROR(INDEX(TABLACONSOLIDADA[Buff Act],MATCH("AGROINSUMOSCENTRAL"&amp;Tabla_Buffers_Agroinsumos[[#This Row],[CODIGO ]],TABLACONSOLIDADA[Bodega]&amp;TABLACONSOLIDADA[Codigo],0)),"")</f>
        <v/>
      </c>
      <c r="AD240" s="157" t="str">
        <f t="array" ref="AD240">IFERROR(INDEX(TABLACONSOLIDADA[Inv Fís Act],MATCH("AGROINSUMOSCENTRAL"&amp;Tabla_Buffers_Agroinsumos[[#This Row],[CODIGO ]],TABLACONSOLIDADA[Bodega]&amp;TABLACONSOLIDADA[Codigo],0)),"")</f>
        <v/>
      </c>
      <c r="AE240" s="157" t="str">
        <f t="array" ref="AE24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4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40" s="91">
        <f>IFERROR(SUM(Tabla_Buffers_Agroinsumos[[#This Row],[C-MP]:[C-VL]]),"")</f>
        <v>0</v>
      </c>
      <c r="AH240" s="92" t="str">
        <f>IFERROR(Tabla_Buffers_Agroinsumos[[#This Row],[INV FIS CENTRAL]]-Tabla_Buffers_Agroinsumos[[#This Row],[BUFFER CENTRAL]],"")</f>
        <v/>
      </c>
      <c r="AI24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40" s="134"/>
      <c r="AK240" s="134"/>
      <c r="AL240" s="134"/>
      <c r="AM240" s="134"/>
      <c r="AN240" s="134"/>
      <c r="AO240" s="134"/>
      <c r="AP240" s="134"/>
      <c r="AQ240" s="134"/>
      <c r="AR240" s="134"/>
      <c r="AS240" s="134" t="str">
        <f t="array" ref="AS240">IFERROR(INDEX(TABLACONSOLIDADA[Buff Act],MATCH("AGROINSUMOScentralPROPIA"&amp;Tabla_Buffers_Agroinsumos[[#This Row],[CODIGO ]],TABLACONSOLIDADA[Bodega]&amp;TABLACONSOLIDADA[Codigo],0)),"")</f>
        <v/>
      </c>
      <c r="AT240" s="157" t="str">
        <f t="array" ref="AT240">IFERROR(INDEX(TABLACONSOLIDADA[Inv Fís Act],MATCH("AGROINSUMOScentralPROPIA"&amp;Tabla_Buffers_Agroinsumos[[#This Row],[CODIGO ]],TABLACONSOLIDADA[Bodega]&amp;TABLACONSOLIDADA[Codigo],0)),"")</f>
        <v/>
      </c>
      <c r="AU240" s="157" t="str">
        <f t="array" ref="AU24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4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40" s="134">
        <f>IFERROR(SUM(Tabla_Buffers_Agroinsumos[[#This Row],[P-MP]:[P-VL]]),"")</f>
        <v>0</v>
      </c>
      <c r="AX240" s="92" t="str">
        <f>IFERROR(Tabla_Buffers_Agroinsumos[[#This Row],[INV FIS PROPIA]]-Tabla_Buffers_Agroinsumos[[#This Row],[BUFFER PROPIA]],"")</f>
        <v/>
      </c>
      <c r="AY24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40" s="134"/>
      <c r="BA240" s="134"/>
      <c r="BB240" s="134"/>
      <c r="BC240" s="134"/>
      <c r="BD240" s="134"/>
      <c r="BE240" s="134"/>
      <c r="BF240" s="134"/>
      <c r="BG240" s="134"/>
      <c r="BH240" s="134"/>
      <c r="BI240" s="91" t="str">
        <f t="array" ref="BI240">IFERROR(INDEX(TABLACONSOLIDADA[Buff Act],MATCH("AGROINSUMOSSTODOMINGO"&amp;Tabla_Buffers_Agroinsumos[[#This Row],[CODIGO ]],TABLACONSOLIDADA[Bodega]&amp;TABLACONSOLIDADA[Codigo],0)),"")</f>
        <v/>
      </c>
      <c r="BJ240" s="157" t="str">
        <f t="array" ref="BJ240">IFERROR(INDEX(TABLACONSOLIDADA[Inv Fís Act],MATCH("AGROINSUMOSSTODOMINGO"&amp;Tabla_Buffers_Agroinsumos[[#This Row],[CODIGO ]],TABLACONSOLIDADA[Bodega]&amp;TABLACONSOLIDADA[Codigo],0)),"")</f>
        <v/>
      </c>
      <c r="BK240" s="157" t="str">
        <f t="array" ref="BK24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4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40" s="91">
        <f>IFERROR(SUM(Tabla_Buffers_Agroinsumos[[#This Row],[SD-MP]:[SD-VL]]),"")</f>
        <v>0</v>
      </c>
      <c r="BN240" s="92"/>
      <c r="BO240" s="92"/>
      <c r="BP240" s="134"/>
      <c r="BQ240" s="134"/>
      <c r="BR240" s="134"/>
      <c r="BS240" s="134"/>
      <c r="BT240" s="134"/>
      <c r="BU240" s="134"/>
      <c r="BV240" s="134"/>
      <c r="BW240" s="134"/>
      <c r="BX240" s="134"/>
      <c r="BY240" s="134" t="str">
        <f t="array" ref="BY240">IFERROR(INDEX(TABLACONSOLIDADA[Buff Act],MATCH("AGROINSUMOSMONCAYOLOPEZ"&amp;Tabla_Buffers_Agroinsumos[[#This Row],[CODIGO ]],TABLACONSOLIDADA[Bodega]&amp;TABLACONSOLIDADA[Codigo],0)),"")</f>
        <v/>
      </c>
      <c r="BZ240" s="157" t="str">
        <f t="array" ref="BZ240">IFERROR(INDEX(TABLACONSOLIDADA[Inv Fís Act],MATCH("AGROINSUMOSMONCAYOLOPEZ"&amp;Tabla_Buffers_Agroinsumos[[#This Row],[CODIGO ]],TABLACONSOLIDADA[Bodega]&amp;TABLACONSOLIDADA[Codigo],0)),"")</f>
        <v/>
      </c>
      <c r="CA240" s="157" t="str">
        <f t="array" ref="CA24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4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40" s="134">
        <f>IFERROR(SUM(Tabla_Buffers_Agroinsumos[[#This Row],[ML-MP]:[ML-VL]]),"")</f>
        <v>0</v>
      </c>
      <c r="CD240" s="92" t="str">
        <f>IFERROR(Tabla_Buffers_Agroinsumos[[#This Row],[INV FIS ML]]-Tabla_Buffers_Agroinsumos[[#This Row],[BUFFER ML]],"")</f>
        <v/>
      </c>
      <c r="CE24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40" s="134"/>
      <c r="CG240" s="134"/>
      <c r="CH240" s="134"/>
      <c r="CI240" s="134"/>
      <c r="CJ240" s="134"/>
      <c r="CK240" s="134"/>
      <c r="CL240" s="134"/>
      <c r="CM240" s="134"/>
      <c r="CN240" s="134"/>
      <c r="CO240" s="134" t="str">
        <f t="array" ref="CO240">IFERROR(INDEX(TABLACONSOLIDADA[Buff Act],MATCH("AGROINSUMOSAGROHERMANOSLEON"&amp;Tabla_Buffers_Agroinsumos[[#This Row],[CODIGO ]],TABLACONSOLIDADA[Bodega]&amp;TABLACONSOLIDADA[Codigo],0)),"")</f>
        <v/>
      </c>
      <c r="CP240" s="157" t="str">
        <f t="array" ref="CP240">IFERROR(INDEX(TABLACONSOLIDADA[Inv Fís Act],MATCH("AGROINSUMOSAGROHERMANOSLEON"&amp;Tabla_Buffers_Agroinsumos[[#This Row],[CODIGO ]],TABLACONSOLIDADA[Bodega]&amp;TABLACONSOLIDADA[Codigo],0)),"")</f>
        <v/>
      </c>
      <c r="CQ240" s="157" t="str">
        <f t="array" ref="CQ24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4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40" s="134">
        <f>IFERROR(SUM(Tabla_Buffers_Agroinsumos[[#This Row],[AL-MP]:[AL-VL]]),"")</f>
        <v>0</v>
      </c>
      <c r="CT240" s="92" t="str">
        <f>IFERROR(Tabla_Buffers_Agroinsumos[[#This Row],[INV FIS AL]]-Tabla_Buffers_Agroinsumos[[#This Row],[BUFFER AL]],"")</f>
        <v/>
      </c>
      <c r="CU24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40" s="134"/>
      <c r="CW240" s="134"/>
      <c r="CX240" s="134"/>
      <c r="CY240" s="134"/>
      <c r="CZ240" s="134"/>
      <c r="DA240" s="134"/>
      <c r="DB240" s="134"/>
      <c r="DC240" s="134"/>
      <c r="DD240" s="134"/>
      <c r="DE240" s="134" t="str">
        <f t="array" ref="DE240">IFERROR(INDEX(TABLACONSOLIDADA[Buff Act],MATCH("AGROINSUMOSAGRONUEVO"&amp;Tabla_Buffers_Agroinsumos[[#This Row],[CODIGO ]],TABLACONSOLIDADA[Bodega]&amp;TABLACONSOLIDADA[Codigo],0)),"")</f>
        <v/>
      </c>
      <c r="DF240" s="157" t="str">
        <f t="array" ref="DF240">IFERROR(INDEX(TABLACONSOLIDADA[Inv Fís Act],MATCH("AGROINSUMOSAGRONUEVO"&amp;Tabla_Buffers_Agroinsumos[[#This Row],[CODIGO ]],TABLACONSOLIDADA[Bodega]&amp;TABLACONSOLIDADA[Codigo],0)),"")</f>
        <v/>
      </c>
      <c r="DG240" s="157" t="str">
        <f t="array" ref="DG24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4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40" s="134">
        <f>IFERROR(SUM(Tabla_Buffers_Agroinsumos[[#This Row],[AN-MP]:[AN-VL]]),"")</f>
        <v>0</v>
      </c>
      <c r="DJ240" s="92" t="str">
        <f>IFERROR(Tabla_Buffers_Agroinsumos[[#This Row],[INV FIS AN]]-Tabla_Buffers_Agroinsumos[[#This Row],[BUFFER AN]],"")</f>
        <v/>
      </c>
      <c r="DK24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40" s="134"/>
      <c r="DM240" s="134"/>
      <c r="DN240" s="134"/>
      <c r="DO240" s="134"/>
      <c r="DP240" s="134"/>
      <c r="DQ240" s="134"/>
      <c r="DR240" s="134"/>
      <c r="DS240" s="134"/>
      <c r="DT240" s="134"/>
      <c r="DU240" s="134" t="str">
        <f t="array" ref="DU240">IFERROR(INDEX(TABLACONSOLIDADA[Buff Act],MATCH("AGROINSUMOSAGROQUIMICOSSUR"&amp;Tabla_Buffers_Agroinsumos[[#This Row],[CODIGO ]],TABLACONSOLIDADA[Bodega]&amp;TABLACONSOLIDADA[Codigo],0)),"")</f>
        <v/>
      </c>
      <c r="DV240" s="157" t="str">
        <f t="array" ref="DV240">IFERROR(INDEX(TABLACONSOLIDADA[Inv Fís Act],MATCH("AGROINSUMOSAGROQUIMICOSSUR"&amp;Tabla_Buffers_Agroinsumos[[#This Row],[CODIGO ]],TABLACONSOLIDADA[Bodega]&amp;TABLACONSOLIDADA[Codigo],0)),"")</f>
        <v/>
      </c>
      <c r="DW240" s="157" t="str">
        <f t="array" ref="DW24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4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40" s="134">
        <f>IFERROR(SUM(Tabla_Buffers_Agroinsumos[[#This Row],[AS-MP]:[AS-VL]]),"")</f>
        <v>0</v>
      </c>
      <c r="DZ240" s="92" t="str">
        <f>IFERROR(Tabla_Buffers_Agroinsumos[[#This Row],[INV FIS AS]]-Tabla_Buffers_Agroinsumos[[#This Row],[BUFFER AS]],"")</f>
        <v/>
      </c>
      <c r="EA24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40" s="134"/>
      <c r="EC240" s="134"/>
      <c r="ED240" s="134"/>
      <c r="EE240" s="134"/>
      <c r="EF240" s="134"/>
      <c r="EG240" s="134"/>
      <c r="EH240" s="134"/>
      <c r="EI240" s="134"/>
      <c r="EJ240" s="134"/>
      <c r="EK240" s="134" t="str">
        <f t="array" ref="EK240">IFERROR(INDEX(TABLACONSOLIDADA[Buff Act],MATCH("AGROINSUMOSLAFINCA"&amp;Tabla_Buffers_Agroinsumos[[#This Row],[CODIGO ]],TABLACONSOLIDADA[Bodega]&amp;TABLACONSOLIDADA[Codigo],0)),"")</f>
        <v/>
      </c>
      <c r="EL240" s="157" t="str">
        <f t="array" ref="EL240">IFERROR(INDEX(TABLACONSOLIDADA[Inv Fís Act],MATCH("AGROINSUMOSLAFINCA"&amp;Tabla_Buffers_Agroinsumos[[#This Row],[CODIGO ]],TABLACONSOLIDADA[Bodega]&amp;TABLACONSOLIDADA[Codigo],0)),"")</f>
        <v/>
      </c>
      <c r="EM240" s="157" t="str">
        <f t="array" ref="EM24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4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40" s="134">
        <f>IFERROR(SUM(Tabla_Buffers_Agroinsumos[[#This Row],[LF-MP]:[LF-VL]]),"")</f>
        <v>0</v>
      </c>
      <c r="EP240" s="92" t="str">
        <f>IFERROR(Tabla_Buffers_Agroinsumos[[#This Row],[INV FIS LF]]-Tabla_Buffers_Agroinsumos[[#This Row],[BUFFER LF]],"")</f>
        <v/>
      </c>
      <c r="EQ24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40" s="134"/>
      <c r="ES240" s="134"/>
      <c r="ET240" s="134"/>
      <c r="EU240" s="134"/>
      <c r="EV240" s="134"/>
      <c r="EW240" s="134"/>
      <c r="EX240" s="134"/>
      <c r="EY240" s="134"/>
      <c r="EZ240" s="134"/>
      <c r="FA240" s="134" t="str">
        <f t="array" ref="FA240">IFERROR(INDEX(TABLACONSOLIDADA[Buff Act],MATCH("AGROINSUMOSVERONICALEDESMA"&amp;Tabla_Buffers_Agroinsumos[[#This Row],[CODIGO ]],TABLACONSOLIDADA[Bodega]&amp;TABLACONSOLIDADA[Codigo],0)),"")</f>
        <v/>
      </c>
      <c r="FB240" s="157" t="str">
        <f t="array" ref="FB240">IFERROR(INDEX(TABLACONSOLIDADA[Inv Fís Act],MATCH("AGROINSUMOSVERONICALEDESMA"&amp;Tabla_Buffers_Agroinsumos[[#This Row],[CODIGO ]],TABLACONSOLIDADA[Bodega]&amp;TABLACONSOLIDADA[Codigo],0)),"")</f>
        <v/>
      </c>
      <c r="FC240" s="157" t="str">
        <f t="array" ref="FC24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4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40" s="134">
        <f>IFERROR(SUM(Tabla_Buffers_Agroinsumos[[#This Row],[VL-MP]:[VL-LF]]),"")</f>
        <v>0</v>
      </c>
      <c r="FF240" s="92" t="str">
        <f>IFERROR(Tabla_Buffers_Agroinsumos[[#This Row],[INV FIS VL]]-Tabla_Buffers_Agroinsumos[[#This Row],[BUFFER VL]],"")</f>
        <v/>
      </c>
      <c r="FG24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40" s="134"/>
      <c r="FI240" s="134"/>
      <c r="FJ240" s="134"/>
      <c r="FK240" s="134"/>
      <c r="FL240" s="134"/>
      <c r="FM240" s="134"/>
      <c r="FN240" s="134"/>
      <c r="FO240" s="134"/>
      <c r="FP240" s="134"/>
    </row>
    <row r="241" spans="1:172">
      <c r="A241" s="7" t="s">
        <v>416</v>
      </c>
      <c r="B241" s="7" t="s">
        <v>417</v>
      </c>
      <c r="C241" s="7" t="s">
        <v>716</v>
      </c>
      <c r="D241" s="7" t="s">
        <v>718</v>
      </c>
      <c r="E241" s="7" t="s">
        <v>863</v>
      </c>
      <c r="F241" s="19" t="s">
        <v>808</v>
      </c>
      <c r="G241" s="19" t="s">
        <v>802</v>
      </c>
      <c r="H241" s="19">
        <f>VLOOKUP(Tabla_Buffers_Agroinsumos[[#This Row],[CODIGO ]],TABLACONSOLIDADA[[Codigo]:[PV]],6,0)</f>
        <v>0</v>
      </c>
      <c r="I241" s="19">
        <f>VLOOKUP(Tabla_Buffers_Agroinsumos[[#This Row],[CODIGO ]],TABLACONSOLIDADA[[Codigo]:[PV]],5,0)</f>
        <v>0.24</v>
      </c>
      <c r="J241" s="19">
        <v>4</v>
      </c>
      <c r="K241" s="19">
        <v>6</v>
      </c>
      <c r="L241" s="19">
        <f>IFERROR(Tabla_Buffers_Agroinsumos[[#This Row],[BUFFER CENTRAL]]/((Tabla_Buffers_Agroinsumos[[#This Row],[TIEMPO REPOSICION ]]/Tabla_Buffers_Agroinsumos[[#This Row],[FRECUENCIA]])+1),0)</f>
        <v>0</v>
      </c>
      <c r="M241" s="19">
        <f t="array" ref="M241">IFERROR(INDEX(TABLACONSOLIDADA[Buff Act],MATCH("AGROINSUMOSMATERIAPRIMA"&amp;Tabla_Buffers_Agroinsumos[[#This Row],[CODIGO ]],TABLACONSOLIDADA[Bodega]&amp;TABLACONSOLIDADA[Codigo],0)),"")</f>
        <v>200</v>
      </c>
      <c r="N241" s="157">
        <f t="array" ref="N241">IFERROR(INDEX(TABLACONSOLIDADA[Inv Fís Act],MATCH("AGROINSUMOSMATERIAPRIMA"&amp;Tabla_Buffers_Agroinsumos[[#This Row],[CODIGO ]],TABLACONSOLIDADA[Bodega]&amp;TABLACONSOLIDADA[Codigo],0)),"")</f>
        <v>443</v>
      </c>
      <c r="O241" s="157">
        <f t="array" ref="O24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443</v>
      </c>
      <c r="P24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41" s="19">
        <f>IFERROR(SUM(Tabla_Buffers_Agroinsumos[[#This Row],[MP-C]:[MP-VL]]),"")</f>
        <v>0</v>
      </c>
      <c r="R241" s="92">
        <f>IFERROR(Tabla_Buffers_Agroinsumos[[#This Row],[INV FIS MATERIA PRIMA]]-Tabla_Buffers_Agroinsumos[[#This Row],[BUFFER MATERIA PRIMA]],"")</f>
        <v>243</v>
      </c>
      <c r="S24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243</v>
      </c>
      <c r="T241" s="19"/>
      <c r="U241" s="19"/>
      <c r="V241" s="19"/>
      <c r="W241" s="19"/>
      <c r="X241" s="19"/>
      <c r="Y241" s="19"/>
      <c r="Z241" s="19"/>
      <c r="AA241" s="19"/>
      <c r="AB241" s="19"/>
      <c r="AC241" s="152" t="str">
        <f t="array" ref="AC241">IFERROR(INDEX(TABLACONSOLIDADA[Buff Act],MATCH("AGROINSUMOSCENTRAL"&amp;Tabla_Buffers_Agroinsumos[[#This Row],[CODIGO ]],TABLACONSOLIDADA[Bodega]&amp;TABLACONSOLIDADA[Codigo],0)),"")</f>
        <v/>
      </c>
      <c r="AD241" s="157" t="str">
        <f t="array" ref="AD241">IFERROR(INDEX(TABLACONSOLIDADA[Inv Fís Act],MATCH("AGROINSUMOSCENTRAL"&amp;Tabla_Buffers_Agroinsumos[[#This Row],[CODIGO ]],TABLACONSOLIDADA[Bodega]&amp;TABLACONSOLIDADA[Codigo],0)),"")</f>
        <v/>
      </c>
      <c r="AE241" s="157" t="str">
        <f t="array" ref="AE24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4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41" s="91">
        <f>IFERROR(SUM(Tabla_Buffers_Agroinsumos[[#This Row],[C-MP]:[C-VL]]),"")</f>
        <v>0</v>
      </c>
      <c r="AH241" s="92" t="str">
        <f>IFERROR(Tabla_Buffers_Agroinsumos[[#This Row],[INV FIS CENTRAL]]-Tabla_Buffers_Agroinsumos[[#This Row],[BUFFER CENTRAL]],"")</f>
        <v/>
      </c>
      <c r="AI24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41" s="134"/>
      <c r="AK241" s="134"/>
      <c r="AL241" s="134"/>
      <c r="AM241" s="134"/>
      <c r="AN241" s="134"/>
      <c r="AO241" s="134"/>
      <c r="AP241" s="134"/>
      <c r="AQ241" s="134"/>
      <c r="AR241" s="134"/>
      <c r="AS241" s="134" t="str">
        <f t="array" ref="AS241">IFERROR(INDEX(TABLACONSOLIDADA[Buff Act],MATCH("AGROINSUMOScentralPROPIA"&amp;Tabla_Buffers_Agroinsumos[[#This Row],[CODIGO ]],TABLACONSOLIDADA[Bodega]&amp;TABLACONSOLIDADA[Codigo],0)),"")</f>
        <v/>
      </c>
      <c r="AT241" s="157" t="str">
        <f t="array" ref="AT241">IFERROR(INDEX(TABLACONSOLIDADA[Inv Fís Act],MATCH("AGROINSUMOScentralPROPIA"&amp;Tabla_Buffers_Agroinsumos[[#This Row],[CODIGO ]],TABLACONSOLIDADA[Bodega]&amp;TABLACONSOLIDADA[Codigo],0)),"")</f>
        <v/>
      </c>
      <c r="AU241" s="157" t="str">
        <f t="array" ref="AU24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4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41" s="134">
        <f>IFERROR(SUM(Tabla_Buffers_Agroinsumos[[#This Row],[P-MP]:[P-VL]]),"")</f>
        <v>0</v>
      </c>
      <c r="AX241" s="92" t="str">
        <f>IFERROR(Tabla_Buffers_Agroinsumos[[#This Row],[INV FIS PROPIA]]-Tabla_Buffers_Agroinsumos[[#This Row],[BUFFER PROPIA]],"")</f>
        <v/>
      </c>
      <c r="AY24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41" s="134"/>
      <c r="BA241" s="134"/>
      <c r="BB241" s="134"/>
      <c r="BC241" s="134"/>
      <c r="BD241" s="134"/>
      <c r="BE241" s="134"/>
      <c r="BF241" s="134"/>
      <c r="BG241" s="134"/>
      <c r="BH241" s="134"/>
      <c r="BI241" s="91" t="str">
        <f t="array" ref="BI241">IFERROR(INDEX(TABLACONSOLIDADA[Buff Act],MATCH("AGROINSUMOSSTODOMINGO"&amp;Tabla_Buffers_Agroinsumos[[#This Row],[CODIGO ]],TABLACONSOLIDADA[Bodega]&amp;TABLACONSOLIDADA[Codigo],0)),"")</f>
        <v/>
      </c>
      <c r="BJ241" s="157" t="str">
        <f t="array" ref="BJ241">IFERROR(INDEX(TABLACONSOLIDADA[Inv Fís Act],MATCH("AGROINSUMOSSTODOMINGO"&amp;Tabla_Buffers_Agroinsumos[[#This Row],[CODIGO ]],TABLACONSOLIDADA[Bodega]&amp;TABLACONSOLIDADA[Codigo],0)),"")</f>
        <v/>
      </c>
      <c r="BK241" s="157" t="str">
        <f t="array" ref="BK24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4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41" s="91">
        <f>IFERROR(SUM(Tabla_Buffers_Agroinsumos[[#This Row],[SD-MP]:[SD-VL]]),"")</f>
        <v>0</v>
      </c>
      <c r="BN241" s="92"/>
      <c r="BO241" s="92"/>
      <c r="BP241" s="134"/>
      <c r="BQ241" s="134"/>
      <c r="BR241" s="134"/>
      <c r="BS241" s="134"/>
      <c r="BT241" s="134"/>
      <c r="BU241" s="134"/>
      <c r="BV241" s="134"/>
      <c r="BW241" s="134"/>
      <c r="BX241" s="134"/>
      <c r="BY241" s="134" t="str">
        <f t="array" ref="BY241">IFERROR(INDEX(TABLACONSOLIDADA[Buff Act],MATCH("AGROINSUMOSMONCAYOLOPEZ"&amp;Tabla_Buffers_Agroinsumos[[#This Row],[CODIGO ]],TABLACONSOLIDADA[Bodega]&amp;TABLACONSOLIDADA[Codigo],0)),"")</f>
        <v/>
      </c>
      <c r="BZ241" s="157" t="str">
        <f t="array" ref="BZ241">IFERROR(INDEX(TABLACONSOLIDADA[Inv Fís Act],MATCH("AGROINSUMOSMONCAYOLOPEZ"&amp;Tabla_Buffers_Agroinsumos[[#This Row],[CODIGO ]],TABLACONSOLIDADA[Bodega]&amp;TABLACONSOLIDADA[Codigo],0)),"")</f>
        <v/>
      </c>
      <c r="CA241" s="157" t="str">
        <f t="array" ref="CA24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4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41" s="134">
        <f>IFERROR(SUM(Tabla_Buffers_Agroinsumos[[#This Row],[ML-MP]:[ML-VL]]),"")</f>
        <v>0</v>
      </c>
      <c r="CD241" s="92" t="str">
        <f>IFERROR(Tabla_Buffers_Agroinsumos[[#This Row],[INV FIS ML]]-Tabla_Buffers_Agroinsumos[[#This Row],[BUFFER ML]],"")</f>
        <v/>
      </c>
      <c r="CE24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41" s="134"/>
      <c r="CG241" s="134"/>
      <c r="CH241" s="134"/>
      <c r="CI241" s="134"/>
      <c r="CJ241" s="134"/>
      <c r="CK241" s="134"/>
      <c r="CL241" s="134"/>
      <c r="CM241" s="134"/>
      <c r="CN241" s="134"/>
      <c r="CO241" s="134" t="str">
        <f t="array" ref="CO241">IFERROR(INDEX(TABLACONSOLIDADA[Buff Act],MATCH("AGROINSUMOSAGROHERMANOSLEON"&amp;Tabla_Buffers_Agroinsumos[[#This Row],[CODIGO ]],TABLACONSOLIDADA[Bodega]&amp;TABLACONSOLIDADA[Codigo],0)),"")</f>
        <v/>
      </c>
      <c r="CP241" s="157" t="str">
        <f t="array" ref="CP241">IFERROR(INDEX(TABLACONSOLIDADA[Inv Fís Act],MATCH("AGROINSUMOSAGROHERMANOSLEON"&amp;Tabla_Buffers_Agroinsumos[[#This Row],[CODIGO ]],TABLACONSOLIDADA[Bodega]&amp;TABLACONSOLIDADA[Codigo],0)),"")</f>
        <v/>
      </c>
      <c r="CQ241" s="157" t="str">
        <f t="array" ref="CQ24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4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41" s="134">
        <f>IFERROR(SUM(Tabla_Buffers_Agroinsumos[[#This Row],[AL-MP]:[AL-VL]]),"")</f>
        <v>0</v>
      </c>
      <c r="CT241" s="92" t="str">
        <f>IFERROR(Tabla_Buffers_Agroinsumos[[#This Row],[INV FIS AL]]-Tabla_Buffers_Agroinsumos[[#This Row],[BUFFER AL]],"")</f>
        <v/>
      </c>
      <c r="CU24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41" s="134"/>
      <c r="CW241" s="134"/>
      <c r="CX241" s="134"/>
      <c r="CY241" s="134"/>
      <c r="CZ241" s="134"/>
      <c r="DA241" s="134"/>
      <c r="DB241" s="134"/>
      <c r="DC241" s="134"/>
      <c r="DD241" s="134"/>
      <c r="DE241" s="134" t="str">
        <f t="array" ref="DE241">IFERROR(INDEX(TABLACONSOLIDADA[Buff Act],MATCH("AGROINSUMOSAGRONUEVO"&amp;Tabla_Buffers_Agroinsumos[[#This Row],[CODIGO ]],TABLACONSOLIDADA[Bodega]&amp;TABLACONSOLIDADA[Codigo],0)),"")</f>
        <v/>
      </c>
      <c r="DF241" s="157" t="str">
        <f t="array" ref="DF241">IFERROR(INDEX(TABLACONSOLIDADA[Inv Fís Act],MATCH("AGROINSUMOSAGRONUEVO"&amp;Tabla_Buffers_Agroinsumos[[#This Row],[CODIGO ]],TABLACONSOLIDADA[Bodega]&amp;TABLACONSOLIDADA[Codigo],0)),"")</f>
        <v/>
      </c>
      <c r="DG241" s="157" t="str">
        <f t="array" ref="DG24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4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41" s="134">
        <f>IFERROR(SUM(Tabla_Buffers_Agroinsumos[[#This Row],[AN-MP]:[AN-VL]]),"")</f>
        <v>0</v>
      </c>
      <c r="DJ241" s="92" t="str">
        <f>IFERROR(Tabla_Buffers_Agroinsumos[[#This Row],[INV FIS AN]]-Tabla_Buffers_Agroinsumos[[#This Row],[BUFFER AN]],"")</f>
        <v/>
      </c>
      <c r="DK24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41" s="134"/>
      <c r="DM241" s="134"/>
      <c r="DN241" s="134"/>
      <c r="DO241" s="134"/>
      <c r="DP241" s="134"/>
      <c r="DQ241" s="134"/>
      <c r="DR241" s="134"/>
      <c r="DS241" s="134"/>
      <c r="DT241" s="134"/>
      <c r="DU241" s="134" t="str">
        <f t="array" ref="DU241">IFERROR(INDEX(TABLACONSOLIDADA[Buff Act],MATCH("AGROINSUMOSAGROQUIMICOSSUR"&amp;Tabla_Buffers_Agroinsumos[[#This Row],[CODIGO ]],TABLACONSOLIDADA[Bodega]&amp;TABLACONSOLIDADA[Codigo],0)),"")</f>
        <v/>
      </c>
      <c r="DV241" s="157" t="str">
        <f t="array" ref="DV241">IFERROR(INDEX(TABLACONSOLIDADA[Inv Fís Act],MATCH("AGROINSUMOSAGROQUIMICOSSUR"&amp;Tabla_Buffers_Agroinsumos[[#This Row],[CODIGO ]],TABLACONSOLIDADA[Bodega]&amp;TABLACONSOLIDADA[Codigo],0)),"")</f>
        <v/>
      </c>
      <c r="DW241" s="157" t="str">
        <f t="array" ref="DW24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4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41" s="134">
        <f>IFERROR(SUM(Tabla_Buffers_Agroinsumos[[#This Row],[AS-MP]:[AS-VL]]),"")</f>
        <v>0</v>
      </c>
      <c r="DZ241" s="92" t="str">
        <f>IFERROR(Tabla_Buffers_Agroinsumos[[#This Row],[INV FIS AS]]-Tabla_Buffers_Agroinsumos[[#This Row],[BUFFER AS]],"")</f>
        <v/>
      </c>
      <c r="EA24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41" s="134"/>
      <c r="EC241" s="134"/>
      <c r="ED241" s="134"/>
      <c r="EE241" s="134"/>
      <c r="EF241" s="134"/>
      <c r="EG241" s="134"/>
      <c r="EH241" s="134"/>
      <c r="EI241" s="134"/>
      <c r="EJ241" s="134"/>
      <c r="EK241" s="134" t="str">
        <f t="array" ref="EK241">IFERROR(INDEX(TABLACONSOLIDADA[Buff Act],MATCH("AGROINSUMOSLAFINCA"&amp;Tabla_Buffers_Agroinsumos[[#This Row],[CODIGO ]],TABLACONSOLIDADA[Bodega]&amp;TABLACONSOLIDADA[Codigo],0)),"")</f>
        <v/>
      </c>
      <c r="EL241" s="157" t="str">
        <f t="array" ref="EL241">IFERROR(INDEX(TABLACONSOLIDADA[Inv Fís Act],MATCH("AGROINSUMOSLAFINCA"&amp;Tabla_Buffers_Agroinsumos[[#This Row],[CODIGO ]],TABLACONSOLIDADA[Bodega]&amp;TABLACONSOLIDADA[Codigo],0)),"")</f>
        <v/>
      </c>
      <c r="EM241" s="157" t="str">
        <f t="array" ref="EM24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4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41" s="134">
        <f>IFERROR(SUM(Tabla_Buffers_Agroinsumos[[#This Row],[LF-MP]:[LF-VL]]),"")</f>
        <v>0</v>
      </c>
      <c r="EP241" s="92" t="str">
        <f>IFERROR(Tabla_Buffers_Agroinsumos[[#This Row],[INV FIS LF]]-Tabla_Buffers_Agroinsumos[[#This Row],[BUFFER LF]],"")</f>
        <v/>
      </c>
      <c r="EQ24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41" s="134"/>
      <c r="ES241" s="134"/>
      <c r="ET241" s="134"/>
      <c r="EU241" s="134"/>
      <c r="EV241" s="134"/>
      <c r="EW241" s="134"/>
      <c r="EX241" s="134"/>
      <c r="EY241" s="134"/>
      <c r="EZ241" s="134"/>
      <c r="FA241" s="134" t="str">
        <f t="array" ref="FA241">IFERROR(INDEX(TABLACONSOLIDADA[Buff Act],MATCH("AGROINSUMOSVERONICALEDESMA"&amp;Tabla_Buffers_Agroinsumos[[#This Row],[CODIGO ]],TABLACONSOLIDADA[Bodega]&amp;TABLACONSOLIDADA[Codigo],0)),"")</f>
        <v/>
      </c>
      <c r="FB241" s="157" t="str">
        <f t="array" ref="FB241">IFERROR(INDEX(TABLACONSOLIDADA[Inv Fís Act],MATCH("AGROINSUMOSVERONICALEDESMA"&amp;Tabla_Buffers_Agroinsumos[[#This Row],[CODIGO ]],TABLACONSOLIDADA[Bodega]&amp;TABLACONSOLIDADA[Codigo],0)),"")</f>
        <v/>
      </c>
      <c r="FC241" s="157" t="str">
        <f t="array" ref="FC24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4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41" s="134">
        <f>IFERROR(SUM(Tabla_Buffers_Agroinsumos[[#This Row],[VL-MP]:[VL-LF]]),"")</f>
        <v>0</v>
      </c>
      <c r="FF241" s="92" t="str">
        <f>IFERROR(Tabla_Buffers_Agroinsumos[[#This Row],[INV FIS VL]]-Tabla_Buffers_Agroinsumos[[#This Row],[BUFFER VL]],"")</f>
        <v/>
      </c>
      <c r="FG24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41" s="134"/>
      <c r="FI241" s="134"/>
      <c r="FJ241" s="134"/>
      <c r="FK241" s="134"/>
      <c r="FL241" s="134"/>
      <c r="FM241" s="134"/>
      <c r="FN241" s="134"/>
      <c r="FO241" s="134"/>
      <c r="FP241" s="134"/>
    </row>
    <row r="242" spans="1:172">
      <c r="A242" s="7" t="s">
        <v>418</v>
      </c>
      <c r="B242" s="7" t="s">
        <v>419</v>
      </c>
      <c r="C242" s="7" t="s">
        <v>716</v>
      </c>
      <c r="D242" s="7" t="s">
        <v>718</v>
      </c>
      <c r="E242" s="7" t="s">
        <v>863</v>
      </c>
      <c r="F242" s="19" t="s">
        <v>808</v>
      </c>
      <c r="G242" s="19" t="s">
        <v>802</v>
      </c>
      <c r="H242" s="19">
        <f>VLOOKUP(Tabla_Buffers_Agroinsumos[[#This Row],[CODIGO ]],TABLACONSOLIDADA[[Codigo]:[PV]],6,0)</f>
        <v>0</v>
      </c>
      <c r="I242" s="19">
        <f>VLOOKUP(Tabla_Buffers_Agroinsumos[[#This Row],[CODIGO ]],TABLACONSOLIDADA[[Codigo]:[PV]],5,0)</f>
        <v>0.09</v>
      </c>
      <c r="J242" s="19">
        <v>4</v>
      </c>
      <c r="K242" s="19">
        <v>6</v>
      </c>
      <c r="L242" s="19">
        <f>IFERROR(Tabla_Buffers_Agroinsumos[[#This Row],[BUFFER CENTRAL]]/((Tabla_Buffers_Agroinsumos[[#This Row],[TIEMPO REPOSICION ]]/Tabla_Buffers_Agroinsumos[[#This Row],[FRECUENCIA]])+1),0)</f>
        <v>0</v>
      </c>
      <c r="M242" s="19">
        <f t="array" ref="M242">IFERROR(INDEX(TABLACONSOLIDADA[Buff Act],MATCH("AGROINSUMOSMATERIAPRIMA"&amp;Tabla_Buffers_Agroinsumos[[#This Row],[CODIGO ]],TABLACONSOLIDADA[Bodega]&amp;TABLACONSOLIDADA[Codigo],0)),"")</f>
        <v>500</v>
      </c>
      <c r="N242" s="157">
        <f t="array" ref="N242">IFERROR(INDEX(TABLACONSOLIDADA[Inv Fís Act],MATCH("AGROINSUMOSMATERIAPRIMA"&amp;Tabla_Buffers_Agroinsumos[[#This Row],[CODIGO ]],TABLACONSOLIDADA[Bodega]&amp;TABLACONSOLIDADA[Codigo],0)),"")</f>
        <v>1279</v>
      </c>
      <c r="O242" s="157">
        <f t="array" ref="O24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1279</v>
      </c>
      <c r="P24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42" s="19">
        <f>IFERROR(SUM(Tabla_Buffers_Agroinsumos[[#This Row],[MP-C]:[MP-VL]]),"")</f>
        <v>0</v>
      </c>
      <c r="R242" s="92">
        <f>IFERROR(Tabla_Buffers_Agroinsumos[[#This Row],[INV FIS MATERIA PRIMA]]-Tabla_Buffers_Agroinsumos[[#This Row],[BUFFER MATERIA PRIMA]],"")</f>
        <v>779</v>
      </c>
      <c r="S24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779</v>
      </c>
      <c r="T242" s="19"/>
      <c r="U242" s="19"/>
      <c r="V242" s="19"/>
      <c r="W242" s="19"/>
      <c r="X242" s="19"/>
      <c r="Y242" s="19"/>
      <c r="Z242" s="19"/>
      <c r="AA242" s="19"/>
      <c r="AB242" s="19"/>
      <c r="AC242" s="152" t="str">
        <f t="array" ref="AC242">IFERROR(INDEX(TABLACONSOLIDADA[Buff Act],MATCH("AGROINSUMOSCENTRAL"&amp;Tabla_Buffers_Agroinsumos[[#This Row],[CODIGO ]],TABLACONSOLIDADA[Bodega]&amp;TABLACONSOLIDADA[Codigo],0)),"")</f>
        <v/>
      </c>
      <c r="AD242" s="157" t="str">
        <f t="array" ref="AD242">IFERROR(INDEX(TABLACONSOLIDADA[Inv Fís Act],MATCH("AGROINSUMOSCENTRAL"&amp;Tabla_Buffers_Agroinsumos[[#This Row],[CODIGO ]],TABLACONSOLIDADA[Bodega]&amp;TABLACONSOLIDADA[Codigo],0)),"")</f>
        <v/>
      </c>
      <c r="AE242" s="157" t="str">
        <f t="array" ref="AE24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4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42" s="91">
        <f>IFERROR(SUM(Tabla_Buffers_Agroinsumos[[#This Row],[C-MP]:[C-VL]]),"")</f>
        <v>0</v>
      </c>
      <c r="AH242" s="92" t="str">
        <f>IFERROR(Tabla_Buffers_Agroinsumos[[#This Row],[INV FIS CENTRAL]]-Tabla_Buffers_Agroinsumos[[#This Row],[BUFFER CENTRAL]],"")</f>
        <v/>
      </c>
      <c r="AI24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42" s="134"/>
      <c r="AK242" s="134"/>
      <c r="AL242" s="134"/>
      <c r="AM242" s="134"/>
      <c r="AN242" s="134"/>
      <c r="AO242" s="134"/>
      <c r="AP242" s="134"/>
      <c r="AQ242" s="134"/>
      <c r="AR242" s="134"/>
      <c r="AS242" s="134" t="str">
        <f t="array" ref="AS242">IFERROR(INDEX(TABLACONSOLIDADA[Buff Act],MATCH("AGROINSUMOScentralPROPIA"&amp;Tabla_Buffers_Agroinsumos[[#This Row],[CODIGO ]],TABLACONSOLIDADA[Bodega]&amp;TABLACONSOLIDADA[Codigo],0)),"")</f>
        <v/>
      </c>
      <c r="AT242" s="157" t="str">
        <f t="array" ref="AT242">IFERROR(INDEX(TABLACONSOLIDADA[Inv Fís Act],MATCH("AGROINSUMOScentralPROPIA"&amp;Tabla_Buffers_Agroinsumos[[#This Row],[CODIGO ]],TABLACONSOLIDADA[Bodega]&amp;TABLACONSOLIDADA[Codigo],0)),"")</f>
        <v/>
      </c>
      <c r="AU242" s="157" t="str">
        <f t="array" ref="AU24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4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42" s="134">
        <f>IFERROR(SUM(Tabla_Buffers_Agroinsumos[[#This Row],[P-MP]:[P-VL]]),"")</f>
        <v>0</v>
      </c>
      <c r="AX242" s="92" t="str">
        <f>IFERROR(Tabla_Buffers_Agroinsumos[[#This Row],[INV FIS PROPIA]]-Tabla_Buffers_Agroinsumos[[#This Row],[BUFFER PROPIA]],"")</f>
        <v/>
      </c>
      <c r="AY24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42" s="134"/>
      <c r="BA242" s="134"/>
      <c r="BB242" s="134"/>
      <c r="BC242" s="134"/>
      <c r="BD242" s="134"/>
      <c r="BE242" s="134"/>
      <c r="BF242" s="134"/>
      <c r="BG242" s="134"/>
      <c r="BH242" s="134"/>
      <c r="BI242" s="91" t="str">
        <f t="array" ref="BI242">IFERROR(INDEX(TABLACONSOLIDADA[Buff Act],MATCH("AGROINSUMOSSTODOMINGO"&amp;Tabla_Buffers_Agroinsumos[[#This Row],[CODIGO ]],TABLACONSOLIDADA[Bodega]&amp;TABLACONSOLIDADA[Codigo],0)),"")</f>
        <v/>
      </c>
      <c r="BJ242" s="157" t="str">
        <f t="array" ref="BJ242">IFERROR(INDEX(TABLACONSOLIDADA[Inv Fís Act],MATCH("AGROINSUMOSSTODOMINGO"&amp;Tabla_Buffers_Agroinsumos[[#This Row],[CODIGO ]],TABLACONSOLIDADA[Bodega]&amp;TABLACONSOLIDADA[Codigo],0)),"")</f>
        <v/>
      </c>
      <c r="BK242" s="157" t="str">
        <f t="array" ref="BK24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4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42" s="91">
        <f>IFERROR(SUM(Tabla_Buffers_Agroinsumos[[#This Row],[SD-MP]:[SD-VL]]),"")</f>
        <v>0</v>
      </c>
      <c r="BN242" s="92"/>
      <c r="BO242" s="92"/>
      <c r="BP242" s="134"/>
      <c r="BQ242" s="134"/>
      <c r="BR242" s="134"/>
      <c r="BS242" s="134"/>
      <c r="BT242" s="134"/>
      <c r="BU242" s="134"/>
      <c r="BV242" s="134"/>
      <c r="BW242" s="134"/>
      <c r="BX242" s="134"/>
      <c r="BY242" s="134" t="str">
        <f t="array" ref="BY242">IFERROR(INDEX(TABLACONSOLIDADA[Buff Act],MATCH("AGROINSUMOSMONCAYOLOPEZ"&amp;Tabla_Buffers_Agroinsumos[[#This Row],[CODIGO ]],TABLACONSOLIDADA[Bodega]&amp;TABLACONSOLIDADA[Codigo],0)),"")</f>
        <v/>
      </c>
      <c r="BZ242" s="157" t="str">
        <f t="array" ref="BZ242">IFERROR(INDEX(TABLACONSOLIDADA[Inv Fís Act],MATCH("AGROINSUMOSMONCAYOLOPEZ"&amp;Tabla_Buffers_Agroinsumos[[#This Row],[CODIGO ]],TABLACONSOLIDADA[Bodega]&amp;TABLACONSOLIDADA[Codigo],0)),"")</f>
        <v/>
      </c>
      <c r="CA242" s="157" t="str">
        <f t="array" ref="CA24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4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42" s="134">
        <f>IFERROR(SUM(Tabla_Buffers_Agroinsumos[[#This Row],[ML-MP]:[ML-VL]]),"")</f>
        <v>0</v>
      </c>
      <c r="CD242" s="92" t="str">
        <f>IFERROR(Tabla_Buffers_Agroinsumos[[#This Row],[INV FIS ML]]-Tabla_Buffers_Agroinsumos[[#This Row],[BUFFER ML]],"")</f>
        <v/>
      </c>
      <c r="CE24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42" s="134"/>
      <c r="CG242" s="134"/>
      <c r="CH242" s="134"/>
      <c r="CI242" s="134"/>
      <c r="CJ242" s="134"/>
      <c r="CK242" s="134"/>
      <c r="CL242" s="134"/>
      <c r="CM242" s="134"/>
      <c r="CN242" s="134"/>
      <c r="CO242" s="134" t="str">
        <f t="array" ref="CO242">IFERROR(INDEX(TABLACONSOLIDADA[Buff Act],MATCH("AGROINSUMOSAGROHERMANOSLEON"&amp;Tabla_Buffers_Agroinsumos[[#This Row],[CODIGO ]],TABLACONSOLIDADA[Bodega]&amp;TABLACONSOLIDADA[Codigo],0)),"")</f>
        <v/>
      </c>
      <c r="CP242" s="157" t="str">
        <f t="array" ref="CP242">IFERROR(INDEX(TABLACONSOLIDADA[Inv Fís Act],MATCH("AGROINSUMOSAGROHERMANOSLEON"&amp;Tabla_Buffers_Agroinsumos[[#This Row],[CODIGO ]],TABLACONSOLIDADA[Bodega]&amp;TABLACONSOLIDADA[Codigo],0)),"")</f>
        <v/>
      </c>
      <c r="CQ242" s="157" t="str">
        <f t="array" ref="CQ24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4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42" s="134">
        <f>IFERROR(SUM(Tabla_Buffers_Agroinsumos[[#This Row],[AL-MP]:[AL-VL]]),"")</f>
        <v>0</v>
      </c>
      <c r="CT242" s="92" t="str">
        <f>IFERROR(Tabla_Buffers_Agroinsumos[[#This Row],[INV FIS AL]]-Tabla_Buffers_Agroinsumos[[#This Row],[BUFFER AL]],"")</f>
        <v/>
      </c>
      <c r="CU24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42" s="134"/>
      <c r="CW242" s="134"/>
      <c r="CX242" s="134"/>
      <c r="CY242" s="134"/>
      <c r="CZ242" s="134"/>
      <c r="DA242" s="134"/>
      <c r="DB242" s="134"/>
      <c r="DC242" s="134"/>
      <c r="DD242" s="134"/>
      <c r="DE242" s="134" t="str">
        <f t="array" ref="DE242">IFERROR(INDEX(TABLACONSOLIDADA[Buff Act],MATCH("AGROINSUMOSAGRONUEVO"&amp;Tabla_Buffers_Agroinsumos[[#This Row],[CODIGO ]],TABLACONSOLIDADA[Bodega]&amp;TABLACONSOLIDADA[Codigo],0)),"")</f>
        <v/>
      </c>
      <c r="DF242" s="157" t="str">
        <f t="array" ref="DF242">IFERROR(INDEX(TABLACONSOLIDADA[Inv Fís Act],MATCH("AGROINSUMOSAGRONUEVO"&amp;Tabla_Buffers_Agroinsumos[[#This Row],[CODIGO ]],TABLACONSOLIDADA[Bodega]&amp;TABLACONSOLIDADA[Codigo],0)),"")</f>
        <v/>
      </c>
      <c r="DG242" s="157" t="str">
        <f t="array" ref="DG24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4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42" s="134">
        <f>IFERROR(SUM(Tabla_Buffers_Agroinsumos[[#This Row],[AN-MP]:[AN-VL]]),"")</f>
        <v>0</v>
      </c>
      <c r="DJ242" s="92" t="str">
        <f>IFERROR(Tabla_Buffers_Agroinsumos[[#This Row],[INV FIS AN]]-Tabla_Buffers_Agroinsumos[[#This Row],[BUFFER AN]],"")</f>
        <v/>
      </c>
      <c r="DK24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42" s="134"/>
      <c r="DM242" s="134"/>
      <c r="DN242" s="134"/>
      <c r="DO242" s="134"/>
      <c r="DP242" s="134"/>
      <c r="DQ242" s="134"/>
      <c r="DR242" s="134"/>
      <c r="DS242" s="134"/>
      <c r="DT242" s="134"/>
      <c r="DU242" s="134" t="str">
        <f t="array" ref="DU242">IFERROR(INDEX(TABLACONSOLIDADA[Buff Act],MATCH("AGROINSUMOSAGROQUIMICOSSUR"&amp;Tabla_Buffers_Agroinsumos[[#This Row],[CODIGO ]],TABLACONSOLIDADA[Bodega]&amp;TABLACONSOLIDADA[Codigo],0)),"")</f>
        <v/>
      </c>
      <c r="DV242" s="157" t="str">
        <f t="array" ref="DV242">IFERROR(INDEX(TABLACONSOLIDADA[Inv Fís Act],MATCH("AGROINSUMOSAGROQUIMICOSSUR"&amp;Tabla_Buffers_Agroinsumos[[#This Row],[CODIGO ]],TABLACONSOLIDADA[Bodega]&amp;TABLACONSOLIDADA[Codigo],0)),"")</f>
        <v/>
      </c>
      <c r="DW242" s="157" t="str">
        <f t="array" ref="DW24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4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42" s="134">
        <f>IFERROR(SUM(Tabla_Buffers_Agroinsumos[[#This Row],[AS-MP]:[AS-VL]]),"")</f>
        <v>0</v>
      </c>
      <c r="DZ242" s="92" t="str">
        <f>IFERROR(Tabla_Buffers_Agroinsumos[[#This Row],[INV FIS AS]]-Tabla_Buffers_Agroinsumos[[#This Row],[BUFFER AS]],"")</f>
        <v/>
      </c>
      <c r="EA24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42" s="134"/>
      <c r="EC242" s="134"/>
      <c r="ED242" s="134"/>
      <c r="EE242" s="134"/>
      <c r="EF242" s="134"/>
      <c r="EG242" s="134"/>
      <c r="EH242" s="134"/>
      <c r="EI242" s="134"/>
      <c r="EJ242" s="134"/>
      <c r="EK242" s="134" t="str">
        <f t="array" ref="EK242">IFERROR(INDEX(TABLACONSOLIDADA[Buff Act],MATCH("AGROINSUMOSLAFINCA"&amp;Tabla_Buffers_Agroinsumos[[#This Row],[CODIGO ]],TABLACONSOLIDADA[Bodega]&amp;TABLACONSOLIDADA[Codigo],0)),"")</f>
        <v/>
      </c>
      <c r="EL242" s="157" t="str">
        <f t="array" ref="EL242">IFERROR(INDEX(TABLACONSOLIDADA[Inv Fís Act],MATCH("AGROINSUMOSLAFINCA"&amp;Tabla_Buffers_Agroinsumos[[#This Row],[CODIGO ]],TABLACONSOLIDADA[Bodega]&amp;TABLACONSOLIDADA[Codigo],0)),"")</f>
        <v/>
      </c>
      <c r="EM242" s="157" t="str">
        <f t="array" ref="EM24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4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42" s="134">
        <f>IFERROR(SUM(Tabla_Buffers_Agroinsumos[[#This Row],[LF-MP]:[LF-VL]]),"")</f>
        <v>0</v>
      </c>
      <c r="EP242" s="92" t="str">
        <f>IFERROR(Tabla_Buffers_Agroinsumos[[#This Row],[INV FIS LF]]-Tabla_Buffers_Agroinsumos[[#This Row],[BUFFER LF]],"")</f>
        <v/>
      </c>
      <c r="EQ24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42" s="134"/>
      <c r="ES242" s="134"/>
      <c r="ET242" s="134"/>
      <c r="EU242" s="134"/>
      <c r="EV242" s="134"/>
      <c r="EW242" s="134"/>
      <c r="EX242" s="134"/>
      <c r="EY242" s="134"/>
      <c r="EZ242" s="134"/>
      <c r="FA242" s="134" t="str">
        <f t="array" ref="FA242">IFERROR(INDEX(TABLACONSOLIDADA[Buff Act],MATCH("AGROINSUMOSVERONICALEDESMA"&amp;Tabla_Buffers_Agroinsumos[[#This Row],[CODIGO ]],TABLACONSOLIDADA[Bodega]&amp;TABLACONSOLIDADA[Codigo],0)),"")</f>
        <v/>
      </c>
      <c r="FB242" s="157" t="str">
        <f t="array" ref="FB242">IFERROR(INDEX(TABLACONSOLIDADA[Inv Fís Act],MATCH("AGROINSUMOSVERONICALEDESMA"&amp;Tabla_Buffers_Agroinsumos[[#This Row],[CODIGO ]],TABLACONSOLIDADA[Bodega]&amp;TABLACONSOLIDADA[Codigo],0)),"")</f>
        <v/>
      </c>
      <c r="FC242" s="157" t="str">
        <f t="array" ref="FC24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4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42" s="134">
        <f>IFERROR(SUM(Tabla_Buffers_Agroinsumos[[#This Row],[VL-MP]:[VL-LF]]),"")</f>
        <v>0</v>
      </c>
      <c r="FF242" s="92" t="str">
        <f>IFERROR(Tabla_Buffers_Agroinsumos[[#This Row],[INV FIS VL]]-Tabla_Buffers_Agroinsumos[[#This Row],[BUFFER VL]],"")</f>
        <v/>
      </c>
      <c r="FG24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42" s="134"/>
      <c r="FI242" s="134"/>
      <c r="FJ242" s="134"/>
      <c r="FK242" s="134"/>
      <c r="FL242" s="134"/>
      <c r="FM242" s="134"/>
      <c r="FN242" s="134"/>
      <c r="FO242" s="134"/>
      <c r="FP242" s="134"/>
    </row>
    <row r="243" spans="1:172">
      <c r="A243" s="7" t="s">
        <v>420</v>
      </c>
      <c r="B243" s="7" t="s">
        <v>421</v>
      </c>
      <c r="C243" s="7" t="s">
        <v>716</v>
      </c>
      <c r="D243" s="7" t="s">
        <v>718</v>
      </c>
      <c r="E243" s="7" t="s">
        <v>863</v>
      </c>
      <c r="F243" s="19" t="s">
        <v>808</v>
      </c>
      <c r="G243" s="19" t="s">
        <v>802</v>
      </c>
      <c r="H243" s="19">
        <f>VLOOKUP(Tabla_Buffers_Agroinsumos[[#This Row],[CODIGO ]],TABLACONSOLIDADA[[Codigo]:[PV]],6,0)</f>
        <v>0</v>
      </c>
      <c r="I243" s="19">
        <f>VLOOKUP(Tabla_Buffers_Agroinsumos[[#This Row],[CODIGO ]],TABLACONSOLIDADA[[Codigo]:[PV]],5,0)</f>
        <v>0.08</v>
      </c>
      <c r="J243" s="19">
        <v>4</v>
      </c>
      <c r="K243" s="19">
        <v>6</v>
      </c>
      <c r="L243" s="19">
        <f>IFERROR(Tabla_Buffers_Agroinsumos[[#This Row],[BUFFER CENTRAL]]/((Tabla_Buffers_Agroinsumos[[#This Row],[TIEMPO REPOSICION ]]/Tabla_Buffers_Agroinsumos[[#This Row],[FRECUENCIA]])+1),0)</f>
        <v>0</v>
      </c>
      <c r="M243" s="19">
        <f t="array" ref="M243">IFERROR(INDEX(TABLACONSOLIDADA[Buff Act],MATCH("AGROINSUMOSMATERIAPRIMA"&amp;Tabla_Buffers_Agroinsumos[[#This Row],[CODIGO ]],TABLACONSOLIDADA[Bodega]&amp;TABLACONSOLIDADA[Codigo],0)),"")</f>
        <v>500</v>
      </c>
      <c r="N243" s="157">
        <f t="array" ref="N243">IFERROR(INDEX(TABLACONSOLIDADA[Inv Fís Act],MATCH("AGROINSUMOSMATERIAPRIMA"&amp;Tabla_Buffers_Agroinsumos[[#This Row],[CODIGO ]],TABLACONSOLIDADA[Bodega]&amp;TABLACONSOLIDADA[Codigo],0)),"")</f>
        <v>1386</v>
      </c>
      <c r="O243" s="157">
        <f t="array" ref="O24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1386</v>
      </c>
      <c r="P24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43" s="19">
        <f>IFERROR(SUM(Tabla_Buffers_Agroinsumos[[#This Row],[MP-C]:[MP-VL]]),"")</f>
        <v>0</v>
      </c>
      <c r="R243" s="92">
        <f>IFERROR(Tabla_Buffers_Agroinsumos[[#This Row],[INV FIS MATERIA PRIMA]]-Tabla_Buffers_Agroinsumos[[#This Row],[BUFFER MATERIA PRIMA]],"")</f>
        <v>886</v>
      </c>
      <c r="S24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886</v>
      </c>
      <c r="T243" s="19"/>
      <c r="U243" s="19"/>
      <c r="V243" s="19"/>
      <c r="W243" s="19"/>
      <c r="X243" s="19"/>
      <c r="Y243" s="19"/>
      <c r="Z243" s="19"/>
      <c r="AA243" s="19"/>
      <c r="AB243" s="19"/>
      <c r="AC243" s="152" t="str">
        <f t="array" ref="AC243">IFERROR(INDEX(TABLACONSOLIDADA[Buff Act],MATCH("AGROINSUMOSCENTRAL"&amp;Tabla_Buffers_Agroinsumos[[#This Row],[CODIGO ]],TABLACONSOLIDADA[Bodega]&amp;TABLACONSOLIDADA[Codigo],0)),"")</f>
        <v/>
      </c>
      <c r="AD243" s="157" t="str">
        <f t="array" ref="AD243">IFERROR(INDEX(TABLACONSOLIDADA[Inv Fís Act],MATCH("AGROINSUMOSCENTRAL"&amp;Tabla_Buffers_Agroinsumos[[#This Row],[CODIGO ]],TABLACONSOLIDADA[Bodega]&amp;TABLACONSOLIDADA[Codigo],0)),"")</f>
        <v/>
      </c>
      <c r="AE243" s="157" t="str">
        <f t="array" ref="AE24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4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43" s="91">
        <f>IFERROR(SUM(Tabla_Buffers_Agroinsumos[[#This Row],[C-MP]:[C-VL]]),"")</f>
        <v>0</v>
      </c>
      <c r="AH243" s="92" t="str">
        <f>IFERROR(Tabla_Buffers_Agroinsumos[[#This Row],[INV FIS CENTRAL]]-Tabla_Buffers_Agroinsumos[[#This Row],[BUFFER CENTRAL]],"")</f>
        <v/>
      </c>
      <c r="AI24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43" s="134"/>
      <c r="AK243" s="134"/>
      <c r="AL243" s="134"/>
      <c r="AM243" s="134"/>
      <c r="AN243" s="134"/>
      <c r="AO243" s="134"/>
      <c r="AP243" s="134"/>
      <c r="AQ243" s="134"/>
      <c r="AR243" s="134"/>
      <c r="AS243" s="134" t="str">
        <f t="array" ref="AS243">IFERROR(INDEX(TABLACONSOLIDADA[Buff Act],MATCH("AGROINSUMOScentralPROPIA"&amp;Tabla_Buffers_Agroinsumos[[#This Row],[CODIGO ]],TABLACONSOLIDADA[Bodega]&amp;TABLACONSOLIDADA[Codigo],0)),"")</f>
        <v/>
      </c>
      <c r="AT243" s="157" t="str">
        <f t="array" ref="AT243">IFERROR(INDEX(TABLACONSOLIDADA[Inv Fís Act],MATCH("AGROINSUMOScentralPROPIA"&amp;Tabla_Buffers_Agroinsumos[[#This Row],[CODIGO ]],TABLACONSOLIDADA[Bodega]&amp;TABLACONSOLIDADA[Codigo],0)),"")</f>
        <v/>
      </c>
      <c r="AU243" s="157" t="str">
        <f t="array" ref="AU24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4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43" s="134">
        <f>IFERROR(SUM(Tabla_Buffers_Agroinsumos[[#This Row],[P-MP]:[P-VL]]),"")</f>
        <v>0</v>
      </c>
      <c r="AX243" s="92" t="str">
        <f>IFERROR(Tabla_Buffers_Agroinsumos[[#This Row],[INV FIS PROPIA]]-Tabla_Buffers_Agroinsumos[[#This Row],[BUFFER PROPIA]],"")</f>
        <v/>
      </c>
      <c r="AY24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43" s="134"/>
      <c r="BA243" s="134"/>
      <c r="BB243" s="134"/>
      <c r="BC243" s="134"/>
      <c r="BD243" s="134"/>
      <c r="BE243" s="134"/>
      <c r="BF243" s="134"/>
      <c r="BG243" s="134"/>
      <c r="BH243" s="134"/>
      <c r="BI243" s="91" t="str">
        <f t="array" ref="BI243">IFERROR(INDEX(TABLACONSOLIDADA[Buff Act],MATCH("AGROINSUMOSSTODOMINGO"&amp;Tabla_Buffers_Agroinsumos[[#This Row],[CODIGO ]],TABLACONSOLIDADA[Bodega]&amp;TABLACONSOLIDADA[Codigo],0)),"")</f>
        <v/>
      </c>
      <c r="BJ243" s="157" t="str">
        <f t="array" ref="BJ243">IFERROR(INDEX(TABLACONSOLIDADA[Inv Fís Act],MATCH("AGROINSUMOSSTODOMINGO"&amp;Tabla_Buffers_Agroinsumos[[#This Row],[CODIGO ]],TABLACONSOLIDADA[Bodega]&amp;TABLACONSOLIDADA[Codigo],0)),"")</f>
        <v/>
      </c>
      <c r="BK243" s="157" t="str">
        <f t="array" ref="BK24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4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43" s="91">
        <f>IFERROR(SUM(Tabla_Buffers_Agroinsumos[[#This Row],[SD-MP]:[SD-VL]]),"")</f>
        <v>0</v>
      </c>
      <c r="BN243" s="92"/>
      <c r="BO243" s="92"/>
      <c r="BP243" s="134"/>
      <c r="BQ243" s="134"/>
      <c r="BR243" s="134"/>
      <c r="BS243" s="134"/>
      <c r="BT243" s="134"/>
      <c r="BU243" s="134"/>
      <c r="BV243" s="134"/>
      <c r="BW243" s="134"/>
      <c r="BX243" s="134"/>
      <c r="BY243" s="134" t="str">
        <f t="array" ref="BY243">IFERROR(INDEX(TABLACONSOLIDADA[Buff Act],MATCH("AGROINSUMOSMONCAYOLOPEZ"&amp;Tabla_Buffers_Agroinsumos[[#This Row],[CODIGO ]],TABLACONSOLIDADA[Bodega]&amp;TABLACONSOLIDADA[Codigo],0)),"")</f>
        <v/>
      </c>
      <c r="BZ243" s="157" t="str">
        <f t="array" ref="BZ243">IFERROR(INDEX(TABLACONSOLIDADA[Inv Fís Act],MATCH("AGROINSUMOSMONCAYOLOPEZ"&amp;Tabla_Buffers_Agroinsumos[[#This Row],[CODIGO ]],TABLACONSOLIDADA[Bodega]&amp;TABLACONSOLIDADA[Codigo],0)),"")</f>
        <v/>
      </c>
      <c r="CA243" s="157" t="str">
        <f t="array" ref="CA24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4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43" s="134">
        <f>IFERROR(SUM(Tabla_Buffers_Agroinsumos[[#This Row],[ML-MP]:[ML-VL]]),"")</f>
        <v>0</v>
      </c>
      <c r="CD243" s="92" t="str">
        <f>IFERROR(Tabla_Buffers_Agroinsumos[[#This Row],[INV FIS ML]]-Tabla_Buffers_Agroinsumos[[#This Row],[BUFFER ML]],"")</f>
        <v/>
      </c>
      <c r="CE24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43" s="134"/>
      <c r="CG243" s="134"/>
      <c r="CH243" s="134"/>
      <c r="CI243" s="134"/>
      <c r="CJ243" s="134"/>
      <c r="CK243" s="134"/>
      <c r="CL243" s="134"/>
      <c r="CM243" s="134"/>
      <c r="CN243" s="134"/>
      <c r="CO243" s="134" t="str">
        <f t="array" ref="CO243">IFERROR(INDEX(TABLACONSOLIDADA[Buff Act],MATCH("AGROINSUMOSAGROHERMANOSLEON"&amp;Tabla_Buffers_Agroinsumos[[#This Row],[CODIGO ]],TABLACONSOLIDADA[Bodega]&amp;TABLACONSOLIDADA[Codigo],0)),"")</f>
        <v/>
      </c>
      <c r="CP243" s="157" t="str">
        <f t="array" ref="CP243">IFERROR(INDEX(TABLACONSOLIDADA[Inv Fís Act],MATCH("AGROINSUMOSAGROHERMANOSLEON"&amp;Tabla_Buffers_Agroinsumos[[#This Row],[CODIGO ]],TABLACONSOLIDADA[Bodega]&amp;TABLACONSOLIDADA[Codigo],0)),"")</f>
        <v/>
      </c>
      <c r="CQ243" s="157" t="str">
        <f t="array" ref="CQ24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4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43" s="134">
        <f>IFERROR(SUM(Tabla_Buffers_Agroinsumos[[#This Row],[AL-MP]:[AL-VL]]),"")</f>
        <v>0</v>
      </c>
      <c r="CT243" s="92" t="str">
        <f>IFERROR(Tabla_Buffers_Agroinsumos[[#This Row],[INV FIS AL]]-Tabla_Buffers_Agroinsumos[[#This Row],[BUFFER AL]],"")</f>
        <v/>
      </c>
      <c r="CU24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43" s="134"/>
      <c r="CW243" s="134"/>
      <c r="CX243" s="134"/>
      <c r="CY243" s="134"/>
      <c r="CZ243" s="134"/>
      <c r="DA243" s="134"/>
      <c r="DB243" s="134"/>
      <c r="DC243" s="134"/>
      <c r="DD243" s="134"/>
      <c r="DE243" s="134" t="str">
        <f t="array" ref="DE243">IFERROR(INDEX(TABLACONSOLIDADA[Buff Act],MATCH("AGROINSUMOSAGRONUEVO"&amp;Tabla_Buffers_Agroinsumos[[#This Row],[CODIGO ]],TABLACONSOLIDADA[Bodega]&amp;TABLACONSOLIDADA[Codigo],0)),"")</f>
        <v/>
      </c>
      <c r="DF243" s="157" t="str">
        <f t="array" ref="DF243">IFERROR(INDEX(TABLACONSOLIDADA[Inv Fís Act],MATCH("AGROINSUMOSAGRONUEVO"&amp;Tabla_Buffers_Agroinsumos[[#This Row],[CODIGO ]],TABLACONSOLIDADA[Bodega]&amp;TABLACONSOLIDADA[Codigo],0)),"")</f>
        <v/>
      </c>
      <c r="DG243" s="157" t="str">
        <f t="array" ref="DG24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4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43" s="134">
        <f>IFERROR(SUM(Tabla_Buffers_Agroinsumos[[#This Row],[AN-MP]:[AN-VL]]),"")</f>
        <v>0</v>
      </c>
      <c r="DJ243" s="92" t="str">
        <f>IFERROR(Tabla_Buffers_Agroinsumos[[#This Row],[INV FIS AN]]-Tabla_Buffers_Agroinsumos[[#This Row],[BUFFER AN]],"")</f>
        <v/>
      </c>
      <c r="DK24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43" s="134"/>
      <c r="DM243" s="134"/>
      <c r="DN243" s="134"/>
      <c r="DO243" s="134"/>
      <c r="DP243" s="134"/>
      <c r="DQ243" s="134"/>
      <c r="DR243" s="134"/>
      <c r="DS243" s="134"/>
      <c r="DT243" s="134"/>
      <c r="DU243" s="134" t="str">
        <f t="array" ref="DU243">IFERROR(INDEX(TABLACONSOLIDADA[Buff Act],MATCH("AGROINSUMOSAGROQUIMICOSSUR"&amp;Tabla_Buffers_Agroinsumos[[#This Row],[CODIGO ]],TABLACONSOLIDADA[Bodega]&amp;TABLACONSOLIDADA[Codigo],0)),"")</f>
        <v/>
      </c>
      <c r="DV243" s="157" t="str">
        <f t="array" ref="DV243">IFERROR(INDEX(TABLACONSOLIDADA[Inv Fís Act],MATCH("AGROINSUMOSAGROQUIMICOSSUR"&amp;Tabla_Buffers_Agroinsumos[[#This Row],[CODIGO ]],TABLACONSOLIDADA[Bodega]&amp;TABLACONSOLIDADA[Codigo],0)),"")</f>
        <v/>
      </c>
      <c r="DW243" s="157" t="str">
        <f t="array" ref="DW24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4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43" s="134">
        <f>IFERROR(SUM(Tabla_Buffers_Agroinsumos[[#This Row],[AS-MP]:[AS-VL]]),"")</f>
        <v>0</v>
      </c>
      <c r="DZ243" s="92" t="str">
        <f>IFERROR(Tabla_Buffers_Agroinsumos[[#This Row],[INV FIS AS]]-Tabla_Buffers_Agroinsumos[[#This Row],[BUFFER AS]],"")</f>
        <v/>
      </c>
      <c r="EA24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43" s="134"/>
      <c r="EC243" s="134"/>
      <c r="ED243" s="134"/>
      <c r="EE243" s="134"/>
      <c r="EF243" s="134"/>
      <c r="EG243" s="134"/>
      <c r="EH243" s="134"/>
      <c r="EI243" s="134"/>
      <c r="EJ243" s="134"/>
      <c r="EK243" s="134" t="str">
        <f t="array" ref="EK243">IFERROR(INDEX(TABLACONSOLIDADA[Buff Act],MATCH("AGROINSUMOSLAFINCA"&amp;Tabla_Buffers_Agroinsumos[[#This Row],[CODIGO ]],TABLACONSOLIDADA[Bodega]&amp;TABLACONSOLIDADA[Codigo],0)),"")</f>
        <v/>
      </c>
      <c r="EL243" s="157" t="str">
        <f t="array" ref="EL243">IFERROR(INDEX(TABLACONSOLIDADA[Inv Fís Act],MATCH("AGROINSUMOSLAFINCA"&amp;Tabla_Buffers_Agroinsumos[[#This Row],[CODIGO ]],TABLACONSOLIDADA[Bodega]&amp;TABLACONSOLIDADA[Codigo],0)),"")</f>
        <v/>
      </c>
      <c r="EM243" s="157" t="str">
        <f t="array" ref="EM24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4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43" s="134">
        <f>IFERROR(SUM(Tabla_Buffers_Agroinsumos[[#This Row],[LF-MP]:[LF-VL]]),"")</f>
        <v>0</v>
      </c>
      <c r="EP243" s="92" t="str">
        <f>IFERROR(Tabla_Buffers_Agroinsumos[[#This Row],[INV FIS LF]]-Tabla_Buffers_Agroinsumos[[#This Row],[BUFFER LF]],"")</f>
        <v/>
      </c>
      <c r="EQ24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43" s="134"/>
      <c r="ES243" s="134"/>
      <c r="ET243" s="134"/>
      <c r="EU243" s="134"/>
      <c r="EV243" s="134"/>
      <c r="EW243" s="134"/>
      <c r="EX243" s="134"/>
      <c r="EY243" s="134"/>
      <c r="EZ243" s="134"/>
      <c r="FA243" s="134" t="str">
        <f t="array" ref="FA243">IFERROR(INDEX(TABLACONSOLIDADA[Buff Act],MATCH("AGROINSUMOSVERONICALEDESMA"&amp;Tabla_Buffers_Agroinsumos[[#This Row],[CODIGO ]],TABLACONSOLIDADA[Bodega]&amp;TABLACONSOLIDADA[Codigo],0)),"")</f>
        <v/>
      </c>
      <c r="FB243" s="157" t="str">
        <f t="array" ref="FB243">IFERROR(INDEX(TABLACONSOLIDADA[Inv Fís Act],MATCH("AGROINSUMOSVERONICALEDESMA"&amp;Tabla_Buffers_Agroinsumos[[#This Row],[CODIGO ]],TABLACONSOLIDADA[Bodega]&amp;TABLACONSOLIDADA[Codigo],0)),"")</f>
        <v/>
      </c>
      <c r="FC243" s="157" t="str">
        <f t="array" ref="FC24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4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43" s="134">
        <f>IFERROR(SUM(Tabla_Buffers_Agroinsumos[[#This Row],[VL-MP]:[VL-LF]]),"")</f>
        <v>0</v>
      </c>
      <c r="FF243" s="92" t="str">
        <f>IFERROR(Tabla_Buffers_Agroinsumos[[#This Row],[INV FIS VL]]-Tabla_Buffers_Agroinsumos[[#This Row],[BUFFER VL]],"")</f>
        <v/>
      </c>
      <c r="FG24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43" s="134"/>
      <c r="FI243" s="134"/>
      <c r="FJ243" s="134"/>
      <c r="FK243" s="134"/>
      <c r="FL243" s="134"/>
      <c r="FM243" s="134"/>
      <c r="FN243" s="134"/>
      <c r="FO243" s="134"/>
      <c r="FP243" s="134"/>
    </row>
    <row r="244" spans="1:172">
      <c r="A244" s="7" t="s">
        <v>422</v>
      </c>
      <c r="B244" s="7" t="s">
        <v>423</v>
      </c>
      <c r="C244" s="7" t="s">
        <v>716</v>
      </c>
      <c r="D244" s="7" t="s">
        <v>718</v>
      </c>
      <c r="E244" s="7" t="s">
        <v>863</v>
      </c>
      <c r="F244" s="19" t="s">
        <v>808</v>
      </c>
      <c r="G244" s="19" t="s">
        <v>802</v>
      </c>
      <c r="H244" s="19">
        <f>VLOOKUP(Tabla_Buffers_Agroinsumos[[#This Row],[CODIGO ]],TABLACONSOLIDADA[[Codigo]:[PV]],6,0)</f>
        <v>0</v>
      </c>
      <c r="I244" s="19">
        <f>VLOOKUP(Tabla_Buffers_Agroinsumos[[#This Row],[CODIGO ]],TABLACONSOLIDADA[[Codigo]:[PV]],5,0)</f>
        <v>0.08</v>
      </c>
      <c r="J244" s="19">
        <v>4</v>
      </c>
      <c r="K244" s="19">
        <v>6</v>
      </c>
      <c r="L244" s="19">
        <f>IFERROR(Tabla_Buffers_Agroinsumos[[#This Row],[BUFFER CENTRAL]]/((Tabla_Buffers_Agroinsumos[[#This Row],[TIEMPO REPOSICION ]]/Tabla_Buffers_Agroinsumos[[#This Row],[FRECUENCIA]])+1),0)</f>
        <v>0</v>
      </c>
      <c r="M244" s="19">
        <f t="array" ref="M244">IFERROR(INDEX(TABLACONSOLIDADA[Buff Act],MATCH("AGROINSUMOSMATERIAPRIMA"&amp;Tabla_Buffers_Agroinsumos[[#This Row],[CODIGO ]],TABLACONSOLIDADA[Bodega]&amp;TABLACONSOLIDADA[Codigo],0)),"")</f>
        <v>1000</v>
      </c>
      <c r="N244" s="157">
        <f t="array" ref="N244">IFERROR(INDEX(TABLACONSOLIDADA[Inv Fís Act],MATCH("AGROINSUMOSMATERIAPRIMA"&amp;Tabla_Buffers_Agroinsumos[[#This Row],[CODIGO ]],TABLACONSOLIDADA[Bodega]&amp;TABLACONSOLIDADA[Codigo],0)),"")</f>
        <v>1037</v>
      </c>
      <c r="O244" s="157">
        <f t="array" ref="O24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1037</v>
      </c>
      <c r="P24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44" s="19">
        <f>IFERROR(SUM(Tabla_Buffers_Agroinsumos[[#This Row],[MP-C]:[MP-VL]]),"")</f>
        <v>0</v>
      </c>
      <c r="R244" s="92">
        <f>IFERROR(Tabla_Buffers_Agroinsumos[[#This Row],[INV FIS MATERIA PRIMA]]-Tabla_Buffers_Agroinsumos[[#This Row],[BUFFER MATERIA PRIMA]],"")</f>
        <v>37</v>
      </c>
      <c r="S24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37</v>
      </c>
      <c r="T244" s="19"/>
      <c r="U244" s="19"/>
      <c r="V244" s="19"/>
      <c r="W244" s="19"/>
      <c r="X244" s="19"/>
      <c r="Y244" s="19"/>
      <c r="Z244" s="19"/>
      <c r="AA244" s="19"/>
      <c r="AB244" s="19"/>
      <c r="AC244" s="152" t="str">
        <f t="array" ref="AC244">IFERROR(INDEX(TABLACONSOLIDADA[Buff Act],MATCH("AGROINSUMOSCENTRAL"&amp;Tabla_Buffers_Agroinsumos[[#This Row],[CODIGO ]],TABLACONSOLIDADA[Bodega]&amp;TABLACONSOLIDADA[Codigo],0)),"")</f>
        <v/>
      </c>
      <c r="AD244" s="157" t="str">
        <f t="array" ref="AD244">IFERROR(INDEX(TABLACONSOLIDADA[Inv Fís Act],MATCH("AGROINSUMOSCENTRAL"&amp;Tabla_Buffers_Agroinsumos[[#This Row],[CODIGO ]],TABLACONSOLIDADA[Bodega]&amp;TABLACONSOLIDADA[Codigo],0)),"")</f>
        <v/>
      </c>
      <c r="AE244" s="157" t="str">
        <f t="array" ref="AE24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4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44" s="91">
        <f>IFERROR(SUM(Tabla_Buffers_Agroinsumos[[#This Row],[C-MP]:[C-VL]]),"")</f>
        <v>0</v>
      </c>
      <c r="AH244" s="92" t="str">
        <f>IFERROR(Tabla_Buffers_Agroinsumos[[#This Row],[INV FIS CENTRAL]]-Tabla_Buffers_Agroinsumos[[#This Row],[BUFFER CENTRAL]],"")</f>
        <v/>
      </c>
      <c r="AI24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44" s="134"/>
      <c r="AK244" s="134"/>
      <c r="AL244" s="134"/>
      <c r="AM244" s="134"/>
      <c r="AN244" s="134"/>
      <c r="AO244" s="134"/>
      <c r="AP244" s="134"/>
      <c r="AQ244" s="134"/>
      <c r="AR244" s="134"/>
      <c r="AS244" s="134" t="str">
        <f t="array" ref="AS244">IFERROR(INDEX(TABLACONSOLIDADA[Buff Act],MATCH("AGROINSUMOScentralPROPIA"&amp;Tabla_Buffers_Agroinsumos[[#This Row],[CODIGO ]],TABLACONSOLIDADA[Bodega]&amp;TABLACONSOLIDADA[Codigo],0)),"")</f>
        <v/>
      </c>
      <c r="AT244" s="157" t="str">
        <f t="array" ref="AT244">IFERROR(INDEX(TABLACONSOLIDADA[Inv Fís Act],MATCH("AGROINSUMOScentralPROPIA"&amp;Tabla_Buffers_Agroinsumos[[#This Row],[CODIGO ]],TABLACONSOLIDADA[Bodega]&amp;TABLACONSOLIDADA[Codigo],0)),"")</f>
        <v/>
      </c>
      <c r="AU244" s="157" t="str">
        <f t="array" ref="AU24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4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44" s="134">
        <f>IFERROR(SUM(Tabla_Buffers_Agroinsumos[[#This Row],[P-MP]:[P-VL]]),"")</f>
        <v>0</v>
      </c>
      <c r="AX244" s="92" t="str">
        <f>IFERROR(Tabla_Buffers_Agroinsumos[[#This Row],[INV FIS PROPIA]]-Tabla_Buffers_Agroinsumos[[#This Row],[BUFFER PROPIA]],"")</f>
        <v/>
      </c>
      <c r="AY24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44" s="134"/>
      <c r="BA244" s="134"/>
      <c r="BB244" s="134"/>
      <c r="BC244" s="134"/>
      <c r="BD244" s="134"/>
      <c r="BE244" s="134"/>
      <c r="BF244" s="134"/>
      <c r="BG244" s="134"/>
      <c r="BH244" s="134"/>
      <c r="BI244" s="91" t="str">
        <f t="array" ref="BI244">IFERROR(INDEX(TABLACONSOLIDADA[Buff Act],MATCH("AGROINSUMOSSTODOMINGO"&amp;Tabla_Buffers_Agroinsumos[[#This Row],[CODIGO ]],TABLACONSOLIDADA[Bodega]&amp;TABLACONSOLIDADA[Codigo],0)),"")</f>
        <v/>
      </c>
      <c r="BJ244" s="157" t="str">
        <f t="array" ref="BJ244">IFERROR(INDEX(TABLACONSOLIDADA[Inv Fís Act],MATCH("AGROINSUMOSSTODOMINGO"&amp;Tabla_Buffers_Agroinsumos[[#This Row],[CODIGO ]],TABLACONSOLIDADA[Bodega]&amp;TABLACONSOLIDADA[Codigo],0)),"")</f>
        <v/>
      </c>
      <c r="BK244" s="157" t="str">
        <f t="array" ref="BK24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4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44" s="91">
        <f>IFERROR(SUM(Tabla_Buffers_Agroinsumos[[#This Row],[SD-MP]:[SD-VL]]),"")</f>
        <v>0</v>
      </c>
      <c r="BN244" s="92"/>
      <c r="BO244" s="92"/>
      <c r="BP244" s="134"/>
      <c r="BQ244" s="134"/>
      <c r="BR244" s="134"/>
      <c r="BS244" s="134"/>
      <c r="BT244" s="134"/>
      <c r="BU244" s="134"/>
      <c r="BV244" s="134"/>
      <c r="BW244" s="134"/>
      <c r="BX244" s="134"/>
      <c r="BY244" s="134" t="str">
        <f t="array" ref="BY244">IFERROR(INDEX(TABLACONSOLIDADA[Buff Act],MATCH("AGROINSUMOSMONCAYOLOPEZ"&amp;Tabla_Buffers_Agroinsumos[[#This Row],[CODIGO ]],TABLACONSOLIDADA[Bodega]&amp;TABLACONSOLIDADA[Codigo],0)),"")</f>
        <v/>
      </c>
      <c r="BZ244" s="157" t="str">
        <f t="array" ref="BZ244">IFERROR(INDEX(TABLACONSOLIDADA[Inv Fís Act],MATCH("AGROINSUMOSMONCAYOLOPEZ"&amp;Tabla_Buffers_Agroinsumos[[#This Row],[CODIGO ]],TABLACONSOLIDADA[Bodega]&amp;TABLACONSOLIDADA[Codigo],0)),"")</f>
        <v/>
      </c>
      <c r="CA244" s="157" t="str">
        <f t="array" ref="CA24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4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44" s="134">
        <f>IFERROR(SUM(Tabla_Buffers_Agroinsumos[[#This Row],[ML-MP]:[ML-VL]]),"")</f>
        <v>0</v>
      </c>
      <c r="CD244" s="92" t="str">
        <f>IFERROR(Tabla_Buffers_Agroinsumos[[#This Row],[INV FIS ML]]-Tabla_Buffers_Agroinsumos[[#This Row],[BUFFER ML]],"")</f>
        <v/>
      </c>
      <c r="CE24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44" s="134"/>
      <c r="CG244" s="134"/>
      <c r="CH244" s="134"/>
      <c r="CI244" s="134"/>
      <c r="CJ244" s="134"/>
      <c r="CK244" s="134"/>
      <c r="CL244" s="134"/>
      <c r="CM244" s="134"/>
      <c r="CN244" s="134"/>
      <c r="CO244" s="134" t="str">
        <f t="array" ref="CO244">IFERROR(INDEX(TABLACONSOLIDADA[Buff Act],MATCH("AGROINSUMOSAGROHERMANOSLEON"&amp;Tabla_Buffers_Agroinsumos[[#This Row],[CODIGO ]],TABLACONSOLIDADA[Bodega]&amp;TABLACONSOLIDADA[Codigo],0)),"")</f>
        <v/>
      </c>
      <c r="CP244" s="157" t="str">
        <f t="array" ref="CP244">IFERROR(INDEX(TABLACONSOLIDADA[Inv Fís Act],MATCH("AGROINSUMOSAGROHERMANOSLEON"&amp;Tabla_Buffers_Agroinsumos[[#This Row],[CODIGO ]],TABLACONSOLIDADA[Bodega]&amp;TABLACONSOLIDADA[Codigo],0)),"")</f>
        <v/>
      </c>
      <c r="CQ244" s="157" t="str">
        <f t="array" ref="CQ24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4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44" s="134">
        <f>IFERROR(SUM(Tabla_Buffers_Agroinsumos[[#This Row],[AL-MP]:[AL-VL]]),"")</f>
        <v>0</v>
      </c>
      <c r="CT244" s="92" t="str">
        <f>IFERROR(Tabla_Buffers_Agroinsumos[[#This Row],[INV FIS AL]]-Tabla_Buffers_Agroinsumos[[#This Row],[BUFFER AL]],"")</f>
        <v/>
      </c>
      <c r="CU24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44" s="134"/>
      <c r="CW244" s="134"/>
      <c r="CX244" s="134"/>
      <c r="CY244" s="134"/>
      <c r="CZ244" s="134"/>
      <c r="DA244" s="134"/>
      <c r="DB244" s="134"/>
      <c r="DC244" s="134"/>
      <c r="DD244" s="134"/>
      <c r="DE244" s="134" t="str">
        <f t="array" ref="DE244">IFERROR(INDEX(TABLACONSOLIDADA[Buff Act],MATCH("AGROINSUMOSAGRONUEVO"&amp;Tabla_Buffers_Agroinsumos[[#This Row],[CODIGO ]],TABLACONSOLIDADA[Bodega]&amp;TABLACONSOLIDADA[Codigo],0)),"")</f>
        <v/>
      </c>
      <c r="DF244" s="157" t="str">
        <f t="array" ref="DF244">IFERROR(INDEX(TABLACONSOLIDADA[Inv Fís Act],MATCH("AGROINSUMOSAGRONUEVO"&amp;Tabla_Buffers_Agroinsumos[[#This Row],[CODIGO ]],TABLACONSOLIDADA[Bodega]&amp;TABLACONSOLIDADA[Codigo],0)),"")</f>
        <v/>
      </c>
      <c r="DG244" s="157" t="str">
        <f t="array" ref="DG24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4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44" s="134">
        <f>IFERROR(SUM(Tabla_Buffers_Agroinsumos[[#This Row],[AN-MP]:[AN-VL]]),"")</f>
        <v>0</v>
      </c>
      <c r="DJ244" s="92" t="str">
        <f>IFERROR(Tabla_Buffers_Agroinsumos[[#This Row],[INV FIS AN]]-Tabla_Buffers_Agroinsumos[[#This Row],[BUFFER AN]],"")</f>
        <v/>
      </c>
      <c r="DK24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44" s="134"/>
      <c r="DM244" s="134"/>
      <c r="DN244" s="134"/>
      <c r="DO244" s="134"/>
      <c r="DP244" s="134"/>
      <c r="DQ244" s="134"/>
      <c r="DR244" s="134"/>
      <c r="DS244" s="134"/>
      <c r="DT244" s="134"/>
      <c r="DU244" s="134" t="str">
        <f t="array" ref="DU244">IFERROR(INDEX(TABLACONSOLIDADA[Buff Act],MATCH("AGROINSUMOSAGROQUIMICOSSUR"&amp;Tabla_Buffers_Agroinsumos[[#This Row],[CODIGO ]],TABLACONSOLIDADA[Bodega]&amp;TABLACONSOLIDADA[Codigo],0)),"")</f>
        <v/>
      </c>
      <c r="DV244" s="157" t="str">
        <f t="array" ref="DV244">IFERROR(INDEX(TABLACONSOLIDADA[Inv Fís Act],MATCH("AGROINSUMOSAGROQUIMICOSSUR"&amp;Tabla_Buffers_Agroinsumos[[#This Row],[CODIGO ]],TABLACONSOLIDADA[Bodega]&amp;TABLACONSOLIDADA[Codigo],0)),"")</f>
        <v/>
      </c>
      <c r="DW244" s="157" t="str">
        <f t="array" ref="DW24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4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44" s="134">
        <f>IFERROR(SUM(Tabla_Buffers_Agroinsumos[[#This Row],[AS-MP]:[AS-VL]]),"")</f>
        <v>0</v>
      </c>
      <c r="DZ244" s="92" t="str">
        <f>IFERROR(Tabla_Buffers_Agroinsumos[[#This Row],[INV FIS AS]]-Tabla_Buffers_Agroinsumos[[#This Row],[BUFFER AS]],"")</f>
        <v/>
      </c>
      <c r="EA24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44" s="134"/>
      <c r="EC244" s="134"/>
      <c r="ED244" s="134"/>
      <c r="EE244" s="134"/>
      <c r="EF244" s="134"/>
      <c r="EG244" s="134"/>
      <c r="EH244" s="134"/>
      <c r="EI244" s="134"/>
      <c r="EJ244" s="134"/>
      <c r="EK244" s="134" t="str">
        <f t="array" ref="EK244">IFERROR(INDEX(TABLACONSOLIDADA[Buff Act],MATCH("AGROINSUMOSLAFINCA"&amp;Tabla_Buffers_Agroinsumos[[#This Row],[CODIGO ]],TABLACONSOLIDADA[Bodega]&amp;TABLACONSOLIDADA[Codigo],0)),"")</f>
        <v/>
      </c>
      <c r="EL244" s="157" t="str">
        <f t="array" ref="EL244">IFERROR(INDEX(TABLACONSOLIDADA[Inv Fís Act],MATCH("AGROINSUMOSLAFINCA"&amp;Tabla_Buffers_Agroinsumos[[#This Row],[CODIGO ]],TABLACONSOLIDADA[Bodega]&amp;TABLACONSOLIDADA[Codigo],0)),"")</f>
        <v/>
      </c>
      <c r="EM244" s="157" t="str">
        <f t="array" ref="EM24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4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44" s="134">
        <f>IFERROR(SUM(Tabla_Buffers_Agroinsumos[[#This Row],[LF-MP]:[LF-VL]]),"")</f>
        <v>0</v>
      </c>
      <c r="EP244" s="92" t="str">
        <f>IFERROR(Tabla_Buffers_Agroinsumos[[#This Row],[INV FIS LF]]-Tabla_Buffers_Agroinsumos[[#This Row],[BUFFER LF]],"")</f>
        <v/>
      </c>
      <c r="EQ24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44" s="134"/>
      <c r="ES244" s="134"/>
      <c r="ET244" s="134"/>
      <c r="EU244" s="134"/>
      <c r="EV244" s="134"/>
      <c r="EW244" s="134"/>
      <c r="EX244" s="134"/>
      <c r="EY244" s="134"/>
      <c r="EZ244" s="134"/>
      <c r="FA244" s="134" t="str">
        <f t="array" ref="FA244">IFERROR(INDEX(TABLACONSOLIDADA[Buff Act],MATCH("AGROINSUMOSVERONICALEDESMA"&amp;Tabla_Buffers_Agroinsumos[[#This Row],[CODIGO ]],TABLACONSOLIDADA[Bodega]&amp;TABLACONSOLIDADA[Codigo],0)),"")</f>
        <v/>
      </c>
      <c r="FB244" s="157" t="str">
        <f t="array" ref="FB244">IFERROR(INDEX(TABLACONSOLIDADA[Inv Fís Act],MATCH("AGROINSUMOSVERONICALEDESMA"&amp;Tabla_Buffers_Agroinsumos[[#This Row],[CODIGO ]],TABLACONSOLIDADA[Bodega]&amp;TABLACONSOLIDADA[Codigo],0)),"")</f>
        <v/>
      </c>
      <c r="FC244" s="157" t="str">
        <f t="array" ref="FC24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4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44" s="134">
        <f>IFERROR(SUM(Tabla_Buffers_Agroinsumos[[#This Row],[VL-MP]:[VL-LF]]),"")</f>
        <v>0</v>
      </c>
      <c r="FF244" s="92" t="str">
        <f>IFERROR(Tabla_Buffers_Agroinsumos[[#This Row],[INV FIS VL]]-Tabla_Buffers_Agroinsumos[[#This Row],[BUFFER VL]],"")</f>
        <v/>
      </c>
      <c r="FG24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44" s="134"/>
      <c r="FI244" s="134"/>
      <c r="FJ244" s="134"/>
      <c r="FK244" s="134"/>
      <c r="FL244" s="134"/>
      <c r="FM244" s="134"/>
      <c r="FN244" s="134"/>
      <c r="FO244" s="134"/>
      <c r="FP244" s="134"/>
    </row>
    <row r="245" spans="1:172">
      <c r="A245" s="7" t="s">
        <v>424</v>
      </c>
      <c r="B245" s="7" t="s">
        <v>425</v>
      </c>
      <c r="C245" s="7" t="s">
        <v>716</v>
      </c>
      <c r="D245" s="7" t="s">
        <v>718</v>
      </c>
      <c r="E245" s="7" t="s">
        <v>863</v>
      </c>
      <c r="F245" s="19" t="s">
        <v>808</v>
      </c>
      <c r="G245" s="19" t="s">
        <v>802</v>
      </c>
      <c r="H245" s="19">
        <f>VLOOKUP(Tabla_Buffers_Agroinsumos[[#This Row],[CODIGO ]],TABLACONSOLIDADA[[Codigo]:[PV]],6,0)</f>
        <v>0</v>
      </c>
      <c r="I245" s="19">
        <f>VLOOKUP(Tabla_Buffers_Agroinsumos[[#This Row],[CODIGO ]],TABLACONSOLIDADA[[Codigo]:[PV]],5,0)</f>
        <v>0.26</v>
      </c>
      <c r="J245" s="19">
        <v>4</v>
      </c>
      <c r="K245" s="19">
        <v>6</v>
      </c>
      <c r="L245" s="19">
        <f>IFERROR(Tabla_Buffers_Agroinsumos[[#This Row],[BUFFER CENTRAL]]/((Tabla_Buffers_Agroinsumos[[#This Row],[TIEMPO REPOSICION ]]/Tabla_Buffers_Agroinsumos[[#This Row],[FRECUENCIA]])+1),0)</f>
        <v>0</v>
      </c>
      <c r="M245" s="19">
        <f t="array" ref="M245">IFERROR(INDEX(TABLACONSOLIDADA[Buff Act],MATCH("AGROINSUMOSMATERIAPRIMA"&amp;Tabla_Buffers_Agroinsumos[[#This Row],[CODIGO ]],TABLACONSOLIDADA[Bodega]&amp;TABLACONSOLIDADA[Codigo],0)),"")</f>
        <v>500</v>
      </c>
      <c r="N245" s="157">
        <f t="array" ref="N245">IFERROR(INDEX(TABLACONSOLIDADA[Inv Fís Act],MATCH("AGROINSUMOSMATERIAPRIMA"&amp;Tabla_Buffers_Agroinsumos[[#This Row],[CODIGO ]],TABLACONSOLIDADA[Bodega]&amp;TABLACONSOLIDADA[Codigo],0)),"")</f>
        <v>1088</v>
      </c>
      <c r="O245" s="157">
        <f t="array" ref="O24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1088</v>
      </c>
      <c r="P24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45" s="19">
        <f>IFERROR(SUM(Tabla_Buffers_Agroinsumos[[#This Row],[MP-C]:[MP-VL]]),"")</f>
        <v>0</v>
      </c>
      <c r="R245" s="92">
        <f>IFERROR(Tabla_Buffers_Agroinsumos[[#This Row],[INV FIS MATERIA PRIMA]]-Tabla_Buffers_Agroinsumos[[#This Row],[BUFFER MATERIA PRIMA]],"")</f>
        <v>588</v>
      </c>
      <c r="S24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588</v>
      </c>
      <c r="T245" s="19"/>
      <c r="U245" s="19"/>
      <c r="V245" s="19"/>
      <c r="W245" s="19"/>
      <c r="X245" s="19"/>
      <c r="Y245" s="19"/>
      <c r="Z245" s="19"/>
      <c r="AA245" s="19"/>
      <c r="AB245" s="19"/>
      <c r="AC245" s="152" t="str">
        <f t="array" ref="AC245">IFERROR(INDEX(TABLACONSOLIDADA[Buff Act],MATCH("AGROINSUMOSCENTRAL"&amp;Tabla_Buffers_Agroinsumos[[#This Row],[CODIGO ]],TABLACONSOLIDADA[Bodega]&amp;TABLACONSOLIDADA[Codigo],0)),"")</f>
        <v/>
      </c>
      <c r="AD245" s="157" t="str">
        <f t="array" ref="AD245">IFERROR(INDEX(TABLACONSOLIDADA[Inv Fís Act],MATCH("AGROINSUMOSCENTRAL"&amp;Tabla_Buffers_Agroinsumos[[#This Row],[CODIGO ]],TABLACONSOLIDADA[Bodega]&amp;TABLACONSOLIDADA[Codigo],0)),"")</f>
        <v/>
      </c>
      <c r="AE245" s="157" t="str">
        <f t="array" ref="AE24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4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45" s="91">
        <f>IFERROR(SUM(Tabla_Buffers_Agroinsumos[[#This Row],[C-MP]:[C-VL]]),"")</f>
        <v>0</v>
      </c>
      <c r="AH245" s="92" t="str">
        <f>IFERROR(Tabla_Buffers_Agroinsumos[[#This Row],[INV FIS CENTRAL]]-Tabla_Buffers_Agroinsumos[[#This Row],[BUFFER CENTRAL]],"")</f>
        <v/>
      </c>
      <c r="AI24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45" s="134"/>
      <c r="AK245" s="134"/>
      <c r="AL245" s="134"/>
      <c r="AM245" s="134"/>
      <c r="AN245" s="134"/>
      <c r="AO245" s="134"/>
      <c r="AP245" s="134"/>
      <c r="AQ245" s="134"/>
      <c r="AR245" s="134"/>
      <c r="AS245" s="134" t="str">
        <f t="array" ref="AS245">IFERROR(INDEX(TABLACONSOLIDADA[Buff Act],MATCH("AGROINSUMOScentralPROPIA"&amp;Tabla_Buffers_Agroinsumos[[#This Row],[CODIGO ]],TABLACONSOLIDADA[Bodega]&amp;TABLACONSOLIDADA[Codigo],0)),"")</f>
        <v/>
      </c>
      <c r="AT245" s="157" t="str">
        <f t="array" ref="AT245">IFERROR(INDEX(TABLACONSOLIDADA[Inv Fís Act],MATCH("AGROINSUMOScentralPROPIA"&amp;Tabla_Buffers_Agroinsumos[[#This Row],[CODIGO ]],TABLACONSOLIDADA[Bodega]&amp;TABLACONSOLIDADA[Codigo],0)),"")</f>
        <v/>
      </c>
      <c r="AU245" s="157" t="str">
        <f t="array" ref="AU24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4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45" s="134">
        <f>IFERROR(SUM(Tabla_Buffers_Agroinsumos[[#This Row],[P-MP]:[P-VL]]),"")</f>
        <v>0</v>
      </c>
      <c r="AX245" s="92" t="str">
        <f>IFERROR(Tabla_Buffers_Agroinsumos[[#This Row],[INV FIS PROPIA]]-Tabla_Buffers_Agroinsumos[[#This Row],[BUFFER PROPIA]],"")</f>
        <v/>
      </c>
      <c r="AY24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45" s="134"/>
      <c r="BA245" s="134"/>
      <c r="BB245" s="134"/>
      <c r="BC245" s="134"/>
      <c r="BD245" s="134"/>
      <c r="BE245" s="134"/>
      <c r="BF245" s="134"/>
      <c r="BG245" s="134"/>
      <c r="BH245" s="134"/>
      <c r="BI245" s="91" t="str">
        <f t="array" ref="BI245">IFERROR(INDEX(TABLACONSOLIDADA[Buff Act],MATCH("AGROINSUMOSSTODOMINGO"&amp;Tabla_Buffers_Agroinsumos[[#This Row],[CODIGO ]],TABLACONSOLIDADA[Bodega]&amp;TABLACONSOLIDADA[Codigo],0)),"")</f>
        <v/>
      </c>
      <c r="BJ245" s="157" t="str">
        <f t="array" ref="BJ245">IFERROR(INDEX(TABLACONSOLIDADA[Inv Fís Act],MATCH("AGROINSUMOSSTODOMINGO"&amp;Tabla_Buffers_Agroinsumos[[#This Row],[CODIGO ]],TABLACONSOLIDADA[Bodega]&amp;TABLACONSOLIDADA[Codigo],0)),"")</f>
        <v/>
      </c>
      <c r="BK245" s="157" t="str">
        <f t="array" ref="BK24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4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45" s="91">
        <f>IFERROR(SUM(Tabla_Buffers_Agroinsumos[[#This Row],[SD-MP]:[SD-VL]]),"")</f>
        <v>0</v>
      </c>
      <c r="BN245" s="92"/>
      <c r="BO245" s="92"/>
      <c r="BP245" s="134"/>
      <c r="BQ245" s="134"/>
      <c r="BR245" s="134"/>
      <c r="BS245" s="134"/>
      <c r="BT245" s="134"/>
      <c r="BU245" s="134"/>
      <c r="BV245" s="134"/>
      <c r="BW245" s="134"/>
      <c r="BX245" s="134"/>
      <c r="BY245" s="134" t="str">
        <f t="array" ref="BY245">IFERROR(INDEX(TABLACONSOLIDADA[Buff Act],MATCH("AGROINSUMOSMONCAYOLOPEZ"&amp;Tabla_Buffers_Agroinsumos[[#This Row],[CODIGO ]],TABLACONSOLIDADA[Bodega]&amp;TABLACONSOLIDADA[Codigo],0)),"")</f>
        <v/>
      </c>
      <c r="BZ245" s="157" t="str">
        <f t="array" ref="BZ245">IFERROR(INDEX(TABLACONSOLIDADA[Inv Fís Act],MATCH("AGROINSUMOSMONCAYOLOPEZ"&amp;Tabla_Buffers_Agroinsumos[[#This Row],[CODIGO ]],TABLACONSOLIDADA[Bodega]&amp;TABLACONSOLIDADA[Codigo],0)),"")</f>
        <v/>
      </c>
      <c r="CA245" s="157" t="str">
        <f t="array" ref="CA24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4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45" s="134">
        <f>IFERROR(SUM(Tabla_Buffers_Agroinsumos[[#This Row],[ML-MP]:[ML-VL]]),"")</f>
        <v>0</v>
      </c>
      <c r="CD245" s="92" t="str">
        <f>IFERROR(Tabla_Buffers_Agroinsumos[[#This Row],[INV FIS ML]]-Tabla_Buffers_Agroinsumos[[#This Row],[BUFFER ML]],"")</f>
        <v/>
      </c>
      <c r="CE24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45" s="134"/>
      <c r="CG245" s="134"/>
      <c r="CH245" s="134"/>
      <c r="CI245" s="134"/>
      <c r="CJ245" s="134"/>
      <c r="CK245" s="134"/>
      <c r="CL245" s="134"/>
      <c r="CM245" s="134"/>
      <c r="CN245" s="134"/>
      <c r="CO245" s="134" t="str">
        <f t="array" ref="CO245">IFERROR(INDEX(TABLACONSOLIDADA[Buff Act],MATCH("AGROINSUMOSAGROHERMANOSLEON"&amp;Tabla_Buffers_Agroinsumos[[#This Row],[CODIGO ]],TABLACONSOLIDADA[Bodega]&amp;TABLACONSOLIDADA[Codigo],0)),"")</f>
        <v/>
      </c>
      <c r="CP245" s="157" t="str">
        <f t="array" ref="CP245">IFERROR(INDEX(TABLACONSOLIDADA[Inv Fís Act],MATCH("AGROINSUMOSAGROHERMANOSLEON"&amp;Tabla_Buffers_Agroinsumos[[#This Row],[CODIGO ]],TABLACONSOLIDADA[Bodega]&amp;TABLACONSOLIDADA[Codigo],0)),"")</f>
        <v/>
      </c>
      <c r="CQ245" s="157" t="str">
        <f t="array" ref="CQ24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4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45" s="134">
        <f>IFERROR(SUM(Tabla_Buffers_Agroinsumos[[#This Row],[AL-MP]:[AL-VL]]),"")</f>
        <v>0</v>
      </c>
      <c r="CT245" s="92" t="str">
        <f>IFERROR(Tabla_Buffers_Agroinsumos[[#This Row],[INV FIS AL]]-Tabla_Buffers_Agroinsumos[[#This Row],[BUFFER AL]],"")</f>
        <v/>
      </c>
      <c r="CU24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45" s="134"/>
      <c r="CW245" s="134"/>
      <c r="CX245" s="134"/>
      <c r="CY245" s="134"/>
      <c r="CZ245" s="134"/>
      <c r="DA245" s="134"/>
      <c r="DB245" s="134"/>
      <c r="DC245" s="134"/>
      <c r="DD245" s="134"/>
      <c r="DE245" s="134" t="str">
        <f t="array" ref="DE245">IFERROR(INDEX(TABLACONSOLIDADA[Buff Act],MATCH("AGROINSUMOSAGRONUEVO"&amp;Tabla_Buffers_Agroinsumos[[#This Row],[CODIGO ]],TABLACONSOLIDADA[Bodega]&amp;TABLACONSOLIDADA[Codigo],0)),"")</f>
        <v/>
      </c>
      <c r="DF245" s="157" t="str">
        <f t="array" ref="DF245">IFERROR(INDEX(TABLACONSOLIDADA[Inv Fís Act],MATCH("AGROINSUMOSAGRONUEVO"&amp;Tabla_Buffers_Agroinsumos[[#This Row],[CODIGO ]],TABLACONSOLIDADA[Bodega]&amp;TABLACONSOLIDADA[Codigo],0)),"")</f>
        <v/>
      </c>
      <c r="DG245" s="157" t="str">
        <f t="array" ref="DG24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4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45" s="134">
        <f>IFERROR(SUM(Tabla_Buffers_Agroinsumos[[#This Row],[AN-MP]:[AN-VL]]),"")</f>
        <v>0</v>
      </c>
      <c r="DJ245" s="92" t="str">
        <f>IFERROR(Tabla_Buffers_Agroinsumos[[#This Row],[INV FIS AN]]-Tabla_Buffers_Agroinsumos[[#This Row],[BUFFER AN]],"")</f>
        <v/>
      </c>
      <c r="DK24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45" s="134"/>
      <c r="DM245" s="134"/>
      <c r="DN245" s="134"/>
      <c r="DO245" s="134"/>
      <c r="DP245" s="134"/>
      <c r="DQ245" s="134"/>
      <c r="DR245" s="134"/>
      <c r="DS245" s="134"/>
      <c r="DT245" s="134"/>
      <c r="DU245" s="134" t="str">
        <f t="array" ref="DU245">IFERROR(INDEX(TABLACONSOLIDADA[Buff Act],MATCH("AGROINSUMOSAGROQUIMICOSSUR"&amp;Tabla_Buffers_Agroinsumos[[#This Row],[CODIGO ]],TABLACONSOLIDADA[Bodega]&amp;TABLACONSOLIDADA[Codigo],0)),"")</f>
        <v/>
      </c>
      <c r="DV245" s="157" t="str">
        <f t="array" ref="DV245">IFERROR(INDEX(TABLACONSOLIDADA[Inv Fís Act],MATCH("AGROINSUMOSAGROQUIMICOSSUR"&amp;Tabla_Buffers_Agroinsumos[[#This Row],[CODIGO ]],TABLACONSOLIDADA[Bodega]&amp;TABLACONSOLIDADA[Codigo],0)),"")</f>
        <v/>
      </c>
      <c r="DW245" s="157" t="str">
        <f t="array" ref="DW24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4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45" s="134">
        <f>IFERROR(SUM(Tabla_Buffers_Agroinsumos[[#This Row],[AS-MP]:[AS-VL]]),"")</f>
        <v>0</v>
      </c>
      <c r="DZ245" s="92" t="str">
        <f>IFERROR(Tabla_Buffers_Agroinsumos[[#This Row],[INV FIS AS]]-Tabla_Buffers_Agroinsumos[[#This Row],[BUFFER AS]],"")</f>
        <v/>
      </c>
      <c r="EA24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45" s="134"/>
      <c r="EC245" s="134"/>
      <c r="ED245" s="134"/>
      <c r="EE245" s="134"/>
      <c r="EF245" s="134"/>
      <c r="EG245" s="134"/>
      <c r="EH245" s="134"/>
      <c r="EI245" s="134"/>
      <c r="EJ245" s="134"/>
      <c r="EK245" s="134" t="str">
        <f t="array" ref="EK245">IFERROR(INDEX(TABLACONSOLIDADA[Buff Act],MATCH("AGROINSUMOSLAFINCA"&amp;Tabla_Buffers_Agroinsumos[[#This Row],[CODIGO ]],TABLACONSOLIDADA[Bodega]&amp;TABLACONSOLIDADA[Codigo],0)),"")</f>
        <v/>
      </c>
      <c r="EL245" s="157" t="str">
        <f t="array" ref="EL245">IFERROR(INDEX(TABLACONSOLIDADA[Inv Fís Act],MATCH("AGROINSUMOSLAFINCA"&amp;Tabla_Buffers_Agroinsumos[[#This Row],[CODIGO ]],TABLACONSOLIDADA[Bodega]&amp;TABLACONSOLIDADA[Codigo],0)),"")</f>
        <v/>
      </c>
      <c r="EM245" s="157" t="str">
        <f t="array" ref="EM24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4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45" s="134">
        <f>IFERROR(SUM(Tabla_Buffers_Agroinsumos[[#This Row],[LF-MP]:[LF-VL]]),"")</f>
        <v>0</v>
      </c>
      <c r="EP245" s="92" t="str">
        <f>IFERROR(Tabla_Buffers_Agroinsumos[[#This Row],[INV FIS LF]]-Tabla_Buffers_Agroinsumos[[#This Row],[BUFFER LF]],"")</f>
        <v/>
      </c>
      <c r="EQ24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45" s="134"/>
      <c r="ES245" s="134"/>
      <c r="ET245" s="134"/>
      <c r="EU245" s="134"/>
      <c r="EV245" s="134"/>
      <c r="EW245" s="134"/>
      <c r="EX245" s="134"/>
      <c r="EY245" s="134"/>
      <c r="EZ245" s="134"/>
      <c r="FA245" s="134" t="str">
        <f t="array" ref="FA245">IFERROR(INDEX(TABLACONSOLIDADA[Buff Act],MATCH("AGROINSUMOSVERONICALEDESMA"&amp;Tabla_Buffers_Agroinsumos[[#This Row],[CODIGO ]],TABLACONSOLIDADA[Bodega]&amp;TABLACONSOLIDADA[Codigo],0)),"")</f>
        <v/>
      </c>
      <c r="FB245" s="157" t="str">
        <f t="array" ref="FB245">IFERROR(INDEX(TABLACONSOLIDADA[Inv Fís Act],MATCH("AGROINSUMOSVERONICALEDESMA"&amp;Tabla_Buffers_Agroinsumos[[#This Row],[CODIGO ]],TABLACONSOLIDADA[Bodega]&amp;TABLACONSOLIDADA[Codigo],0)),"")</f>
        <v/>
      </c>
      <c r="FC245" s="157" t="str">
        <f t="array" ref="FC24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4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45" s="134">
        <f>IFERROR(SUM(Tabla_Buffers_Agroinsumos[[#This Row],[VL-MP]:[VL-LF]]),"")</f>
        <v>0</v>
      </c>
      <c r="FF245" s="92" t="str">
        <f>IFERROR(Tabla_Buffers_Agroinsumos[[#This Row],[INV FIS VL]]-Tabla_Buffers_Agroinsumos[[#This Row],[BUFFER VL]],"")</f>
        <v/>
      </c>
      <c r="FG24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45" s="134"/>
      <c r="FI245" s="134"/>
      <c r="FJ245" s="134"/>
      <c r="FK245" s="134"/>
      <c r="FL245" s="134"/>
      <c r="FM245" s="134"/>
      <c r="FN245" s="134"/>
      <c r="FO245" s="134"/>
      <c r="FP245" s="134"/>
    </row>
    <row r="246" spans="1:172">
      <c r="A246" s="7" t="s">
        <v>426</v>
      </c>
      <c r="B246" s="7" t="s">
        <v>427</v>
      </c>
      <c r="C246" s="7" t="s">
        <v>716</v>
      </c>
      <c r="D246" s="7" t="s">
        <v>718</v>
      </c>
      <c r="E246" s="7" t="s">
        <v>863</v>
      </c>
      <c r="F246" s="19" t="s">
        <v>808</v>
      </c>
      <c r="G246" s="19" t="s">
        <v>802</v>
      </c>
      <c r="H246" s="19">
        <f>VLOOKUP(Tabla_Buffers_Agroinsumos[[#This Row],[CODIGO ]],TABLACONSOLIDADA[[Codigo]:[PV]],6,0)</f>
        <v>0</v>
      </c>
      <c r="I246" s="19">
        <f>VLOOKUP(Tabla_Buffers_Agroinsumos[[#This Row],[CODIGO ]],TABLACONSOLIDADA[[Codigo]:[PV]],5,0)</f>
        <v>0.1</v>
      </c>
      <c r="J246" s="19">
        <v>4</v>
      </c>
      <c r="K246" s="19">
        <v>6</v>
      </c>
      <c r="L246" s="19">
        <f>IFERROR(Tabla_Buffers_Agroinsumos[[#This Row],[BUFFER CENTRAL]]/((Tabla_Buffers_Agroinsumos[[#This Row],[TIEMPO REPOSICION ]]/Tabla_Buffers_Agroinsumos[[#This Row],[FRECUENCIA]])+1),0)</f>
        <v>0</v>
      </c>
      <c r="M246" s="19">
        <f t="array" ref="M246">IFERROR(INDEX(TABLACONSOLIDADA[Buff Act],MATCH("AGROINSUMOSMATERIAPRIMA"&amp;Tabla_Buffers_Agroinsumos[[#This Row],[CODIGO ]],TABLACONSOLIDADA[Bodega]&amp;TABLACONSOLIDADA[Codigo],0)),"")</f>
        <v>500</v>
      </c>
      <c r="N246" s="157">
        <f t="array" ref="N246">IFERROR(INDEX(TABLACONSOLIDADA[Inv Fís Act],MATCH("AGROINSUMOSMATERIAPRIMA"&amp;Tabla_Buffers_Agroinsumos[[#This Row],[CODIGO ]],TABLACONSOLIDADA[Bodega]&amp;TABLACONSOLIDADA[Codigo],0)),"")</f>
        <v>441</v>
      </c>
      <c r="O246" s="157">
        <f t="array" ref="O24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441</v>
      </c>
      <c r="P24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46" s="19">
        <f>IFERROR(SUM(Tabla_Buffers_Agroinsumos[[#This Row],[MP-C]:[MP-VL]]),"")</f>
        <v>0</v>
      </c>
      <c r="R246" s="92">
        <f>IFERROR(Tabla_Buffers_Agroinsumos[[#This Row],[INV FIS MATERIA PRIMA]]-Tabla_Buffers_Agroinsumos[[#This Row],[BUFFER MATERIA PRIMA]],"")</f>
        <v>-59</v>
      </c>
      <c r="S24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-59</v>
      </c>
      <c r="T246" s="19"/>
      <c r="U246" s="19"/>
      <c r="V246" s="19"/>
      <c r="W246" s="19"/>
      <c r="X246" s="19"/>
      <c r="Y246" s="19"/>
      <c r="Z246" s="19"/>
      <c r="AA246" s="19"/>
      <c r="AB246" s="19"/>
      <c r="AC246" s="152" t="str">
        <f t="array" ref="AC246">IFERROR(INDEX(TABLACONSOLIDADA[Buff Act],MATCH("AGROINSUMOSCENTRAL"&amp;Tabla_Buffers_Agroinsumos[[#This Row],[CODIGO ]],TABLACONSOLIDADA[Bodega]&amp;TABLACONSOLIDADA[Codigo],0)),"")</f>
        <v/>
      </c>
      <c r="AD246" s="157" t="str">
        <f t="array" ref="AD246">IFERROR(INDEX(TABLACONSOLIDADA[Inv Fís Act],MATCH("AGROINSUMOSCENTRAL"&amp;Tabla_Buffers_Agroinsumos[[#This Row],[CODIGO ]],TABLACONSOLIDADA[Bodega]&amp;TABLACONSOLIDADA[Codigo],0)),"")</f>
        <v/>
      </c>
      <c r="AE246" s="157" t="str">
        <f t="array" ref="AE24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4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46" s="91">
        <f>IFERROR(SUM(Tabla_Buffers_Agroinsumos[[#This Row],[C-MP]:[C-VL]]),"")</f>
        <v>0</v>
      </c>
      <c r="AH246" s="92" t="str">
        <f>IFERROR(Tabla_Buffers_Agroinsumos[[#This Row],[INV FIS CENTRAL]]-Tabla_Buffers_Agroinsumos[[#This Row],[BUFFER CENTRAL]],"")</f>
        <v/>
      </c>
      <c r="AI24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46" s="134"/>
      <c r="AK246" s="134"/>
      <c r="AL246" s="134"/>
      <c r="AM246" s="134"/>
      <c r="AN246" s="134"/>
      <c r="AO246" s="134"/>
      <c r="AP246" s="134"/>
      <c r="AQ246" s="134"/>
      <c r="AR246" s="134"/>
      <c r="AS246" s="134" t="str">
        <f t="array" ref="AS246">IFERROR(INDEX(TABLACONSOLIDADA[Buff Act],MATCH("AGROINSUMOScentralPROPIA"&amp;Tabla_Buffers_Agroinsumos[[#This Row],[CODIGO ]],TABLACONSOLIDADA[Bodega]&amp;TABLACONSOLIDADA[Codigo],0)),"")</f>
        <v/>
      </c>
      <c r="AT246" s="157" t="str">
        <f t="array" ref="AT246">IFERROR(INDEX(TABLACONSOLIDADA[Inv Fís Act],MATCH("AGROINSUMOScentralPROPIA"&amp;Tabla_Buffers_Agroinsumos[[#This Row],[CODIGO ]],TABLACONSOLIDADA[Bodega]&amp;TABLACONSOLIDADA[Codigo],0)),"")</f>
        <v/>
      </c>
      <c r="AU246" s="157" t="str">
        <f t="array" ref="AU24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4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46" s="134">
        <f>IFERROR(SUM(Tabla_Buffers_Agroinsumos[[#This Row],[P-MP]:[P-VL]]),"")</f>
        <v>0</v>
      </c>
      <c r="AX246" s="92" t="str">
        <f>IFERROR(Tabla_Buffers_Agroinsumos[[#This Row],[INV FIS PROPIA]]-Tabla_Buffers_Agroinsumos[[#This Row],[BUFFER PROPIA]],"")</f>
        <v/>
      </c>
      <c r="AY24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46" s="134"/>
      <c r="BA246" s="134"/>
      <c r="BB246" s="134"/>
      <c r="BC246" s="134"/>
      <c r="BD246" s="134"/>
      <c r="BE246" s="134"/>
      <c r="BF246" s="134"/>
      <c r="BG246" s="134"/>
      <c r="BH246" s="134"/>
      <c r="BI246" s="91" t="str">
        <f t="array" ref="BI246">IFERROR(INDEX(TABLACONSOLIDADA[Buff Act],MATCH("AGROINSUMOSSTODOMINGO"&amp;Tabla_Buffers_Agroinsumos[[#This Row],[CODIGO ]],TABLACONSOLIDADA[Bodega]&amp;TABLACONSOLIDADA[Codigo],0)),"")</f>
        <v/>
      </c>
      <c r="BJ246" s="157" t="str">
        <f t="array" ref="BJ246">IFERROR(INDEX(TABLACONSOLIDADA[Inv Fís Act],MATCH("AGROINSUMOSSTODOMINGO"&amp;Tabla_Buffers_Agroinsumos[[#This Row],[CODIGO ]],TABLACONSOLIDADA[Bodega]&amp;TABLACONSOLIDADA[Codigo],0)),"")</f>
        <v/>
      </c>
      <c r="BK246" s="157" t="str">
        <f t="array" ref="BK24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4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46" s="91">
        <f>IFERROR(SUM(Tabla_Buffers_Agroinsumos[[#This Row],[SD-MP]:[SD-VL]]),"")</f>
        <v>0</v>
      </c>
      <c r="BN246" s="92"/>
      <c r="BO246" s="92"/>
      <c r="BP246" s="134"/>
      <c r="BQ246" s="134"/>
      <c r="BR246" s="134"/>
      <c r="BS246" s="134"/>
      <c r="BT246" s="134"/>
      <c r="BU246" s="134"/>
      <c r="BV246" s="134"/>
      <c r="BW246" s="134"/>
      <c r="BX246" s="134"/>
      <c r="BY246" s="134" t="str">
        <f t="array" ref="BY246">IFERROR(INDEX(TABLACONSOLIDADA[Buff Act],MATCH("AGROINSUMOSMONCAYOLOPEZ"&amp;Tabla_Buffers_Agroinsumos[[#This Row],[CODIGO ]],TABLACONSOLIDADA[Bodega]&amp;TABLACONSOLIDADA[Codigo],0)),"")</f>
        <v/>
      </c>
      <c r="BZ246" s="157" t="str">
        <f t="array" ref="BZ246">IFERROR(INDEX(TABLACONSOLIDADA[Inv Fís Act],MATCH("AGROINSUMOSMONCAYOLOPEZ"&amp;Tabla_Buffers_Agroinsumos[[#This Row],[CODIGO ]],TABLACONSOLIDADA[Bodega]&amp;TABLACONSOLIDADA[Codigo],0)),"")</f>
        <v/>
      </c>
      <c r="CA246" s="157" t="str">
        <f t="array" ref="CA24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4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46" s="134">
        <f>IFERROR(SUM(Tabla_Buffers_Agroinsumos[[#This Row],[ML-MP]:[ML-VL]]),"")</f>
        <v>0</v>
      </c>
      <c r="CD246" s="92" t="str">
        <f>IFERROR(Tabla_Buffers_Agroinsumos[[#This Row],[INV FIS ML]]-Tabla_Buffers_Agroinsumos[[#This Row],[BUFFER ML]],"")</f>
        <v/>
      </c>
      <c r="CE24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46" s="134"/>
      <c r="CG246" s="134"/>
      <c r="CH246" s="134"/>
      <c r="CI246" s="134"/>
      <c r="CJ246" s="134"/>
      <c r="CK246" s="134"/>
      <c r="CL246" s="134"/>
      <c r="CM246" s="134"/>
      <c r="CN246" s="134"/>
      <c r="CO246" s="134" t="str">
        <f t="array" ref="CO246">IFERROR(INDEX(TABLACONSOLIDADA[Buff Act],MATCH("AGROINSUMOSAGROHERMANOSLEON"&amp;Tabla_Buffers_Agroinsumos[[#This Row],[CODIGO ]],TABLACONSOLIDADA[Bodega]&amp;TABLACONSOLIDADA[Codigo],0)),"")</f>
        <v/>
      </c>
      <c r="CP246" s="157" t="str">
        <f t="array" ref="CP246">IFERROR(INDEX(TABLACONSOLIDADA[Inv Fís Act],MATCH("AGROINSUMOSAGROHERMANOSLEON"&amp;Tabla_Buffers_Agroinsumos[[#This Row],[CODIGO ]],TABLACONSOLIDADA[Bodega]&amp;TABLACONSOLIDADA[Codigo],0)),"")</f>
        <v/>
      </c>
      <c r="CQ246" s="157" t="str">
        <f t="array" ref="CQ24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4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46" s="134">
        <f>IFERROR(SUM(Tabla_Buffers_Agroinsumos[[#This Row],[AL-MP]:[AL-VL]]),"")</f>
        <v>0</v>
      </c>
      <c r="CT246" s="92" t="str">
        <f>IFERROR(Tabla_Buffers_Agroinsumos[[#This Row],[INV FIS AL]]-Tabla_Buffers_Agroinsumos[[#This Row],[BUFFER AL]],"")</f>
        <v/>
      </c>
      <c r="CU24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46" s="134"/>
      <c r="CW246" s="134"/>
      <c r="CX246" s="134"/>
      <c r="CY246" s="134"/>
      <c r="CZ246" s="134"/>
      <c r="DA246" s="134"/>
      <c r="DB246" s="134"/>
      <c r="DC246" s="134"/>
      <c r="DD246" s="134"/>
      <c r="DE246" s="134" t="str">
        <f t="array" ref="DE246">IFERROR(INDEX(TABLACONSOLIDADA[Buff Act],MATCH("AGROINSUMOSAGRONUEVO"&amp;Tabla_Buffers_Agroinsumos[[#This Row],[CODIGO ]],TABLACONSOLIDADA[Bodega]&amp;TABLACONSOLIDADA[Codigo],0)),"")</f>
        <v/>
      </c>
      <c r="DF246" s="157" t="str">
        <f t="array" ref="DF246">IFERROR(INDEX(TABLACONSOLIDADA[Inv Fís Act],MATCH("AGROINSUMOSAGRONUEVO"&amp;Tabla_Buffers_Agroinsumos[[#This Row],[CODIGO ]],TABLACONSOLIDADA[Bodega]&amp;TABLACONSOLIDADA[Codigo],0)),"")</f>
        <v/>
      </c>
      <c r="DG246" s="157" t="str">
        <f t="array" ref="DG24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4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46" s="134">
        <f>IFERROR(SUM(Tabla_Buffers_Agroinsumos[[#This Row],[AN-MP]:[AN-VL]]),"")</f>
        <v>0</v>
      </c>
      <c r="DJ246" s="92" t="str">
        <f>IFERROR(Tabla_Buffers_Agroinsumos[[#This Row],[INV FIS AN]]-Tabla_Buffers_Agroinsumos[[#This Row],[BUFFER AN]],"")</f>
        <v/>
      </c>
      <c r="DK24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46" s="134"/>
      <c r="DM246" s="134"/>
      <c r="DN246" s="134"/>
      <c r="DO246" s="134"/>
      <c r="DP246" s="134"/>
      <c r="DQ246" s="134"/>
      <c r="DR246" s="134"/>
      <c r="DS246" s="134"/>
      <c r="DT246" s="134"/>
      <c r="DU246" s="134" t="str">
        <f t="array" ref="DU246">IFERROR(INDEX(TABLACONSOLIDADA[Buff Act],MATCH("AGROINSUMOSAGROQUIMICOSSUR"&amp;Tabla_Buffers_Agroinsumos[[#This Row],[CODIGO ]],TABLACONSOLIDADA[Bodega]&amp;TABLACONSOLIDADA[Codigo],0)),"")</f>
        <v/>
      </c>
      <c r="DV246" s="157" t="str">
        <f t="array" ref="DV246">IFERROR(INDEX(TABLACONSOLIDADA[Inv Fís Act],MATCH("AGROINSUMOSAGROQUIMICOSSUR"&amp;Tabla_Buffers_Agroinsumos[[#This Row],[CODIGO ]],TABLACONSOLIDADA[Bodega]&amp;TABLACONSOLIDADA[Codigo],0)),"")</f>
        <v/>
      </c>
      <c r="DW246" s="157" t="str">
        <f t="array" ref="DW24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4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46" s="134">
        <f>IFERROR(SUM(Tabla_Buffers_Agroinsumos[[#This Row],[AS-MP]:[AS-VL]]),"")</f>
        <v>0</v>
      </c>
      <c r="DZ246" s="92" t="str">
        <f>IFERROR(Tabla_Buffers_Agroinsumos[[#This Row],[INV FIS AS]]-Tabla_Buffers_Agroinsumos[[#This Row],[BUFFER AS]],"")</f>
        <v/>
      </c>
      <c r="EA24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46" s="134"/>
      <c r="EC246" s="134"/>
      <c r="ED246" s="134"/>
      <c r="EE246" s="134"/>
      <c r="EF246" s="134"/>
      <c r="EG246" s="134"/>
      <c r="EH246" s="134"/>
      <c r="EI246" s="134"/>
      <c r="EJ246" s="134"/>
      <c r="EK246" s="134" t="str">
        <f t="array" ref="EK246">IFERROR(INDEX(TABLACONSOLIDADA[Buff Act],MATCH("AGROINSUMOSLAFINCA"&amp;Tabla_Buffers_Agroinsumos[[#This Row],[CODIGO ]],TABLACONSOLIDADA[Bodega]&amp;TABLACONSOLIDADA[Codigo],0)),"")</f>
        <v/>
      </c>
      <c r="EL246" s="157" t="str">
        <f t="array" ref="EL246">IFERROR(INDEX(TABLACONSOLIDADA[Inv Fís Act],MATCH("AGROINSUMOSLAFINCA"&amp;Tabla_Buffers_Agroinsumos[[#This Row],[CODIGO ]],TABLACONSOLIDADA[Bodega]&amp;TABLACONSOLIDADA[Codigo],0)),"")</f>
        <v/>
      </c>
      <c r="EM246" s="157" t="str">
        <f t="array" ref="EM24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4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46" s="134">
        <f>IFERROR(SUM(Tabla_Buffers_Agroinsumos[[#This Row],[LF-MP]:[LF-VL]]),"")</f>
        <v>0</v>
      </c>
      <c r="EP246" s="92" t="str">
        <f>IFERROR(Tabla_Buffers_Agroinsumos[[#This Row],[INV FIS LF]]-Tabla_Buffers_Agroinsumos[[#This Row],[BUFFER LF]],"")</f>
        <v/>
      </c>
      <c r="EQ24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46" s="134"/>
      <c r="ES246" s="134"/>
      <c r="ET246" s="134"/>
      <c r="EU246" s="134"/>
      <c r="EV246" s="134"/>
      <c r="EW246" s="134"/>
      <c r="EX246" s="134"/>
      <c r="EY246" s="134"/>
      <c r="EZ246" s="134"/>
      <c r="FA246" s="134" t="str">
        <f t="array" ref="FA246">IFERROR(INDEX(TABLACONSOLIDADA[Buff Act],MATCH("AGROINSUMOSVERONICALEDESMA"&amp;Tabla_Buffers_Agroinsumos[[#This Row],[CODIGO ]],TABLACONSOLIDADA[Bodega]&amp;TABLACONSOLIDADA[Codigo],0)),"")</f>
        <v/>
      </c>
      <c r="FB246" s="157" t="str">
        <f t="array" ref="FB246">IFERROR(INDEX(TABLACONSOLIDADA[Inv Fís Act],MATCH("AGROINSUMOSVERONICALEDESMA"&amp;Tabla_Buffers_Agroinsumos[[#This Row],[CODIGO ]],TABLACONSOLIDADA[Bodega]&amp;TABLACONSOLIDADA[Codigo],0)),"")</f>
        <v/>
      </c>
      <c r="FC246" s="157" t="str">
        <f t="array" ref="FC24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4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46" s="134">
        <f>IFERROR(SUM(Tabla_Buffers_Agroinsumos[[#This Row],[VL-MP]:[VL-LF]]),"")</f>
        <v>0</v>
      </c>
      <c r="FF246" s="92" t="str">
        <f>IFERROR(Tabla_Buffers_Agroinsumos[[#This Row],[INV FIS VL]]-Tabla_Buffers_Agroinsumos[[#This Row],[BUFFER VL]],"")</f>
        <v/>
      </c>
      <c r="FG24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46" s="134"/>
      <c r="FI246" s="134"/>
      <c r="FJ246" s="134"/>
      <c r="FK246" s="134"/>
      <c r="FL246" s="134"/>
      <c r="FM246" s="134"/>
      <c r="FN246" s="134"/>
      <c r="FO246" s="134"/>
      <c r="FP246" s="134"/>
    </row>
    <row r="247" spans="1:172">
      <c r="A247" s="7" t="s">
        <v>428</v>
      </c>
      <c r="B247" s="7" t="s">
        <v>429</v>
      </c>
      <c r="C247" s="7" t="s">
        <v>716</v>
      </c>
      <c r="D247" s="7" t="s">
        <v>718</v>
      </c>
      <c r="E247" s="7" t="s">
        <v>863</v>
      </c>
      <c r="F247" s="19" t="s">
        <v>808</v>
      </c>
      <c r="G247" s="19" t="s">
        <v>802</v>
      </c>
      <c r="H247" s="19">
        <f>VLOOKUP(Tabla_Buffers_Agroinsumos[[#This Row],[CODIGO ]],TABLACONSOLIDADA[[Codigo]:[PV]],6,0)</f>
        <v>0</v>
      </c>
      <c r="I247" s="19">
        <f>VLOOKUP(Tabla_Buffers_Agroinsumos[[#This Row],[CODIGO ]],TABLACONSOLIDADA[[Codigo]:[PV]],5,0)</f>
        <v>0.1</v>
      </c>
      <c r="J247" s="19">
        <v>4</v>
      </c>
      <c r="K247" s="19">
        <v>6</v>
      </c>
      <c r="L247" s="19">
        <f>IFERROR(Tabla_Buffers_Agroinsumos[[#This Row],[BUFFER CENTRAL]]/((Tabla_Buffers_Agroinsumos[[#This Row],[TIEMPO REPOSICION ]]/Tabla_Buffers_Agroinsumos[[#This Row],[FRECUENCIA]])+1),0)</f>
        <v>0</v>
      </c>
      <c r="M247" s="19">
        <f t="array" ref="M247">IFERROR(INDEX(TABLACONSOLIDADA[Buff Act],MATCH("AGROINSUMOSMATERIAPRIMA"&amp;Tabla_Buffers_Agroinsumos[[#This Row],[CODIGO ]],TABLACONSOLIDADA[Bodega]&amp;TABLACONSOLIDADA[Codigo],0)),"")</f>
        <v>0</v>
      </c>
      <c r="N247" s="157">
        <f t="array" ref="N247">IFERROR(INDEX(TABLACONSOLIDADA[Inv Fís Act],MATCH("AGROINSUMOSMATERIAPRIMA"&amp;Tabla_Buffers_Agroinsumos[[#This Row],[CODIGO ]],TABLACONSOLIDADA[Bodega]&amp;TABLACONSOLIDADA[Codigo],0)),"")</f>
        <v>599</v>
      </c>
      <c r="O247" s="157">
        <f t="array" ref="O24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599</v>
      </c>
      <c r="P24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47" s="19">
        <f>IFERROR(SUM(Tabla_Buffers_Agroinsumos[[#This Row],[MP-C]:[MP-VL]]),"")</f>
        <v>0</v>
      </c>
      <c r="R247" s="92">
        <f>IFERROR(Tabla_Buffers_Agroinsumos[[#This Row],[INV FIS MATERIA PRIMA]]-Tabla_Buffers_Agroinsumos[[#This Row],[BUFFER MATERIA PRIMA]],"")</f>
        <v>599</v>
      </c>
      <c r="S24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599</v>
      </c>
      <c r="T247" s="19"/>
      <c r="U247" s="19"/>
      <c r="V247" s="19"/>
      <c r="W247" s="19"/>
      <c r="X247" s="19"/>
      <c r="Y247" s="19"/>
      <c r="Z247" s="19"/>
      <c r="AA247" s="19"/>
      <c r="AB247" s="19"/>
      <c r="AC247" s="152" t="str">
        <f t="array" ref="AC247">IFERROR(INDEX(TABLACONSOLIDADA[Buff Act],MATCH("AGROINSUMOSCENTRAL"&amp;Tabla_Buffers_Agroinsumos[[#This Row],[CODIGO ]],TABLACONSOLIDADA[Bodega]&amp;TABLACONSOLIDADA[Codigo],0)),"")</f>
        <v/>
      </c>
      <c r="AD247" s="157" t="str">
        <f t="array" ref="AD247">IFERROR(INDEX(TABLACONSOLIDADA[Inv Fís Act],MATCH("AGROINSUMOSCENTRAL"&amp;Tabla_Buffers_Agroinsumos[[#This Row],[CODIGO ]],TABLACONSOLIDADA[Bodega]&amp;TABLACONSOLIDADA[Codigo],0)),"")</f>
        <v/>
      </c>
      <c r="AE247" s="157" t="str">
        <f t="array" ref="AE24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4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47" s="91">
        <f>IFERROR(SUM(Tabla_Buffers_Agroinsumos[[#This Row],[C-MP]:[C-VL]]),"")</f>
        <v>0</v>
      </c>
      <c r="AH247" s="92" t="str">
        <f>IFERROR(Tabla_Buffers_Agroinsumos[[#This Row],[INV FIS CENTRAL]]-Tabla_Buffers_Agroinsumos[[#This Row],[BUFFER CENTRAL]],"")</f>
        <v/>
      </c>
      <c r="AI24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47" s="134"/>
      <c r="AK247" s="134"/>
      <c r="AL247" s="134"/>
      <c r="AM247" s="134"/>
      <c r="AN247" s="134"/>
      <c r="AO247" s="134"/>
      <c r="AP247" s="134"/>
      <c r="AQ247" s="134"/>
      <c r="AR247" s="134"/>
      <c r="AS247" s="134" t="str">
        <f t="array" ref="AS247">IFERROR(INDEX(TABLACONSOLIDADA[Buff Act],MATCH("AGROINSUMOScentralPROPIA"&amp;Tabla_Buffers_Agroinsumos[[#This Row],[CODIGO ]],TABLACONSOLIDADA[Bodega]&amp;TABLACONSOLIDADA[Codigo],0)),"")</f>
        <v/>
      </c>
      <c r="AT247" s="157" t="str">
        <f t="array" ref="AT247">IFERROR(INDEX(TABLACONSOLIDADA[Inv Fís Act],MATCH("AGROINSUMOScentralPROPIA"&amp;Tabla_Buffers_Agroinsumos[[#This Row],[CODIGO ]],TABLACONSOLIDADA[Bodega]&amp;TABLACONSOLIDADA[Codigo],0)),"")</f>
        <v/>
      </c>
      <c r="AU247" s="157" t="str">
        <f t="array" ref="AU24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4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47" s="134">
        <f>IFERROR(SUM(Tabla_Buffers_Agroinsumos[[#This Row],[P-MP]:[P-VL]]),"")</f>
        <v>0</v>
      </c>
      <c r="AX247" s="92" t="str">
        <f>IFERROR(Tabla_Buffers_Agroinsumos[[#This Row],[INV FIS PROPIA]]-Tabla_Buffers_Agroinsumos[[#This Row],[BUFFER PROPIA]],"")</f>
        <v/>
      </c>
      <c r="AY24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47" s="134"/>
      <c r="BA247" s="134"/>
      <c r="BB247" s="134"/>
      <c r="BC247" s="134"/>
      <c r="BD247" s="134"/>
      <c r="BE247" s="134"/>
      <c r="BF247" s="134"/>
      <c r="BG247" s="134"/>
      <c r="BH247" s="134"/>
      <c r="BI247" s="91" t="str">
        <f t="array" ref="BI247">IFERROR(INDEX(TABLACONSOLIDADA[Buff Act],MATCH("AGROINSUMOSSTODOMINGO"&amp;Tabla_Buffers_Agroinsumos[[#This Row],[CODIGO ]],TABLACONSOLIDADA[Bodega]&amp;TABLACONSOLIDADA[Codigo],0)),"")</f>
        <v/>
      </c>
      <c r="BJ247" s="157" t="str">
        <f t="array" ref="BJ247">IFERROR(INDEX(TABLACONSOLIDADA[Inv Fís Act],MATCH("AGROINSUMOSSTODOMINGO"&amp;Tabla_Buffers_Agroinsumos[[#This Row],[CODIGO ]],TABLACONSOLIDADA[Bodega]&amp;TABLACONSOLIDADA[Codigo],0)),"")</f>
        <v/>
      </c>
      <c r="BK247" s="157" t="str">
        <f t="array" ref="BK24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4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47" s="91">
        <f>IFERROR(SUM(Tabla_Buffers_Agroinsumos[[#This Row],[SD-MP]:[SD-VL]]),"")</f>
        <v>0</v>
      </c>
      <c r="BN247" s="92"/>
      <c r="BO247" s="92"/>
      <c r="BP247" s="134"/>
      <c r="BQ247" s="134"/>
      <c r="BR247" s="134"/>
      <c r="BS247" s="134"/>
      <c r="BT247" s="134"/>
      <c r="BU247" s="134"/>
      <c r="BV247" s="134"/>
      <c r="BW247" s="134"/>
      <c r="BX247" s="134"/>
      <c r="BY247" s="134" t="str">
        <f t="array" ref="BY247">IFERROR(INDEX(TABLACONSOLIDADA[Buff Act],MATCH("AGROINSUMOSMONCAYOLOPEZ"&amp;Tabla_Buffers_Agroinsumos[[#This Row],[CODIGO ]],TABLACONSOLIDADA[Bodega]&amp;TABLACONSOLIDADA[Codigo],0)),"")</f>
        <v/>
      </c>
      <c r="BZ247" s="157" t="str">
        <f t="array" ref="BZ247">IFERROR(INDEX(TABLACONSOLIDADA[Inv Fís Act],MATCH("AGROINSUMOSMONCAYOLOPEZ"&amp;Tabla_Buffers_Agroinsumos[[#This Row],[CODIGO ]],TABLACONSOLIDADA[Bodega]&amp;TABLACONSOLIDADA[Codigo],0)),"")</f>
        <v/>
      </c>
      <c r="CA247" s="157" t="str">
        <f t="array" ref="CA24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4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47" s="134">
        <f>IFERROR(SUM(Tabla_Buffers_Agroinsumos[[#This Row],[ML-MP]:[ML-VL]]),"")</f>
        <v>0</v>
      </c>
      <c r="CD247" s="92" t="str">
        <f>IFERROR(Tabla_Buffers_Agroinsumos[[#This Row],[INV FIS ML]]-Tabla_Buffers_Agroinsumos[[#This Row],[BUFFER ML]],"")</f>
        <v/>
      </c>
      <c r="CE24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47" s="134"/>
      <c r="CG247" s="134"/>
      <c r="CH247" s="134"/>
      <c r="CI247" s="134"/>
      <c r="CJ247" s="134"/>
      <c r="CK247" s="134"/>
      <c r="CL247" s="134"/>
      <c r="CM247" s="134"/>
      <c r="CN247" s="134"/>
      <c r="CO247" s="134" t="str">
        <f t="array" ref="CO247">IFERROR(INDEX(TABLACONSOLIDADA[Buff Act],MATCH("AGROINSUMOSAGROHERMANOSLEON"&amp;Tabla_Buffers_Agroinsumos[[#This Row],[CODIGO ]],TABLACONSOLIDADA[Bodega]&amp;TABLACONSOLIDADA[Codigo],0)),"")</f>
        <v/>
      </c>
      <c r="CP247" s="157" t="str">
        <f t="array" ref="CP247">IFERROR(INDEX(TABLACONSOLIDADA[Inv Fís Act],MATCH("AGROINSUMOSAGROHERMANOSLEON"&amp;Tabla_Buffers_Agroinsumos[[#This Row],[CODIGO ]],TABLACONSOLIDADA[Bodega]&amp;TABLACONSOLIDADA[Codigo],0)),"")</f>
        <v/>
      </c>
      <c r="CQ247" s="157" t="str">
        <f t="array" ref="CQ24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4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47" s="134">
        <f>IFERROR(SUM(Tabla_Buffers_Agroinsumos[[#This Row],[AL-MP]:[AL-VL]]),"")</f>
        <v>0</v>
      </c>
      <c r="CT247" s="92" t="str">
        <f>IFERROR(Tabla_Buffers_Agroinsumos[[#This Row],[INV FIS AL]]-Tabla_Buffers_Agroinsumos[[#This Row],[BUFFER AL]],"")</f>
        <v/>
      </c>
      <c r="CU24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47" s="134"/>
      <c r="CW247" s="134"/>
      <c r="CX247" s="134"/>
      <c r="CY247" s="134"/>
      <c r="CZ247" s="134"/>
      <c r="DA247" s="134"/>
      <c r="DB247" s="134"/>
      <c r="DC247" s="134"/>
      <c r="DD247" s="134"/>
      <c r="DE247" s="134" t="str">
        <f t="array" ref="DE247">IFERROR(INDEX(TABLACONSOLIDADA[Buff Act],MATCH("AGROINSUMOSAGRONUEVO"&amp;Tabla_Buffers_Agroinsumos[[#This Row],[CODIGO ]],TABLACONSOLIDADA[Bodega]&amp;TABLACONSOLIDADA[Codigo],0)),"")</f>
        <v/>
      </c>
      <c r="DF247" s="157" t="str">
        <f t="array" ref="DF247">IFERROR(INDEX(TABLACONSOLIDADA[Inv Fís Act],MATCH("AGROINSUMOSAGRONUEVO"&amp;Tabla_Buffers_Agroinsumos[[#This Row],[CODIGO ]],TABLACONSOLIDADA[Bodega]&amp;TABLACONSOLIDADA[Codigo],0)),"")</f>
        <v/>
      </c>
      <c r="DG247" s="157" t="str">
        <f t="array" ref="DG24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4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47" s="134">
        <f>IFERROR(SUM(Tabla_Buffers_Agroinsumos[[#This Row],[AN-MP]:[AN-VL]]),"")</f>
        <v>0</v>
      </c>
      <c r="DJ247" s="92" t="str">
        <f>IFERROR(Tabla_Buffers_Agroinsumos[[#This Row],[INV FIS AN]]-Tabla_Buffers_Agroinsumos[[#This Row],[BUFFER AN]],"")</f>
        <v/>
      </c>
      <c r="DK24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47" s="134"/>
      <c r="DM247" s="134"/>
      <c r="DN247" s="134"/>
      <c r="DO247" s="134"/>
      <c r="DP247" s="134"/>
      <c r="DQ247" s="134"/>
      <c r="DR247" s="134"/>
      <c r="DS247" s="134"/>
      <c r="DT247" s="134"/>
      <c r="DU247" s="134" t="str">
        <f t="array" ref="DU247">IFERROR(INDEX(TABLACONSOLIDADA[Buff Act],MATCH("AGROINSUMOSAGROQUIMICOSSUR"&amp;Tabla_Buffers_Agroinsumos[[#This Row],[CODIGO ]],TABLACONSOLIDADA[Bodega]&amp;TABLACONSOLIDADA[Codigo],0)),"")</f>
        <v/>
      </c>
      <c r="DV247" s="157" t="str">
        <f t="array" ref="DV247">IFERROR(INDEX(TABLACONSOLIDADA[Inv Fís Act],MATCH("AGROINSUMOSAGROQUIMICOSSUR"&amp;Tabla_Buffers_Agroinsumos[[#This Row],[CODIGO ]],TABLACONSOLIDADA[Bodega]&amp;TABLACONSOLIDADA[Codigo],0)),"")</f>
        <v/>
      </c>
      <c r="DW247" s="157" t="str">
        <f t="array" ref="DW24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4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47" s="134">
        <f>IFERROR(SUM(Tabla_Buffers_Agroinsumos[[#This Row],[AS-MP]:[AS-VL]]),"")</f>
        <v>0</v>
      </c>
      <c r="DZ247" s="92" t="str">
        <f>IFERROR(Tabla_Buffers_Agroinsumos[[#This Row],[INV FIS AS]]-Tabla_Buffers_Agroinsumos[[#This Row],[BUFFER AS]],"")</f>
        <v/>
      </c>
      <c r="EA24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47" s="134"/>
      <c r="EC247" s="134"/>
      <c r="ED247" s="134"/>
      <c r="EE247" s="134"/>
      <c r="EF247" s="134"/>
      <c r="EG247" s="134"/>
      <c r="EH247" s="134"/>
      <c r="EI247" s="134"/>
      <c r="EJ247" s="134"/>
      <c r="EK247" s="134" t="str">
        <f t="array" ref="EK247">IFERROR(INDEX(TABLACONSOLIDADA[Buff Act],MATCH("AGROINSUMOSLAFINCA"&amp;Tabla_Buffers_Agroinsumos[[#This Row],[CODIGO ]],TABLACONSOLIDADA[Bodega]&amp;TABLACONSOLIDADA[Codigo],0)),"")</f>
        <v/>
      </c>
      <c r="EL247" s="157" t="str">
        <f t="array" ref="EL247">IFERROR(INDEX(TABLACONSOLIDADA[Inv Fís Act],MATCH("AGROINSUMOSLAFINCA"&amp;Tabla_Buffers_Agroinsumos[[#This Row],[CODIGO ]],TABLACONSOLIDADA[Bodega]&amp;TABLACONSOLIDADA[Codigo],0)),"")</f>
        <v/>
      </c>
      <c r="EM247" s="157" t="str">
        <f t="array" ref="EM24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4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47" s="134">
        <f>IFERROR(SUM(Tabla_Buffers_Agroinsumos[[#This Row],[LF-MP]:[LF-VL]]),"")</f>
        <v>0</v>
      </c>
      <c r="EP247" s="92" t="str">
        <f>IFERROR(Tabla_Buffers_Agroinsumos[[#This Row],[INV FIS LF]]-Tabla_Buffers_Agroinsumos[[#This Row],[BUFFER LF]],"")</f>
        <v/>
      </c>
      <c r="EQ24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47" s="134"/>
      <c r="ES247" s="134"/>
      <c r="ET247" s="134"/>
      <c r="EU247" s="134"/>
      <c r="EV247" s="134"/>
      <c r="EW247" s="134"/>
      <c r="EX247" s="134"/>
      <c r="EY247" s="134"/>
      <c r="EZ247" s="134"/>
      <c r="FA247" s="134" t="str">
        <f t="array" ref="FA247">IFERROR(INDEX(TABLACONSOLIDADA[Buff Act],MATCH("AGROINSUMOSVERONICALEDESMA"&amp;Tabla_Buffers_Agroinsumos[[#This Row],[CODIGO ]],TABLACONSOLIDADA[Bodega]&amp;TABLACONSOLIDADA[Codigo],0)),"")</f>
        <v/>
      </c>
      <c r="FB247" s="157" t="str">
        <f t="array" ref="FB247">IFERROR(INDEX(TABLACONSOLIDADA[Inv Fís Act],MATCH("AGROINSUMOSVERONICALEDESMA"&amp;Tabla_Buffers_Agroinsumos[[#This Row],[CODIGO ]],TABLACONSOLIDADA[Bodega]&amp;TABLACONSOLIDADA[Codigo],0)),"")</f>
        <v/>
      </c>
      <c r="FC247" s="157" t="str">
        <f t="array" ref="FC24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4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47" s="134">
        <f>IFERROR(SUM(Tabla_Buffers_Agroinsumos[[#This Row],[VL-MP]:[VL-LF]]),"")</f>
        <v>0</v>
      </c>
      <c r="FF247" s="92" t="str">
        <f>IFERROR(Tabla_Buffers_Agroinsumos[[#This Row],[INV FIS VL]]-Tabla_Buffers_Agroinsumos[[#This Row],[BUFFER VL]],"")</f>
        <v/>
      </c>
      <c r="FG24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47" s="134"/>
      <c r="FI247" s="134"/>
      <c r="FJ247" s="134"/>
      <c r="FK247" s="134"/>
      <c r="FL247" s="134"/>
      <c r="FM247" s="134"/>
      <c r="FN247" s="134"/>
      <c r="FO247" s="134"/>
      <c r="FP247" s="134"/>
    </row>
    <row r="248" spans="1:172">
      <c r="A248" s="7" t="s">
        <v>430</v>
      </c>
      <c r="B248" s="7" t="s">
        <v>431</v>
      </c>
      <c r="C248" s="7" t="s">
        <v>716</v>
      </c>
      <c r="D248" s="7" t="s">
        <v>718</v>
      </c>
      <c r="E248" s="7" t="s">
        <v>863</v>
      </c>
      <c r="F248" s="19" t="s">
        <v>808</v>
      </c>
      <c r="G248" s="19" t="s">
        <v>802</v>
      </c>
      <c r="H248" s="19">
        <f>VLOOKUP(Tabla_Buffers_Agroinsumos[[#This Row],[CODIGO ]],TABLACONSOLIDADA[[Codigo]:[PV]],6,0)</f>
        <v>0</v>
      </c>
      <c r="I248" s="19">
        <f>VLOOKUP(Tabla_Buffers_Agroinsumos[[#This Row],[CODIGO ]],TABLACONSOLIDADA[[Codigo]:[PV]],5,0)</f>
        <v>0.13</v>
      </c>
      <c r="J248" s="19">
        <v>4</v>
      </c>
      <c r="K248" s="19">
        <v>6</v>
      </c>
      <c r="L248" s="19">
        <f>IFERROR(Tabla_Buffers_Agroinsumos[[#This Row],[BUFFER CENTRAL]]/((Tabla_Buffers_Agroinsumos[[#This Row],[TIEMPO REPOSICION ]]/Tabla_Buffers_Agroinsumos[[#This Row],[FRECUENCIA]])+1),0)</f>
        <v>0</v>
      </c>
      <c r="M248" s="19">
        <f t="array" ref="M248">IFERROR(INDEX(TABLACONSOLIDADA[Buff Act],MATCH("AGROINSUMOSMATERIAPRIMA"&amp;Tabla_Buffers_Agroinsumos[[#This Row],[CODIGO ]],TABLACONSOLIDADA[Bodega]&amp;TABLACONSOLIDADA[Codigo],0)),"")</f>
        <v>500</v>
      </c>
      <c r="N248" s="157">
        <f t="array" ref="N248">IFERROR(INDEX(TABLACONSOLIDADA[Inv Fís Act],MATCH("AGROINSUMOSMATERIAPRIMA"&amp;Tabla_Buffers_Agroinsumos[[#This Row],[CODIGO ]],TABLACONSOLIDADA[Bodega]&amp;TABLACONSOLIDADA[Codigo],0)),"")</f>
        <v>896</v>
      </c>
      <c r="O248" s="157">
        <f t="array" ref="O24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896</v>
      </c>
      <c r="P24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48" s="19">
        <f>IFERROR(SUM(Tabla_Buffers_Agroinsumos[[#This Row],[MP-C]:[MP-VL]]),"")</f>
        <v>0</v>
      </c>
      <c r="R248" s="92">
        <f>IFERROR(Tabla_Buffers_Agroinsumos[[#This Row],[INV FIS MATERIA PRIMA]]-Tabla_Buffers_Agroinsumos[[#This Row],[BUFFER MATERIA PRIMA]],"")</f>
        <v>396</v>
      </c>
      <c r="S24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396</v>
      </c>
      <c r="T248" s="19"/>
      <c r="U248" s="19"/>
      <c r="V248" s="19"/>
      <c r="W248" s="19"/>
      <c r="X248" s="19"/>
      <c r="Y248" s="19"/>
      <c r="Z248" s="19"/>
      <c r="AA248" s="19"/>
      <c r="AB248" s="19"/>
      <c r="AC248" s="152" t="str">
        <f t="array" ref="AC248">IFERROR(INDEX(TABLACONSOLIDADA[Buff Act],MATCH("AGROINSUMOSCENTRAL"&amp;Tabla_Buffers_Agroinsumos[[#This Row],[CODIGO ]],TABLACONSOLIDADA[Bodega]&amp;TABLACONSOLIDADA[Codigo],0)),"")</f>
        <v/>
      </c>
      <c r="AD248" s="157" t="str">
        <f t="array" ref="AD248">IFERROR(INDEX(TABLACONSOLIDADA[Inv Fís Act],MATCH("AGROINSUMOSCENTRAL"&amp;Tabla_Buffers_Agroinsumos[[#This Row],[CODIGO ]],TABLACONSOLIDADA[Bodega]&amp;TABLACONSOLIDADA[Codigo],0)),"")</f>
        <v/>
      </c>
      <c r="AE248" s="157" t="str">
        <f t="array" ref="AE24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4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48" s="91">
        <f>IFERROR(SUM(Tabla_Buffers_Agroinsumos[[#This Row],[C-MP]:[C-VL]]),"")</f>
        <v>0</v>
      </c>
      <c r="AH248" s="92" t="str">
        <f>IFERROR(Tabla_Buffers_Agroinsumos[[#This Row],[INV FIS CENTRAL]]-Tabla_Buffers_Agroinsumos[[#This Row],[BUFFER CENTRAL]],"")</f>
        <v/>
      </c>
      <c r="AI24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48" s="134"/>
      <c r="AK248" s="134"/>
      <c r="AL248" s="134"/>
      <c r="AM248" s="134"/>
      <c r="AN248" s="134"/>
      <c r="AO248" s="134"/>
      <c r="AP248" s="134"/>
      <c r="AQ248" s="134"/>
      <c r="AR248" s="134"/>
      <c r="AS248" s="134" t="str">
        <f t="array" ref="AS248">IFERROR(INDEX(TABLACONSOLIDADA[Buff Act],MATCH("AGROINSUMOScentralPROPIA"&amp;Tabla_Buffers_Agroinsumos[[#This Row],[CODIGO ]],TABLACONSOLIDADA[Bodega]&amp;TABLACONSOLIDADA[Codigo],0)),"")</f>
        <v/>
      </c>
      <c r="AT248" s="157" t="str">
        <f t="array" ref="AT248">IFERROR(INDEX(TABLACONSOLIDADA[Inv Fís Act],MATCH("AGROINSUMOScentralPROPIA"&amp;Tabla_Buffers_Agroinsumos[[#This Row],[CODIGO ]],TABLACONSOLIDADA[Bodega]&amp;TABLACONSOLIDADA[Codigo],0)),"")</f>
        <v/>
      </c>
      <c r="AU248" s="157" t="str">
        <f t="array" ref="AU24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4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48" s="134">
        <f>IFERROR(SUM(Tabla_Buffers_Agroinsumos[[#This Row],[P-MP]:[P-VL]]),"")</f>
        <v>0</v>
      </c>
      <c r="AX248" s="92" t="str">
        <f>IFERROR(Tabla_Buffers_Agroinsumos[[#This Row],[INV FIS PROPIA]]-Tabla_Buffers_Agroinsumos[[#This Row],[BUFFER PROPIA]],"")</f>
        <v/>
      </c>
      <c r="AY24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48" s="134"/>
      <c r="BA248" s="134"/>
      <c r="BB248" s="134"/>
      <c r="BC248" s="134"/>
      <c r="BD248" s="134"/>
      <c r="BE248" s="134"/>
      <c r="BF248" s="134"/>
      <c r="BG248" s="134"/>
      <c r="BH248" s="134"/>
      <c r="BI248" s="91" t="str">
        <f t="array" ref="BI248">IFERROR(INDEX(TABLACONSOLIDADA[Buff Act],MATCH("AGROINSUMOSSTODOMINGO"&amp;Tabla_Buffers_Agroinsumos[[#This Row],[CODIGO ]],TABLACONSOLIDADA[Bodega]&amp;TABLACONSOLIDADA[Codigo],0)),"")</f>
        <v/>
      </c>
      <c r="BJ248" s="157" t="str">
        <f t="array" ref="BJ248">IFERROR(INDEX(TABLACONSOLIDADA[Inv Fís Act],MATCH("AGROINSUMOSSTODOMINGO"&amp;Tabla_Buffers_Agroinsumos[[#This Row],[CODIGO ]],TABLACONSOLIDADA[Bodega]&amp;TABLACONSOLIDADA[Codigo],0)),"")</f>
        <v/>
      </c>
      <c r="BK248" s="157" t="str">
        <f t="array" ref="BK24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4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48" s="91">
        <f>IFERROR(SUM(Tabla_Buffers_Agroinsumos[[#This Row],[SD-MP]:[SD-VL]]),"")</f>
        <v>0</v>
      </c>
      <c r="BN248" s="92"/>
      <c r="BO248" s="92"/>
      <c r="BP248" s="134"/>
      <c r="BQ248" s="134"/>
      <c r="BR248" s="134"/>
      <c r="BS248" s="134"/>
      <c r="BT248" s="134"/>
      <c r="BU248" s="134"/>
      <c r="BV248" s="134"/>
      <c r="BW248" s="134"/>
      <c r="BX248" s="134"/>
      <c r="BY248" s="134" t="str">
        <f t="array" ref="BY248">IFERROR(INDEX(TABLACONSOLIDADA[Buff Act],MATCH("AGROINSUMOSMONCAYOLOPEZ"&amp;Tabla_Buffers_Agroinsumos[[#This Row],[CODIGO ]],TABLACONSOLIDADA[Bodega]&amp;TABLACONSOLIDADA[Codigo],0)),"")</f>
        <v/>
      </c>
      <c r="BZ248" s="157" t="str">
        <f t="array" ref="BZ248">IFERROR(INDEX(TABLACONSOLIDADA[Inv Fís Act],MATCH("AGROINSUMOSMONCAYOLOPEZ"&amp;Tabla_Buffers_Agroinsumos[[#This Row],[CODIGO ]],TABLACONSOLIDADA[Bodega]&amp;TABLACONSOLIDADA[Codigo],0)),"")</f>
        <v/>
      </c>
      <c r="CA248" s="157" t="str">
        <f t="array" ref="CA24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4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48" s="134">
        <f>IFERROR(SUM(Tabla_Buffers_Agroinsumos[[#This Row],[ML-MP]:[ML-VL]]),"")</f>
        <v>0</v>
      </c>
      <c r="CD248" s="92" t="str">
        <f>IFERROR(Tabla_Buffers_Agroinsumos[[#This Row],[INV FIS ML]]-Tabla_Buffers_Agroinsumos[[#This Row],[BUFFER ML]],"")</f>
        <v/>
      </c>
      <c r="CE24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48" s="134"/>
      <c r="CG248" s="134"/>
      <c r="CH248" s="134"/>
      <c r="CI248" s="134"/>
      <c r="CJ248" s="134"/>
      <c r="CK248" s="134"/>
      <c r="CL248" s="134"/>
      <c r="CM248" s="134"/>
      <c r="CN248" s="134"/>
      <c r="CO248" s="134" t="str">
        <f t="array" ref="CO248">IFERROR(INDEX(TABLACONSOLIDADA[Buff Act],MATCH("AGROINSUMOSAGROHERMANOSLEON"&amp;Tabla_Buffers_Agroinsumos[[#This Row],[CODIGO ]],TABLACONSOLIDADA[Bodega]&amp;TABLACONSOLIDADA[Codigo],0)),"")</f>
        <v/>
      </c>
      <c r="CP248" s="157" t="str">
        <f t="array" ref="CP248">IFERROR(INDEX(TABLACONSOLIDADA[Inv Fís Act],MATCH("AGROINSUMOSAGROHERMANOSLEON"&amp;Tabla_Buffers_Agroinsumos[[#This Row],[CODIGO ]],TABLACONSOLIDADA[Bodega]&amp;TABLACONSOLIDADA[Codigo],0)),"")</f>
        <v/>
      </c>
      <c r="CQ248" s="157" t="str">
        <f t="array" ref="CQ24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4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48" s="134">
        <f>IFERROR(SUM(Tabla_Buffers_Agroinsumos[[#This Row],[AL-MP]:[AL-VL]]),"")</f>
        <v>0</v>
      </c>
      <c r="CT248" s="92" t="str">
        <f>IFERROR(Tabla_Buffers_Agroinsumos[[#This Row],[INV FIS AL]]-Tabla_Buffers_Agroinsumos[[#This Row],[BUFFER AL]],"")</f>
        <v/>
      </c>
      <c r="CU24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48" s="134"/>
      <c r="CW248" s="134"/>
      <c r="CX248" s="134"/>
      <c r="CY248" s="134"/>
      <c r="CZ248" s="134"/>
      <c r="DA248" s="134"/>
      <c r="DB248" s="134"/>
      <c r="DC248" s="134"/>
      <c r="DD248" s="134"/>
      <c r="DE248" s="134" t="str">
        <f t="array" ref="DE248">IFERROR(INDEX(TABLACONSOLIDADA[Buff Act],MATCH("AGROINSUMOSAGRONUEVO"&amp;Tabla_Buffers_Agroinsumos[[#This Row],[CODIGO ]],TABLACONSOLIDADA[Bodega]&amp;TABLACONSOLIDADA[Codigo],0)),"")</f>
        <v/>
      </c>
      <c r="DF248" s="157" t="str">
        <f t="array" ref="DF248">IFERROR(INDEX(TABLACONSOLIDADA[Inv Fís Act],MATCH("AGROINSUMOSAGRONUEVO"&amp;Tabla_Buffers_Agroinsumos[[#This Row],[CODIGO ]],TABLACONSOLIDADA[Bodega]&amp;TABLACONSOLIDADA[Codigo],0)),"")</f>
        <v/>
      </c>
      <c r="DG248" s="157" t="str">
        <f t="array" ref="DG24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4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48" s="134">
        <f>IFERROR(SUM(Tabla_Buffers_Agroinsumos[[#This Row],[AN-MP]:[AN-VL]]),"")</f>
        <v>0</v>
      </c>
      <c r="DJ248" s="92" t="str">
        <f>IFERROR(Tabla_Buffers_Agroinsumos[[#This Row],[INV FIS AN]]-Tabla_Buffers_Agroinsumos[[#This Row],[BUFFER AN]],"")</f>
        <v/>
      </c>
      <c r="DK24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48" s="134"/>
      <c r="DM248" s="134"/>
      <c r="DN248" s="134"/>
      <c r="DO248" s="134"/>
      <c r="DP248" s="134"/>
      <c r="DQ248" s="134"/>
      <c r="DR248" s="134"/>
      <c r="DS248" s="134"/>
      <c r="DT248" s="134"/>
      <c r="DU248" s="134" t="str">
        <f t="array" ref="DU248">IFERROR(INDEX(TABLACONSOLIDADA[Buff Act],MATCH("AGROINSUMOSAGROQUIMICOSSUR"&amp;Tabla_Buffers_Agroinsumos[[#This Row],[CODIGO ]],TABLACONSOLIDADA[Bodega]&amp;TABLACONSOLIDADA[Codigo],0)),"")</f>
        <v/>
      </c>
      <c r="DV248" s="157" t="str">
        <f t="array" ref="DV248">IFERROR(INDEX(TABLACONSOLIDADA[Inv Fís Act],MATCH("AGROINSUMOSAGROQUIMICOSSUR"&amp;Tabla_Buffers_Agroinsumos[[#This Row],[CODIGO ]],TABLACONSOLIDADA[Bodega]&amp;TABLACONSOLIDADA[Codigo],0)),"")</f>
        <v/>
      </c>
      <c r="DW248" s="157" t="str">
        <f t="array" ref="DW24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4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48" s="134">
        <f>IFERROR(SUM(Tabla_Buffers_Agroinsumos[[#This Row],[AS-MP]:[AS-VL]]),"")</f>
        <v>0</v>
      </c>
      <c r="DZ248" s="92" t="str">
        <f>IFERROR(Tabla_Buffers_Agroinsumos[[#This Row],[INV FIS AS]]-Tabla_Buffers_Agroinsumos[[#This Row],[BUFFER AS]],"")</f>
        <v/>
      </c>
      <c r="EA24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48" s="134"/>
      <c r="EC248" s="134"/>
      <c r="ED248" s="134"/>
      <c r="EE248" s="134"/>
      <c r="EF248" s="134"/>
      <c r="EG248" s="134"/>
      <c r="EH248" s="134"/>
      <c r="EI248" s="134"/>
      <c r="EJ248" s="134"/>
      <c r="EK248" s="134" t="str">
        <f t="array" ref="EK248">IFERROR(INDEX(TABLACONSOLIDADA[Buff Act],MATCH("AGROINSUMOSLAFINCA"&amp;Tabla_Buffers_Agroinsumos[[#This Row],[CODIGO ]],TABLACONSOLIDADA[Bodega]&amp;TABLACONSOLIDADA[Codigo],0)),"")</f>
        <v/>
      </c>
      <c r="EL248" s="157" t="str">
        <f t="array" ref="EL248">IFERROR(INDEX(TABLACONSOLIDADA[Inv Fís Act],MATCH("AGROINSUMOSLAFINCA"&amp;Tabla_Buffers_Agroinsumos[[#This Row],[CODIGO ]],TABLACONSOLIDADA[Bodega]&amp;TABLACONSOLIDADA[Codigo],0)),"")</f>
        <v/>
      </c>
      <c r="EM248" s="157" t="str">
        <f t="array" ref="EM24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4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48" s="134">
        <f>IFERROR(SUM(Tabla_Buffers_Agroinsumos[[#This Row],[LF-MP]:[LF-VL]]),"")</f>
        <v>0</v>
      </c>
      <c r="EP248" s="92" t="str">
        <f>IFERROR(Tabla_Buffers_Agroinsumos[[#This Row],[INV FIS LF]]-Tabla_Buffers_Agroinsumos[[#This Row],[BUFFER LF]],"")</f>
        <v/>
      </c>
      <c r="EQ24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48" s="134"/>
      <c r="ES248" s="134"/>
      <c r="ET248" s="134"/>
      <c r="EU248" s="134"/>
      <c r="EV248" s="134"/>
      <c r="EW248" s="134"/>
      <c r="EX248" s="134"/>
      <c r="EY248" s="134"/>
      <c r="EZ248" s="134"/>
      <c r="FA248" s="134" t="str">
        <f t="array" ref="FA248">IFERROR(INDEX(TABLACONSOLIDADA[Buff Act],MATCH("AGROINSUMOSVERONICALEDESMA"&amp;Tabla_Buffers_Agroinsumos[[#This Row],[CODIGO ]],TABLACONSOLIDADA[Bodega]&amp;TABLACONSOLIDADA[Codigo],0)),"")</f>
        <v/>
      </c>
      <c r="FB248" s="157" t="str">
        <f t="array" ref="FB248">IFERROR(INDEX(TABLACONSOLIDADA[Inv Fís Act],MATCH("AGROINSUMOSVERONICALEDESMA"&amp;Tabla_Buffers_Agroinsumos[[#This Row],[CODIGO ]],TABLACONSOLIDADA[Bodega]&amp;TABLACONSOLIDADA[Codigo],0)),"")</f>
        <v/>
      </c>
      <c r="FC248" s="157" t="str">
        <f t="array" ref="FC24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4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48" s="134">
        <f>IFERROR(SUM(Tabla_Buffers_Agroinsumos[[#This Row],[VL-MP]:[VL-LF]]),"")</f>
        <v>0</v>
      </c>
      <c r="FF248" s="92" t="str">
        <f>IFERROR(Tabla_Buffers_Agroinsumos[[#This Row],[INV FIS VL]]-Tabla_Buffers_Agroinsumos[[#This Row],[BUFFER VL]],"")</f>
        <v/>
      </c>
      <c r="FG24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48" s="134"/>
      <c r="FI248" s="134"/>
      <c r="FJ248" s="134"/>
      <c r="FK248" s="134"/>
      <c r="FL248" s="134"/>
      <c r="FM248" s="134"/>
      <c r="FN248" s="134"/>
      <c r="FO248" s="134"/>
      <c r="FP248" s="134"/>
    </row>
    <row r="249" spans="1:172">
      <c r="A249" s="7" t="s">
        <v>432</v>
      </c>
      <c r="B249" s="7" t="s">
        <v>433</v>
      </c>
      <c r="C249" s="7" t="s">
        <v>716</v>
      </c>
      <c r="D249" s="7" t="s">
        <v>718</v>
      </c>
      <c r="E249" s="7" t="s">
        <v>863</v>
      </c>
      <c r="F249" s="19" t="s">
        <v>808</v>
      </c>
      <c r="G249" s="19" t="s">
        <v>802</v>
      </c>
      <c r="H249" s="19">
        <f>VLOOKUP(Tabla_Buffers_Agroinsumos[[#This Row],[CODIGO ]],TABLACONSOLIDADA[[Codigo]:[PV]],6,0)</f>
        <v>0</v>
      </c>
      <c r="I249" s="19">
        <f>VLOOKUP(Tabla_Buffers_Agroinsumos[[#This Row],[CODIGO ]],TABLACONSOLIDADA[[Codigo]:[PV]],5,0)</f>
        <v>0.14000000000000001</v>
      </c>
      <c r="J249" s="19">
        <v>4</v>
      </c>
      <c r="K249" s="19">
        <v>6</v>
      </c>
      <c r="L249" s="19">
        <f>IFERROR(Tabla_Buffers_Agroinsumos[[#This Row],[BUFFER CENTRAL]]/((Tabla_Buffers_Agroinsumos[[#This Row],[TIEMPO REPOSICION ]]/Tabla_Buffers_Agroinsumos[[#This Row],[FRECUENCIA]])+1),0)</f>
        <v>0</v>
      </c>
      <c r="M249" s="19">
        <f t="array" ref="M249">IFERROR(INDEX(TABLACONSOLIDADA[Buff Act],MATCH("AGROINSUMOSMATERIAPRIMA"&amp;Tabla_Buffers_Agroinsumos[[#This Row],[CODIGO ]],TABLACONSOLIDADA[Bodega]&amp;TABLACONSOLIDADA[Codigo],0)),"")</f>
        <v>0</v>
      </c>
      <c r="N249" s="157">
        <f t="array" ref="N249">IFERROR(INDEX(TABLACONSOLIDADA[Inv Fís Act],MATCH("AGROINSUMOSMATERIAPRIMA"&amp;Tabla_Buffers_Agroinsumos[[#This Row],[CODIGO ]],TABLACONSOLIDADA[Bodega]&amp;TABLACONSOLIDADA[Codigo],0)),"")</f>
        <v>112</v>
      </c>
      <c r="O249" s="157">
        <f t="array" ref="O24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112</v>
      </c>
      <c r="P24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49" s="19">
        <f>IFERROR(SUM(Tabla_Buffers_Agroinsumos[[#This Row],[MP-C]:[MP-VL]]),"")</f>
        <v>0</v>
      </c>
      <c r="R249" s="92">
        <f>IFERROR(Tabla_Buffers_Agroinsumos[[#This Row],[INV FIS MATERIA PRIMA]]-Tabla_Buffers_Agroinsumos[[#This Row],[BUFFER MATERIA PRIMA]],"")</f>
        <v>112</v>
      </c>
      <c r="S24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112</v>
      </c>
      <c r="T249" s="19"/>
      <c r="U249" s="19"/>
      <c r="V249" s="19"/>
      <c r="W249" s="19"/>
      <c r="X249" s="19"/>
      <c r="Y249" s="19"/>
      <c r="Z249" s="19"/>
      <c r="AA249" s="19"/>
      <c r="AB249" s="19"/>
      <c r="AC249" s="152" t="str">
        <f t="array" ref="AC249">IFERROR(INDEX(TABLACONSOLIDADA[Buff Act],MATCH("AGROINSUMOSCENTRAL"&amp;Tabla_Buffers_Agroinsumos[[#This Row],[CODIGO ]],TABLACONSOLIDADA[Bodega]&amp;TABLACONSOLIDADA[Codigo],0)),"")</f>
        <v/>
      </c>
      <c r="AD249" s="157" t="str">
        <f t="array" ref="AD249">IFERROR(INDEX(TABLACONSOLIDADA[Inv Fís Act],MATCH("AGROINSUMOSCENTRAL"&amp;Tabla_Buffers_Agroinsumos[[#This Row],[CODIGO ]],TABLACONSOLIDADA[Bodega]&amp;TABLACONSOLIDADA[Codigo],0)),"")</f>
        <v/>
      </c>
      <c r="AE249" s="157" t="str">
        <f t="array" ref="AE24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4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49" s="91">
        <f>IFERROR(SUM(Tabla_Buffers_Agroinsumos[[#This Row],[C-MP]:[C-VL]]),"")</f>
        <v>0</v>
      </c>
      <c r="AH249" s="92" t="str">
        <f>IFERROR(Tabla_Buffers_Agroinsumos[[#This Row],[INV FIS CENTRAL]]-Tabla_Buffers_Agroinsumos[[#This Row],[BUFFER CENTRAL]],"")</f>
        <v/>
      </c>
      <c r="AI24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49" s="134"/>
      <c r="AK249" s="134"/>
      <c r="AL249" s="134"/>
      <c r="AM249" s="134"/>
      <c r="AN249" s="134"/>
      <c r="AO249" s="134"/>
      <c r="AP249" s="134"/>
      <c r="AQ249" s="134"/>
      <c r="AR249" s="134"/>
      <c r="AS249" s="134" t="str">
        <f t="array" ref="AS249">IFERROR(INDEX(TABLACONSOLIDADA[Buff Act],MATCH("AGROINSUMOScentralPROPIA"&amp;Tabla_Buffers_Agroinsumos[[#This Row],[CODIGO ]],TABLACONSOLIDADA[Bodega]&amp;TABLACONSOLIDADA[Codigo],0)),"")</f>
        <v/>
      </c>
      <c r="AT249" s="157" t="str">
        <f t="array" ref="AT249">IFERROR(INDEX(TABLACONSOLIDADA[Inv Fís Act],MATCH("AGROINSUMOScentralPROPIA"&amp;Tabla_Buffers_Agroinsumos[[#This Row],[CODIGO ]],TABLACONSOLIDADA[Bodega]&amp;TABLACONSOLIDADA[Codigo],0)),"")</f>
        <v/>
      </c>
      <c r="AU249" s="157" t="str">
        <f t="array" ref="AU24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4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49" s="134">
        <f>IFERROR(SUM(Tabla_Buffers_Agroinsumos[[#This Row],[P-MP]:[P-VL]]),"")</f>
        <v>0</v>
      </c>
      <c r="AX249" s="92" t="str">
        <f>IFERROR(Tabla_Buffers_Agroinsumos[[#This Row],[INV FIS PROPIA]]-Tabla_Buffers_Agroinsumos[[#This Row],[BUFFER PROPIA]],"")</f>
        <v/>
      </c>
      <c r="AY24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49" s="134"/>
      <c r="BA249" s="134"/>
      <c r="BB249" s="134"/>
      <c r="BC249" s="134"/>
      <c r="BD249" s="134"/>
      <c r="BE249" s="134"/>
      <c r="BF249" s="134"/>
      <c r="BG249" s="134"/>
      <c r="BH249" s="134"/>
      <c r="BI249" s="91" t="str">
        <f t="array" ref="BI249">IFERROR(INDEX(TABLACONSOLIDADA[Buff Act],MATCH("AGROINSUMOSSTODOMINGO"&amp;Tabla_Buffers_Agroinsumos[[#This Row],[CODIGO ]],TABLACONSOLIDADA[Bodega]&amp;TABLACONSOLIDADA[Codigo],0)),"")</f>
        <v/>
      </c>
      <c r="BJ249" s="157" t="str">
        <f t="array" ref="BJ249">IFERROR(INDEX(TABLACONSOLIDADA[Inv Fís Act],MATCH("AGROINSUMOSSTODOMINGO"&amp;Tabla_Buffers_Agroinsumos[[#This Row],[CODIGO ]],TABLACONSOLIDADA[Bodega]&amp;TABLACONSOLIDADA[Codigo],0)),"")</f>
        <v/>
      </c>
      <c r="BK249" s="157" t="str">
        <f t="array" ref="BK24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4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49" s="91">
        <f>IFERROR(SUM(Tabla_Buffers_Agroinsumos[[#This Row],[SD-MP]:[SD-VL]]),"")</f>
        <v>0</v>
      </c>
      <c r="BN249" s="92"/>
      <c r="BO249" s="92"/>
      <c r="BP249" s="134"/>
      <c r="BQ249" s="134"/>
      <c r="BR249" s="134"/>
      <c r="BS249" s="134"/>
      <c r="BT249" s="134"/>
      <c r="BU249" s="134"/>
      <c r="BV249" s="134"/>
      <c r="BW249" s="134"/>
      <c r="BX249" s="134"/>
      <c r="BY249" s="134" t="str">
        <f t="array" ref="BY249">IFERROR(INDEX(TABLACONSOLIDADA[Buff Act],MATCH("AGROINSUMOSMONCAYOLOPEZ"&amp;Tabla_Buffers_Agroinsumos[[#This Row],[CODIGO ]],TABLACONSOLIDADA[Bodega]&amp;TABLACONSOLIDADA[Codigo],0)),"")</f>
        <v/>
      </c>
      <c r="BZ249" s="157" t="str">
        <f t="array" ref="BZ249">IFERROR(INDEX(TABLACONSOLIDADA[Inv Fís Act],MATCH("AGROINSUMOSMONCAYOLOPEZ"&amp;Tabla_Buffers_Agroinsumos[[#This Row],[CODIGO ]],TABLACONSOLIDADA[Bodega]&amp;TABLACONSOLIDADA[Codigo],0)),"")</f>
        <v/>
      </c>
      <c r="CA249" s="157" t="str">
        <f t="array" ref="CA24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4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49" s="134">
        <f>IFERROR(SUM(Tabla_Buffers_Agroinsumos[[#This Row],[ML-MP]:[ML-VL]]),"")</f>
        <v>0</v>
      </c>
      <c r="CD249" s="92" t="str">
        <f>IFERROR(Tabla_Buffers_Agroinsumos[[#This Row],[INV FIS ML]]-Tabla_Buffers_Agroinsumos[[#This Row],[BUFFER ML]],"")</f>
        <v/>
      </c>
      <c r="CE24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49" s="134"/>
      <c r="CG249" s="134"/>
      <c r="CH249" s="134"/>
      <c r="CI249" s="134"/>
      <c r="CJ249" s="134"/>
      <c r="CK249" s="134"/>
      <c r="CL249" s="134"/>
      <c r="CM249" s="134"/>
      <c r="CN249" s="134"/>
      <c r="CO249" s="134" t="str">
        <f t="array" ref="CO249">IFERROR(INDEX(TABLACONSOLIDADA[Buff Act],MATCH("AGROINSUMOSAGROHERMANOSLEON"&amp;Tabla_Buffers_Agroinsumos[[#This Row],[CODIGO ]],TABLACONSOLIDADA[Bodega]&amp;TABLACONSOLIDADA[Codigo],0)),"")</f>
        <v/>
      </c>
      <c r="CP249" s="157" t="str">
        <f t="array" ref="CP249">IFERROR(INDEX(TABLACONSOLIDADA[Inv Fís Act],MATCH("AGROINSUMOSAGROHERMANOSLEON"&amp;Tabla_Buffers_Agroinsumos[[#This Row],[CODIGO ]],TABLACONSOLIDADA[Bodega]&amp;TABLACONSOLIDADA[Codigo],0)),"")</f>
        <v/>
      </c>
      <c r="CQ249" s="157" t="str">
        <f t="array" ref="CQ24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4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49" s="134">
        <f>IFERROR(SUM(Tabla_Buffers_Agroinsumos[[#This Row],[AL-MP]:[AL-VL]]),"")</f>
        <v>0</v>
      </c>
      <c r="CT249" s="92" t="str">
        <f>IFERROR(Tabla_Buffers_Agroinsumos[[#This Row],[INV FIS AL]]-Tabla_Buffers_Agroinsumos[[#This Row],[BUFFER AL]],"")</f>
        <v/>
      </c>
      <c r="CU24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49" s="134"/>
      <c r="CW249" s="134"/>
      <c r="CX249" s="134"/>
      <c r="CY249" s="134"/>
      <c r="CZ249" s="134"/>
      <c r="DA249" s="134"/>
      <c r="DB249" s="134"/>
      <c r="DC249" s="134"/>
      <c r="DD249" s="134"/>
      <c r="DE249" s="134" t="str">
        <f t="array" ref="DE249">IFERROR(INDEX(TABLACONSOLIDADA[Buff Act],MATCH("AGROINSUMOSAGRONUEVO"&amp;Tabla_Buffers_Agroinsumos[[#This Row],[CODIGO ]],TABLACONSOLIDADA[Bodega]&amp;TABLACONSOLIDADA[Codigo],0)),"")</f>
        <v/>
      </c>
      <c r="DF249" s="157" t="str">
        <f t="array" ref="DF249">IFERROR(INDEX(TABLACONSOLIDADA[Inv Fís Act],MATCH("AGROINSUMOSAGRONUEVO"&amp;Tabla_Buffers_Agroinsumos[[#This Row],[CODIGO ]],TABLACONSOLIDADA[Bodega]&amp;TABLACONSOLIDADA[Codigo],0)),"")</f>
        <v/>
      </c>
      <c r="DG249" s="157" t="str">
        <f t="array" ref="DG24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4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49" s="134">
        <f>IFERROR(SUM(Tabla_Buffers_Agroinsumos[[#This Row],[AN-MP]:[AN-VL]]),"")</f>
        <v>0</v>
      </c>
      <c r="DJ249" s="92" t="str">
        <f>IFERROR(Tabla_Buffers_Agroinsumos[[#This Row],[INV FIS AN]]-Tabla_Buffers_Agroinsumos[[#This Row],[BUFFER AN]],"")</f>
        <v/>
      </c>
      <c r="DK24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49" s="134"/>
      <c r="DM249" s="134"/>
      <c r="DN249" s="134"/>
      <c r="DO249" s="134"/>
      <c r="DP249" s="134"/>
      <c r="DQ249" s="134"/>
      <c r="DR249" s="134"/>
      <c r="DS249" s="134"/>
      <c r="DT249" s="134"/>
      <c r="DU249" s="134" t="str">
        <f t="array" ref="DU249">IFERROR(INDEX(TABLACONSOLIDADA[Buff Act],MATCH("AGROINSUMOSAGROQUIMICOSSUR"&amp;Tabla_Buffers_Agroinsumos[[#This Row],[CODIGO ]],TABLACONSOLIDADA[Bodega]&amp;TABLACONSOLIDADA[Codigo],0)),"")</f>
        <v/>
      </c>
      <c r="DV249" s="157" t="str">
        <f t="array" ref="DV249">IFERROR(INDEX(TABLACONSOLIDADA[Inv Fís Act],MATCH("AGROINSUMOSAGROQUIMICOSSUR"&amp;Tabla_Buffers_Agroinsumos[[#This Row],[CODIGO ]],TABLACONSOLIDADA[Bodega]&amp;TABLACONSOLIDADA[Codigo],0)),"")</f>
        <v/>
      </c>
      <c r="DW249" s="157" t="str">
        <f t="array" ref="DW24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4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49" s="134">
        <f>IFERROR(SUM(Tabla_Buffers_Agroinsumos[[#This Row],[AS-MP]:[AS-VL]]),"")</f>
        <v>0</v>
      </c>
      <c r="DZ249" s="92" t="str">
        <f>IFERROR(Tabla_Buffers_Agroinsumos[[#This Row],[INV FIS AS]]-Tabla_Buffers_Agroinsumos[[#This Row],[BUFFER AS]],"")</f>
        <v/>
      </c>
      <c r="EA24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49" s="134"/>
      <c r="EC249" s="134"/>
      <c r="ED249" s="134"/>
      <c r="EE249" s="134"/>
      <c r="EF249" s="134"/>
      <c r="EG249" s="134"/>
      <c r="EH249" s="134"/>
      <c r="EI249" s="134"/>
      <c r="EJ249" s="134"/>
      <c r="EK249" s="134" t="str">
        <f t="array" ref="EK249">IFERROR(INDEX(TABLACONSOLIDADA[Buff Act],MATCH("AGROINSUMOSLAFINCA"&amp;Tabla_Buffers_Agroinsumos[[#This Row],[CODIGO ]],TABLACONSOLIDADA[Bodega]&amp;TABLACONSOLIDADA[Codigo],0)),"")</f>
        <v/>
      </c>
      <c r="EL249" s="157" t="str">
        <f t="array" ref="EL249">IFERROR(INDEX(TABLACONSOLIDADA[Inv Fís Act],MATCH("AGROINSUMOSLAFINCA"&amp;Tabla_Buffers_Agroinsumos[[#This Row],[CODIGO ]],TABLACONSOLIDADA[Bodega]&amp;TABLACONSOLIDADA[Codigo],0)),"")</f>
        <v/>
      </c>
      <c r="EM249" s="157" t="str">
        <f t="array" ref="EM24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4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49" s="134">
        <f>IFERROR(SUM(Tabla_Buffers_Agroinsumos[[#This Row],[LF-MP]:[LF-VL]]),"")</f>
        <v>0</v>
      </c>
      <c r="EP249" s="92" t="str">
        <f>IFERROR(Tabla_Buffers_Agroinsumos[[#This Row],[INV FIS LF]]-Tabla_Buffers_Agroinsumos[[#This Row],[BUFFER LF]],"")</f>
        <v/>
      </c>
      <c r="EQ24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49" s="134"/>
      <c r="ES249" s="134"/>
      <c r="ET249" s="134"/>
      <c r="EU249" s="134"/>
      <c r="EV249" s="134"/>
      <c r="EW249" s="134"/>
      <c r="EX249" s="134"/>
      <c r="EY249" s="134"/>
      <c r="EZ249" s="134"/>
      <c r="FA249" s="134" t="str">
        <f t="array" ref="FA249">IFERROR(INDEX(TABLACONSOLIDADA[Buff Act],MATCH("AGROINSUMOSVERONICALEDESMA"&amp;Tabla_Buffers_Agroinsumos[[#This Row],[CODIGO ]],TABLACONSOLIDADA[Bodega]&amp;TABLACONSOLIDADA[Codigo],0)),"")</f>
        <v/>
      </c>
      <c r="FB249" s="157" t="str">
        <f t="array" ref="FB249">IFERROR(INDEX(TABLACONSOLIDADA[Inv Fís Act],MATCH("AGROINSUMOSVERONICALEDESMA"&amp;Tabla_Buffers_Agroinsumos[[#This Row],[CODIGO ]],TABLACONSOLIDADA[Bodega]&amp;TABLACONSOLIDADA[Codigo],0)),"")</f>
        <v/>
      </c>
      <c r="FC249" s="157" t="str">
        <f t="array" ref="FC24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4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49" s="134">
        <f>IFERROR(SUM(Tabla_Buffers_Agroinsumos[[#This Row],[VL-MP]:[VL-LF]]),"")</f>
        <v>0</v>
      </c>
      <c r="FF249" s="92" t="str">
        <f>IFERROR(Tabla_Buffers_Agroinsumos[[#This Row],[INV FIS VL]]-Tabla_Buffers_Agroinsumos[[#This Row],[BUFFER VL]],"")</f>
        <v/>
      </c>
      <c r="FG24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49" s="134"/>
      <c r="FI249" s="134"/>
      <c r="FJ249" s="134"/>
      <c r="FK249" s="134"/>
      <c r="FL249" s="134"/>
      <c r="FM249" s="134"/>
      <c r="FN249" s="134"/>
      <c r="FO249" s="134"/>
      <c r="FP249" s="134"/>
    </row>
    <row r="250" spans="1:172">
      <c r="A250" s="7" t="s">
        <v>434</v>
      </c>
      <c r="B250" s="7" t="s">
        <v>435</v>
      </c>
      <c r="C250" s="7" t="s">
        <v>716</v>
      </c>
      <c r="D250" s="7" t="s">
        <v>718</v>
      </c>
      <c r="E250" s="7" t="s">
        <v>863</v>
      </c>
      <c r="F250" s="19" t="s">
        <v>808</v>
      </c>
      <c r="G250" s="19" t="s">
        <v>802</v>
      </c>
      <c r="H250" s="19">
        <f>VLOOKUP(Tabla_Buffers_Agroinsumos[[#This Row],[CODIGO ]],TABLACONSOLIDADA[[Codigo]:[PV]],6,0)</f>
        <v>0</v>
      </c>
      <c r="I250" s="19">
        <f>VLOOKUP(Tabla_Buffers_Agroinsumos[[#This Row],[CODIGO ]],TABLACONSOLIDADA[[Codigo]:[PV]],5,0)</f>
        <v>0.19</v>
      </c>
      <c r="J250" s="19">
        <v>4</v>
      </c>
      <c r="K250" s="19">
        <v>6</v>
      </c>
      <c r="L250" s="19">
        <f>IFERROR(Tabla_Buffers_Agroinsumos[[#This Row],[BUFFER CENTRAL]]/((Tabla_Buffers_Agroinsumos[[#This Row],[TIEMPO REPOSICION ]]/Tabla_Buffers_Agroinsumos[[#This Row],[FRECUENCIA]])+1),0)</f>
        <v>0</v>
      </c>
      <c r="M250" s="19">
        <f t="array" ref="M250">IFERROR(INDEX(TABLACONSOLIDADA[Buff Act],MATCH("AGROINSUMOSMATERIAPRIMA"&amp;Tabla_Buffers_Agroinsumos[[#This Row],[CODIGO ]],TABLACONSOLIDADA[Bodega]&amp;TABLACONSOLIDADA[Codigo],0)),"")</f>
        <v>1000</v>
      </c>
      <c r="N250" s="157">
        <f t="array" ref="N250">IFERROR(INDEX(TABLACONSOLIDADA[Inv Fís Act],MATCH("AGROINSUMOSMATERIAPRIMA"&amp;Tabla_Buffers_Agroinsumos[[#This Row],[CODIGO ]],TABLACONSOLIDADA[Bodega]&amp;TABLACONSOLIDADA[Codigo],0)),"")</f>
        <v>1105</v>
      </c>
      <c r="O250" s="157">
        <f t="array" ref="O25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1105</v>
      </c>
      <c r="P25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50" s="19">
        <f>IFERROR(SUM(Tabla_Buffers_Agroinsumos[[#This Row],[MP-C]:[MP-VL]]),"")</f>
        <v>0</v>
      </c>
      <c r="R250" s="92">
        <f>IFERROR(Tabla_Buffers_Agroinsumos[[#This Row],[INV FIS MATERIA PRIMA]]-Tabla_Buffers_Agroinsumos[[#This Row],[BUFFER MATERIA PRIMA]],"")</f>
        <v>105</v>
      </c>
      <c r="S25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105</v>
      </c>
      <c r="T250" s="19"/>
      <c r="U250" s="19"/>
      <c r="V250" s="19"/>
      <c r="W250" s="19"/>
      <c r="X250" s="19"/>
      <c r="Y250" s="19"/>
      <c r="Z250" s="19"/>
      <c r="AA250" s="19"/>
      <c r="AB250" s="19"/>
      <c r="AC250" s="152" t="str">
        <f t="array" ref="AC250">IFERROR(INDEX(TABLACONSOLIDADA[Buff Act],MATCH("AGROINSUMOSCENTRAL"&amp;Tabla_Buffers_Agroinsumos[[#This Row],[CODIGO ]],TABLACONSOLIDADA[Bodega]&amp;TABLACONSOLIDADA[Codigo],0)),"")</f>
        <v/>
      </c>
      <c r="AD250" s="157" t="str">
        <f t="array" ref="AD250">IFERROR(INDEX(TABLACONSOLIDADA[Inv Fís Act],MATCH("AGROINSUMOSCENTRAL"&amp;Tabla_Buffers_Agroinsumos[[#This Row],[CODIGO ]],TABLACONSOLIDADA[Bodega]&amp;TABLACONSOLIDADA[Codigo],0)),"")</f>
        <v/>
      </c>
      <c r="AE250" s="157" t="str">
        <f t="array" ref="AE25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5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50" s="91">
        <f>IFERROR(SUM(Tabla_Buffers_Agroinsumos[[#This Row],[C-MP]:[C-VL]]),"")</f>
        <v>0</v>
      </c>
      <c r="AH250" s="92" t="str">
        <f>IFERROR(Tabla_Buffers_Agroinsumos[[#This Row],[INV FIS CENTRAL]]-Tabla_Buffers_Agroinsumos[[#This Row],[BUFFER CENTRAL]],"")</f>
        <v/>
      </c>
      <c r="AI25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50" s="134"/>
      <c r="AK250" s="134"/>
      <c r="AL250" s="134"/>
      <c r="AM250" s="134"/>
      <c r="AN250" s="134"/>
      <c r="AO250" s="134"/>
      <c r="AP250" s="134"/>
      <c r="AQ250" s="134"/>
      <c r="AR250" s="134"/>
      <c r="AS250" s="134" t="str">
        <f t="array" ref="AS250">IFERROR(INDEX(TABLACONSOLIDADA[Buff Act],MATCH("AGROINSUMOScentralPROPIA"&amp;Tabla_Buffers_Agroinsumos[[#This Row],[CODIGO ]],TABLACONSOLIDADA[Bodega]&amp;TABLACONSOLIDADA[Codigo],0)),"")</f>
        <v/>
      </c>
      <c r="AT250" s="157" t="str">
        <f t="array" ref="AT250">IFERROR(INDEX(TABLACONSOLIDADA[Inv Fís Act],MATCH("AGROINSUMOScentralPROPIA"&amp;Tabla_Buffers_Agroinsumos[[#This Row],[CODIGO ]],TABLACONSOLIDADA[Bodega]&amp;TABLACONSOLIDADA[Codigo],0)),"")</f>
        <v/>
      </c>
      <c r="AU250" s="157" t="str">
        <f t="array" ref="AU25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5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50" s="134">
        <f>IFERROR(SUM(Tabla_Buffers_Agroinsumos[[#This Row],[P-MP]:[P-VL]]),"")</f>
        <v>0</v>
      </c>
      <c r="AX250" s="92" t="str">
        <f>IFERROR(Tabla_Buffers_Agroinsumos[[#This Row],[INV FIS PROPIA]]-Tabla_Buffers_Agroinsumos[[#This Row],[BUFFER PROPIA]],"")</f>
        <v/>
      </c>
      <c r="AY25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50" s="134"/>
      <c r="BA250" s="134"/>
      <c r="BB250" s="134"/>
      <c r="BC250" s="134"/>
      <c r="BD250" s="134"/>
      <c r="BE250" s="134"/>
      <c r="BF250" s="134"/>
      <c r="BG250" s="134"/>
      <c r="BH250" s="134"/>
      <c r="BI250" s="91" t="str">
        <f t="array" ref="BI250">IFERROR(INDEX(TABLACONSOLIDADA[Buff Act],MATCH("AGROINSUMOSSTODOMINGO"&amp;Tabla_Buffers_Agroinsumos[[#This Row],[CODIGO ]],TABLACONSOLIDADA[Bodega]&amp;TABLACONSOLIDADA[Codigo],0)),"")</f>
        <v/>
      </c>
      <c r="BJ250" s="157" t="str">
        <f t="array" ref="BJ250">IFERROR(INDEX(TABLACONSOLIDADA[Inv Fís Act],MATCH("AGROINSUMOSSTODOMINGO"&amp;Tabla_Buffers_Agroinsumos[[#This Row],[CODIGO ]],TABLACONSOLIDADA[Bodega]&amp;TABLACONSOLIDADA[Codigo],0)),"")</f>
        <v/>
      </c>
      <c r="BK250" s="157" t="str">
        <f t="array" ref="BK25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5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50" s="91">
        <f>IFERROR(SUM(Tabla_Buffers_Agroinsumos[[#This Row],[SD-MP]:[SD-VL]]),"")</f>
        <v>0</v>
      </c>
      <c r="BN250" s="92"/>
      <c r="BO250" s="92"/>
      <c r="BP250" s="134"/>
      <c r="BQ250" s="134"/>
      <c r="BR250" s="134"/>
      <c r="BS250" s="134"/>
      <c r="BT250" s="134"/>
      <c r="BU250" s="134"/>
      <c r="BV250" s="134"/>
      <c r="BW250" s="134"/>
      <c r="BX250" s="134"/>
      <c r="BY250" s="134" t="str">
        <f t="array" ref="BY250">IFERROR(INDEX(TABLACONSOLIDADA[Buff Act],MATCH("AGROINSUMOSMONCAYOLOPEZ"&amp;Tabla_Buffers_Agroinsumos[[#This Row],[CODIGO ]],TABLACONSOLIDADA[Bodega]&amp;TABLACONSOLIDADA[Codigo],0)),"")</f>
        <v/>
      </c>
      <c r="BZ250" s="157" t="str">
        <f t="array" ref="BZ250">IFERROR(INDEX(TABLACONSOLIDADA[Inv Fís Act],MATCH("AGROINSUMOSMONCAYOLOPEZ"&amp;Tabla_Buffers_Agroinsumos[[#This Row],[CODIGO ]],TABLACONSOLIDADA[Bodega]&amp;TABLACONSOLIDADA[Codigo],0)),"")</f>
        <v/>
      </c>
      <c r="CA250" s="157" t="str">
        <f t="array" ref="CA25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5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50" s="134">
        <f>IFERROR(SUM(Tabla_Buffers_Agroinsumos[[#This Row],[ML-MP]:[ML-VL]]),"")</f>
        <v>0</v>
      </c>
      <c r="CD250" s="92" t="str">
        <f>IFERROR(Tabla_Buffers_Agroinsumos[[#This Row],[INV FIS ML]]-Tabla_Buffers_Agroinsumos[[#This Row],[BUFFER ML]],"")</f>
        <v/>
      </c>
      <c r="CE25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50" s="134"/>
      <c r="CG250" s="134"/>
      <c r="CH250" s="134"/>
      <c r="CI250" s="134"/>
      <c r="CJ250" s="134"/>
      <c r="CK250" s="134"/>
      <c r="CL250" s="134"/>
      <c r="CM250" s="134"/>
      <c r="CN250" s="134"/>
      <c r="CO250" s="134" t="str">
        <f t="array" ref="CO250">IFERROR(INDEX(TABLACONSOLIDADA[Buff Act],MATCH("AGROINSUMOSAGROHERMANOSLEON"&amp;Tabla_Buffers_Agroinsumos[[#This Row],[CODIGO ]],TABLACONSOLIDADA[Bodega]&amp;TABLACONSOLIDADA[Codigo],0)),"")</f>
        <v/>
      </c>
      <c r="CP250" s="157" t="str">
        <f t="array" ref="CP250">IFERROR(INDEX(TABLACONSOLIDADA[Inv Fís Act],MATCH("AGROINSUMOSAGROHERMANOSLEON"&amp;Tabla_Buffers_Agroinsumos[[#This Row],[CODIGO ]],TABLACONSOLIDADA[Bodega]&amp;TABLACONSOLIDADA[Codigo],0)),"")</f>
        <v/>
      </c>
      <c r="CQ250" s="157" t="str">
        <f t="array" ref="CQ25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5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50" s="134">
        <f>IFERROR(SUM(Tabla_Buffers_Agroinsumos[[#This Row],[AL-MP]:[AL-VL]]),"")</f>
        <v>0</v>
      </c>
      <c r="CT250" s="92" t="str">
        <f>IFERROR(Tabla_Buffers_Agroinsumos[[#This Row],[INV FIS AL]]-Tabla_Buffers_Agroinsumos[[#This Row],[BUFFER AL]],"")</f>
        <v/>
      </c>
      <c r="CU25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50" s="134"/>
      <c r="CW250" s="134"/>
      <c r="CX250" s="134"/>
      <c r="CY250" s="134"/>
      <c r="CZ250" s="134"/>
      <c r="DA250" s="134"/>
      <c r="DB250" s="134"/>
      <c r="DC250" s="134"/>
      <c r="DD250" s="134"/>
      <c r="DE250" s="134" t="str">
        <f t="array" ref="DE250">IFERROR(INDEX(TABLACONSOLIDADA[Buff Act],MATCH("AGROINSUMOSAGRONUEVO"&amp;Tabla_Buffers_Agroinsumos[[#This Row],[CODIGO ]],TABLACONSOLIDADA[Bodega]&amp;TABLACONSOLIDADA[Codigo],0)),"")</f>
        <v/>
      </c>
      <c r="DF250" s="157" t="str">
        <f t="array" ref="DF250">IFERROR(INDEX(TABLACONSOLIDADA[Inv Fís Act],MATCH("AGROINSUMOSAGRONUEVO"&amp;Tabla_Buffers_Agroinsumos[[#This Row],[CODIGO ]],TABLACONSOLIDADA[Bodega]&amp;TABLACONSOLIDADA[Codigo],0)),"")</f>
        <v/>
      </c>
      <c r="DG250" s="157" t="str">
        <f t="array" ref="DG25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5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50" s="134">
        <f>IFERROR(SUM(Tabla_Buffers_Agroinsumos[[#This Row],[AN-MP]:[AN-VL]]),"")</f>
        <v>0</v>
      </c>
      <c r="DJ250" s="92" t="str">
        <f>IFERROR(Tabla_Buffers_Agroinsumos[[#This Row],[INV FIS AN]]-Tabla_Buffers_Agroinsumos[[#This Row],[BUFFER AN]],"")</f>
        <v/>
      </c>
      <c r="DK25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50" s="134"/>
      <c r="DM250" s="134"/>
      <c r="DN250" s="134"/>
      <c r="DO250" s="134"/>
      <c r="DP250" s="134"/>
      <c r="DQ250" s="134"/>
      <c r="DR250" s="134"/>
      <c r="DS250" s="134"/>
      <c r="DT250" s="134"/>
      <c r="DU250" s="134" t="str">
        <f t="array" ref="DU250">IFERROR(INDEX(TABLACONSOLIDADA[Buff Act],MATCH("AGROINSUMOSAGROQUIMICOSSUR"&amp;Tabla_Buffers_Agroinsumos[[#This Row],[CODIGO ]],TABLACONSOLIDADA[Bodega]&amp;TABLACONSOLIDADA[Codigo],0)),"")</f>
        <v/>
      </c>
      <c r="DV250" s="157" t="str">
        <f t="array" ref="DV250">IFERROR(INDEX(TABLACONSOLIDADA[Inv Fís Act],MATCH("AGROINSUMOSAGROQUIMICOSSUR"&amp;Tabla_Buffers_Agroinsumos[[#This Row],[CODIGO ]],TABLACONSOLIDADA[Bodega]&amp;TABLACONSOLIDADA[Codigo],0)),"")</f>
        <v/>
      </c>
      <c r="DW250" s="157" t="str">
        <f t="array" ref="DW25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5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50" s="134">
        <f>IFERROR(SUM(Tabla_Buffers_Agroinsumos[[#This Row],[AS-MP]:[AS-VL]]),"")</f>
        <v>0</v>
      </c>
      <c r="DZ250" s="92" t="str">
        <f>IFERROR(Tabla_Buffers_Agroinsumos[[#This Row],[INV FIS AS]]-Tabla_Buffers_Agroinsumos[[#This Row],[BUFFER AS]],"")</f>
        <v/>
      </c>
      <c r="EA25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50" s="134"/>
      <c r="EC250" s="134"/>
      <c r="ED250" s="134"/>
      <c r="EE250" s="134"/>
      <c r="EF250" s="134"/>
      <c r="EG250" s="134"/>
      <c r="EH250" s="134"/>
      <c r="EI250" s="134"/>
      <c r="EJ250" s="134"/>
      <c r="EK250" s="134" t="str">
        <f t="array" ref="EK250">IFERROR(INDEX(TABLACONSOLIDADA[Buff Act],MATCH("AGROINSUMOSLAFINCA"&amp;Tabla_Buffers_Agroinsumos[[#This Row],[CODIGO ]],TABLACONSOLIDADA[Bodega]&amp;TABLACONSOLIDADA[Codigo],0)),"")</f>
        <v/>
      </c>
      <c r="EL250" s="157" t="str">
        <f t="array" ref="EL250">IFERROR(INDEX(TABLACONSOLIDADA[Inv Fís Act],MATCH("AGROINSUMOSLAFINCA"&amp;Tabla_Buffers_Agroinsumos[[#This Row],[CODIGO ]],TABLACONSOLIDADA[Bodega]&amp;TABLACONSOLIDADA[Codigo],0)),"")</f>
        <v/>
      </c>
      <c r="EM250" s="157" t="str">
        <f t="array" ref="EM25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5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50" s="134">
        <f>IFERROR(SUM(Tabla_Buffers_Agroinsumos[[#This Row],[LF-MP]:[LF-VL]]),"")</f>
        <v>0</v>
      </c>
      <c r="EP250" s="92" t="str">
        <f>IFERROR(Tabla_Buffers_Agroinsumos[[#This Row],[INV FIS LF]]-Tabla_Buffers_Agroinsumos[[#This Row],[BUFFER LF]],"")</f>
        <v/>
      </c>
      <c r="EQ25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50" s="134"/>
      <c r="ES250" s="134"/>
      <c r="ET250" s="134"/>
      <c r="EU250" s="134"/>
      <c r="EV250" s="134"/>
      <c r="EW250" s="134"/>
      <c r="EX250" s="134"/>
      <c r="EY250" s="134"/>
      <c r="EZ250" s="134"/>
      <c r="FA250" s="134" t="str">
        <f t="array" ref="FA250">IFERROR(INDEX(TABLACONSOLIDADA[Buff Act],MATCH("AGROINSUMOSVERONICALEDESMA"&amp;Tabla_Buffers_Agroinsumos[[#This Row],[CODIGO ]],TABLACONSOLIDADA[Bodega]&amp;TABLACONSOLIDADA[Codigo],0)),"")</f>
        <v/>
      </c>
      <c r="FB250" s="157" t="str">
        <f t="array" ref="FB250">IFERROR(INDEX(TABLACONSOLIDADA[Inv Fís Act],MATCH("AGROINSUMOSVERONICALEDESMA"&amp;Tabla_Buffers_Agroinsumos[[#This Row],[CODIGO ]],TABLACONSOLIDADA[Bodega]&amp;TABLACONSOLIDADA[Codigo],0)),"")</f>
        <v/>
      </c>
      <c r="FC250" s="157" t="str">
        <f t="array" ref="FC25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5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50" s="134">
        <f>IFERROR(SUM(Tabla_Buffers_Agroinsumos[[#This Row],[VL-MP]:[VL-LF]]),"")</f>
        <v>0</v>
      </c>
      <c r="FF250" s="92" t="str">
        <f>IFERROR(Tabla_Buffers_Agroinsumos[[#This Row],[INV FIS VL]]-Tabla_Buffers_Agroinsumos[[#This Row],[BUFFER VL]],"")</f>
        <v/>
      </c>
      <c r="FG25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50" s="134"/>
      <c r="FI250" s="134"/>
      <c r="FJ250" s="134"/>
      <c r="FK250" s="134"/>
      <c r="FL250" s="134"/>
      <c r="FM250" s="134"/>
      <c r="FN250" s="134"/>
      <c r="FO250" s="134"/>
      <c r="FP250" s="134"/>
    </row>
    <row r="251" spans="1:172">
      <c r="A251" s="7" t="s">
        <v>436</v>
      </c>
      <c r="B251" s="7" t="s">
        <v>437</v>
      </c>
      <c r="C251" s="7" t="s">
        <v>716</v>
      </c>
      <c r="D251" s="7" t="s">
        <v>718</v>
      </c>
      <c r="E251" s="7" t="s">
        <v>863</v>
      </c>
      <c r="F251" s="19" t="s">
        <v>808</v>
      </c>
      <c r="G251" s="19" t="s">
        <v>802</v>
      </c>
      <c r="H251" s="19">
        <f>VLOOKUP(Tabla_Buffers_Agroinsumos[[#This Row],[CODIGO ]],TABLACONSOLIDADA[[Codigo]:[PV]],6,0)</f>
        <v>0</v>
      </c>
      <c r="I251" s="19">
        <f>VLOOKUP(Tabla_Buffers_Agroinsumos[[#This Row],[CODIGO ]],TABLACONSOLIDADA[[Codigo]:[PV]],5,0)</f>
        <v>0.18</v>
      </c>
      <c r="J251" s="19">
        <v>4</v>
      </c>
      <c r="K251" s="19">
        <v>6</v>
      </c>
      <c r="L251" s="19">
        <f>IFERROR(Tabla_Buffers_Agroinsumos[[#This Row],[BUFFER CENTRAL]]/((Tabla_Buffers_Agroinsumos[[#This Row],[TIEMPO REPOSICION ]]/Tabla_Buffers_Agroinsumos[[#This Row],[FRECUENCIA]])+1),0)</f>
        <v>0</v>
      </c>
      <c r="M251" s="19">
        <f t="array" ref="M251">IFERROR(INDEX(TABLACONSOLIDADA[Buff Act],MATCH("AGROINSUMOSMATERIAPRIMA"&amp;Tabla_Buffers_Agroinsumos[[#This Row],[CODIGO ]],TABLACONSOLIDADA[Bodega]&amp;TABLACONSOLIDADA[Codigo],0)),"")</f>
        <v>1200</v>
      </c>
      <c r="N251" s="157">
        <f t="array" ref="N251">IFERROR(INDEX(TABLACONSOLIDADA[Inv Fís Act],MATCH("AGROINSUMOSMATERIAPRIMA"&amp;Tabla_Buffers_Agroinsumos[[#This Row],[CODIGO ]],TABLACONSOLIDADA[Bodega]&amp;TABLACONSOLIDADA[Codigo],0)),"")</f>
        <v>2000</v>
      </c>
      <c r="O251" s="157">
        <f t="array" ref="O25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2000</v>
      </c>
      <c r="P25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51" s="19">
        <f>IFERROR(SUM(Tabla_Buffers_Agroinsumos[[#This Row],[MP-C]:[MP-VL]]),"")</f>
        <v>0</v>
      </c>
      <c r="R251" s="92">
        <f>IFERROR(Tabla_Buffers_Agroinsumos[[#This Row],[INV FIS MATERIA PRIMA]]-Tabla_Buffers_Agroinsumos[[#This Row],[BUFFER MATERIA PRIMA]],"")</f>
        <v>800</v>
      </c>
      <c r="S25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800</v>
      </c>
      <c r="T251" s="19"/>
      <c r="U251" s="19"/>
      <c r="V251" s="19"/>
      <c r="W251" s="19"/>
      <c r="X251" s="19"/>
      <c r="Y251" s="19"/>
      <c r="Z251" s="19"/>
      <c r="AA251" s="19"/>
      <c r="AB251" s="19"/>
      <c r="AC251" s="152" t="str">
        <f t="array" ref="AC251">IFERROR(INDEX(TABLACONSOLIDADA[Buff Act],MATCH("AGROINSUMOSCENTRAL"&amp;Tabla_Buffers_Agroinsumos[[#This Row],[CODIGO ]],TABLACONSOLIDADA[Bodega]&amp;TABLACONSOLIDADA[Codigo],0)),"")</f>
        <v/>
      </c>
      <c r="AD251" s="157" t="str">
        <f t="array" ref="AD251">IFERROR(INDEX(TABLACONSOLIDADA[Inv Fís Act],MATCH("AGROINSUMOSCENTRAL"&amp;Tabla_Buffers_Agroinsumos[[#This Row],[CODIGO ]],TABLACONSOLIDADA[Bodega]&amp;TABLACONSOLIDADA[Codigo],0)),"")</f>
        <v/>
      </c>
      <c r="AE251" s="157" t="str">
        <f t="array" ref="AE25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5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51" s="91">
        <f>IFERROR(SUM(Tabla_Buffers_Agroinsumos[[#This Row],[C-MP]:[C-VL]]),"")</f>
        <v>0</v>
      </c>
      <c r="AH251" s="92" t="str">
        <f>IFERROR(Tabla_Buffers_Agroinsumos[[#This Row],[INV FIS CENTRAL]]-Tabla_Buffers_Agroinsumos[[#This Row],[BUFFER CENTRAL]],"")</f>
        <v/>
      </c>
      <c r="AI25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51" s="134"/>
      <c r="AK251" s="134"/>
      <c r="AL251" s="134"/>
      <c r="AM251" s="134"/>
      <c r="AN251" s="134"/>
      <c r="AO251" s="134"/>
      <c r="AP251" s="134"/>
      <c r="AQ251" s="134"/>
      <c r="AR251" s="134"/>
      <c r="AS251" s="134" t="str">
        <f t="array" ref="AS251">IFERROR(INDEX(TABLACONSOLIDADA[Buff Act],MATCH("AGROINSUMOScentralPROPIA"&amp;Tabla_Buffers_Agroinsumos[[#This Row],[CODIGO ]],TABLACONSOLIDADA[Bodega]&amp;TABLACONSOLIDADA[Codigo],0)),"")</f>
        <v/>
      </c>
      <c r="AT251" s="157" t="str">
        <f t="array" ref="AT251">IFERROR(INDEX(TABLACONSOLIDADA[Inv Fís Act],MATCH("AGROINSUMOScentralPROPIA"&amp;Tabla_Buffers_Agroinsumos[[#This Row],[CODIGO ]],TABLACONSOLIDADA[Bodega]&amp;TABLACONSOLIDADA[Codigo],0)),"")</f>
        <v/>
      </c>
      <c r="AU251" s="157" t="str">
        <f t="array" ref="AU25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5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51" s="134">
        <f>IFERROR(SUM(Tabla_Buffers_Agroinsumos[[#This Row],[P-MP]:[P-VL]]),"")</f>
        <v>0</v>
      </c>
      <c r="AX251" s="92" t="str">
        <f>IFERROR(Tabla_Buffers_Agroinsumos[[#This Row],[INV FIS PROPIA]]-Tabla_Buffers_Agroinsumos[[#This Row],[BUFFER PROPIA]],"")</f>
        <v/>
      </c>
      <c r="AY25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51" s="134"/>
      <c r="BA251" s="134"/>
      <c r="BB251" s="134"/>
      <c r="BC251" s="134"/>
      <c r="BD251" s="134"/>
      <c r="BE251" s="134"/>
      <c r="BF251" s="134"/>
      <c r="BG251" s="134"/>
      <c r="BH251" s="134"/>
      <c r="BI251" s="91" t="str">
        <f t="array" ref="BI251">IFERROR(INDEX(TABLACONSOLIDADA[Buff Act],MATCH("AGROINSUMOSSTODOMINGO"&amp;Tabla_Buffers_Agroinsumos[[#This Row],[CODIGO ]],TABLACONSOLIDADA[Bodega]&amp;TABLACONSOLIDADA[Codigo],0)),"")</f>
        <v/>
      </c>
      <c r="BJ251" s="157" t="str">
        <f t="array" ref="BJ251">IFERROR(INDEX(TABLACONSOLIDADA[Inv Fís Act],MATCH("AGROINSUMOSSTODOMINGO"&amp;Tabla_Buffers_Agroinsumos[[#This Row],[CODIGO ]],TABLACONSOLIDADA[Bodega]&amp;TABLACONSOLIDADA[Codigo],0)),"")</f>
        <v/>
      </c>
      <c r="BK251" s="157" t="str">
        <f t="array" ref="BK25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5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51" s="91">
        <f>IFERROR(SUM(Tabla_Buffers_Agroinsumos[[#This Row],[SD-MP]:[SD-VL]]),"")</f>
        <v>0</v>
      </c>
      <c r="BN251" s="92"/>
      <c r="BO251" s="92"/>
      <c r="BP251" s="134"/>
      <c r="BQ251" s="134"/>
      <c r="BR251" s="134"/>
      <c r="BS251" s="134"/>
      <c r="BT251" s="134"/>
      <c r="BU251" s="134"/>
      <c r="BV251" s="134"/>
      <c r="BW251" s="134"/>
      <c r="BX251" s="134"/>
      <c r="BY251" s="134" t="str">
        <f t="array" ref="BY251">IFERROR(INDEX(TABLACONSOLIDADA[Buff Act],MATCH("AGROINSUMOSMONCAYOLOPEZ"&amp;Tabla_Buffers_Agroinsumos[[#This Row],[CODIGO ]],TABLACONSOLIDADA[Bodega]&amp;TABLACONSOLIDADA[Codigo],0)),"")</f>
        <v/>
      </c>
      <c r="BZ251" s="157" t="str">
        <f t="array" ref="BZ251">IFERROR(INDEX(TABLACONSOLIDADA[Inv Fís Act],MATCH("AGROINSUMOSMONCAYOLOPEZ"&amp;Tabla_Buffers_Agroinsumos[[#This Row],[CODIGO ]],TABLACONSOLIDADA[Bodega]&amp;TABLACONSOLIDADA[Codigo],0)),"")</f>
        <v/>
      </c>
      <c r="CA251" s="157" t="str">
        <f t="array" ref="CA25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5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51" s="134">
        <f>IFERROR(SUM(Tabla_Buffers_Agroinsumos[[#This Row],[ML-MP]:[ML-VL]]),"")</f>
        <v>0</v>
      </c>
      <c r="CD251" s="92" t="str">
        <f>IFERROR(Tabla_Buffers_Agroinsumos[[#This Row],[INV FIS ML]]-Tabla_Buffers_Agroinsumos[[#This Row],[BUFFER ML]],"")</f>
        <v/>
      </c>
      <c r="CE25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51" s="134"/>
      <c r="CG251" s="134"/>
      <c r="CH251" s="134"/>
      <c r="CI251" s="134"/>
      <c r="CJ251" s="134"/>
      <c r="CK251" s="134"/>
      <c r="CL251" s="134"/>
      <c r="CM251" s="134"/>
      <c r="CN251" s="134"/>
      <c r="CO251" s="134" t="str">
        <f t="array" ref="CO251">IFERROR(INDEX(TABLACONSOLIDADA[Buff Act],MATCH("AGROINSUMOSAGROHERMANOSLEON"&amp;Tabla_Buffers_Agroinsumos[[#This Row],[CODIGO ]],TABLACONSOLIDADA[Bodega]&amp;TABLACONSOLIDADA[Codigo],0)),"")</f>
        <v/>
      </c>
      <c r="CP251" s="157" t="str">
        <f t="array" ref="CP251">IFERROR(INDEX(TABLACONSOLIDADA[Inv Fís Act],MATCH("AGROINSUMOSAGROHERMANOSLEON"&amp;Tabla_Buffers_Agroinsumos[[#This Row],[CODIGO ]],TABLACONSOLIDADA[Bodega]&amp;TABLACONSOLIDADA[Codigo],0)),"")</f>
        <v/>
      </c>
      <c r="CQ251" s="157" t="str">
        <f t="array" ref="CQ25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5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51" s="134">
        <f>IFERROR(SUM(Tabla_Buffers_Agroinsumos[[#This Row],[AL-MP]:[AL-VL]]),"")</f>
        <v>0</v>
      </c>
      <c r="CT251" s="92" t="str">
        <f>IFERROR(Tabla_Buffers_Agroinsumos[[#This Row],[INV FIS AL]]-Tabla_Buffers_Agroinsumos[[#This Row],[BUFFER AL]],"")</f>
        <v/>
      </c>
      <c r="CU25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51" s="134"/>
      <c r="CW251" s="134"/>
      <c r="CX251" s="134"/>
      <c r="CY251" s="134"/>
      <c r="CZ251" s="134"/>
      <c r="DA251" s="134"/>
      <c r="DB251" s="134"/>
      <c r="DC251" s="134"/>
      <c r="DD251" s="134"/>
      <c r="DE251" s="134" t="str">
        <f t="array" ref="DE251">IFERROR(INDEX(TABLACONSOLIDADA[Buff Act],MATCH("AGROINSUMOSAGRONUEVO"&amp;Tabla_Buffers_Agroinsumos[[#This Row],[CODIGO ]],TABLACONSOLIDADA[Bodega]&amp;TABLACONSOLIDADA[Codigo],0)),"")</f>
        <v/>
      </c>
      <c r="DF251" s="157" t="str">
        <f t="array" ref="DF251">IFERROR(INDEX(TABLACONSOLIDADA[Inv Fís Act],MATCH("AGROINSUMOSAGRONUEVO"&amp;Tabla_Buffers_Agroinsumos[[#This Row],[CODIGO ]],TABLACONSOLIDADA[Bodega]&amp;TABLACONSOLIDADA[Codigo],0)),"")</f>
        <v/>
      </c>
      <c r="DG251" s="157" t="str">
        <f t="array" ref="DG25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5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51" s="134">
        <f>IFERROR(SUM(Tabla_Buffers_Agroinsumos[[#This Row],[AN-MP]:[AN-VL]]),"")</f>
        <v>0</v>
      </c>
      <c r="DJ251" s="92" t="str">
        <f>IFERROR(Tabla_Buffers_Agroinsumos[[#This Row],[INV FIS AN]]-Tabla_Buffers_Agroinsumos[[#This Row],[BUFFER AN]],"")</f>
        <v/>
      </c>
      <c r="DK25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51" s="134"/>
      <c r="DM251" s="134"/>
      <c r="DN251" s="134"/>
      <c r="DO251" s="134"/>
      <c r="DP251" s="134"/>
      <c r="DQ251" s="134"/>
      <c r="DR251" s="134"/>
      <c r="DS251" s="134"/>
      <c r="DT251" s="134"/>
      <c r="DU251" s="134" t="str">
        <f t="array" ref="DU251">IFERROR(INDEX(TABLACONSOLIDADA[Buff Act],MATCH("AGROINSUMOSAGROQUIMICOSSUR"&amp;Tabla_Buffers_Agroinsumos[[#This Row],[CODIGO ]],TABLACONSOLIDADA[Bodega]&amp;TABLACONSOLIDADA[Codigo],0)),"")</f>
        <v/>
      </c>
      <c r="DV251" s="157" t="str">
        <f t="array" ref="DV251">IFERROR(INDEX(TABLACONSOLIDADA[Inv Fís Act],MATCH("AGROINSUMOSAGROQUIMICOSSUR"&amp;Tabla_Buffers_Agroinsumos[[#This Row],[CODIGO ]],TABLACONSOLIDADA[Bodega]&amp;TABLACONSOLIDADA[Codigo],0)),"")</f>
        <v/>
      </c>
      <c r="DW251" s="157" t="str">
        <f t="array" ref="DW25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5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51" s="134">
        <f>IFERROR(SUM(Tabla_Buffers_Agroinsumos[[#This Row],[AS-MP]:[AS-VL]]),"")</f>
        <v>0</v>
      </c>
      <c r="DZ251" s="92" t="str">
        <f>IFERROR(Tabla_Buffers_Agroinsumos[[#This Row],[INV FIS AS]]-Tabla_Buffers_Agroinsumos[[#This Row],[BUFFER AS]],"")</f>
        <v/>
      </c>
      <c r="EA25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51" s="134"/>
      <c r="EC251" s="134"/>
      <c r="ED251" s="134"/>
      <c r="EE251" s="134"/>
      <c r="EF251" s="134"/>
      <c r="EG251" s="134"/>
      <c r="EH251" s="134"/>
      <c r="EI251" s="134"/>
      <c r="EJ251" s="134"/>
      <c r="EK251" s="134" t="str">
        <f t="array" ref="EK251">IFERROR(INDEX(TABLACONSOLIDADA[Buff Act],MATCH("AGROINSUMOSLAFINCA"&amp;Tabla_Buffers_Agroinsumos[[#This Row],[CODIGO ]],TABLACONSOLIDADA[Bodega]&amp;TABLACONSOLIDADA[Codigo],0)),"")</f>
        <v/>
      </c>
      <c r="EL251" s="157" t="str">
        <f t="array" ref="EL251">IFERROR(INDEX(TABLACONSOLIDADA[Inv Fís Act],MATCH("AGROINSUMOSLAFINCA"&amp;Tabla_Buffers_Agroinsumos[[#This Row],[CODIGO ]],TABLACONSOLIDADA[Bodega]&amp;TABLACONSOLIDADA[Codigo],0)),"")</f>
        <v/>
      </c>
      <c r="EM251" s="157" t="str">
        <f t="array" ref="EM25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5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51" s="134">
        <f>IFERROR(SUM(Tabla_Buffers_Agroinsumos[[#This Row],[LF-MP]:[LF-VL]]),"")</f>
        <v>0</v>
      </c>
      <c r="EP251" s="92" t="str">
        <f>IFERROR(Tabla_Buffers_Agroinsumos[[#This Row],[INV FIS LF]]-Tabla_Buffers_Agroinsumos[[#This Row],[BUFFER LF]],"")</f>
        <v/>
      </c>
      <c r="EQ25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51" s="134"/>
      <c r="ES251" s="134"/>
      <c r="ET251" s="134"/>
      <c r="EU251" s="134"/>
      <c r="EV251" s="134"/>
      <c r="EW251" s="134"/>
      <c r="EX251" s="134"/>
      <c r="EY251" s="134"/>
      <c r="EZ251" s="134"/>
      <c r="FA251" s="134" t="str">
        <f t="array" ref="FA251">IFERROR(INDEX(TABLACONSOLIDADA[Buff Act],MATCH("AGROINSUMOSVERONICALEDESMA"&amp;Tabla_Buffers_Agroinsumos[[#This Row],[CODIGO ]],TABLACONSOLIDADA[Bodega]&amp;TABLACONSOLIDADA[Codigo],0)),"")</f>
        <v/>
      </c>
      <c r="FB251" s="157" t="str">
        <f t="array" ref="FB251">IFERROR(INDEX(TABLACONSOLIDADA[Inv Fís Act],MATCH("AGROINSUMOSVERONICALEDESMA"&amp;Tabla_Buffers_Agroinsumos[[#This Row],[CODIGO ]],TABLACONSOLIDADA[Bodega]&amp;TABLACONSOLIDADA[Codigo],0)),"")</f>
        <v/>
      </c>
      <c r="FC251" s="157" t="str">
        <f t="array" ref="FC25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5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51" s="134">
        <f>IFERROR(SUM(Tabla_Buffers_Agroinsumos[[#This Row],[VL-MP]:[VL-LF]]),"")</f>
        <v>0</v>
      </c>
      <c r="FF251" s="92" t="str">
        <f>IFERROR(Tabla_Buffers_Agroinsumos[[#This Row],[INV FIS VL]]-Tabla_Buffers_Agroinsumos[[#This Row],[BUFFER VL]],"")</f>
        <v/>
      </c>
      <c r="FG25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51" s="134"/>
      <c r="FI251" s="134"/>
      <c r="FJ251" s="134"/>
      <c r="FK251" s="134"/>
      <c r="FL251" s="134"/>
      <c r="FM251" s="134"/>
      <c r="FN251" s="134"/>
      <c r="FO251" s="134"/>
      <c r="FP251" s="134"/>
    </row>
    <row r="252" spans="1:172">
      <c r="A252" s="7" t="s">
        <v>438</v>
      </c>
      <c r="B252" s="7" t="s">
        <v>439</v>
      </c>
      <c r="C252" s="7" t="s">
        <v>716</v>
      </c>
      <c r="D252" s="7" t="s">
        <v>718</v>
      </c>
      <c r="E252" s="7" t="s">
        <v>863</v>
      </c>
      <c r="F252" s="19" t="s">
        <v>808</v>
      </c>
      <c r="G252" s="19" t="s">
        <v>802</v>
      </c>
      <c r="H252" s="19">
        <f>VLOOKUP(Tabla_Buffers_Agroinsumos[[#This Row],[CODIGO ]],TABLACONSOLIDADA[[Codigo]:[PV]],6,0)</f>
        <v>0</v>
      </c>
      <c r="I252" s="19">
        <f>VLOOKUP(Tabla_Buffers_Agroinsumos[[#This Row],[CODIGO ]],TABLACONSOLIDADA[[Codigo]:[PV]],5,0)</f>
        <v>0.25</v>
      </c>
      <c r="J252" s="19">
        <v>4</v>
      </c>
      <c r="K252" s="19">
        <v>6</v>
      </c>
      <c r="L252" s="19">
        <f>IFERROR(Tabla_Buffers_Agroinsumos[[#This Row],[BUFFER CENTRAL]]/((Tabla_Buffers_Agroinsumos[[#This Row],[TIEMPO REPOSICION ]]/Tabla_Buffers_Agroinsumos[[#This Row],[FRECUENCIA]])+1),0)</f>
        <v>0</v>
      </c>
      <c r="M252" s="19">
        <f t="array" ref="M252">IFERROR(INDEX(TABLACONSOLIDADA[Buff Act],MATCH("AGROINSUMOSMATERIAPRIMA"&amp;Tabla_Buffers_Agroinsumos[[#This Row],[CODIGO ]],TABLACONSOLIDADA[Bodega]&amp;TABLACONSOLIDADA[Codigo],0)),"")</f>
        <v>500</v>
      </c>
      <c r="N252" s="157">
        <f t="array" ref="N252">IFERROR(INDEX(TABLACONSOLIDADA[Inv Fís Act],MATCH("AGROINSUMOSMATERIAPRIMA"&amp;Tabla_Buffers_Agroinsumos[[#This Row],[CODIGO ]],TABLACONSOLIDADA[Bodega]&amp;TABLACONSOLIDADA[Codigo],0)),"")</f>
        <v>503</v>
      </c>
      <c r="O252" s="157">
        <f t="array" ref="O25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503</v>
      </c>
      <c r="P25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52" s="19">
        <f>IFERROR(SUM(Tabla_Buffers_Agroinsumos[[#This Row],[MP-C]:[MP-VL]]),"")</f>
        <v>0</v>
      </c>
      <c r="R252" s="92">
        <f>IFERROR(Tabla_Buffers_Agroinsumos[[#This Row],[INV FIS MATERIA PRIMA]]-Tabla_Buffers_Agroinsumos[[#This Row],[BUFFER MATERIA PRIMA]],"")</f>
        <v>3</v>
      </c>
      <c r="S25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3</v>
      </c>
      <c r="T252" s="19"/>
      <c r="U252" s="19"/>
      <c r="V252" s="19"/>
      <c r="W252" s="19"/>
      <c r="X252" s="19"/>
      <c r="Y252" s="19"/>
      <c r="Z252" s="19"/>
      <c r="AA252" s="19"/>
      <c r="AB252" s="19"/>
      <c r="AC252" s="152" t="str">
        <f t="array" ref="AC252">IFERROR(INDEX(TABLACONSOLIDADA[Buff Act],MATCH("AGROINSUMOSCENTRAL"&amp;Tabla_Buffers_Agroinsumos[[#This Row],[CODIGO ]],TABLACONSOLIDADA[Bodega]&amp;TABLACONSOLIDADA[Codigo],0)),"")</f>
        <v/>
      </c>
      <c r="AD252" s="157" t="str">
        <f t="array" ref="AD252">IFERROR(INDEX(TABLACONSOLIDADA[Inv Fís Act],MATCH("AGROINSUMOSCENTRAL"&amp;Tabla_Buffers_Agroinsumos[[#This Row],[CODIGO ]],TABLACONSOLIDADA[Bodega]&amp;TABLACONSOLIDADA[Codigo],0)),"")</f>
        <v/>
      </c>
      <c r="AE252" s="157" t="str">
        <f t="array" ref="AE25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5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52" s="91">
        <f>IFERROR(SUM(Tabla_Buffers_Agroinsumos[[#This Row],[C-MP]:[C-VL]]),"")</f>
        <v>0</v>
      </c>
      <c r="AH252" s="92" t="str">
        <f>IFERROR(Tabla_Buffers_Agroinsumos[[#This Row],[INV FIS CENTRAL]]-Tabla_Buffers_Agroinsumos[[#This Row],[BUFFER CENTRAL]],"")</f>
        <v/>
      </c>
      <c r="AI25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52" s="134"/>
      <c r="AK252" s="134"/>
      <c r="AL252" s="134"/>
      <c r="AM252" s="134"/>
      <c r="AN252" s="134"/>
      <c r="AO252" s="134"/>
      <c r="AP252" s="134"/>
      <c r="AQ252" s="134"/>
      <c r="AR252" s="134"/>
      <c r="AS252" s="134" t="str">
        <f t="array" ref="AS252">IFERROR(INDEX(TABLACONSOLIDADA[Buff Act],MATCH("AGROINSUMOScentralPROPIA"&amp;Tabla_Buffers_Agroinsumos[[#This Row],[CODIGO ]],TABLACONSOLIDADA[Bodega]&amp;TABLACONSOLIDADA[Codigo],0)),"")</f>
        <v/>
      </c>
      <c r="AT252" s="157" t="str">
        <f t="array" ref="AT252">IFERROR(INDEX(TABLACONSOLIDADA[Inv Fís Act],MATCH("AGROINSUMOScentralPROPIA"&amp;Tabla_Buffers_Agroinsumos[[#This Row],[CODIGO ]],TABLACONSOLIDADA[Bodega]&amp;TABLACONSOLIDADA[Codigo],0)),"")</f>
        <v/>
      </c>
      <c r="AU252" s="157" t="str">
        <f t="array" ref="AU25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5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52" s="134">
        <f>IFERROR(SUM(Tabla_Buffers_Agroinsumos[[#This Row],[P-MP]:[P-VL]]),"")</f>
        <v>0</v>
      </c>
      <c r="AX252" s="92" t="str">
        <f>IFERROR(Tabla_Buffers_Agroinsumos[[#This Row],[INV FIS PROPIA]]-Tabla_Buffers_Agroinsumos[[#This Row],[BUFFER PROPIA]],"")</f>
        <v/>
      </c>
      <c r="AY25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52" s="134"/>
      <c r="BA252" s="134"/>
      <c r="BB252" s="134"/>
      <c r="BC252" s="134"/>
      <c r="BD252" s="134"/>
      <c r="BE252" s="134"/>
      <c r="BF252" s="134"/>
      <c r="BG252" s="134"/>
      <c r="BH252" s="134"/>
      <c r="BI252" s="91" t="str">
        <f t="array" ref="BI252">IFERROR(INDEX(TABLACONSOLIDADA[Buff Act],MATCH("AGROINSUMOSSTODOMINGO"&amp;Tabla_Buffers_Agroinsumos[[#This Row],[CODIGO ]],TABLACONSOLIDADA[Bodega]&amp;TABLACONSOLIDADA[Codigo],0)),"")</f>
        <v/>
      </c>
      <c r="BJ252" s="157" t="str">
        <f t="array" ref="BJ252">IFERROR(INDEX(TABLACONSOLIDADA[Inv Fís Act],MATCH("AGROINSUMOSSTODOMINGO"&amp;Tabla_Buffers_Agroinsumos[[#This Row],[CODIGO ]],TABLACONSOLIDADA[Bodega]&amp;TABLACONSOLIDADA[Codigo],0)),"")</f>
        <v/>
      </c>
      <c r="BK252" s="157" t="str">
        <f t="array" ref="BK25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5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52" s="91">
        <f>IFERROR(SUM(Tabla_Buffers_Agroinsumos[[#This Row],[SD-MP]:[SD-VL]]),"")</f>
        <v>0</v>
      </c>
      <c r="BN252" s="92"/>
      <c r="BO252" s="92"/>
      <c r="BP252" s="134"/>
      <c r="BQ252" s="134"/>
      <c r="BR252" s="134"/>
      <c r="BS252" s="134"/>
      <c r="BT252" s="134"/>
      <c r="BU252" s="134"/>
      <c r="BV252" s="134"/>
      <c r="BW252" s="134"/>
      <c r="BX252" s="134"/>
      <c r="BY252" s="134" t="str">
        <f t="array" ref="BY252">IFERROR(INDEX(TABLACONSOLIDADA[Buff Act],MATCH("AGROINSUMOSMONCAYOLOPEZ"&amp;Tabla_Buffers_Agroinsumos[[#This Row],[CODIGO ]],TABLACONSOLIDADA[Bodega]&amp;TABLACONSOLIDADA[Codigo],0)),"")</f>
        <v/>
      </c>
      <c r="BZ252" s="157" t="str">
        <f t="array" ref="BZ252">IFERROR(INDEX(TABLACONSOLIDADA[Inv Fís Act],MATCH("AGROINSUMOSMONCAYOLOPEZ"&amp;Tabla_Buffers_Agroinsumos[[#This Row],[CODIGO ]],TABLACONSOLIDADA[Bodega]&amp;TABLACONSOLIDADA[Codigo],0)),"")</f>
        <v/>
      </c>
      <c r="CA252" s="157" t="str">
        <f t="array" ref="CA25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5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52" s="134">
        <f>IFERROR(SUM(Tabla_Buffers_Agroinsumos[[#This Row],[ML-MP]:[ML-VL]]),"")</f>
        <v>0</v>
      </c>
      <c r="CD252" s="92" t="str">
        <f>IFERROR(Tabla_Buffers_Agroinsumos[[#This Row],[INV FIS ML]]-Tabla_Buffers_Agroinsumos[[#This Row],[BUFFER ML]],"")</f>
        <v/>
      </c>
      <c r="CE25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52" s="134"/>
      <c r="CG252" s="134"/>
      <c r="CH252" s="134"/>
      <c r="CI252" s="134"/>
      <c r="CJ252" s="134"/>
      <c r="CK252" s="134"/>
      <c r="CL252" s="134"/>
      <c r="CM252" s="134"/>
      <c r="CN252" s="134"/>
      <c r="CO252" s="134" t="str">
        <f t="array" ref="CO252">IFERROR(INDEX(TABLACONSOLIDADA[Buff Act],MATCH("AGROINSUMOSAGROHERMANOSLEON"&amp;Tabla_Buffers_Agroinsumos[[#This Row],[CODIGO ]],TABLACONSOLIDADA[Bodega]&amp;TABLACONSOLIDADA[Codigo],0)),"")</f>
        <v/>
      </c>
      <c r="CP252" s="157" t="str">
        <f t="array" ref="CP252">IFERROR(INDEX(TABLACONSOLIDADA[Inv Fís Act],MATCH("AGROINSUMOSAGROHERMANOSLEON"&amp;Tabla_Buffers_Agroinsumos[[#This Row],[CODIGO ]],TABLACONSOLIDADA[Bodega]&amp;TABLACONSOLIDADA[Codigo],0)),"")</f>
        <v/>
      </c>
      <c r="CQ252" s="157" t="str">
        <f t="array" ref="CQ25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5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52" s="134">
        <f>IFERROR(SUM(Tabla_Buffers_Agroinsumos[[#This Row],[AL-MP]:[AL-VL]]),"")</f>
        <v>0</v>
      </c>
      <c r="CT252" s="92" t="str">
        <f>IFERROR(Tabla_Buffers_Agroinsumos[[#This Row],[INV FIS AL]]-Tabla_Buffers_Agroinsumos[[#This Row],[BUFFER AL]],"")</f>
        <v/>
      </c>
      <c r="CU25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52" s="134"/>
      <c r="CW252" s="134"/>
      <c r="CX252" s="134"/>
      <c r="CY252" s="134"/>
      <c r="CZ252" s="134"/>
      <c r="DA252" s="134"/>
      <c r="DB252" s="134"/>
      <c r="DC252" s="134"/>
      <c r="DD252" s="134"/>
      <c r="DE252" s="134" t="str">
        <f t="array" ref="DE252">IFERROR(INDEX(TABLACONSOLIDADA[Buff Act],MATCH("AGROINSUMOSAGRONUEVO"&amp;Tabla_Buffers_Agroinsumos[[#This Row],[CODIGO ]],TABLACONSOLIDADA[Bodega]&amp;TABLACONSOLIDADA[Codigo],0)),"")</f>
        <v/>
      </c>
      <c r="DF252" s="157" t="str">
        <f t="array" ref="DF252">IFERROR(INDEX(TABLACONSOLIDADA[Inv Fís Act],MATCH("AGROINSUMOSAGRONUEVO"&amp;Tabla_Buffers_Agroinsumos[[#This Row],[CODIGO ]],TABLACONSOLIDADA[Bodega]&amp;TABLACONSOLIDADA[Codigo],0)),"")</f>
        <v/>
      </c>
      <c r="DG252" s="157" t="str">
        <f t="array" ref="DG25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5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52" s="134">
        <f>IFERROR(SUM(Tabla_Buffers_Agroinsumos[[#This Row],[AN-MP]:[AN-VL]]),"")</f>
        <v>0</v>
      </c>
      <c r="DJ252" s="92" t="str">
        <f>IFERROR(Tabla_Buffers_Agroinsumos[[#This Row],[INV FIS AN]]-Tabla_Buffers_Agroinsumos[[#This Row],[BUFFER AN]],"")</f>
        <v/>
      </c>
      <c r="DK25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52" s="134"/>
      <c r="DM252" s="134"/>
      <c r="DN252" s="134"/>
      <c r="DO252" s="134"/>
      <c r="DP252" s="134"/>
      <c r="DQ252" s="134"/>
      <c r="DR252" s="134"/>
      <c r="DS252" s="134"/>
      <c r="DT252" s="134"/>
      <c r="DU252" s="134" t="str">
        <f t="array" ref="DU252">IFERROR(INDEX(TABLACONSOLIDADA[Buff Act],MATCH("AGROINSUMOSAGROQUIMICOSSUR"&amp;Tabla_Buffers_Agroinsumos[[#This Row],[CODIGO ]],TABLACONSOLIDADA[Bodega]&amp;TABLACONSOLIDADA[Codigo],0)),"")</f>
        <v/>
      </c>
      <c r="DV252" s="157" t="str">
        <f t="array" ref="DV252">IFERROR(INDEX(TABLACONSOLIDADA[Inv Fís Act],MATCH("AGROINSUMOSAGROQUIMICOSSUR"&amp;Tabla_Buffers_Agroinsumos[[#This Row],[CODIGO ]],TABLACONSOLIDADA[Bodega]&amp;TABLACONSOLIDADA[Codigo],0)),"")</f>
        <v/>
      </c>
      <c r="DW252" s="157" t="str">
        <f t="array" ref="DW25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5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52" s="134">
        <f>IFERROR(SUM(Tabla_Buffers_Agroinsumos[[#This Row],[AS-MP]:[AS-VL]]),"")</f>
        <v>0</v>
      </c>
      <c r="DZ252" s="92" t="str">
        <f>IFERROR(Tabla_Buffers_Agroinsumos[[#This Row],[INV FIS AS]]-Tabla_Buffers_Agroinsumos[[#This Row],[BUFFER AS]],"")</f>
        <v/>
      </c>
      <c r="EA25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52" s="134"/>
      <c r="EC252" s="134"/>
      <c r="ED252" s="134"/>
      <c r="EE252" s="134"/>
      <c r="EF252" s="134"/>
      <c r="EG252" s="134"/>
      <c r="EH252" s="134"/>
      <c r="EI252" s="134"/>
      <c r="EJ252" s="134"/>
      <c r="EK252" s="134" t="str">
        <f t="array" ref="EK252">IFERROR(INDEX(TABLACONSOLIDADA[Buff Act],MATCH("AGROINSUMOSLAFINCA"&amp;Tabla_Buffers_Agroinsumos[[#This Row],[CODIGO ]],TABLACONSOLIDADA[Bodega]&amp;TABLACONSOLIDADA[Codigo],0)),"")</f>
        <v/>
      </c>
      <c r="EL252" s="157" t="str">
        <f t="array" ref="EL252">IFERROR(INDEX(TABLACONSOLIDADA[Inv Fís Act],MATCH("AGROINSUMOSLAFINCA"&amp;Tabla_Buffers_Agroinsumos[[#This Row],[CODIGO ]],TABLACONSOLIDADA[Bodega]&amp;TABLACONSOLIDADA[Codigo],0)),"")</f>
        <v/>
      </c>
      <c r="EM252" s="157" t="str">
        <f t="array" ref="EM25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5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52" s="134">
        <f>IFERROR(SUM(Tabla_Buffers_Agroinsumos[[#This Row],[LF-MP]:[LF-VL]]),"")</f>
        <v>0</v>
      </c>
      <c r="EP252" s="92" t="str">
        <f>IFERROR(Tabla_Buffers_Agroinsumos[[#This Row],[INV FIS LF]]-Tabla_Buffers_Agroinsumos[[#This Row],[BUFFER LF]],"")</f>
        <v/>
      </c>
      <c r="EQ25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52" s="134"/>
      <c r="ES252" s="134"/>
      <c r="ET252" s="134"/>
      <c r="EU252" s="134"/>
      <c r="EV252" s="134"/>
      <c r="EW252" s="134"/>
      <c r="EX252" s="134"/>
      <c r="EY252" s="134"/>
      <c r="EZ252" s="134"/>
      <c r="FA252" s="134" t="str">
        <f t="array" ref="FA252">IFERROR(INDEX(TABLACONSOLIDADA[Buff Act],MATCH("AGROINSUMOSVERONICALEDESMA"&amp;Tabla_Buffers_Agroinsumos[[#This Row],[CODIGO ]],TABLACONSOLIDADA[Bodega]&amp;TABLACONSOLIDADA[Codigo],0)),"")</f>
        <v/>
      </c>
      <c r="FB252" s="157" t="str">
        <f t="array" ref="FB252">IFERROR(INDEX(TABLACONSOLIDADA[Inv Fís Act],MATCH("AGROINSUMOSVERONICALEDESMA"&amp;Tabla_Buffers_Agroinsumos[[#This Row],[CODIGO ]],TABLACONSOLIDADA[Bodega]&amp;TABLACONSOLIDADA[Codigo],0)),"")</f>
        <v/>
      </c>
      <c r="FC252" s="157" t="str">
        <f t="array" ref="FC25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5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52" s="134">
        <f>IFERROR(SUM(Tabla_Buffers_Agroinsumos[[#This Row],[VL-MP]:[VL-LF]]),"")</f>
        <v>0</v>
      </c>
      <c r="FF252" s="92" t="str">
        <f>IFERROR(Tabla_Buffers_Agroinsumos[[#This Row],[INV FIS VL]]-Tabla_Buffers_Agroinsumos[[#This Row],[BUFFER VL]],"")</f>
        <v/>
      </c>
      <c r="FG25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52" s="134"/>
      <c r="FI252" s="134"/>
      <c r="FJ252" s="134"/>
      <c r="FK252" s="134"/>
      <c r="FL252" s="134"/>
      <c r="FM252" s="134"/>
      <c r="FN252" s="134"/>
      <c r="FO252" s="134"/>
      <c r="FP252" s="134"/>
    </row>
    <row r="253" spans="1:172">
      <c r="A253" s="7" t="s">
        <v>440</v>
      </c>
      <c r="B253" s="7" t="s">
        <v>441</v>
      </c>
      <c r="C253" s="7" t="s">
        <v>716</v>
      </c>
      <c r="D253" s="7" t="s">
        <v>718</v>
      </c>
      <c r="E253" s="7" t="s">
        <v>863</v>
      </c>
      <c r="F253" s="19" t="s">
        <v>808</v>
      </c>
      <c r="G253" s="19" t="s">
        <v>802</v>
      </c>
      <c r="H253" s="19">
        <f>VLOOKUP(Tabla_Buffers_Agroinsumos[[#This Row],[CODIGO ]],TABLACONSOLIDADA[[Codigo]:[PV]],6,0)</f>
        <v>0</v>
      </c>
      <c r="I253" s="19">
        <f>VLOOKUP(Tabla_Buffers_Agroinsumos[[#This Row],[CODIGO ]],TABLACONSOLIDADA[[Codigo]:[PV]],5,0)</f>
        <v>0.1</v>
      </c>
      <c r="J253" s="19">
        <v>4</v>
      </c>
      <c r="K253" s="19">
        <v>6</v>
      </c>
      <c r="L253" s="19">
        <f>IFERROR(Tabla_Buffers_Agroinsumos[[#This Row],[BUFFER CENTRAL]]/((Tabla_Buffers_Agroinsumos[[#This Row],[TIEMPO REPOSICION ]]/Tabla_Buffers_Agroinsumos[[#This Row],[FRECUENCIA]])+1),0)</f>
        <v>0</v>
      </c>
      <c r="M253" s="19">
        <f t="array" ref="M253">IFERROR(INDEX(TABLACONSOLIDADA[Buff Act],MATCH("AGROINSUMOSMATERIAPRIMA"&amp;Tabla_Buffers_Agroinsumos[[#This Row],[CODIGO ]],TABLACONSOLIDADA[Bodega]&amp;TABLACONSOLIDADA[Codigo],0)),"")</f>
        <v>2400</v>
      </c>
      <c r="N253" s="157">
        <f t="array" ref="N253">IFERROR(INDEX(TABLACONSOLIDADA[Inv Fís Act],MATCH("AGROINSUMOSMATERIAPRIMA"&amp;Tabla_Buffers_Agroinsumos[[#This Row],[CODIGO ]],TABLACONSOLIDADA[Bodega]&amp;TABLACONSOLIDADA[Codigo],0)),"")</f>
        <v>2285</v>
      </c>
      <c r="O253" s="157">
        <f t="array" ref="O25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2285</v>
      </c>
      <c r="P25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53" s="19">
        <f>IFERROR(SUM(Tabla_Buffers_Agroinsumos[[#This Row],[MP-C]:[MP-VL]]),"")</f>
        <v>0</v>
      </c>
      <c r="R253" s="92">
        <f>IFERROR(Tabla_Buffers_Agroinsumos[[#This Row],[INV FIS MATERIA PRIMA]]-Tabla_Buffers_Agroinsumos[[#This Row],[BUFFER MATERIA PRIMA]],"")</f>
        <v>-115</v>
      </c>
      <c r="S25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-115</v>
      </c>
      <c r="T253" s="19"/>
      <c r="U253" s="19"/>
      <c r="V253" s="19"/>
      <c r="W253" s="19"/>
      <c r="X253" s="19"/>
      <c r="Y253" s="19"/>
      <c r="Z253" s="19"/>
      <c r="AA253" s="19"/>
      <c r="AB253" s="19"/>
      <c r="AC253" s="152" t="str">
        <f t="array" ref="AC253">IFERROR(INDEX(TABLACONSOLIDADA[Buff Act],MATCH("AGROINSUMOSCENTRAL"&amp;Tabla_Buffers_Agroinsumos[[#This Row],[CODIGO ]],TABLACONSOLIDADA[Bodega]&amp;TABLACONSOLIDADA[Codigo],0)),"")</f>
        <v/>
      </c>
      <c r="AD253" s="157" t="str">
        <f t="array" ref="AD253">IFERROR(INDEX(TABLACONSOLIDADA[Inv Fís Act],MATCH("AGROINSUMOSCENTRAL"&amp;Tabla_Buffers_Agroinsumos[[#This Row],[CODIGO ]],TABLACONSOLIDADA[Bodega]&amp;TABLACONSOLIDADA[Codigo],0)),"")</f>
        <v/>
      </c>
      <c r="AE253" s="157" t="str">
        <f t="array" ref="AE25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5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53" s="91">
        <f>IFERROR(SUM(Tabla_Buffers_Agroinsumos[[#This Row],[C-MP]:[C-VL]]),"")</f>
        <v>0</v>
      </c>
      <c r="AH253" s="92" t="str">
        <f>IFERROR(Tabla_Buffers_Agroinsumos[[#This Row],[INV FIS CENTRAL]]-Tabla_Buffers_Agroinsumos[[#This Row],[BUFFER CENTRAL]],"")</f>
        <v/>
      </c>
      <c r="AI25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53" s="134"/>
      <c r="AK253" s="134"/>
      <c r="AL253" s="134"/>
      <c r="AM253" s="134"/>
      <c r="AN253" s="134"/>
      <c r="AO253" s="134"/>
      <c r="AP253" s="134"/>
      <c r="AQ253" s="134"/>
      <c r="AR253" s="134"/>
      <c r="AS253" s="134" t="str">
        <f t="array" ref="AS253">IFERROR(INDEX(TABLACONSOLIDADA[Buff Act],MATCH("AGROINSUMOScentralPROPIA"&amp;Tabla_Buffers_Agroinsumos[[#This Row],[CODIGO ]],TABLACONSOLIDADA[Bodega]&amp;TABLACONSOLIDADA[Codigo],0)),"")</f>
        <v/>
      </c>
      <c r="AT253" s="157" t="str">
        <f t="array" ref="AT253">IFERROR(INDEX(TABLACONSOLIDADA[Inv Fís Act],MATCH("AGROINSUMOScentralPROPIA"&amp;Tabla_Buffers_Agroinsumos[[#This Row],[CODIGO ]],TABLACONSOLIDADA[Bodega]&amp;TABLACONSOLIDADA[Codigo],0)),"")</f>
        <v/>
      </c>
      <c r="AU253" s="157" t="str">
        <f t="array" ref="AU25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5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53" s="134">
        <f>IFERROR(SUM(Tabla_Buffers_Agroinsumos[[#This Row],[P-MP]:[P-VL]]),"")</f>
        <v>0</v>
      </c>
      <c r="AX253" s="92" t="str">
        <f>IFERROR(Tabla_Buffers_Agroinsumos[[#This Row],[INV FIS PROPIA]]-Tabla_Buffers_Agroinsumos[[#This Row],[BUFFER PROPIA]],"")</f>
        <v/>
      </c>
      <c r="AY25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53" s="134"/>
      <c r="BA253" s="134"/>
      <c r="BB253" s="134"/>
      <c r="BC253" s="134"/>
      <c r="BD253" s="134"/>
      <c r="BE253" s="134"/>
      <c r="BF253" s="134"/>
      <c r="BG253" s="134"/>
      <c r="BH253" s="134"/>
      <c r="BI253" s="91" t="str">
        <f t="array" ref="BI253">IFERROR(INDEX(TABLACONSOLIDADA[Buff Act],MATCH("AGROINSUMOSSTODOMINGO"&amp;Tabla_Buffers_Agroinsumos[[#This Row],[CODIGO ]],TABLACONSOLIDADA[Bodega]&amp;TABLACONSOLIDADA[Codigo],0)),"")</f>
        <v/>
      </c>
      <c r="BJ253" s="157" t="str">
        <f t="array" ref="BJ253">IFERROR(INDEX(TABLACONSOLIDADA[Inv Fís Act],MATCH("AGROINSUMOSSTODOMINGO"&amp;Tabla_Buffers_Agroinsumos[[#This Row],[CODIGO ]],TABLACONSOLIDADA[Bodega]&amp;TABLACONSOLIDADA[Codigo],0)),"")</f>
        <v/>
      </c>
      <c r="BK253" s="157" t="str">
        <f t="array" ref="BK25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5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53" s="91">
        <f>IFERROR(SUM(Tabla_Buffers_Agroinsumos[[#This Row],[SD-MP]:[SD-VL]]),"")</f>
        <v>0</v>
      </c>
      <c r="BN253" s="92"/>
      <c r="BO253" s="92"/>
      <c r="BP253" s="134"/>
      <c r="BQ253" s="134"/>
      <c r="BR253" s="134"/>
      <c r="BS253" s="134"/>
      <c r="BT253" s="134"/>
      <c r="BU253" s="134"/>
      <c r="BV253" s="134"/>
      <c r="BW253" s="134"/>
      <c r="BX253" s="134"/>
      <c r="BY253" s="134" t="str">
        <f t="array" ref="BY253">IFERROR(INDEX(TABLACONSOLIDADA[Buff Act],MATCH("AGROINSUMOSMONCAYOLOPEZ"&amp;Tabla_Buffers_Agroinsumos[[#This Row],[CODIGO ]],TABLACONSOLIDADA[Bodega]&amp;TABLACONSOLIDADA[Codigo],0)),"")</f>
        <v/>
      </c>
      <c r="BZ253" s="157" t="str">
        <f t="array" ref="BZ253">IFERROR(INDEX(TABLACONSOLIDADA[Inv Fís Act],MATCH("AGROINSUMOSMONCAYOLOPEZ"&amp;Tabla_Buffers_Agroinsumos[[#This Row],[CODIGO ]],TABLACONSOLIDADA[Bodega]&amp;TABLACONSOLIDADA[Codigo],0)),"")</f>
        <v/>
      </c>
      <c r="CA253" s="157" t="str">
        <f t="array" ref="CA25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5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53" s="134">
        <f>IFERROR(SUM(Tabla_Buffers_Agroinsumos[[#This Row],[ML-MP]:[ML-VL]]),"")</f>
        <v>0</v>
      </c>
      <c r="CD253" s="92" t="str">
        <f>IFERROR(Tabla_Buffers_Agroinsumos[[#This Row],[INV FIS ML]]-Tabla_Buffers_Agroinsumos[[#This Row],[BUFFER ML]],"")</f>
        <v/>
      </c>
      <c r="CE25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53" s="134"/>
      <c r="CG253" s="134"/>
      <c r="CH253" s="134"/>
      <c r="CI253" s="134"/>
      <c r="CJ253" s="134"/>
      <c r="CK253" s="134"/>
      <c r="CL253" s="134"/>
      <c r="CM253" s="134"/>
      <c r="CN253" s="134"/>
      <c r="CO253" s="134" t="str">
        <f t="array" ref="CO253">IFERROR(INDEX(TABLACONSOLIDADA[Buff Act],MATCH("AGROINSUMOSAGROHERMANOSLEON"&amp;Tabla_Buffers_Agroinsumos[[#This Row],[CODIGO ]],TABLACONSOLIDADA[Bodega]&amp;TABLACONSOLIDADA[Codigo],0)),"")</f>
        <v/>
      </c>
      <c r="CP253" s="157" t="str">
        <f t="array" ref="CP253">IFERROR(INDEX(TABLACONSOLIDADA[Inv Fís Act],MATCH("AGROINSUMOSAGROHERMANOSLEON"&amp;Tabla_Buffers_Agroinsumos[[#This Row],[CODIGO ]],TABLACONSOLIDADA[Bodega]&amp;TABLACONSOLIDADA[Codigo],0)),"")</f>
        <v/>
      </c>
      <c r="CQ253" s="157" t="str">
        <f t="array" ref="CQ25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5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53" s="134">
        <f>IFERROR(SUM(Tabla_Buffers_Agroinsumos[[#This Row],[AL-MP]:[AL-VL]]),"")</f>
        <v>0</v>
      </c>
      <c r="CT253" s="92" t="str">
        <f>IFERROR(Tabla_Buffers_Agroinsumos[[#This Row],[INV FIS AL]]-Tabla_Buffers_Agroinsumos[[#This Row],[BUFFER AL]],"")</f>
        <v/>
      </c>
      <c r="CU25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53" s="134"/>
      <c r="CW253" s="134"/>
      <c r="CX253" s="134"/>
      <c r="CY253" s="134"/>
      <c r="CZ253" s="134"/>
      <c r="DA253" s="134"/>
      <c r="DB253" s="134"/>
      <c r="DC253" s="134"/>
      <c r="DD253" s="134"/>
      <c r="DE253" s="134" t="str">
        <f t="array" ref="DE253">IFERROR(INDEX(TABLACONSOLIDADA[Buff Act],MATCH("AGROINSUMOSAGRONUEVO"&amp;Tabla_Buffers_Agroinsumos[[#This Row],[CODIGO ]],TABLACONSOLIDADA[Bodega]&amp;TABLACONSOLIDADA[Codigo],0)),"")</f>
        <v/>
      </c>
      <c r="DF253" s="157" t="str">
        <f t="array" ref="DF253">IFERROR(INDEX(TABLACONSOLIDADA[Inv Fís Act],MATCH("AGROINSUMOSAGRONUEVO"&amp;Tabla_Buffers_Agroinsumos[[#This Row],[CODIGO ]],TABLACONSOLIDADA[Bodega]&amp;TABLACONSOLIDADA[Codigo],0)),"")</f>
        <v/>
      </c>
      <c r="DG253" s="157" t="str">
        <f t="array" ref="DG25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5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53" s="134">
        <f>IFERROR(SUM(Tabla_Buffers_Agroinsumos[[#This Row],[AN-MP]:[AN-VL]]),"")</f>
        <v>0</v>
      </c>
      <c r="DJ253" s="92" t="str">
        <f>IFERROR(Tabla_Buffers_Agroinsumos[[#This Row],[INV FIS AN]]-Tabla_Buffers_Agroinsumos[[#This Row],[BUFFER AN]],"")</f>
        <v/>
      </c>
      <c r="DK25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53" s="134"/>
      <c r="DM253" s="134"/>
      <c r="DN253" s="134"/>
      <c r="DO253" s="134"/>
      <c r="DP253" s="134"/>
      <c r="DQ253" s="134"/>
      <c r="DR253" s="134"/>
      <c r="DS253" s="134"/>
      <c r="DT253" s="134"/>
      <c r="DU253" s="134" t="str">
        <f t="array" ref="DU253">IFERROR(INDEX(TABLACONSOLIDADA[Buff Act],MATCH("AGROINSUMOSAGROQUIMICOSSUR"&amp;Tabla_Buffers_Agroinsumos[[#This Row],[CODIGO ]],TABLACONSOLIDADA[Bodega]&amp;TABLACONSOLIDADA[Codigo],0)),"")</f>
        <v/>
      </c>
      <c r="DV253" s="157" t="str">
        <f t="array" ref="DV253">IFERROR(INDEX(TABLACONSOLIDADA[Inv Fís Act],MATCH("AGROINSUMOSAGROQUIMICOSSUR"&amp;Tabla_Buffers_Agroinsumos[[#This Row],[CODIGO ]],TABLACONSOLIDADA[Bodega]&amp;TABLACONSOLIDADA[Codigo],0)),"")</f>
        <v/>
      </c>
      <c r="DW253" s="157" t="str">
        <f t="array" ref="DW25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5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53" s="134">
        <f>IFERROR(SUM(Tabla_Buffers_Agroinsumos[[#This Row],[AS-MP]:[AS-VL]]),"")</f>
        <v>0</v>
      </c>
      <c r="DZ253" s="92" t="str">
        <f>IFERROR(Tabla_Buffers_Agroinsumos[[#This Row],[INV FIS AS]]-Tabla_Buffers_Agroinsumos[[#This Row],[BUFFER AS]],"")</f>
        <v/>
      </c>
      <c r="EA25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53" s="134"/>
      <c r="EC253" s="134"/>
      <c r="ED253" s="134"/>
      <c r="EE253" s="134"/>
      <c r="EF253" s="134"/>
      <c r="EG253" s="134"/>
      <c r="EH253" s="134"/>
      <c r="EI253" s="134"/>
      <c r="EJ253" s="134"/>
      <c r="EK253" s="134" t="str">
        <f t="array" ref="EK253">IFERROR(INDEX(TABLACONSOLIDADA[Buff Act],MATCH("AGROINSUMOSLAFINCA"&amp;Tabla_Buffers_Agroinsumos[[#This Row],[CODIGO ]],TABLACONSOLIDADA[Bodega]&amp;TABLACONSOLIDADA[Codigo],0)),"")</f>
        <v/>
      </c>
      <c r="EL253" s="157" t="str">
        <f t="array" ref="EL253">IFERROR(INDEX(TABLACONSOLIDADA[Inv Fís Act],MATCH("AGROINSUMOSLAFINCA"&amp;Tabla_Buffers_Agroinsumos[[#This Row],[CODIGO ]],TABLACONSOLIDADA[Bodega]&amp;TABLACONSOLIDADA[Codigo],0)),"")</f>
        <v/>
      </c>
      <c r="EM253" s="157" t="str">
        <f t="array" ref="EM25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5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53" s="134">
        <f>IFERROR(SUM(Tabla_Buffers_Agroinsumos[[#This Row],[LF-MP]:[LF-VL]]),"")</f>
        <v>0</v>
      </c>
      <c r="EP253" s="92" t="str">
        <f>IFERROR(Tabla_Buffers_Agroinsumos[[#This Row],[INV FIS LF]]-Tabla_Buffers_Agroinsumos[[#This Row],[BUFFER LF]],"")</f>
        <v/>
      </c>
      <c r="EQ25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53" s="134"/>
      <c r="ES253" s="134"/>
      <c r="ET253" s="134"/>
      <c r="EU253" s="134"/>
      <c r="EV253" s="134"/>
      <c r="EW253" s="134"/>
      <c r="EX253" s="134"/>
      <c r="EY253" s="134"/>
      <c r="EZ253" s="134"/>
      <c r="FA253" s="134" t="str">
        <f t="array" ref="FA253">IFERROR(INDEX(TABLACONSOLIDADA[Buff Act],MATCH("AGROINSUMOSVERONICALEDESMA"&amp;Tabla_Buffers_Agroinsumos[[#This Row],[CODIGO ]],TABLACONSOLIDADA[Bodega]&amp;TABLACONSOLIDADA[Codigo],0)),"")</f>
        <v/>
      </c>
      <c r="FB253" s="157" t="str">
        <f t="array" ref="FB253">IFERROR(INDEX(TABLACONSOLIDADA[Inv Fís Act],MATCH("AGROINSUMOSVERONICALEDESMA"&amp;Tabla_Buffers_Agroinsumos[[#This Row],[CODIGO ]],TABLACONSOLIDADA[Bodega]&amp;TABLACONSOLIDADA[Codigo],0)),"")</f>
        <v/>
      </c>
      <c r="FC253" s="157" t="str">
        <f t="array" ref="FC25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5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53" s="134">
        <f>IFERROR(SUM(Tabla_Buffers_Agroinsumos[[#This Row],[VL-MP]:[VL-LF]]),"")</f>
        <v>0</v>
      </c>
      <c r="FF253" s="92" t="str">
        <f>IFERROR(Tabla_Buffers_Agroinsumos[[#This Row],[INV FIS VL]]-Tabla_Buffers_Agroinsumos[[#This Row],[BUFFER VL]],"")</f>
        <v/>
      </c>
      <c r="FG25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53" s="134"/>
      <c r="FI253" s="134"/>
      <c r="FJ253" s="134"/>
      <c r="FK253" s="134"/>
      <c r="FL253" s="134"/>
      <c r="FM253" s="134"/>
      <c r="FN253" s="134"/>
      <c r="FO253" s="134"/>
      <c r="FP253" s="134"/>
    </row>
    <row r="254" spans="1:172">
      <c r="A254" s="7" t="s">
        <v>442</v>
      </c>
      <c r="B254" s="7" t="s">
        <v>443</v>
      </c>
      <c r="C254" s="7" t="s">
        <v>716</v>
      </c>
      <c r="D254" s="7" t="s">
        <v>718</v>
      </c>
      <c r="E254" s="7" t="s">
        <v>863</v>
      </c>
      <c r="F254" s="19" t="s">
        <v>808</v>
      </c>
      <c r="G254" s="19" t="s">
        <v>802</v>
      </c>
      <c r="H254" s="19">
        <f>VLOOKUP(Tabla_Buffers_Agroinsumos[[#This Row],[CODIGO ]],TABLACONSOLIDADA[[Codigo]:[PV]],6,0)</f>
        <v>0</v>
      </c>
      <c r="I254" s="19">
        <f>VLOOKUP(Tabla_Buffers_Agroinsumos[[#This Row],[CODIGO ]],TABLACONSOLIDADA[[Codigo]:[PV]],5,0)</f>
        <v>0.15</v>
      </c>
      <c r="J254" s="19">
        <v>4</v>
      </c>
      <c r="K254" s="19">
        <v>6</v>
      </c>
      <c r="L254" s="19">
        <f>IFERROR(Tabla_Buffers_Agroinsumos[[#This Row],[BUFFER CENTRAL]]/((Tabla_Buffers_Agroinsumos[[#This Row],[TIEMPO REPOSICION ]]/Tabla_Buffers_Agroinsumos[[#This Row],[FRECUENCIA]])+1),0)</f>
        <v>0</v>
      </c>
      <c r="M254" s="19">
        <f t="array" ref="M254">IFERROR(INDEX(TABLACONSOLIDADA[Buff Act],MATCH("AGROINSUMOSMATERIAPRIMA"&amp;Tabla_Buffers_Agroinsumos[[#This Row],[CODIGO ]],TABLACONSOLIDADA[Bodega]&amp;TABLACONSOLIDADA[Codigo],0)),"")</f>
        <v>500</v>
      </c>
      <c r="N254" s="157">
        <f t="array" ref="N254">IFERROR(INDEX(TABLACONSOLIDADA[Inv Fís Act],MATCH("AGROINSUMOSMATERIAPRIMA"&amp;Tabla_Buffers_Agroinsumos[[#This Row],[CODIGO ]],TABLACONSOLIDADA[Bodega]&amp;TABLACONSOLIDADA[Codigo],0)),"")</f>
        <v>621</v>
      </c>
      <c r="O254" s="157">
        <f t="array" ref="O25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621</v>
      </c>
      <c r="P25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54" s="19">
        <f>IFERROR(SUM(Tabla_Buffers_Agroinsumos[[#This Row],[MP-C]:[MP-VL]]),"")</f>
        <v>0</v>
      </c>
      <c r="R254" s="92">
        <f>IFERROR(Tabla_Buffers_Agroinsumos[[#This Row],[INV FIS MATERIA PRIMA]]-Tabla_Buffers_Agroinsumos[[#This Row],[BUFFER MATERIA PRIMA]],"")</f>
        <v>121</v>
      </c>
      <c r="S25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121</v>
      </c>
      <c r="T254" s="19"/>
      <c r="U254" s="19"/>
      <c r="V254" s="19"/>
      <c r="W254" s="19"/>
      <c r="X254" s="19"/>
      <c r="Y254" s="19"/>
      <c r="Z254" s="19"/>
      <c r="AA254" s="19"/>
      <c r="AB254" s="19"/>
      <c r="AC254" s="152" t="str">
        <f t="array" ref="AC254">IFERROR(INDEX(TABLACONSOLIDADA[Buff Act],MATCH("AGROINSUMOSCENTRAL"&amp;Tabla_Buffers_Agroinsumos[[#This Row],[CODIGO ]],TABLACONSOLIDADA[Bodega]&amp;TABLACONSOLIDADA[Codigo],0)),"")</f>
        <v/>
      </c>
      <c r="AD254" s="157" t="str">
        <f t="array" ref="AD254">IFERROR(INDEX(TABLACONSOLIDADA[Inv Fís Act],MATCH("AGROINSUMOSCENTRAL"&amp;Tabla_Buffers_Agroinsumos[[#This Row],[CODIGO ]],TABLACONSOLIDADA[Bodega]&amp;TABLACONSOLIDADA[Codigo],0)),"")</f>
        <v/>
      </c>
      <c r="AE254" s="157" t="str">
        <f t="array" ref="AE25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5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54" s="91">
        <f>IFERROR(SUM(Tabla_Buffers_Agroinsumos[[#This Row],[C-MP]:[C-VL]]),"")</f>
        <v>0</v>
      </c>
      <c r="AH254" s="92" t="str">
        <f>IFERROR(Tabla_Buffers_Agroinsumos[[#This Row],[INV FIS CENTRAL]]-Tabla_Buffers_Agroinsumos[[#This Row],[BUFFER CENTRAL]],"")</f>
        <v/>
      </c>
      <c r="AI25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54" s="134"/>
      <c r="AK254" s="134"/>
      <c r="AL254" s="134"/>
      <c r="AM254" s="134"/>
      <c r="AN254" s="134"/>
      <c r="AO254" s="134"/>
      <c r="AP254" s="134"/>
      <c r="AQ254" s="134"/>
      <c r="AR254" s="134"/>
      <c r="AS254" s="134" t="str">
        <f t="array" ref="AS254">IFERROR(INDEX(TABLACONSOLIDADA[Buff Act],MATCH("AGROINSUMOScentralPROPIA"&amp;Tabla_Buffers_Agroinsumos[[#This Row],[CODIGO ]],TABLACONSOLIDADA[Bodega]&amp;TABLACONSOLIDADA[Codigo],0)),"")</f>
        <v/>
      </c>
      <c r="AT254" s="157" t="str">
        <f t="array" ref="AT254">IFERROR(INDEX(TABLACONSOLIDADA[Inv Fís Act],MATCH("AGROINSUMOScentralPROPIA"&amp;Tabla_Buffers_Agroinsumos[[#This Row],[CODIGO ]],TABLACONSOLIDADA[Bodega]&amp;TABLACONSOLIDADA[Codigo],0)),"")</f>
        <v/>
      </c>
      <c r="AU254" s="157" t="str">
        <f t="array" ref="AU25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5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54" s="134">
        <f>IFERROR(SUM(Tabla_Buffers_Agroinsumos[[#This Row],[P-MP]:[P-VL]]),"")</f>
        <v>0</v>
      </c>
      <c r="AX254" s="92" t="str">
        <f>IFERROR(Tabla_Buffers_Agroinsumos[[#This Row],[INV FIS PROPIA]]-Tabla_Buffers_Agroinsumos[[#This Row],[BUFFER PROPIA]],"")</f>
        <v/>
      </c>
      <c r="AY25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54" s="134"/>
      <c r="BA254" s="134"/>
      <c r="BB254" s="134"/>
      <c r="BC254" s="134"/>
      <c r="BD254" s="134"/>
      <c r="BE254" s="134"/>
      <c r="BF254" s="134"/>
      <c r="BG254" s="134"/>
      <c r="BH254" s="134"/>
      <c r="BI254" s="91" t="str">
        <f t="array" ref="BI254">IFERROR(INDEX(TABLACONSOLIDADA[Buff Act],MATCH("AGROINSUMOSSTODOMINGO"&amp;Tabla_Buffers_Agroinsumos[[#This Row],[CODIGO ]],TABLACONSOLIDADA[Bodega]&amp;TABLACONSOLIDADA[Codigo],0)),"")</f>
        <v/>
      </c>
      <c r="BJ254" s="157" t="str">
        <f t="array" ref="BJ254">IFERROR(INDEX(TABLACONSOLIDADA[Inv Fís Act],MATCH("AGROINSUMOSSTODOMINGO"&amp;Tabla_Buffers_Agroinsumos[[#This Row],[CODIGO ]],TABLACONSOLIDADA[Bodega]&amp;TABLACONSOLIDADA[Codigo],0)),"")</f>
        <v/>
      </c>
      <c r="BK254" s="157" t="str">
        <f t="array" ref="BK25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5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54" s="91">
        <f>IFERROR(SUM(Tabla_Buffers_Agroinsumos[[#This Row],[SD-MP]:[SD-VL]]),"")</f>
        <v>0</v>
      </c>
      <c r="BN254" s="92"/>
      <c r="BO254" s="92"/>
      <c r="BP254" s="134"/>
      <c r="BQ254" s="134"/>
      <c r="BR254" s="134"/>
      <c r="BS254" s="134"/>
      <c r="BT254" s="134"/>
      <c r="BU254" s="134"/>
      <c r="BV254" s="134"/>
      <c r="BW254" s="134"/>
      <c r="BX254" s="134"/>
      <c r="BY254" s="134" t="str">
        <f t="array" ref="BY254">IFERROR(INDEX(TABLACONSOLIDADA[Buff Act],MATCH("AGROINSUMOSMONCAYOLOPEZ"&amp;Tabla_Buffers_Agroinsumos[[#This Row],[CODIGO ]],TABLACONSOLIDADA[Bodega]&amp;TABLACONSOLIDADA[Codigo],0)),"")</f>
        <v/>
      </c>
      <c r="BZ254" s="157" t="str">
        <f t="array" ref="BZ254">IFERROR(INDEX(TABLACONSOLIDADA[Inv Fís Act],MATCH("AGROINSUMOSMONCAYOLOPEZ"&amp;Tabla_Buffers_Agroinsumos[[#This Row],[CODIGO ]],TABLACONSOLIDADA[Bodega]&amp;TABLACONSOLIDADA[Codigo],0)),"")</f>
        <v/>
      </c>
      <c r="CA254" s="157" t="str">
        <f t="array" ref="CA25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5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54" s="134">
        <f>IFERROR(SUM(Tabla_Buffers_Agroinsumos[[#This Row],[ML-MP]:[ML-VL]]),"")</f>
        <v>0</v>
      </c>
      <c r="CD254" s="92" t="str">
        <f>IFERROR(Tabla_Buffers_Agroinsumos[[#This Row],[INV FIS ML]]-Tabla_Buffers_Agroinsumos[[#This Row],[BUFFER ML]],"")</f>
        <v/>
      </c>
      <c r="CE25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54" s="134"/>
      <c r="CG254" s="134"/>
      <c r="CH254" s="134"/>
      <c r="CI254" s="134"/>
      <c r="CJ254" s="134"/>
      <c r="CK254" s="134"/>
      <c r="CL254" s="134"/>
      <c r="CM254" s="134"/>
      <c r="CN254" s="134"/>
      <c r="CO254" s="134" t="str">
        <f t="array" ref="CO254">IFERROR(INDEX(TABLACONSOLIDADA[Buff Act],MATCH("AGROINSUMOSAGROHERMANOSLEON"&amp;Tabla_Buffers_Agroinsumos[[#This Row],[CODIGO ]],TABLACONSOLIDADA[Bodega]&amp;TABLACONSOLIDADA[Codigo],0)),"")</f>
        <v/>
      </c>
      <c r="CP254" s="157" t="str">
        <f t="array" ref="CP254">IFERROR(INDEX(TABLACONSOLIDADA[Inv Fís Act],MATCH("AGROINSUMOSAGROHERMANOSLEON"&amp;Tabla_Buffers_Agroinsumos[[#This Row],[CODIGO ]],TABLACONSOLIDADA[Bodega]&amp;TABLACONSOLIDADA[Codigo],0)),"")</f>
        <v/>
      </c>
      <c r="CQ254" s="157" t="str">
        <f t="array" ref="CQ25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5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54" s="134">
        <f>IFERROR(SUM(Tabla_Buffers_Agroinsumos[[#This Row],[AL-MP]:[AL-VL]]),"")</f>
        <v>0</v>
      </c>
      <c r="CT254" s="92" t="str">
        <f>IFERROR(Tabla_Buffers_Agroinsumos[[#This Row],[INV FIS AL]]-Tabla_Buffers_Agroinsumos[[#This Row],[BUFFER AL]],"")</f>
        <v/>
      </c>
      <c r="CU25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54" s="134"/>
      <c r="CW254" s="134"/>
      <c r="CX254" s="134"/>
      <c r="CY254" s="134"/>
      <c r="CZ254" s="134"/>
      <c r="DA254" s="134"/>
      <c r="DB254" s="134"/>
      <c r="DC254" s="134"/>
      <c r="DD254" s="134"/>
      <c r="DE254" s="134" t="str">
        <f t="array" ref="DE254">IFERROR(INDEX(TABLACONSOLIDADA[Buff Act],MATCH("AGROINSUMOSAGRONUEVO"&amp;Tabla_Buffers_Agroinsumos[[#This Row],[CODIGO ]],TABLACONSOLIDADA[Bodega]&amp;TABLACONSOLIDADA[Codigo],0)),"")</f>
        <v/>
      </c>
      <c r="DF254" s="157" t="str">
        <f t="array" ref="DF254">IFERROR(INDEX(TABLACONSOLIDADA[Inv Fís Act],MATCH("AGROINSUMOSAGRONUEVO"&amp;Tabla_Buffers_Agroinsumos[[#This Row],[CODIGO ]],TABLACONSOLIDADA[Bodega]&amp;TABLACONSOLIDADA[Codigo],0)),"")</f>
        <v/>
      </c>
      <c r="DG254" s="157" t="str">
        <f t="array" ref="DG25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5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54" s="134">
        <f>IFERROR(SUM(Tabla_Buffers_Agroinsumos[[#This Row],[AN-MP]:[AN-VL]]),"")</f>
        <v>0</v>
      </c>
      <c r="DJ254" s="92" t="str">
        <f>IFERROR(Tabla_Buffers_Agroinsumos[[#This Row],[INV FIS AN]]-Tabla_Buffers_Agroinsumos[[#This Row],[BUFFER AN]],"")</f>
        <v/>
      </c>
      <c r="DK25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54" s="134"/>
      <c r="DM254" s="134"/>
      <c r="DN254" s="134"/>
      <c r="DO254" s="134"/>
      <c r="DP254" s="134"/>
      <c r="DQ254" s="134"/>
      <c r="DR254" s="134"/>
      <c r="DS254" s="134"/>
      <c r="DT254" s="134"/>
      <c r="DU254" s="134" t="str">
        <f t="array" ref="DU254">IFERROR(INDEX(TABLACONSOLIDADA[Buff Act],MATCH("AGROINSUMOSAGROQUIMICOSSUR"&amp;Tabla_Buffers_Agroinsumos[[#This Row],[CODIGO ]],TABLACONSOLIDADA[Bodega]&amp;TABLACONSOLIDADA[Codigo],0)),"")</f>
        <v/>
      </c>
      <c r="DV254" s="157" t="str">
        <f t="array" ref="DV254">IFERROR(INDEX(TABLACONSOLIDADA[Inv Fís Act],MATCH("AGROINSUMOSAGROQUIMICOSSUR"&amp;Tabla_Buffers_Agroinsumos[[#This Row],[CODIGO ]],TABLACONSOLIDADA[Bodega]&amp;TABLACONSOLIDADA[Codigo],0)),"")</f>
        <v/>
      </c>
      <c r="DW254" s="157" t="str">
        <f t="array" ref="DW25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5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54" s="134">
        <f>IFERROR(SUM(Tabla_Buffers_Agroinsumos[[#This Row],[AS-MP]:[AS-VL]]),"")</f>
        <v>0</v>
      </c>
      <c r="DZ254" s="92" t="str">
        <f>IFERROR(Tabla_Buffers_Agroinsumos[[#This Row],[INV FIS AS]]-Tabla_Buffers_Agroinsumos[[#This Row],[BUFFER AS]],"")</f>
        <v/>
      </c>
      <c r="EA25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54" s="134"/>
      <c r="EC254" s="134"/>
      <c r="ED254" s="134"/>
      <c r="EE254" s="134"/>
      <c r="EF254" s="134"/>
      <c r="EG254" s="134"/>
      <c r="EH254" s="134"/>
      <c r="EI254" s="134"/>
      <c r="EJ254" s="134"/>
      <c r="EK254" s="134" t="str">
        <f t="array" ref="EK254">IFERROR(INDEX(TABLACONSOLIDADA[Buff Act],MATCH("AGROINSUMOSLAFINCA"&amp;Tabla_Buffers_Agroinsumos[[#This Row],[CODIGO ]],TABLACONSOLIDADA[Bodega]&amp;TABLACONSOLIDADA[Codigo],0)),"")</f>
        <v/>
      </c>
      <c r="EL254" s="157" t="str">
        <f t="array" ref="EL254">IFERROR(INDEX(TABLACONSOLIDADA[Inv Fís Act],MATCH("AGROINSUMOSLAFINCA"&amp;Tabla_Buffers_Agroinsumos[[#This Row],[CODIGO ]],TABLACONSOLIDADA[Bodega]&amp;TABLACONSOLIDADA[Codigo],0)),"")</f>
        <v/>
      </c>
      <c r="EM254" s="157" t="str">
        <f t="array" ref="EM25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5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54" s="134">
        <f>IFERROR(SUM(Tabla_Buffers_Agroinsumos[[#This Row],[LF-MP]:[LF-VL]]),"")</f>
        <v>0</v>
      </c>
      <c r="EP254" s="92" t="str">
        <f>IFERROR(Tabla_Buffers_Agroinsumos[[#This Row],[INV FIS LF]]-Tabla_Buffers_Agroinsumos[[#This Row],[BUFFER LF]],"")</f>
        <v/>
      </c>
      <c r="EQ25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54" s="134"/>
      <c r="ES254" s="134"/>
      <c r="ET254" s="134"/>
      <c r="EU254" s="134"/>
      <c r="EV254" s="134"/>
      <c r="EW254" s="134"/>
      <c r="EX254" s="134"/>
      <c r="EY254" s="134"/>
      <c r="EZ254" s="134"/>
      <c r="FA254" s="134" t="str">
        <f t="array" ref="FA254">IFERROR(INDEX(TABLACONSOLIDADA[Buff Act],MATCH("AGROINSUMOSVERONICALEDESMA"&amp;Tabla_Buffers_Agroinsumos[[#This Row],[CODIGO ]],TABLACONSOLIDADA[Bodega]&amp;TABLACONSOLIDADA[Codigo],0)),"")</f>
        <v/>
      </c>
      <c r="FB254" s="157" t="str">
        <f t="array" ref="FB254">IFERROR(INDEX(TABLACONSOLIDADA[Inv Fís Act],MATCH("AGROINSUMOSVERONICALEDESMA"&amp;Tabla_Buffers_Agroinsumos[[#This Row],[CODIGO ]],TABLACONSOLIDADA[Bodega]&amp;TABLACONSOLIDADA[Codigo],0)),"")</f>
        <v/>
      </c>
      <c r="FC254" s="157" t="str">
        <f t="array" ref="FC25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5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54" s="134">
        <f>IFERROR(SUM(Tabla_Buffers_Agroinsumos[[#This Row],[VL-MP]:[VL-LF]]),"")</f>
        <v>0</v>
      </c>
      <c r="FF254" s="92" t="str">
        <f>IFERROR(Tabla_Buffers_Agroinsumos[[#This Row],[INV FIS VL]]-Tabla_Buffers_Agroinsumos[[#This Row],[BUFFER VL]],"")</f>
        <v/>
      </c>
      <c r="FG25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54" s="134"/>
      <c r="FI254" s="134"/>
      <c r="FJ254" s="134"/>
      <c r="FK254" s="134"/>
      <c r="FL254" s="134"/>
      <c r="FM254" s="134"/>
      <c r="FN254" s="134"/>
      <c r="FO254" s="134"/>
      <c r="FP254" s="134"/>
    </row>
    <row r="255" spans="1:172">
      <c r="A255" s="7" t="s">
        <v>444</v>
      </c>
      <c r="B255" s="7" t="s">
        <v>445</v>
      </c>
      <c r="C255" s="7" t="s">
        <v>716</v>
      </c>
      <c r="D255" s="7" t="s">
        <v>718</v>
      </c>
      <c r="E255" s="7" t="s">
        <v>863</v>
      </c>
      <c r="F255" s="19" t="s">
        <v>808</v>
      </c>
      <c r="G255" s="19" t="s">
        <v>802</v>
      </c>
      <c r="H255" s="19">
        <f>VLOOKUP(Tabla_Buffers_Agroinsumos[[#This Row],[CODIGO ]],TABLACONSOLIDADA[[Codigo]:[PV]],6,0)</f>
        <v>0</v>
      </c>
      <c r="I255" s="19">
        <f>VLOOKUP(Tabla_Buffers_Agroinsumos[[#This Row],[CODIGO ]],TABLACONSOLIDADA[[Codigo]:[PV]],5,0)</f>
        <v>0.17</v>
      </c>
      <c r="J255" s="19">
        <v>4</v>
      </c>
      <c r="K255" s="19">
        <v>6</v>
      </c>
      <c r="L255" s="19">
        <f>IFERROR(Tabla_Buffers_Agroinsumos[[#This Row],[BUFFER CENTRAL]]/((Tabla_Buffers_Agroinsumos[[#This Row],[TIEMPO REPOSICION ]]/Tabla_Buffers_Agroinsumos[[#This Row],[FRECUENCIA]])+1),0)</f>
        <v>0</v>
      </c>
      <c r="M255" s="19">
        <f t="array" ref="M255">IFERROR(INDEX(TABLACONSOLIDADA[Buff Act],MATCH("AGROINSUMOSMATERIAPRIMA"&amp;Tabla_Buffers_Agroinsumos[[#This Row],[CODIGO ]],TABLACONSOLIDADA[Bodega]&amp;TABLACONSOLIDADA[Codigo],0)),"")</f>
        <v>1200</v>
      </c>
      <c r="N255" s="157">
        <f t="array" ref="N255">IFERROR(INDEX(TABLACONSOLIDADA[Inv Fís Act],MATCH("AGROINSUMOSMATERIAPRIMA"&amp;Tabla_Buffers_Agroinsumos[[#This Row],[CODIGO ]],TABLACONSOLIDADA[Bodega]&amp;TABLACONSOLIDADA[Codigo],0)),"")</f>
        <v>1402</v>
      </c>
      <c r="O255" s="157">
        <f t="array" ref="O25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1402</v>
      </c>
      <c r="P25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55" s="19">
        <f>IFERROR(SUM(Tabla_Buffers_Agroinsumos[[#This Row],[MP-C]:[MP-VL]]),"")</f>
        <v>0</v>
      </c>
      <c r="R255" s="92">
        <f>IFERROR(Tabla_Buffers_Agroinsumos[[#This Row],[INV FIS MATERIA PRIMA]]-Tabla_Buffers_Agroinsumos[[#This Row],[BUFFER MATERIA PRIMA]],"")</f>
        <v>202</v>
      </c>
      <c r="S25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202</v>
      </c>
      <c r="T255" s="19"/>
      <c r="U255" s="19"/>
      <c r="V255" s="19"/>
      <c r="W255" s="19"/>
      <c r="X255" s="19"/>
      <c r="Y255" s="19"/>
      <c r="Z255" s="19"/>
      <c r="AA255" s="19"/>
      <c r="AB255" s="19"/>
      <c r="AC255" s="152" t="str">
        <f t="array" ref="AC255">IFERROR(INDEX(TABLACONSOLIDADA[Buff Act],MATCH("AGROINSUMOSCENTRAL"&amp;Tabla_Buffers_Agroinsumos[[#This Row],[CODIGO ]],TABLACONSOLIDADA[Bodega]&amp;TABLACONSOLIDADA[Codigo],0)),"")</f>
        <v/>
      </c>
      <c r="AD255" s="157" t="str">
        <f t="array" ref="AD255">IFERROR(INDEX(TABLACONSOLIDADA[Inv Fís Act],MATCH("AGROINSUMOSCENTRAL"&amp;Tabla_Buffers_Agroinsumos[[#This Row],[CODIGO ]],TABLACONSOLIDADA[Bodega]&amp;TABLACONSOLIDADA[Codigo],0)),"")</f>
        <v/>
      </c>
      <c r="AE255" s="157" t="str">
        <f t="array" ref="AE25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5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55" s="91">
        <f>IFERROR(SUM(Tabla_Buffers_Agroinsumos[[#This Row],[C-MP]:[C-VL]]),"")</f>
        <v>0</v>
      </c>
      <c r="AH255" s="92" t="str">
        <f>IFERROR(Tabla_Buffers_Agroinsumos[[#This Row],[INV FIS CENTRAL]]-Tabla_Buffers_Agroinsumos[[#This Row],[BUFFER CENTRAL]],"")</f>
        <v/>
      </c>
      <c r="AI25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55" s="134"/>
      <c r="AK255" s="134"/>
      <c r="AL255" s="134"/>
      <c r="AM255" s="134"/>
      <c r="AN255" s="134"/>
      <c r="AO255" s="134"/>
      <c r="AP255" s="134"/>
      <c r="AQ255" s="134"/>
      <c r="AR255" s="134"/>
      <c r="AS255" s="134" t="str">
        <f t="array" ref="AS255">IFERROR(INDEX(TABLACONSOLIDADA[Buff Act],MATCH("AGROINSUMOScentralPROPIA"&amp;Tabla_Buffers_Agroinsumos[[#This Row],[CODIGO ]],TABLACONSOLIDADA[Bodega]&amp;TABLACONSOLIDADA[Codigo],0)),"")</f>
        <v/>
      </c>
      <c r="AT255" s="157" t="str">
        <f t="array" ref="AT255">IFERROR(INDEX(TABLACONSOLIDADA[Inv Fís Act],MATCH("AGROINSUMOScentralPROPIA"&amp;Tabla_Buffers_Agroinsumos[[#This Row],[CODIGO ]],TABLACONSOLIDADA[Bodega]&amp;TABLACONSOLIDADA[Codigo],0)),"")</f>
        <v/>
      </c>
      <c r="AU255" s="157" t="str">
        <f t="array" ref="AU25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5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55" s="134">
        <f>IFERROR(SUM(Tabla_Buffers_Agroinsumos[[#This Row],[P-MP]:[P-VL]]),"")</f>
        <v>0</v>
      </c>
      <c r="AX255" s="92" t="str">
        <f>IFERROR(Tabla_Buffers_Agroinsumos[[#This Row],[INV FIS PROPIA]]-Tabla_Buffers_Agroinsumos[[#This Row],[BUFFER PROPIA]],"")</f>
        <v/>
      </c>
      <c r="AY25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55" s="134"/>
      <c r="BA255" s="134"/>
      <c r="BB255" s="134"/>
      <c r="BC255" s="134"/>
      <c r="BD255" s="134"/>
      <c r="BE255" s="134"/>
      <c r="BF255" s="134"/>
      <c r="BG255" s="134"/>
      <c r="BH255" s="134"/>
      <c r="BI255" s="91" t="str">
        <f t="array" ref="BI255">IFERROR(INDEX(TABLACONSOLIDADA[Buff Act],MATCH("AGROINSUMOSSTODOMINGO"&amp;Tabla_Buffers_Agroinsumos[[#This Row],[CODIGO ]],TABLACONSOLIDADA[Bodega]&amp;TABLACONSOLIDADA[Codigo],0)),"")</f>
        <v/>
      </c>
      <c r="BJ255" s="157" t="str">
        <f t="array" ref="BJ255">IFERROR(INDEX(TABLACONSOLIDADA[Inv Fís Act],MATCH("AGROINSUMOSSTODOMINGO"&amp;Tabla_Buffers_Agroinsumos[[#This Row],[CODIGO ]],TABLACONSOLIDADA[Bodega]&amp;TABLACONSOLIDADA[Codigo],0)),"")</f>
        <v/>
      </c>
      <c r="BK255" s="157" t="str">
        <f t="array" ref="BK25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5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55" s="91">
        <f>IFERROR(SUM(Tabla_Buffers_Agroinsumos[[#This Row],[SD-MP]:[SD-VL]]),"")</f>
        <v>0</v>
      </c>
      <c r="BN255" s="92"/>
      <c r="BO255" s="92"/>
      <c r="BP255" s="134"/>
      <c r="BQ255" s="134"/>
      <c r="BR255" s="134"/>
      <c r="BS255" s="134"/>
      <c r="BT255" s="134"/>
      <c r="BU255" s="134"/>
      <c r="BV255" s="134"/>
      <c r="BW255" s="134"/>
      <c r="BX255" s="134"/>
      <c r="BY255" s="134" t="str">
        <f t="array" ref="BY255">IFERROR(INDEX(TABLACONSOLIDADA[Buff Act],MATCH("AGROINSUMOSMONCAYOLOPEZ"&amp;Tabla_Buffers_Agroinsumos[[#This Row],[CODIGO ]],TABLACONSOLIDADA[Bodega]&amp;TABLACONSOLIDADA[Codigo],0)),"")</f>
        <v/>
      </c>
      <c r="BZ255" s="157" t="str">
        <f t="array" ref="BZ255">IFERROR(INDEX(TABLACONSOLIDADA[Inv Fís Act],MATCH("AGROINSUMOSMONCAYOLOPEZ"&amp;Tabla_Buffers_Agroinsumos[[#This Row],[CODIGO ]],TABLACONSOLIDADA[Bodega]&amp;TABLACONSOLIDADA[Codigo],0)),"")</f>
        <v/>
      </c>
      <c r="CA255" s="157" t="str">
        <f t="array" ref="CA25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5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55" s="134">
        <f>IFERROR(SUM(Tabla_Buffers_Agroinsumos[[#This Row],[ML-MP]:[ML-VL]]),"")</f>
        <v>0</v>
      </c>
      <c r="CD255" s="92" t="str">
        <f>IFERROR(Tabla_Buffers_Agroinsumos[[#This Row],[INV FIS ML]]-Tabla_Buffers_Agroinsumos[[#This Row],[BUFFER ML]],"")</f>
        <v/>
      </c>
      <c r="CE25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55" s="134"/>
      <c r="CG255" s="134"/>
      <c r="CH255" s="134"/>
      <c r="CI255" s="134"/>
      <c r="CJ255" s="134"/>
      <c r="CK255" s="134"/>
      <c r="CL255" s="134"/>
      <c r="CM255" s="134"/>
      <c r="CN255" s="134"/>
      <c r="CO255" s="134" t="str">
        <f t="array" ref="CO255">IFERROR(INDEX(TABLACONSOLIDADA[Buff Act],MATCH("AGROINSUMOSAGROHERMANOSLEON"&amp;Tabla_Buffers_Agroinsumos[[#This Row],[CODIGO ]],TABLACONSOLIDADA[Bodega]&amp;TABLACONSOLIDADA[Codigo],0)),"")</f>
        <v/>
      </c>
      <c r="CP255" s="157" t="str">
        <f t="array" ref="CP255">IFERROR(INDEX(TABLACONSOLIDADA[Inv Fís Act],MATCH("AGROINSUMOSAGROHERMANOSLEON"&amp;Tabla_Buffers_Agroinsumos[[#This Row],[CODIGO ]],TABLACONSOLIDADA[Bodega]&amp;TABLACONSOLIDADA[Codigo],0)),"")</f>
        <v/>
      </c>
      <c r="CQ255" s="157" t="str">
        <f t="array" ref="CQ25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5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55" s="134">
        <f>IFERROR(SUM(Tabla_Buffers_Agroinsumos[[#This Row],[AL-MP]:[AL-VL]]),"")</f>
        <v>0</v>
      </c>
      <c r="CT255" s="92" t="str">
        <f>IFERROR(Tabla_Buffers_Agroinsumos[[#This Row],[INV FIS AL]]-Tabla_Buffers_Agroinsumos[[#This Row],[BUFFER AL]],"")</f>
        <v/>
      </c>
      <c r="CU25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55" s="134"/>
      <c r="CW255" s="134"/>
      <c r="CX255" s="134"/>
      <c r="CY255" s="134"/>
      <c r="CZ255" s="134"/>
      <c r="DA255" s="134"/>
      <c r="DB255" s="134"/>
      <c r="DC255" s="134"/>
      <c r="DD255" s="134"/>
      <c r="DE255" s="134" t="str">
        <f t="array" ref="DE255">IFERROR(INDEX(TABLACONSOLIDADA[Buff Act],MATCH("AGROINSUMOSAGRONUEVO"&amp;Tabla_Buffers_Agroinsumos[[#This Row],[CODIGO ]],TABLACONSOLIDADA[Bodega]&amp;TABLACONSOLIDADA[Codigo],0)),"")</f>
        <v/>
      </c>
      <c r="DF255" s="157" t="str">
        <f t="array" ref="DF255">IFERROR(INDEX(TABLACONSOLIDADA[Inv Fís Act],MATCH("AGROINSUMOSAGRONUEVO"&amp;Tabla_Buffers_Agroinsumos[[#This Row],[CODIGO ]],TABLACONSOLIDADA[Bodega]&amp;TABLACONSOLIDADA[Codigo],0)),"")</f>
        <v/>
      </c>
      <c r="DG255" s="157" t="str">
        <f t="array" ref="DG25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5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55" s="134">
        <f>IFERROR(SUM(Tabla_Buffers_Agroinsumos[[#This Row],[AN-MP]:[AN-VL]]),"")</f>
        <v>0</v>
      </c>
      <c r="DJ255" s="92" t="str">
        <f>IFERROR(Tabla_Buffers_Agroinsumos[[#This Row],[INV FIS AN]]-Tabla_Buffers_Agroinsumos[[#This Row],[BUFFER AN]],"")</f>
        <v/>
      </c>
      <c r="DK25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55" s="134"/>
      <c r="DM255" s="134"/>
      <c r="DN255" s="134"/>
      <c r="DO255" s="134"/>
      <c r="DP255" s="134"/>
      <c r="DQ255" s="134"/>
      <c r="DR255" s="134"/>
      <c r="DS255" s="134"/>
      <c r="DT255" s="134"/>
      <c r="DU255" s="134" t="str">
        <f t="array" ref="DU255">IFERROR(INDEX(TABLACONSOLIDADA[Buff Act],MATCH("AGROINSUMOSAGROQUIMICOSSUR"&amp;Tabla_Buffers_Agroinsumos[[#This Row],[CODIGO ]],TABLACONSOLIDADA[Bodega]&amp;TABLACONSOLIDADA[Codigo],0)),"")</f>
        <v/>
      </c>
      <c r="DV255" s="157" t="str">
        <f t="array" ref="DV255">IFERROR(INDEX(TABLACONSOLIDADA[Inv Fís Act],MATCH("AGROINSUMOSAGROQUIMICOSSUR"&amp;Tabla_Buffers_Agroinsumos[[#This Row],[CODIGO ]],TABLACONSOLIDADA[Bodega]&amp;TABLACONSOLIDADA[Codigo],0)),"")</f>
        <v/>
      </c>
      <c r="DW255" s="157" t="str">
        <f t="array" ref="DW25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5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55" s="134">
        <f>IFERROR(SUM(Tabla_Buffers_Agroinsumos[[#This Row],[AS-MP]:[AS-VL]]),"")</f>
        <v>0</v>
      </c>
      <c r="DZ255" s="92" t="str">
        <f>IFERROR(Tabla_Buffers_Agroinsumos[[#This Row],[INV FIS AS]]-Tabla_Buffers_Agroinsumos[[#This Row],[BUFFER AS]],"")</f>
        <v/>
      </c>
      <c r="EA25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55" s="134"/>
      <c r="EC255" s="134"/>
      <c r="ED255" s="134"/>
      <c r="EE255" s="134"/>
      <c r="EF255" s="134"/>
      <c r="EG255" s="134"/>
      <c r="EH255" s="134"/>
      <c r="EI255" s="134"/>
      <c r="EJ255" s="134"/>
      <c r="EK255" s="134" t="str">
        <f t="array" ref="EK255">IFERROR(INDEX(TABLACONSOLIDADA[Buff Act],MATCH("AGROINSUMOSLAFINCA"&amp;Tabla_Buffers_Agroinsumos[[#This Row],[CODIGO ]],TABLACONSOLIDADA[Bodega]&amp;TABLACONSOLIDADA[Codigo],0)),"")</f>
        <v/>
      </c>
      <c r="EL255" s="157" t="str">
        <f t="array" ref="EL255">IFERROR(INDEX(TABLACONSOLIDADA[Inv Fís Act],MATCH("AGROINSUMOSLAFINCA"&amp;Tabla_Buffers_Agroinsumos[[#This Row],[CODIGO ]],TABLACONSOLIDADA[Bodega]&amp;TABLACONSOLIDADA[Codigo],0)),"")</f>
        <v/>
      </c>
      <c r="EM255" s="157" t="str">
        <f t="array" ref="EM25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5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55" s="134">
        <f>IFERROR(SUM(Tabla_Buffers_Agroinsumos[[#This Row],[LF-MP]:[LF-VL]]),"")</f>
        <v>0</v>
      </c>
      <c r="EP255" s="92" t="str">
        <f>IFERROR(Tabla_Buffers_Agroinsumos[[#This Row],[INV FIS LF]]-Tabla_Buffers_Agroinsumos[[#This Row],[BUFFER LF]],"")</f>
        <v/>
      </c>
      <c r="EQ25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55" s="134"/>
      <c r="ES255" s="134"/>
      <c r="ET255" s="134"/>
      <c r="EU255" s="134"/>
      <c r="EV255" s="134"/>
      <c r="EW255" s="134"/>
      <c r="EX255" s="134"/>
      <c r="EY255" s="134"/>
      <c r="EZ255" s="134"/>
      <c r="FA255" s="134" t="str">
        <f t="array" ref="FA255">IFERROR(INDEX(TABLACONSOLIDADA[Buff Act],MATCH("AGROINSUMOSVERONICALEDESMA"&amp;Tabla_Buffers_Agroinsumos[[#This Row],[CODIGO ]],TABLACONSOLIDADA[Bodega]&amp;TABLACONSOLIDADA[Codigo],0)),"")</f>
        <v/>
      </c>
      <c r="FB255" s="157" t="str">
        <f t="array" ref="FB255">IFERROR(INDEX(TABLACONSOLIDADA[Inv Fís Act],MATCH("AGROINSUMOSVERONICALEDESMA"&amp;Tabla_Buffers_Agroinsumos[[#This Row],[CODIGO ]],TABLACONSOLIDADA[Bodega]&amp;TABLACONSOLIDADA[Codigo],0)),"")</f>
        <v/>
      </c>
      <c r="FC255" s="157" t="str">
        <f t="array" ref="FC25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5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55" s="134">
        <f>IFERROR(SUM(Tabla_Buffers_Agroinsumos[[#This Row],[VL-MP]:[VL-LF]]),"")</f>
        <v>0</v>
      </c>
      <c r="FF255" s="92" t="str">
        <f>IFERROR(Tabla_Buffers_Agroinsumos[[#This Row],[INV FIS VL]]-Tabla_Buffers_Agroinsumos[[#This Row],[BUFFER VL]],"")</f>
        <v/>
      </c>
      <c r="FG25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55" s="134"/>
      <c r="FI255" s="134"/>
      <c r="FJ255" s="134"/>
      <c r="FK255" s="134"/>
      <c r="FL255" s="134"/>
      <c r="FM255" s="134"/>
      <c r="FN255" s="134"/>
      <c r="FO255" s="134"/>
      <c r="FP255" s="134"/>
    </row>
    <row r="256" spans="1:172">
      <c r="A256" s="7" t="s">
        <v>446</v>
      </c>
      <c r="B256" s="7" t="s">
        <v>447</v>
      </c>
      <c r="C256" s="7" t="s">
        <v>716</v>
      </c>
      <c r="D256" s="7" t="s">
        <v>718</v>
      </c>
      <c r="E256" s="7" t="s">
        <v>863</v>
      </c>
      <c r="F256" s="19" t="s">
        <v>808</v>
      </c>
      <c r="G256" s="19" t="s">
        <v>802</v>
      </c>
      <c r="H256" s="19">
        <f>VLOOKUP(Tabla_Buffers_Agroinsumos[[#This Row],[CODIGO ]],TABLACONSOLIDADA[[Codigo]:[PV]],6,0)</f>
        <v>0</v>
      </c>
      <c r="I256" s="19">
        <f>VLOOKUP(Tabla_Buffers_Agroinsumos[[#This Row],[CODIGO ]],TABLACONSOLIDADA[[Codigo]:[PV]],5,0)</f>
        <v>0.03</v>
      </c>
      <c r="J256" s="19">
        <v>4</v>
      </c>
      <c r="K256" s="19">
        <v>6</v>
      </c>
      <c r="L256" s="19">
        <f>IFERROR(Tabla_Buffers_Agroinsumos[[#This Row],[BUFFER CENTRAL]]/((Tabla_Buffers_Agroinsumos[[#This Row],[TIEMPO REPOSICION ]]/Tabla_Buffers_Agroinsumos[[#This Row],[FRECUENCIA]])+1),0)</f>
        <v>0</v>
      </c>
      <c r="M256" s="19">
        <f t="array" ref="M256">IFERROR(INDEX(TABLACONSOLIDADA[Buff Act],MATCH("AGROINSUMOSMATERIAPRIMA"&amp;Tabla_Buffers_Agroinsumos[[#This Row],[CODIGO ]],TABLACONSOLIDADA[Bodega]&amp;TABLACONSOLIDADA[Codigo],0)),"")</f>
        <v>1300</v>
      </c>
      <c r="N256" s="157">
        <f t="array" ref="N256">IFERROR(INDEX(TABLACONSOLIDADA[Inv Fís Act],MATCH("AGROINSUMOSMATERIAPRIMA"&amp;Tabla_Buffers_Agroinsumos[[#This Row],[CODIGO ]],TABLACONSOLIDADA[Bodega]&amp;TABLACONSOLIDADA[Codigo],0)),"")</f>
        <v>2220</v>
      </c>
      <c r="O256" s="157">
        <f t="array" ref="O25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2220</v>
      </c>
      <c r="P25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56" s="19">
        <f>IFERROR(SUM(Tabla_Buffers_Agroinsumos[[#This Row],[MP-C]:[MP-VL]]),"")</f>
        <v>0</v>
      </c>
      <c r="R256" s="92">
        <f>IFERROR(Tabla_Buffers_Agroinsumos[[#This Row],[INV FIS MATERIA PRIMA]]-Tabla_Buffers_Agroinsumos[[#This Row],[BUFFER MATERIA PRIMA]],"")</f>
        <v>920</v>
      </c>
      <c r="S25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920</v>
      </c>
      <c r="T256" s="19"/>
      <c r="U256" s="19"/>
      <c r="V256" s="19"/>
      <c r="W256" s="19"/>
      <c r="X256" s="19"/>
      <c r="Y256" s="19"/>
      <c r="Z256" s="19"/>
      <c r="AA256" s="19"/>
      <c r="AB256" s="19"/>
      <c r="AC256" s="152" t="str">
        <f t="array" ref="AC256">IFERROR(INDEX(TABLACONSOLIDADA[Buff Act],MATCH("AGROINSUMOSCENTRAL"&amp;Tabla_Buffers_Agroinsumos[[#This Row],[CODIGO ]],TABLACONSOLIDADA[Bodega]&amp;TABLACONSOLIDADA[Codigo],0)),"")</f>
        <v/>
      </c>
      <c r="AD256" s="157" t="str">
        <f t="array" ref="AD256">IFERROR(INDEX(TABLACONSOLIDADA[Inv Fís Act],MATCH("AGROINSUMOSCENTRAL"&amp;Tabla_Buffers_Agroinsumos[[#This Row],[CODIGO ]],TABLACONSOLIDADA[Bodega]&amp;TABLACONSOLIDADA[Codigo],0)),"")</f>
        <v/>
      </c>
      <c r="AE256" s="157" t="str">
        <f t="array" ref="AE25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5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56" s="91">
        <f>IFERROR(SUM(Tabla_Buffers_Agroinsumos[[#This Row],[C-MP]:[C-VL]]),"")</f>
        <v>0</v>
      </c>
      <c r="AH256" s="92" t="str">
        <f>IFERROR(Tabla_Buffers_Agroinsumos[[#This Row],[INV FIS CENTRAL]]-Tabla_Buffers_Agroinsumos[[#This Row],[BUFFER CENTRAL]],"")</f>
        <v/>
      </c>
      <c r="AI25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56" s="134"/>
      <c r="AK256" s="134"/>
      <c r="AL256" s="134"/>
      <c r="AM256" s="134"/>
      <c r="AN256" s="134"/>
      <c r="AO256" s="134"/>
      <c r="AP256" s="134"/>
      <c r="AQ256" s="134"/>
      <c r="AR256" s="134"/>
      <c r="AS256" s="134" t="str">
        <f t="array" ref="AS256">IFERROR(INDEX(TABLACONSOLIDADA[Buff Act],MATCH("AGROINSUMOScentralPROPIA"&amp;Tabla_Buffers_Agroinsumos[[#This Row],[CODIGO ]],TABLACONSOLIDADA[Bodega]&amp;TABLACONSOLIDADA[Codigo],0)),"")</f>
        <v/>
      </c>
      <c r="AT256" s="157" t="str">
        <f t="array" ref="AT256">IFERROR(INDEX(TABLACONSOLIDADA[Inv Fís Act],MATCH("AGROINSUMOScentralPROPIA"&amp;Tabla_Buffers_Agroinsumos[[#This Row],[CODIGO ]],TABLACONSOLIDADA[Bodega]&amp;TABLACONSOLIDADA[Codigo],0)),"")</f>
        <v/>
      </c>
      <c r="AU256" s="157" t="str">
        <f t="array" ref="AU25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5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56" s="134">
        <f>IFERROR(SUM(Tabla_Buffers_Agroinsumos[[#This Row],[P-MP]:[P-VL]]),"")</f>
        <v>0</v>
      </c>
      <c r="AX256" s="92" t="str">
        <f>IFERROR(Tabla_Buffers_Agroinsumos[[#This Row],[INV FIS PROPIA]]-Tabla_Buffers_Agroinsumos[[#This Row],[BUFFER PROPIA]],"")</f>
        <v/>
      </c>
      <c r="AY25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56" s="134"/>
      <c r="BA256" s="134"/>
      <c r="BB256" s="134"/>
      <c r="BC256" s="134"/>
      <c r="BD256" s="134"/>
      <c r="BE256" s="134"/>
      <c r="BF256" s="134"/>
      <c r="BG256" s="134"/>
      <c r="BH256" s="134"/>
      <c r="BI256" s="91" t="str">
        <f t="array" ref="BI256">IFERROR(INDEX(TABLACONSOLIDADA[Buff Act],MATCH("AGROINSUMOSSTODOMINGO"&amp;Tabla_Buffers_Agroinsumos[[#This Row],[CODIGO ]],TABLACONSOLIDADA[Bodega]&amp;TABLACONSOLIDADA[Codigo],0)),"")</f>
        <v/>
      </c>
      <c r="BJ256" s="157" t="str">
        <f t="array" ref="BJ256">IFERROR(INDEX(TABLACONSOLIDADA[Inv Fís Act],MATCH("AGROINSUMOSSTODOMINGO"&amp;Tabla_Buffers_Agroinsumos[[#This Row],[CODIGO ]],TABLACONSOLIDADA[Bodega]&amp;TABLACONSOLIDADA[Codigo],0)),"")</f>
        <v/>
      </c>
      <c r="BK256" s="157" t="str">
        <f t="array" ref="BK25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5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56" s="91">
        <f>IFERROR(SUM(Tabla_Buffers_Agroinsumos[[#This Row],[SD-MP]:[SD-VL]]),"")</f>
        <v>0</v>
      </c>
      <c r="BN256" s="92"/>
      <c r="BO256" s="92"/>
      <c r="BP256" s="134"/>
      <c r="BQ256" s="134"/>
      <c r="BR256" s="134"/>
      <c r="BS256" s="134"/>
      <c r="BT256" s="134"/>
      <c r="BU256" s="134"/>
      <c r="BV256" s="134"/>
      <c r="BW256" s="134"/>
      <c r="BX256" s="134"/>
      <c r="BY256" s="134" t="str">
        <f t="array" ref="BY256">IFERROR(INDEX(TABLACONSOLIDADA[Buff Act],MATCH("AGROINSUMOSMONCAYOLOPEZ"&amp;Tabla_Buffers_Agroinsumos[[#This Row],[CODIGO ]],TABLACONSOLIDADA[Bodega]&amp;TABLACONSOLIDADA[Codigo],0)),"")</f>
        <v/>
      </c>
      <c r="BZ256" s="157" t="str">
        <f t="array" ref="BZ256">IFERROR(INDEX(TABLACONSOLIDADA[Inv Fís Act],MATCH("AGROINSUMOSMONCAYOLOPEZ"&amp;Tabla_Buffers_Agroinsumos[[#This Row],[CODIGO ]],TABLACONSOLIDADA[Bodega]&amp;TABLACONSOLIDADA[Codigo],0)),"")</f>
        <v/>
      </c>
      <c r="CA256" s="157" t="str">
        <f t="array" ref="CA25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5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56" s="134">
        <f>IFERROR(SUM(Tabla_Buffers_Agroinsumos[[#This Row],[ML-MP]:[ML-VL]]),"")</f>
        <v>0</v>
      </c>
      <c r="CD256" s="92" t="str">
        <f>IFERROR(Tabla_Buffers_Agroinsumos[[#This Row],[INV FIS ML]]-Tabla_Buffers_Agroinsumos[[#This Row],[BUFFER ML]],"")</f>
        <v/>
      </c>
      <c r="CE25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56" s="134"/>
      <c r="CG256" s="134"/>
      <c r="CH256" s="134"/>
      <c r="CI256" s="134"/>
      <c r="CJ256" s="134"/>
      <c r="CK256" s="134"/>
      <c r="CL256" s="134"/>
      <c r="CM256" s="134"/>
      <c r="CN256" s="134"/>
      <c r="CO256" s="134" t="str">
        <f t="array" ref="CO256">IFERROR(INDEX(TABLACONSOLIDADA[Buff Act],MATCH("AGROINSUMOSAGROHERMANOSLEON"&amp;Tabla_Buffers_Agroinsumos[[#This Row],[CODIGO ]],TABLACONSOLIDADA[Bodega]&amp;TABLACONSOLIDADA[Codigo],0)),"")</f>
        <v/>
      </c>
      <c r="CP256" s="157" t="str">
        <f t="array" ref="CP256">IFERROR(INDEX(TABLACONSOLIDADA[Inv Fís Act],MATCH("AGROINSUMOSAGROHERMANOSLEON"&amp;Tabla_Buffers_Agroinsumos[[#This Row],[CODIGO ]],TABLACONSOLIDADA[Bodega]&amp;TABLACONSOLIDADA[Codigo],0)),"")</f>
        <v/>
      </c>
      <c r="CQ256" s="157" t="str">
        <f t="array" ref="CQ25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5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56" s="134">
        <f>IFERROR(SUM(Tabla_Buffers_Agroinsumos[[#This Row],[AL-MP]:[AL-VL]]),"")</f>
        <v>0</v>
      </c>
      <c r="CT256" s="92" t="str">
        <f>IFERROR(Tabla_Buffers_Agroinsumos[[#This Row],[INV FIS AL]]-Tabla_Buffers_Agroinsumos[[#This Row],[BUFFER AL]],"")</f>
        <v/>
      </c>
      <c r="CU25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56" s="134"/>
      <c r="CW256" s="134"/>
      <c r="CX256" s="134"/>
      <c r="CY256" s="134"/>
      <c r="CZ256" s="134"/>
      <c r="DA256" s="134"/>
      <c r="DB256" s="134"/>
      <c r="DC256" s="134"/>
      <c r="DD256" s="134"/>
      <c r="DE256" s="134" t="str">
        <f t="array" ref="DE256">IFERROR(INDEX(TABLACONSOLIDADA[Buff Act],MATCH("AGROINSUMOSAGRONUEVO"&amp;Tabla_Buffers_Agroinsumos[[#This Row],[CODIGO ]],TABLACONSOLIDADA[Bodega]&amp;TABLACONSOLIDADA[Codigo],0)),"")</f>
        <v/>
      </c>
      <c r="DF256" s="157" t="str">
        <f t="array" ref="DF256">IFERROR(INDEX(TABLACONSOLIDADA[Inv Fís Act],MATCH("AGROINSUMOSAGRONUEVO"&amp;Tabla_Buffers_Agroinsumos[[#This Row],[CODIGO ]],TABLACONSOLIDADA[Bodega]&amp;TABLACONSOLIDADA[Codigo],0)),"")</f>
        <v/>
      </c>
      <c r="DG256" s="157" t="str">
        <f t="array" ref="DG25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5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56" s="134">
        <f>IFERROR(SUM(Tabla_Buffers_Agroinsumos[[#This Row],[AN-MP]:[AN-VL]]),"")</f>
        <v>0</v>
      </c>
      <c r="DJ256" s="92" t="str">
        <f>IFERROR(Tabla_Buffers_Agroinsumos[[#This Row],[INV FIS AN]]-Tabla_Buffers_Agroinsumos[[#This Row],[BUFFER AN]],"")</f>
        <v/>
      </c>
      <c r="DK25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56" s="134"/>
      <c r="DM256" s="134"/>
      <c r="DN256" s="134"/>
      <c r="DO256" s="134"/>
      <c r="DP256" s="134"/>
      <c r="DQ256" s="134"/>
      <c r="DR256" s="134"/>
      <c r="DS256" s="134"/>
      <c r="DT256" s="134"/>
      <c r="DU256" s="134" t="str">
        <f t="array" ref="DU256">IFERROR(INDEX(TABLACONSOLIDADA[Buff Act],MATCH("AGROINSUMOSAGROQUIMICOSSUR"&amp;Tabla_Buffers_Agroinsumos[[#This Row],[CODIGO ]],TABLACONSOLIDADA[Bodega]&amp;TABLACONSOLIDADA[Codigo],0)),"")</f>
        <v/>
      </c>
      <c r="DV256" s="157" t="str">
        <f t="array" ref="DV256">IFERROR(INDEX(TABLACONSOLIDADA[Inv Fís Act],MATCH("AGROINSUMOSAGROQUIMICOSSUR"&amp;Tabla_Buffers_Agroinsumos[[#This Row],[CODIGO ]],TABLACONSOLIDADA[Bodega]&amp;TABLACONSOLIDADA[Codigo],0)),"")</f>
        <v/>
      </c>
      <c r="DW256" s="157" t="str">
        <f t="array" ref="DW25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5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56" s="134">
        <f>IFERROR(SUM(Tabla_Buffers_Agroinsumos[[#This Row],[AS-MP]:[AS-VL]]),"")</f>
        <v>0</v>
      </c>
      <c r="DZ256" s="92" t="str">
        <f>IFERROR(Tabla_Buffers_Agroinsumos[[#This Row],[INV FIS AS]]-Tabla_Buffers_Agroinsumos[[#This Row],[BUFFER AS]],"")</f>
        <v/>
      </c>
      <c r="EA25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56" s="134"/>
      <c r="EC256" s="134"/>
      <c r="ED256" s="134"/>
      <c r="EE256" s="134"/>
      <c r="EF256" s="134"/>
      <c r="EG256" s="134"/>
      <c r="EH256" s="134"/>
      <c r="EI256" s="134"/>
      <c r="EJ256" s="134"/>
      <c r="EK256" s="134" t="str">
        <f t="array" ref="EK256">IFERROR(INDEX(TABLACONSOLIDADA[Buff Act],MATCH("AGROINSUMOSLAFINCA"&amp;Tabla_Buffers_Agroinsumos[[#This Row],[CODIGO ]],TABLACONSOLIDADA[Bodega]&amp;TABLACONSOLIDADA[Codigo],0)),"")</f>
        <v/>
      </c>
      <c r="EL256" s="157" t="str">
        <f t="array" ref="EL256">IFERROR(INDEX(TABLACONSOLIDADA[Inv Fís Act],MATCH("AGROINSUMOSLAFINCA"&amp;Tabla_Buffers_Agroinsumos[[#This Row],[CODIGO ]],TABLACONSOLIDADA[Bodega]&amp;TABLACONSOLIDADA[Codigo],0)),"")</f>
        <v/>
      </c>
      <c r="EM256" s="157" t="str">
        <f t="array" ref="EM25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5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56" s="134">
        <f>IFERROR(SUM(Tabla_Buffers_Agroinsumos[[#This Row],[LF-MP]:[LF-VL]]),"")</f>
        <v>0</v>
      </c>
      <c r="EP256" s="92" t="str">
        <f>IFERROR(Tabla_Buffers_Agroinsumos[[#This Row],[INV FIS LF]]-Tabla_Buffers_Agroinsumos[[#This Row],[BUFFER LF]],"")</f>
        <v/>
      </c>
      <c r="EQ25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56" s="134"/>
      <c r="ES256" s="134"/>
      <c r="ET256" s="134"/>
      <c r="EU256" s="134"/>
      <c r="EV256" s="134"/>
      <c r="EW256" s="134"/>
      <c r="EX256" s="134"/>
      <c r="EY256" s="134"/>
      <c r="EZ256" s="134"/>
      <c r="FA256" s="134" t="str">
        <f t="array" ref="FA256">IFERROR(INDEX(TABLACONSOLIDADA[Buff Act],MATCH("AGROINSUMOSVERONICALEDESMA"&amp;Tabla_Buffers_Agroinsumos[[#This Row],[CODIGO ]],TABLACONSOLIDADA[Bodega]&amp;TABLACONSOLIDADA[Codigo],0)),"")</f>
        <v/>
      </c>
      <c r="FB256" s="157" t="str">
        <f t="array" ref="FB256">IFERROR(INDEX(TABLACONSOLIDADA[Inv Fís Act],MATCH("AGROINSUMOSVERONICALEDESMA"&amp;Tabla_Buffers_Agroinsumos[[#This Row],[CODIGO ]],TABLACONSOLIDADA[Bodega]&amp;TABLACONSOLIDADA[Codigo],0)),"")</f>
        <v/>
      </c>
      <c r="FC256" s="157" t="str">
        <f t="array" ref="FC25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5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56" s="134">
        <f>IFERROR(SUM(Tabla_Buffers_Agroinsumos[[#This Row],[VL-MP]:[VL-LF]]),"")</f>
        <v>0</v>
      </c>
      <c r="FF256" s="92" t="str">
        <f>IFERROR(Tabla_Buffers_Agroinsumos[[#This Row],[INV FIS VL]]-Tabla_Buffers_Agroinsumos[[#This Row],[BUFFER VL]],"")</f>
        <v/>
      </c>
      <c r="FG25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56" s="134"/>
      <c r="FI256" s="134"/>
      <c r="FJ256" s="134"/>
      <c r="FK256" s="134"/>
      <c r="FL256" s="134"/>
      <c r="FM256" s="134"/>
      <c r="FN256" s="134"/>
      <c r="FO256" s="134"/>
      <c r="FP256" s="134"/>
    </row>
    <row r="257" spans="1:172">
      <c r="A257" s="7" t="s">
        <v>448</v>
      </c>
      <c r="B257" s="7" t="s">
        <v>449</v>
      </c>
      <c r="C257" s="7" t="s">
        <v>716</v>
      </c>
      <c r="D257" s="7" t="s">
        <v>718</v>
      </c>
      <c r="E257" s="7" t="s">
        <v>863</v>
      </c>
      <c r="F257" s="19" t="s">
        <v>808</v>
      </c>
      <c r="G257" s="19" t="s">
        <v>802</v>
      </c>
      <c r="H257" s="19">
        <f>VLOOKUP(Tabla_Buffers_Agroinsumos[[#This Row],[CODIGO ]],TABLACONSOLIDADA[[Codigo]:[PV]],6,0)</f>
        <v>0</v>
      </c>
      <c r="I257" s="19">
        <f>VLOOKUP(Tabla_Buffers_Agroinsumos[[#This Row],[CODIGO ]],TABLACONSOLIDADA[[Codigo]:[PV]],5,0)</f>
        <v>0.44</v>
      </c>
      <c r="J257" s="19">
        <v>4</v>
      </c>
      <c r="K257" s="19">
        <v>6</v>
      </c>
      <c r="L257" s="19">
        <f>IFERROR(Tabla_Buffers_Agroinsumos[[#This Row],[BUFFER CENTRAL]]/((Tabla_Buffers_Agroinsumos[[#This Row],[TIEMPO REPOSICION ]]/Tabla_Buffers_Agroinsumos[[#This Row],[FRECUENCIA]])+1),0)</f>
        <v>0</v>
      </c>
      <c r="M257" s="19">
        <f t="array" ref="M257">IFERROR(INDEX(TABLACONSOLIDADA[Buff Act],MATCH("AGROINSUMOSMATERIAPRIMA"&amp;Tabla_Buffers_Agroinsumos[[#This Row],[CODIGO ]],TABLACONSOLIDADA[Bodega]&amp;TABLACONSOLIDADA[Codigo],0)),"")</f>
        <v>200</v>
      </c>
      <c r="N257" s="157">
        <f t="array" ref="N257">IFERROR(INDEX(TABLACONSOLIDADA[Inv Fís Act],MATCH("AGROINSUMOSMATERIAPRIMA"&amp;Tabla_Buffers_Agroinsumos[[#This Row],[CODIGO ]],TABLACONSOLIDADA[Bodega]&amp;TABLACONSOLIDADA[Codigo],0)),"")</f>
        <v>132</v>
      </c>
      <c r="O257" s="157">
        <f t="array" ref="O25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132</v>
      </c>
      <c r="P25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57" s="19">
        <f>IFERROR(SUM(Tabla_Buffers_Agroinsumos[[#This Row],[MP-C]:[MP-VL]]),"")</f>
        <v>0</v>
      </c>
      <c r="R257" s="92">
        <f>IFERROR(Tabla_Buffers_Agroinsumos[[#This Row],[INV FIS MATERIA PRIMA]]-Tabla_Buffers_Agroinsumos[[#This Row],[BUFFER MATERIA PRIMA]],"")</f>
        <v>-68</v>
      </c>
      <c r="S25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-68</v>
      </c>
      <c r="T257" s="19"/>
      <c r="U257" s="19"/>
      <c r="V257" s="19"/>
      <c r="W257" s="19"/>
      <c r="X257" s="19"/>
      <c r="Y257" s="19"/>
      <c r="Z257" s="19"/>
      <c r="AA257" s="19"/>
      <c r="AB257" s="19"/>
      <c r="AC257" s="152" t="str">
        <f t="array" ref="AC257">IFERROR(INDEX(TABLACONSOLIDADA[Buff Act],MATCH("AGROINSUMOSCENTRAL"&amp;Tabla_Buffers_Agroinsumos[[#This Row],[CODIGO ]],TABLACONSOLIDADA[Bodega]&amp;TABLACONSOLIDADA[Codigo],0)),"")</f>
        <v/>
      </c>
      <c r="AD257" s="157" t="str">
        <f t="array" ref="AD257">IFERROR(INDEX(TABLACONSOLIDADA[Inv Fís Act],MATCH("AGROINSUMOSCENTRAL"&amp;Tabla_Buffers_Agroinsumos[[#This Row],[CODIGO ]],TABLACONSOLIDADA[Bodega]&amp;TABLACONSOLIDADA[Codigo],0)),"")</f>
        <v/>
      </c>
      <c r="AE257" s="157" t="str">
        <f t="array" ref="AE25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5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57" s="91">
        <f>IFERROR(SUM(Tabla_Buffers_Agroinsumos[[#This Row],[C-MP]:[C-VL]]),"")</f>
        <v>0</v>
      </c>
      <c r="AH257" s="92" t="str">
        <f>IFERROR(Tabla_Buffers_Agroinsumos[[#This Row],[INV FIS CENTRAL]]-Tabla_Buffers_Agroinsumos[[#This Row],[BUFFER CENTRAL]],"")</f>
        <v/>
      </c>
      <c r="AI25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57" s="134"/>
      <c r="AK257" s="134"/>
      <c r="AL257" s="134"/>
      <c r="AM257" s="134"/>
      <c r="AN257" s="134"/>
      <c r="AO257" s="134"/>
      <c r="AP257" s="134"/>
      <c r="AQ257" s="134"/>
      <c r="AR257" s="134"/>
      <c r="AS257" s="134" t="str">
        <f t="array" ref="AS257">IFERROR(INDEX(TABLACONSOLIDADA[Buff Act],MATCH("AGROINSUMOScentralPROPIA"&amp;Tabla_Buffers_Agroinsumos[[#This Row],[CODIGO ]],TABLACONSOLIDADA[Bodega]&amp;TABLACONSOLIDADA[Codigo],0)),"")</f>
        <v/>
      </c>
      <c r="AT257" s="157" t="str">
        <f t="array" ref="AT257">IFERROR(INDEX(TABLACONSOLIDADA[Inv Fís Act],MATCH("AGROINSUMOScentralPROPIA"&amp;Tabla_Buffers_Agroinsumos[[#This Row],[CODIGO ]],TABLACONSOLIDADA[Bodega]&amp;TABLACONSOLIDADA[Codigo],0)),"")</f>
        <v/>
      </c>
      <c r="AU257" s="157" t="str">
        <f t="array" ref="AU25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5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57" s="134">
        <f>IFERROR(SUM(Tabla_Buffers_Agroinsumos[[#This Row],[P-MP]:[P-VL]]),"")</f>
        <v>0</v>
      </c>
      <c r="AX257" s="92" t="str">
        <f>IFERROR(Tabla_Buffers_Agroinsumos[[#This Row],[INV FIS PROPIA]]-Tabla_Buffers_Agroinsumos[[#This Row],[BUFFER PROPIA]],"")</f>
        <v/>
      </c>
      <c r="AY25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57" s="134"/>
      <c r="BA257" s="134"/>
      <c r="BB257" s="134"/>
      <c r="BC257" s="134"/>
      <c r="BD257" s="134"/>
      <c r="BE257" s="134"/>
      <c r="BF257" s="134"/>
      <c r="BG257" s="134"/>
      <c r="BH257" s="134"/>
      <c r="BI257" s="91" t="str">
        <f t="array" ref="BI257">IFERROR(INDEX(TABLACONSOLIDADA[Buff Act],MATCH("AGROINSUMOSSTODOMINGO"&amp;Tabla_Buffers_Agroinsumos[[#This Row],[CODIGO ]],TABLACONSOLIDADA[Bodega]&amp;TABLACONSOLIDADA[Codigo],0)),"")</f>
        <v/>
      </c>
      <c r="BJ257" s="157" t="str">
        <f t="array" ref="BJ257">IFERROR(INDEX(TABLACONSOLIDADA[Inv Fís Act],MATCH("AGROINSUMOSSTODOMINGO"&amp;Tabla_Buffers_Agroinsumos[[#This Row],[CODIGO ]],TABLACONSOLIDADA[Bodega]&amp;TABLACONSOLIDADA[Codigo],0)),"")</f>
        <v/>
      </c>
      <c r="BK257" s="157" t="str">
        <f t="array" ref="BK25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5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57" s="91">
        <f>IFERROR(SUM(Tabla_Buffers_Agroinsumos[[#This Row],[SD-MP]:[SD-VL]]),"")</f>
        <v>0</v>
      </c>
      <c r="BN257" s="92"/>
      <c r="BO257" s="92"/>
      <c r="BP257" s="134"/>
      <c r="BQ257" s="134"/>
      <c r="BR257" s="134"/>
      <c r="BS257" s="134"/>
      <c r="BT257" s="134"/>
      <c r="BU257" s="134"/>
      <c r="BV257" s="134"/>
      <c r="BW257" s="134"/>
      <c r="BX257" s="134"/>
      <c r="BY257" s="134" t="str">
        <f t="array" ref="BY257">IFERROR(INDEX(TABLACONSOLIDADA[Buff Act],MATCH("AGROINSUMOSMONCAYOLOPEZ"&amp;Tabla_Buffers_Agroinsumos[[#This Row],[CODIGO ]],TABLACONSOLIDADA[Bodega]&amp;TABLACONSOLIDADA[Codigo],0)),"")</f>
        <v/>
      </c>
      <c r="BZ257" s="157" t="str">
        <f t="array" ref="BZ257">IFERROR(INDEX(TABLACONSOLIDADA[Inv Fís Act],MATCH("AGROINSUMOSMONCAYOLOPEZ"&amp;Tabla_Buffers_Agroinsumos[[#This Row],[CODIGO ]],TABLACONSOLIDADA[Bodega]&amp;TABLACONSOLIDADA[Codigo],0)),"")</f>
        <v/>
      </c>
      <c r="CA257" s="157" t="str">
        <f t="array" ref="CA25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5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57" s="134">
        <f>IFERROR(SUM(Tabla_Buffers_Agroinsumos[[#This Row],[ML-MP]:[ML-VL]]),"")</f>
        <v>0</v>
      </c>
      <c r="CD257" s="92" t="str">
        <f>IFERROR(Tabla_Buffers_Agroinsumos[[#This Row],[INV FIS ML]]-Tabla_Buffers_Agroinsumos[[#This Row],[BUFFER ML]],"")</f>
        <v/>
      </c>
      <c r="CE25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57" s="134"/>
      <c r="CG257" s="134"/>
      <c r="CH257" s="134"/>
      <c r="CI257" s="134"/>
      <c r="CJ257" s="134"/>
      <c r="CK257" s="134"/>
      <c r="CL257" s="134"/>
      <c r="CM257" s="134"/>
      <c r="CN257" s="134"/>
      <c r="CO257" s="134" t="str">
        <f t="array" ref="CO257">IFERROR(INDEX(TABLACONSOLIDADA[Buff Act],MATCH("AGROINSUMOSAGROHERMANOSLEON"&amp;Tabla_Buffers_Agroinsumos[[#This Row],[CODIGO ]],TABLACONSOLIDADA[Bodega]&amp;TABLACONSOLIDADA[Codigo],0)),"")</f>
        <v/>
      </c>
      <c r="CP257" s="157" t="str">
        <f t="array" ref="CP257">IFERROR(INDEX(TABLACONSOLIDADA[Inv Fís Act],MATCH("AGROINSUMOSAGROHERMANOSLEON"&amp;Tabla_Buffers_Agroinsumos[[#This Row],[CODIGO ]],TABLACONSOLIDADA[Bodega]&amp;TABLACONSOLIDADA[Codigo],0)),"")</f>
        <v/>
      </c>
      <c r="CQ257" s="157" t="str">
        <f t="array" ref="CQ25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5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57" s="134">
        <f>IFERROR(SUM(Tabla_Buffers_Agroinsumos[[#This Row],[AL-MP]:[AL-VL]]),"")</f>
        <v>0</v>
      </c>
      <c r="CT257" s="92" t="str">
        <f>IFERROR(Tabla_Buffers_Agroinsumos[[#This Row],[INV FIS AL]]-Tabla_Buffers_Agroinsumos[[#This Row],[BUFFER AL]],"")</f>
        <v/>
      </c>
      <c r="CU25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57" s="134"/>
      <c r="CW257" s="134"/>
      <c r="CX257" s="134"/>
      <c r="CY257" s="134"/>
      <c r="CZ257" s="134"/>
      <c r="DA257" s="134"/>
      <c r="DB257" s="134"/>
      <c r="DC257" s="134"/>
      <c r="DD257" s="134"/>
      <c r="DE257" s="134" t="str">
        <f t="array" ref="DE257">IFERROR(INDEX(TABLACONSOLIDADA[Buff Act],MATCH("AGROINSUMOSAGRONUEVO"&amp;Tabla_Buffers_Agroinsumos[[#This Row],[CODIGO ]],TABLACONSOLIDADA[Bodega]&amp;TABLACONSOLIDADA[Codigo],0)),"")</f>
        <v/>
      </c>
      <c r="DF257" s="157" t="str">
        <f t="array" ref="DF257">IFERROR(INDEX(TABLACONSOLIDADA[Inv Fís Act],MATCH("AGROINSUMOSAGRONUEVO"&amp;Tabla_Buffers_Agroinsumos[[#This Row],[CODIGO ]],TABLACONSOLIDADA[Bodega]&amp;TABLACONSOLIDADA[Codigo],0)),"")</f>
        <v/>
      </c>
      <c r="DG257" s="157" t="str">
        <f t="array" ref="DG25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5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57" s="134">
        <f>IFERROR(SUM(Tabla_Buffers_Agroinsumos[[#This Row],[AN-MP]:[AN-VL]]),"")</f>
        <v>0</v>
      </c>
      <c r="DJ257" s="92" t="str">
        <f>IFERROR(Tabla_Buffers_Agroinsumos[[#This Row],[INV FIS AN]]-Tabla_Buffers_Agroinsumos[[#This Row],[BUFFER AN]],"")</f>
        <v/>
      </c>
      <c r="DK25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57" s="134"/>
      <c r="DM257" s="134"/>
      <c r="DN257" s="134"/>
      <c r="DO257" s="134"/>
      <c r="DP257" s="134"/>
      <c r="DQ257" s="134"/>
      <c r="DR257" s="134"/>
      <c r="DS257" s="134"/>
      <c r="DT257" s="134"/>
      <c r="DU257" s="134" t="str">
        <f t="array" ref="DU257">IFERROR(INDEX(TABLACONSOLIDADA[Buff Act],MATCH("AGROINSUMOSAGROQUIMICOSSUR"&amp;Tabla_Buffers_Agroinsumos[[#This Row],[CODIGO ]],TABLACONSOLIDADA[Bodega]&amp;TABLACONSOLIDADA[Codigo],0)),"")</f>
        <v/>
      </c>
      <c r="DV257" s="157" t="str">
        <f t="array" ref="DV257">IFERROR(INDEX(TABLACONSOLIDADA[Inv Fís Act],MATCH("AGROINSUMOSAGROQUIMICOSSUR"&amp;Tabla_Buffers_Agroinsumos[[#This Row],[CODIGO ]],TABLACONSOLIDADA[Bodega]&amp;TABLACONSOLIDADA[Codigo],0)),"")</f>
        <v/>
      </c>
      <c r="DW257" s="157" t="str">
        <f t="array" ref="DW25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5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57" s="134">
        <f>IFERROR(SUM(Tabla_Buffers_Agroinsumos[[#This Row],[AS-MP]:[AS-VL]]),"")</f>
        <v>0</v>
      </c>
      <c r="DZ257" s="92" t="str">
        <f>IFERROR(Tabla_Buffers_Agroinsumos[[#This Row],[INV FIS AS]]-Tabla_Buffers_Agroinsumos[[#This Row],[BUFFER AS]],"")</f>
        <v/>
      </c>
      <c r="EA25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57" s="134"/>
      <c r="EC257" s="134"/>
      <c r="ED257" s="134"/>
      <c r="EE257" s="134"/>
      <c r="EF257" s="134"/>
      <c r="EG257" s="134"/>
      <c r="EH257" s="134"/>
      <c r="EI257" s="134"/>
      <c r="EJ257" s="134"/>
      <c r="EK257" s="134" t="str">
        <f t="array" ref="EK257">IFERROR(INDEX(TABLACONSOLIDADA[Buff Act],MATCH("AGROINSUMOSLAFINCA"&amp;Tabla_Buffers_Agroinsumos[[#This Row],[CODIGO ]],TABLACONSOLIDADA[Bodega]&amp;TABLACONSOLIDADA[Codigo],0)),"")</f>
        <v/>
      </c>
      <c r="EL257" s="157" t="str">
        <f t="array" ref="EL257">IFERROR(INDEX(TABLACONSOLIDADA[Inv Fís Act],MATCH("AGROINSUMOSLAFINCA"&amp;Tabla_Buffers_Agroinsumos[[#This Row],[CODIGO ]],TABLACONSOLIDADA[Bodega]&amp;TABLACONSOLIDADA[Codigo],0)),"")</f>
        <v/>
      </c>
      <c r="EM257" s="157" t="str">
        <f t="array" ref="EM25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5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57" s="134">
        <f>IFERROR(SUM(Tabla_Buffers_Agroinsumos[[#This Row],[LF-MP]:[LF-VL]]),"")</f>
        <v>0</v>
      </c>
      <c r="EP257" s="92" t="str">
        <f>IFERROR(Tabla_Buffers_Agroinsumos[[#This Row],[INV FIS LF]]-Tabla_Buffers_Agroinsumos[[#This Row],[BUFFER LF]],"")</f>
        <v/>
      </c>
      <c r="EQ25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57" s="134"/>
      <c r="ES257" s="134"/>
      <c r="ET257" s="134"/>
      <c r="EU257" s="134"/>
      <c r="EV257" s="134"/>
      <c r="EW257" s="134"/>
      <c r="EX257" s="134"/>
      <c r="EY257" s="134"/>
      <c r="EZ257" s="134"/>
      <c r="FA257" s="134" t="str">
        <f t="array" ref="FA257">IFERROR(INDEX(TABLACONSOLIDADA[Buff Act],MATCH("AGROINSUMOSVERONICALEDESMA"&amp;Tabla_Buffers_Agroinsumos[[#This Row],[CODIGO ]],TABLACONSOLIDADA[Bodega]&amp;TABLACONSOLIDADA[Codigo],0)),"")</f>
        <v/>
      </c>
      <c r="FB257" s="157" t="str">
        <f t="array" ref="FB257">IFERROR(INDEX(TABLACONSOLIDADA[Inv Fís Act],MATCH("AGROINSUMOSVERONICALEDESMA"&amp;Tabla_Buffers_Agroinsumos[[#This Row],[CODIGO ]],TABLACONSOLIDADA[Bodega]&amp;TABLACONSOLIDADA[Codigo],0)),"")</f>
        <v/>
      </c>
      <c r="FC257" s="157" t="str">
        <f t="array" ref="FC25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5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57" s="134">
        <f>IFERROR(SUM(Tabla_Buffers_Agroinsumos[[#This Row],[VL-MP]:[VL-LF]]),"")</f>
        <v>0</v>
      </c>
      <c r="FF257" s="92" t="str">
        <f>IFERROR(Tabla_Buffers_Agroinsumos[[#This Row],[INV FIS VL]]-Tabla_Buffers_Agroinsumos[[#This Row],[BUFFER VL]],"")</f>
        <v/>
      </c>
      <c r="FG25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57" s="134"/>
      <c r="FI257" s="134"/>
      <c r="FJ257" s="134"/>
      <c r="FK257" s="134"/>
      <c r="FL257" s="134"/>
      <c r="FM257" s="134"/>
      <c r="FN257" s="134"/>
      <c r="FO257" s="134"/>
      <c r="FP257" s="134"/>
    </row>
    <row r="258" spans="1:172">
      <c r="A258" s="7" t="s">
        <v>450</v>
      </c>
      <c r="B258" s="7" t="s">
        <v>451</v>
      </c>
      <c r="C258" s="7" t="s">
        <v>716</v>
      </c>
      <c r="D258" s="7" t="s">
        <v>718</v>
      </c>
      <c r="E258" s="7" t="s">
        <v>863</v>
      </c>
      <c r="F258" s="19" t="s">
        <v>808</v>
      </c>
      <c r="G258" s="19" t="s">
        <v>802</v>
      </c>
      <c r="H258" s="19">
        <f>VLOOKUP(Tabla_Buffers_Agroinsumos[[#This Row],[CODIGO ]],TABLACONSOLIDADA[[Codigo]:[PV]],6,0)</f>
        <v>0</v>
      </c>
      <c r="I258" s="19">
        <f>VLOOKUP(Tabla_Buffers_Agroinsumos[[#This Row],[CODIGO ]],TABLACONSOLIDADA[[Codigo]:[PV]],5,0)</f>
        <v>0.13</v>
      </c>
      <c r="J258" s="19">
        <v>4</v>
      </c>
      <c r="K258" s="19">
        <v>6</v>
      </c>
      <c r="L258" s="19">
        <f>IFERROR(Tabla_Buffers_Agroinsumos[[#This Row],[BUFFER CENTRAL]]/((Tabla_Buffers_Agroinsumos[[#This Row],[TIEMPO REPOSICION ]]/Tabla_Buffers_Agroinsumos[[#This Row],[FRECUENCIA]])+1),0)</f>
        <v>0</v>
      </c>
      <c r="M258" s="19">
        <f t="array" ref="M258">IFERROR(INDEX(TABLACONSOLIDADA[Buff Act],MATCH("AGROINSUMOSMATERIAPRIMA"&amp;Tabla_Buffers_Agroinsumos[[#This Row],[CODIGO ]],TABLACONSOLIDADA[Bodega]&amp;TABLACONSOLIDADA[Codigo],0)),"")</f>
        <v>400</v>
      </c>
      <c r="N258" s="157">
        <f t="array" ref="N258">IFERROR(INDEX(TABLACONSOLIDADA[Inv Fís Act],MATCH("AGROINSUMOSMATERIAPRIMA"&amp;Tabla_Buffers_Agroinsumos[[#This Row],[CODIGO ]],TABLACONSOLIDADA[Bodega]&amp;TABLACONSOLIDADA[Codigo],0)),"")</f>
        <v>287</v>
      </c>
      <c r="O258" s="157">
        <f t="array" ref="O25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287</v>
      </c>
      <c r="P25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58" s="19">
        <f>IFERROR(SUM(Tabla_Buffers_Agroinsumos[[#This Row],[MP-C]:[MP-VL]]),"")</f>
        <v>0</v>
      </c>
      <c r="R258" s="92">
        <f>IFERROR(Tabla_Buffers_Agroinsumos[[#This Row],[INV FIS MATERIA PRIMA]]-Tabla_Buffers_Agroinsumos[[#This Row],[BUFFER MATERIA PRIMA]],"")</f>
        <v>-113</v>
      </c>
      <c r="S25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-113</v>
      </c>
      <c r="T258" s="19"/>
      <c r="U258" s="19"/>
      <c r="V258" s="19"/>
      <c r="W258" s="19"/>
      <c r="X258" s="19"/>
      <c r="Y258" s="19"/>
      <c r="Z258" s="19"/>
      <c r="AA258" s="19"/>
      <c r="AB258" s="19"/>
      <c r="AC258" s="152" t="str">
        <f t="array" ref="AC258">IFERROR(INDEX(TABLACONSOLIDADA[Buff Act],MATCH("AGROINSUMOSCENTRAL"&amp;Tabla_Buffers_Agroinsumos[[#This Row],[CODIGO ]],TABLACONSOLIDADA[Bodega]&amp;TABLACONSOLIDADA[Codigo],0)),"")</f>
        <v/>
      </c>
      <c r="AD258" s="157" t="str">
        <f t="array" ref="AD258">IFERROR(INDEX(TABLACONSOLIDADA[Inv Fís Act],MATCH("AGROINSUMOSCENTRAL"&amp;Tabla_Buffers_Agroinsumos[[#This Row],[CODIGO ]],TABLACONSOLIDADA[Bodega]&amp;TABLACONSOLIDADA[Codigo],0)),"")</f>
        <v/>
      </c>
      <c r="AE258" s="157" t="str">
        <f t="array" ref="AE25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5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58" s="91">
        <f>IFERROR(SUM(Tabla_Buffers_Agroinsumos[[#This Row],[C-MP]:[C-VL]]),"")</f>
        <v>0</v>
      </c>
      <c r="AH258" s="92" t="str">
        <f>IFERROR(Tabla_Buffers_Agroinsumos[[#This Row],[INV FIS CENTRAL]]-Tabla_Buffers_Agroinsumos[[#This Row],[BUFFER CENTRAL]],"")</f>
        <v/>
      </c>
      <c r="AI25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58" s="134"/>
      <c r="AK258" s="134"/>
      <c r="AL258" s="134"/>
      <c r="AM258" s="134"/>
      <c r="AN258" s="134"/>
      <c r="AO258" s="134"/>
      <c r="AP258" s="134"/>
      <c r="AQ258" s="134"/>
      <c r="AR258" s="134"/>
      <c r="AS258" s="134" t="str">
        <f t="array" ref="AS258">IFERROR(INDEX(TABLACONSOLIDADA[Buff Act],MATCH("AGROINSUMOScentralPROPIA"&amp;Tabla_Buffers_Agroinsumos[[#This Row],[CODIGO ]],TABLACONSOLIDADA[Bodega]&amp;TABLACONSOLIDADA[Codigo],0)),"")</f>
        <v/>
      </c>
      <c r="AT258" s="157" t="str">
        <f t="array" ref="AT258">IFERROR(INDEX(TABLACONSOLIDADA[Inv Fís Act],MATCH("AGROINSUMOScentralPROPIA"&amp;Tabla_Buffers_Agroinsumos[[#This Row],[CODIGO ]],TABLACONSOLIDADA[Bodega]&amp;TABLACONSOLIDADA[Codigo],0)),"")</f>
        <v/>
      </c>
      <c r="AU258" s="157" t="str">
        <f t="array" ref="AU25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5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58" s="134">
        <f>IFERROR(SUM(Tabla_Buffers_Agroinsumos[[#This Row],[P-MP]:[P-VL]]),"")</f>
        <v>0</v>
      </c>
      <c r="AX258" s="92" t="str">
        <f>IFERROR(Tabla_Buffers_Agroinsumos[[#This Row],[INV FIS PROPIA]]-Tabla_Buffers_Agroinsumos[[#This Row],[BUFFER PROPIA]],"")</f>
        <v/>
      </c>
      <c r="AY25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58" s="134"/>
      <c r="BA258" s="134"/>
      <c r="BB258" s="134"/>
      <c r="BC258" s="134"/>
      <c r="BD258" s="134"/>
      <c r="BE258" s="134"/>
      <c r="BF258" s="134"/>
      <c r="BG258" s="134"/>
      <c r="BH258" s="134"/>
      <c r="BI258" s="91" t="str">
        <f t="array" ref="BI258">IFERROR(INDEX(TABLACONSOLIDADA[Buff Act],MATCH("AGROINSUMOSSTODOMINGO"&amp;Tabla_Buffers_Agroinsumos[[#This Row],[CODIGO ]],TABLACONSOLIDADA[Bodega]&amp;TABLACONSOLIDADA[Codigo],0)),"")</f>
        <v/>
      </c>
      <c r="BJ258" s="157" t="str">
        <f t="array" ref="BJ258">IFERROR(INDEX(TABLACONSOLIDADA[Inv Fís Act],MATCH("AGROINSUMOSSTODOMINGO"&amp;Tabla_Buffers_Agroinsumos[[#This Row],[CODIGO ]],TABLACONSOLIDADA[Bodega]&amp;TABLACONSOLIDADA[Codigo],0)),"")</f>
        <v/>
      </c>
      <c r="BK258" s="157" t="str">
        <f t="array" ref="BK25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5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58" s="91">
        <f>IFERROR(SUM(Tabla_Buffers_Agroinsumos[[#This Row],[SD-MP]:[SD-VL]]),"")</f>
        <v>0</v>
      </c>
      <c r="BN258" s="92"/>
      <c r="BO258" s="92"/>
      <c r="BP258" s="134"/>
      <c r="BQ258" s="134"/>
      <c r="BR258" s="134"/>
      <c r="BS258" s="134"/>
      <c r="BT258" s="134"/>
      <c r="BU258" s="134"/>
      <c r="BV258" s="134"/>
      <c r="BW258" s="134"/>
      <c r="BX258" s="134"/>
      <c r="BY258" s="134" t="str">
        <f t="array" ref="BY258">IFERROR(INDEX(TABLACONSOLIDADA[Buff Act],MATCH("AGROINSUMOSMONCAYOLOPEZ"&amp;Tabla_Buffers_Agroinsumos[[#This Row],[CODIGO ]],TABLACONSOLIDADA[Bodega]&amp;TABLACONSOLIDADA[Codigo],0)),"")</f>
        <v/>
      </c>
      <c r="BZ258" s="157" t="str">
        <f t="array" ref="BZ258">IFERROR(INDEX(TABLACONSOLIDADA[Inv Fís Act],MATCH("AGROINSUMOSMONCAYOLOPEZ"&amp;Tabla_Buffers_Agroinsumos[[#This Row],[CODIGO ]],TABLACONSOLIDADA[Bodega]&amp;TABLACONSOLIDADA[Codigo],0)),"")</f>
        <v/>
      </c>
      <c r="CA258" s="157" t="str">
        <f t="array" ref="CA25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5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58" s="134">
        <f>IFERROR(SUM(Tabla_Buffers_Agroinsumos[[#This Row],[ML-MP]:[ML-VL]]),"")</f>
        <v>0</v>
      </c>
      <c r="CD258" s="92" t="str">
        <f>IFERROR(Tabla_Buffers_Agroinsumos[[#This Row],[INV FIS ML]]-Tabla_Buffers_Agroinsumos[[#This Row],[BUFFER ML]],"")</f>
        <v/>
      </c>
      <c r="CE25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58" s="134"/>
      <c r="CG258" s="134"/>
      <c r="CH258" s="134"/>
      <c r="CI258" s="134"/>
      <c r="CJ258" s="134"/>
      <c r="CK258" s="134"/>
      <c r="CL258" s="134"/>
      <c r="CM258" s="134"/>
      <c r="CN258" s="134"/>
      <c r="CO258" s="134" t="str">
        <f t="array" ref="CO258">IFERROR(INDEX(TABLACONSOLIDADA[Buff Act],MATCH("AGROINSUMOSAGROHERMANOSLEON"&amp;Tabla_Buffers_Agroinsumos[[#This Row],[CODIGO ]],TABLACONSOLIDADA[Bodega]&amp;TABLACONSOLIDADA[Codigo],0)),"")</f>
        <v/>
      </c>
      <c r="CP258" s="157" t="str">
        <f t="array" ref="CP258">IFERROR(INDEX(TABLACONSOLIDADA[Inv Fís Act],MATCH("AGROINSUMOSAGROHERMANOSLEON"&amp;Tabla_Buffers_Agroinsumos[[#This Row],[CODIGO ]],TABLACONSOLIDADA[Bodega]&amp;TABLACONSOLIDADA[Codigo],0)),"")</f>
        <v/>
      </c>
      <c r="CQ258" s="157" t="str">
        <f t="array" ref="CQ25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5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58" s="134">
        <f>IFERROR(SUM(Tabla_Buffers_Agroinsumos[[#This Row],[AL-MP]:[AL-VL]]),"")</f>
        <v>0</v>
      </c>
      <c r="CT258" s="92" t="str">
        <f>IFERROR(Tabla_Buffers_Agroinsumos[[#This Row],[INV FIS AL]]-Tabla_Buffers_Agroinsumos[[#This Row],[BUFFER AL]],"")</f>
        <v/>
      </c>
      <c r="CU25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58" s="134"/>
      <c r="CW258" s="134"/>
      <c r="CX258" s="134"/>
      <c r="CY258" s="134"/>
      <c r="CZ258" s="134"/>
      <c r="DA258" s="134"/>
      <c r="DB258" s="134"/>
      <c r="DC258" s="134"/>
      <c r="DD258" s="134"/>
      <c r="DE258" s="134" t="str">
        <f t="array" ref="DE258">IFERROR(INDEX(TABLACONSOLIDADA[Buff Act],MATCH("AGROINSUMOSAGRONUEVO"&amp;Tabla_Buffers_Agroinsumos[[#This Row],[CODIGO ]],TABLACONSOLIDADA[Bodega]&amp;TABLACONSOLIDADA[Codigo],0)),"")</f>
        <v/>
      </c>
      <c r="DF258" s="157" t="str">
        <f t="array" ref="DF258">IFERROR(INDEX(TABLACONSOLIDADA[Inv Fís Act],MATCH("AGROINSUMOSAGRONUEVO"&amp;Tabla_Buffers_Agroinsumos[[#This Row],[CODIGO ]],TABLACONSOLIDADA[Bodega]&amp;TABLACONSOLIDADA[Codigo],0)),"")</f>
        <v/>
      </c>
      <c r="DG258" s="157" t="str">
        <f t="array" ref="DG25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5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58" s="134">
        <f>IFERROR(SUM(Tabla_Buffers_Agroinsumos[[#This Row],[AN-MP]:[AN-VL]]),"")</f>
        <v>0</v>
      </c>
      <c r="DJ258" s="92" t="str">
        <f>IFERROR(Tabla_Buffers_Agroinsumos[[#This Row],[INV FIS AN]]-Tabla_Buffers_Agroinsumos[[#This Row],[BUFFER AN]],"")</f>
        <v/>
      </c>
      <c r="DK25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58" s="134"/>
      <c r="DM258" s="134"/>
      <c r="DN258" s="134"/>
      <c r="DO258" s="134"/>
      <c r="DP258" s="134"/>
      <c r="DQ258" s="134"/>
      <c r="DR258" s="134"/>
      <c r="DS258" s="134"/>
      <c r="DT258" s="134"/>
      <c r="DU258" s="134" t="str">
        <f t="array" ref="DU258">IFERROR(INDEX(TABLACONSOLIDADA[Buff Act],MATCH("AGROINSUMOSAGROQUIMICOSSUR"&amp;Tabla_Buffers_Agroinsumos[[#This Row],[CODIGO ]],TABLACONSOLIDADA[Bodega]&amp;TABLACONSOLIDADA[Codigo],0)),"")</f>
        <v/>
      </c>
      <c r="DV258" s="157" t="str">
        <f t="array" ref="DV258">IFERROR(INDEX(TABLACONSOLIDADA[Inv Fís Act],MATCH("AGROINSUMOSAGROQUIMICOSSUR"&amp;Tabla_Buffers_Agroinsumos[[#This Row],[CODIGO ]],TABLACONSOLIDADA[Bodega]&amp;TABLACONSOLIDADA[Codigo],0)),"")</f>
        <v/>
      </c>
      <c r="DW258" s="157" t="str">
        <f t="array" ref="DW25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5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58" s="134">
        <f>IFERROR(SUM(Tabla_Buffers_Agroinsumos[[#This Row],[AS-MP]:[AS-VL]]),"")</f>
        <v>0</v>
      </c>
      <c r="DZ258" s="92" t="str">
        <f>IFERROR(Tabla_Buffers_Agroinsumos[[#This Row],[INV FIS AS]]-Tabla_Buffers_Agroinsumos[[#This Row],[BUFFER AS]],"")</f>
        <v/>
      </c>
      <c r="EA25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58" s="134"/>
      <c r="EC258" s="134"/>
      <c r="ED258" s="134"/>
      <c r="EE258" s="134"/>
      <c r="EF258" s="134"/>
      <c r="EG258" s="134"/>
      <c r="EH258" s="134"/>
      <c r="EI258" s="134"/>
      <c r="EJ258" s="134"/>
      <c r="EK258" s="134" t="str">
        <f t="array" ref="EK258">IFERROR(INDEX(TABLACONSOLIDADA[Buff Act],MATCH("AGROINSUMOSLAFINCA"&amp;Tabla_Buffers_Agroinsumos[[#This Row],[CODIGO ]],TABLACONSOLIDADA[Bodega]&amp;TABLACONSOLIDADA[Codigo],0)),"")</f>
        <v/>
      </c>
      <c r="EL258" s="157" t="str">
        <f t="array" ref="EL258">IFERROR(INDEX(TABLACONSOLIDADA[Inv Fís Act],MATCH("AGROINSUMOSLAFINCA"&amp;Tabla_Buffers_Agroinsumos[[#This Row],[CODIGO ]],TABLACONSOLIDADA[Bodega]&amp;TABLACONSOLIDADA[Codigo],0)),"")</f>
        <v/>
      </c>
      <c r="EM258" s="157" t="str">
        <f t="array" ref="EM25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5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58" s="134">
        <f>IFERROR(SUM(Tabla_Buffers_Agroinsumos[[#This Row],[LF-MP]:[LF-VL]]),"")</f>
        <v>0</v>
      </c>
      <c r="EP258" s="92" t="str">
        <f>IFERROR(Tabla_Buffers_Agroinsumos[[#This Row],[INV FIS LF]]-Tabla_Buffers_Agroinsumos[[#This Row],[BUFFER LF]],"")</f>
        <v/>
      </c>
      <c r="EQ25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58" s="134"/>
      <c r="ES258" s="134"/>
      <c r="ET258" s="134"/>
      <c r="EU258" s="134"/>
      <c r="EV258" s="134"/>
      <c r="EW258" s="134"/>
      <c r="EX258" s="134"/>
      <c r="EY258" s="134"/>
      <c r="EZ258" s="134"/>
      <c r="FA258" s="134" t="str">
        <f t="array" ref="FA258">IFERROR(INDEX(TABLACONSOLIDADA[Buff Act],MATCH("AGROINSUMOSVERONICALEDESMA"&amp;Tabla_Buffers_Agroinsumos[[#This Row],[CODIGO ]],TABLACONSOLIDADA[Bodega]&amp;TABLACONSOLIDADA[Codigo],0)),"")</f>
        <v/>
      </c>
      <c r="FB258" s="157" t="str">
        <f t="array" ref="FB258">IFERROR(INDEX(TABLACONSOLIDADA[Inv Fís Act],MATCH("AGROINSUMOSVERONICALEDESMA"&amp;Tabla_Buffers_Agroinsumos[[#This Row],[CODIGO ]],TABLACONSOLIDADA[Bodega]&amp;TABLACONSOLIDADA[Codigo],0)),"")</f>
        <v/>
      </c>
      <c r="FC258" s="157" t="str">
        <f t="array" ref="FC25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5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58" s="134">
        <f>IFERROR(SUM(Tabla_Buffers_Agroinsumos[[#This Row],[VL-MP]:[VL-LF]]),"")</f>
        <v>0</v>
      </c>
      <c r="FF258" s="92" t="str">
        <f>IFERROR(Tabla_Buffers_Agroinsumos[[#This Row],[INV FIS VL]]-Tabla_Buffers_Agroinsumos[[#This Row],[BUFFER VL]],"")</f>
        <v/>
      </c>
      <c r="FG25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58" s="134"/>
      <c r="FI258" s="134"/>
      <c r="FJ258" s="134"/>
      <c r="FK258" s="134"/>
      <c r="FL258" s="134"/>
      <c r="FM258" s="134"/>
      <c r="FN258" s="134"/>
      <c r="FO258" s="134"/>
      <c r="FP258" s="134"/>
    </row>
    <row r="259" spans="1:172">
      <c r="A259" s="7" t="s">
        <v>452</v>
      </c>
      <c r="B259" s="7" t="s">
        <v>453</v>
      </c>
      <c r="C259" s="7" t="s">
        <v>716</v>
      </c>
      <c r="D259" s="7" t="s">
        <v>718</v>
      </c>
      <c r="E259" s="7" t="s">
        <v>863</v>
      </c>
      <c r="F259" s="19" t="s">
        <v>808</v>
      </c>
      <c r="G259" s="19" t="s">
        <v>802</v>
      </c>
      <c r="H259" s="19">
        <f>VLOOKUP(Tabla_Buffers_Agroinsumos[[#This Row],[CODIGO ]],TABLACONSOLIDADA[[Codigo]:[PV]],6,0)</f>
        <v>0</v>
      </c>
      <c r="I259" s="19">
        <f>VLOOKUP(Tabla_Buffers_Agroinsumos[[#This Row],[CODIGO ]],TABLACONSOLIDADA[[Codigo]:[PV]],5,0)</f>
        <v>0.3</v>
      </c>
      <c r="J259" s="19">
        <v>4</v>
      </c>
      <c r="K259" s="19">
        <v>6</v>
      </c>
      <c r="L259" s="19">
        <f>IFERROR(Tabla_Buffers_Agroinsumos[[#This Row],[BUFFER CENTRAL]]/((Tabla_Buffers_Agroinsumos[[#This Row],[TIEMPO REPOSICION ]]/Tabla_Buffers_Agroinsumos[[#This Row],[FRECUENCIA]])+1),0)</f>
        <v>0</v>
      </c>
      <c r="M259" s="19">
        <f t="array" ref="M259">IFERROR(INDEX(TABLACONSOLIDADA[Buff Act],MATCH("AGROINSUMOSMATERIAPRIMA"&amp;Tabla_Buffers_Agroinsumos[[#This Row],[CODIGO ]],TABLACONSOLIDADA[Bodega]&amp;TABLACONSOLIDADA[Codigo],0)),"")</f>
        <v>400</v>
      </c>
      <c r="N259" s="157">
        <f t="array" ref="N259">IFERROR(INDEX(TABLACONSOLIDADA[Inv Fís Act],MATCH("AGROINSUMOSMATERIAPRIMA"&amp;Tabla_Buffers_Agroinsumos[[#This Row],[CODIGO ]],TABLACONSOLIDADA[Bodega]&amp;TABLACONSOLIDADA[Codigo],0)),"")</f>
        <v>605</v>
      </c>
      <c r="O259" s="157">
        <f t="array" ref="O25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605</v>
      </c>
      <c r="P25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59" s="19">
        <f>IFERROR(SUM(Tabla_Buffers_Agroinsumos[[#This Row],[MP-C]:[MP-VL]]),"")</f>
        <v>0</v>
      </c>
      <c r="R259" s="92">
        <f>IFERROR(Tabla_Buffers_Agroinsumos[[#This Row],[INV FIS MATERIA PRIMA]]-Tabla_Buffers_Agroinsumos[[#This Row],[BUFFER MATERIA PRIMA]],"")</f>
        <v>205</v>
      </c>
      <c r="S25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205</v>
      </c>
      <c r="T259" s="19"/>
      <c r="U259" s="19"/>
      <c r="V259" s="19"/>
      <c r="W259" s="19"/>
      <c r="X259" s="19"/>
      <c r="Y259" s="19"/>
      <c r="Z259" s="19"/>
      <c r="AA259" s="19"/>
      <c r="AB259" s="19"/>
      <c r="AC259" s="152" t="str">
        <f t="array" ref="AC259">IFERROR(INDEX(TABLACONSOLIDADA[Buff Act],MATCH("AGROINSUMOSCENTRAL"&amp;Tabla_Buffers_Agroinsumos[[#This Row],[CODIGO ]],TABLACONSOLIDADA[Bodega]&amp;TABLACONSOLIDADA[Codigo],0)),"")</f>
        <v/>
      </c>
      <c r="AD259" s="157" t="str">
        <f t="array" ref="AD259">IFERROR(INDEX(TABLACONSOLIDADA[Inv Fís Act],MATCH("AGROINSUMOSCENTRAL"&amp;Tabla_Buffers_Agroinsumos[[#This Row],[CODIGO ]],TABLACONSOLIDADA[Bodega]&amp;TABLACONSOLIDADA[Codigo],0)),"")</f>
        <v/>
      </c>
      <c r="AE259" s="157" t="str">
        <f t="array" ref="AE25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5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59" s="91">
        <f>IFERROR(SUM(Tabla_Buffers_Agroinsumos[[#This Row],[C-MP]:[C-VL]]),"")</f>
        <v>0</v>
      </c>
      <c r="AH259" s="92" t="str">
        <f>IFERROR(Tabla_Buffers_Agroinsumos[[#This Row],[INV FIS CENTRAL]]-Tabla_Buffers_Agroinsumos[[#This Row],[BUFFER CENTRAL]],"")</f>
        <v/>
      </c>
      <c r="AI25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59" s="134"/>
      <c r="AK259" s="134"/>
      <c r="AL259" s="134"/>
      <c r="AM259" s="134"/>
      <c r="AN259" s="134"/>
      <c r="AO259" s="134"/>
      <c r="AP259" s="134"/>
      <c r="AQ259" s="134"/>
      <c r="AR259" s="134"/>
      <c r="AS259" s="134" t="str">
        <f t="array" ref="AS259">IFERROR(INDEX(TABLACONSOLIDADA[Buff Act],MATCH("AGROINSUMOScentralPROPIA"&amp;Tabla_Buffers_Agroinsumos[[#This Row],[CODIGO ]],TABLACONSOLIDADA[Bodega]&amp;TABLACONSOLIDADA[Codigo],0)),"")</f>
        <v/>
      </c>
      <c r="AT259" s="157" t="str">
        <f t="array" ref="AT259">IFERROR(INDEX(TABLACONSOLIDADA[Inv Fís Act],MATCH("AGROINSUMOScentralPROPIA"&amp;Tabla_Buffers_Agroinsumos[[#This Row],[CODIGO ]],TABLACONSOLIDADA[Bodega]&amp;TABLACONSOLIDADA[Codigo],0)),"")</f>
        <v/>
      </c>
      <c r="AU259" s="157" t="str">
        <f t="array" ref="AU25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5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59" s="134">
        <f>IFERROR(SUM(Tabla_Buffers_Agroinsumos[[#This Row],[P-MP]:[P-VL]]),"")</f>
        <v>0</v>
      </c>
      <c r="AX259" s="92" t="str">
        <f>IFERROR(Tabla_Buffers_Agroinsumos[[#This Row],[INV FIS PROPIA]]-Tabla_Buffers_Agroinsumos[[#This Row],[BUFFER PROPIA]],"")</f>
        <v/>
      </c>
      <c r="AY25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59" s="134"/>
      <c r="BA259" s="134"/>
      <c r="BB259" s="134"/>
      <c r="BC259" s="134"/>
      <c r="BD259" s="134"/>
      <c r="BE259" s="134"/>
      <c r="BF259" s="134"/>
      <c r="BG259" s="134"/>
      <c r="BH259" s="134"/>
      <c r="BI259" s="91" t="str">
        <f t="array" ref="BI259">IFERROR(INDEX(TABLACONSOLIDADA[Buff Act],MATCH("AGROINSUMOSSTODOMINGO"&amp;Tabla_Buffers_Agroinsumos[[#This Row],[CODIGO ]],TABLACONSOLIDADA[Bodega]&amp;TABLACONSOLIDADA[Codigo],0)),"")</f>
        <v/>
      </c>
      <c r="BJ259" s="157" t="str">
        <f t="array" ref="BJ259">IFERROR(INDEX(TABLACONSOLIDADA[Inv Fís Act],MATCH("AGROINSUMOSSTODOMINGO"&amp;Tabla_Buffers_Agroinsumos[[#This Row],[CODIGO ]],TABLACONSOLIDADA[Bodega]&amp;TABLACONSOLIDADA[Codigo],0)),"")</f>
        <v/>
      </c>
      <c r="BK259" s="157" t="str">
        <f t="array" ref="BK25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5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59" s="91">
        <f>IFERROR(SUM(Tabla_Buffers_Agroinsumos[[#This Row],[SD-MP]:[SD-VL]]),"")</f>
        <v>0</v>
      </c>
      <c r="BN259" s="92"/>
      <c r="BO259" s="92"/>
      <c r="BP259" s="134"/>
      <c r="BQ259" s="134"/>
      <c r="BR259" s="134"/>
      <c r="BS259" s="134"/>
      <c r="BT259" s="134"/>
      <c r="BU259" s="134"/>
      <c r="BV259" s="134"/>
      <c r="BW259" s="134"/>
      <c r="BX259" s="134"/>
      <c r="BY259" s="134" t="str">
        <f t="array" ref="BY259">IFERROR(INDEX(TABLACONSOLIDADA[Buff Act],MATCH("AGROINSUMOSMONCAYOLOPEZ"&amp;Tabla_Buffers_Agroinsumos[[#This Row],[CODIGO ]],TABLACONSOLIDADA[Bodega]&amp;TABLACONSOLIDADA[Codigo],0)),"")</f>
        <v/>
      </c>
      <c r="BZ259" s="157" t="str">
        <f t="array" ref="BZ259">IFERROR(INDEX(TABLACONSOLIDADA[Inv Fís Act],MATCH("AGROINSUMOSMONCAYOLOPEZ"&amp;Tabla_Buffers_Agroinsumos[[#This Row],[CODIGO ]],TABLACONSOLIDADA[Bodega]&amp;TABLACONSOLIDADA[Codigo],0)),"")</f>
        <v/>
      </c>
      <c r="CA259" s="157" t="str">
        <f t="array" ref="CA25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5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59" s="134">
        <f>IFERROR(SUM(Tabla_Buffers_Agroinsumos[[#This Row],[ML-MP]:[ML-VL]]),"")</f>
        <v>0</v>
      </c>
      <c r="CD259" s="92" t="str">
        <f>IFERROR(Tabla_Buffers_Agroinsumos[[#This Row],[INV FIS ML]]-Tabla_Buffers_Agroinsumos[[#This Row],[BUFFER ML]],"")</f>
        <v/>
      </c>
      <c r="CE25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59" s="134"/>
      <c r="CG259" s="134"/>
      <c r="CH259" s="134"/>
      <c r="CI259" s="134"/>
      <c r="CJ259" s="134"/>
      <c r="CK259" s="134"/>
      <c r="CL259" s="134"/>
      <c r="CM259" s="134"/>
      <c r="CN259" s="134"/>
      <c r="CO259" s="134" t="str">
        <f t="array" ref="CO259">IFERROR(INDEX(TABLACONSOLIDADA[Buff Act],MATCH("AGROINSUMOSAGROHERMANOSLEON"&amp;Tabla_Buffers_Agroinsumos[[#This Row],[CODIGO ]],TABLACONSOLIDADA[Bodega]&amp;TABLACONSOLIDADA[Codigo],0)),"")</f>
        <v/>
      </c>
      <c r="CP259" s="157" t="str">
        <f t="array" ref="CP259">IFERROR(INDEX(TABLACONSOLIDADA[Inv Fís Act],MATCH("AGROINSUMOSAGROHERMANOSLEON"&amp;Tabla_Buffers_Agroinsumos[[#This Row],[CODIGO ]],TABLACONSOLIDADA[Bodega]&amp;TABLACONSOLIDADA[Codigo],0)),"")</f>
        <v/>
      </c>
      <c r="CQ259" s="157" t="str">
        <f t="array" ref="CQ25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5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59" s="134">
        <f>IFERROR(SUM(Tabla_Buffers_Agroinsumos[[#This Row],[AL-MP]:[AL-VL]]),"")</f>
        <v>0</v>
      </c>
      <c r="CT259" s="92" t="str">
        <f>IFERROR(Tabla_Buffers_Agroinsumos[[#This Row],[INV FIS AL]]-Tabla_Buffers_Agroinsumos[[#This Row],[BUFFER AL]],"")</f>
        <v/>
      </c>
      <c r="CU25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59" s="134"/>
      <c r="CW259" s="134"/>
      <c r="CX259" s="134"/>
      <c r="CY259" s="134"/>
      <c r="CZ259" s="134"/>
      <c r="DA259" s="134"/>
      <c r="DB259" s="134"/>
      <c r="DC259" s="134"/>
      <c r="DD259" s="134"/>
      <c r="DE259" s="134" t="str">
        <f t="array" ref="DE259">IFERROR(INDEX(TABLACONSOLIDADA[Buff Act],MATCH("AGROINSUMOSAGRONUEVO"&amp;Tabla_Buffers_Agroinsumos[[#This Row],[CODIGO ]],TABLACONSOLIDADA[Bodega]&amp;TABLACONSOLIDADA[Codigo],0)),"")</f>
        <v/>
      </c>
      <c r="DF259" s="157" t="str">
        <f t="array" ref="DF259">IFERROR(INDEX(TABLACONSOLIDADA[Inv Fís Act],MATCH("AGROINSUMOSAGRONUEVO"&amp;Tabla_Buffers_Agroinsumos[[#This Row],[CODIGO ]],TABLACONSOLIDADA[Bodega]&amp;TABLACONSOLIDADA[Codigo],0)),"")</f>
        <v/>
      </c>
      <c r="DG259" s="157" t="str">
        <f t="array" ref="DG25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5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59" s="134">
        <f>IFERROR(SUM(Tabla_Buffers_Agroinsumos[[#This Row],[AN-MP]:[AN-VL]]),"")</f>
        <v>0</v>
      </c>
      <c r="DJ259" s="92" t="str">
        <f>IFERROR(Tabla_Buffers_Agroinsumos[[#This Row],[INV FIS AN]]-Tabla_Buffers_Agroinsumos[[#This Row],[BUFFER AN]],"")</f>
        <v/>
      </c>
      <c r="DK25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59" s="134"/>
      <c r="DM259" s="134"/>
      <c r="DN259" s="134"/>
      <c r="DO259" s="134"/>
      <c r="DP259" s="134"/>
      <c r="DQ259" s="134"/>
      <c r="DR259" s="134"/>
      <c r="DS259" s="134"/>
      <c r="DT259" s="134"/>
      <c r="DU259" s="134" t="str">
        <f t="array" ref="DU259">IFERROR(INDEX(TABLACONSOLIDADA[Buff Act],MATCH("AGROINSUMOSAGROQUIMICOSSUR"&amp;Tabla_Buffers_Agroinsumos[[#This Row],[CODIGO ]],TABLACONSOLIDADA[Bodega]&amp;TABLACONSOLIDADA[Codigo],0)),"")</f>
        <v/>
      </c>
      <c r="DV259" s="157" t="str">
        <f t="array" ref="DV259">IFERROR(INDEX(TABLACONSOLIDADA[Inv Fís Act],MATCH("AGROINSUMOSAGROQUIMICOSSUR"&amp;Tabla_Buffers_Agroinsumos[[#This Row],[CODIGO ]],TABLACONSOLIDADA[Bodega]&amp;TABLACONSOLIDADA[Codigo],0)),"")</f>
        <v/>
      </c>
      <c r="DW259" s="157" t="str">
        <f t="array" ref="DW25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5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59" s="134">
        <f>IFERROR(SUM(Tabla_Buffers_Agroinsumos[[#This Row],[AS-MP]:[AS-VL]]),"")</f>
        <v>0</v>
      </c>
      <c r="DZ259" s="92" t="str">
        <f>IFERROR(Tabla_Buffers_Agroinsumos[[#This Row],[INV FIS AS]]-Tabla_Buffers_Agroinsumos[[#This Row],[BUFFER AS]],"")</f>
        <v/>
      </c>
      <c r="EA25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59" s="134"/>
      <c r="EC259" s="134"/>
      <c r="ED259" s="134"/>
      <c r="EE259" s="134"/>
      <c r="EF259" s="134"/>
      <c r="EG259" s="134"/>
      <c r="EH259" s="134"/>
      <c r="EI259" s="134"/>
      <c r="EJ259" s="134"/>
      <c r="EK259" s="134" t="str">
        <f t="array" ref="EK259">IFERROR(INDEX(TABLACONSOLIDADA[Buff Act],MATCH("AGROINSUMOSLAFINCA"&amp;Tabla_Buffers_Agroinsumos[[#This Row],[CODIGO ]],TABLACONSOLIDADA[Bodega]&amp;TABLACONSOLIDADA[Codigo],0)),"")</f>
        <v/>
      </c>
      <c r="EL259" s="157" t="str">
        <f t="array" ref="EL259">IFERROR(INDEX(TABLACONSOLIDADA[Inv Fís Act],MATCH("AGROINSUMOSLAFINCA"&amp;Tabla_Buffers_Agroinsumos[[#This Row],[CODIGO ]],TABLACONSOLIDADA[Bodega]&amp;TABLACONSOLIDADA[Codigo],0)),"")</f>
        <v/>
      </c>
      <c r="EM259" s="157" t="str">
        <f t="array" ref="EM25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5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59" s="134">
        <f>IFERROR(SUM(Tabla_Buffers_Agroinsumos[[#This Row],[LF-MP]:[LF-VL]]),"")</f>
        <v>0</v>
      </c>
      <c r="EP259" s="92" t="str">
        <f>IFERROR(Tabla_Buffers_Agroinsumos[[#This Row],[INV FIS LF]]-Tabla_Buffers_Agroinsumos[[#This Row],[BUFFER LF]],"")</f>
        <v/>
      </c>
      <c r="EQ25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59" s="134"/>
      <c r="ES259" s="134"/>
      <c r="ET259" s="134"/>
      <c r="EU259" s="134"/>
      <c r="EV259" s="134"/>
      <c r="EW259" s="134"/>
      <c r="EX259" s="134"/>
      <c r="EY259" s="134"/>
      <c r="EZ259" s="134"/>
      <c r="FA259" s="134" t="str">
        <f t="array" ref="FA259">IFERROR(INDEX(TABLACONSOLIDADA[Buff Act],MATCH("AGROINSUMOSVERONICALEDESMA"&amp;Tabla_Buffers_Agroinsumos[[#This Row],[CODIGO ]],TABLACONSOLIDADA[Bodega]&amp;TABLACONSOLIDADA[Codigo],0)),"")</f>
        <v/>
      </c>
      <c r="FB259" s="157" t="str">
        <f t="array" ref="FB259">IFERROR(INDEX(TABLACONSOLIDADA[Inv Fís Act],MATCH("AGROINSUMOSVERONICALEDESMA"&amp;Tabla_Buffers_Agroinsumos[[#This Row],[CODIGO ]],TABLACONSOLIDADA[Bodega]&amp;TABLACONSOLIDADA[Codigo],0)),"")</f>
        <v/>
      </c>
      <c r="FC259" s="157" t="str">
        <f t="array" ref="FC25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5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59" s="134">
        <f>IFERROR(SUM(Tabla_Buffers_Agroinsumos[[#This Row],[VL-MP]:[VL-LF]]),"")</f>
        <v>0</v>
      </c>
      <c r="FF259" s="92" t="str">
        <f>IFERROR(Tabla_Buffers_Agroinsumos[[#This Row],[INV FIS VL]]-Tabla_Buffers_Agroinsumos[[#This Row],[BUFFER VL]],"")</f>
        <v/>
      </c>
      <c r="FG25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59" s="134"/>
      <c r="FI259" s="134"/>
      <c r="FJ259" s="134"/>
      <c r="FK259" s="134"/>
      <c r="FL259" s="134"/>
      <c r="FM259" s="134"/>
      <c r="FN259" s="134"/>
      <c r="FO259" s="134"/>
      <c r="FP259" s="134"/>
    </row>
    <row r="260" spans="1:172">
      <c r="A260" s="7" t="s">
        <v>454</v>
      </c>
      <c r="B260" s="7" t="s">
        <v>455</v>
      </c>
      <c r="C260" s="7" t="s">
        <v>716</v>
      </c>
      <c r="D260" s="7" t="s">
        <v>718</v>
      </c>
      <c r="E260" s="7" t="s">
        <v>863</v>
      </c>
      <c r="F260" s="19" t="s">
        <v>808</v>
      </c>
      <c r="G260" s="19" t="s">
        <v>802</v>
      </c>
      <c r="H260" s="19">
        <f>VLOOKUP(Tabla_Buffers_Agroinsumos[[#This Row],[CODIGO ]],TABLACONSOLIDADA[[Codigo]:[PV]],6,0)</f>
        <v>0</v>
      </c>
      <c r="I260" s="19">
        <f>VLOOKUP(Tabla_Buffers_Agroinsumos[[#This Row],[CODIGO ]],TABLACONSOLIDADA[[Codigo]:[PV]],5,0)</f>
        <v>0.14000000000000001</v>
      </c>
      <c r="J260" s="19">
        <v>4</v>
      </c>
      <c r="K260" s="19">
        <v>6</v>
      </c>
      <c r="L260" s="19">
        <f>IFERROR(Tabla_Buffers_Agroinsumos[[#This Row],[BUFFER CENTRAL]]/((Tabla_Buffers_Agroinsumos[[#This Row],[TIEMPO REPOSICION ]]/Tabla_Buffers_Agroinsumos[[#This Row],[FRECUENCIA]])+1),0)</f>
        <v>0</v>
      </c>
      <c r="M260" s="19">
        <f t="array" ref="M260">IFERROR(INDEX(TABLACONSOLIDADA[Buff Act],MATCH("AGROINSUMOSMATERIAPRIMA"&amp;Tabla_Buffers_Agroinsumos[[#This Row],[CODIGO ]],TABLACONSOLIDADA[Bodega]&amp;TABLACONSOLIDADA[Codigo],0)),"")</f>
        <v>200</v>
      </c>
      <c r="N260" s="157">
        <f t="array" ref="N260">IFERROR(INDEX(TABLACONSOLIDADA[Inv Fís Act],MATCH("AGROINSUMOSMATERIAPRIMA"&amp;Tabla_Buffers_Agroinsumos[[#This Row],[CODIGO ]],TABLACONSOLIDADA[Bodega]&amp;TABLACONSOLIDADA[Codigo],0)),"")</f>
        <v>408</v>
      </c>
      <c r="O260" s="157">
        <f t="array" ref="O26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408</v>
      </c>
      <c r="P26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60" s="19">
        <f>IFERROR(SUM(Tabla_Buffers_Agroinsumos[[#This Row],[MP-C]:[MP-VL]]),"")</f>
        <v>0</v>
      </c>
      <c r="R260" s="92">
        <f>IFERROR(Tabla_Buffers_Agroinsumos[[#This Row],[INV FIS MATERIA PRIMA]]-Tabla_Buffers_Agroinsumos[[#This Row],[BUFFER MATERIA PRIMA]],"")</f>
        <v>208</v>
      </c>
      <c r="S26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208</v>
      </c>
      <c r="T260" s="19"/>
      <c r="U260" s="19"/>
      <c r="V260" s="19"/>
      <c r="W260" s="19"/>
      <c r="X260" s="19"/>
      <c r="Y260" s="19"/>
      <c r="Z260" s="19"/>
      <c r="AA260" s="19"/>
      <c r="AB260" s="19"/>
      <c r="AC260" s="152" t="str">
        <f t="array" ref="AC260">IFERROR(INDEX(TABLACONSOLIDADA[Buff Act],MATCH("AGROINSUMOSCENTRAL"&amp;Tabla_Buffers_Agroinsumos[[#This Row],[CODIGO ]],TABLACONSOLIDADA[Bodega]&amp;TABLACONSOLIDADA[Codigo],0)),"")</f>
        <v/>
      </c>
      <c r="AD260" s="157" t="str">
        <f t="array" ref="AD260">IFERROR(INDEX(TABLACONSOLIDADA[Inv Fís Act],MATCH("AGROINSUMOSCENTRAL"&amp;Tabla_Buffers_Agroinsumos[[#This Row],[CODIGO ]],TABLACONSOLIDADA[Bodega]&amp;TABLACONSOLIDADA[Codigo],0)),"")</f>
        <v/>
      </c>
      <c r="AE260" s="157" t="str">
        <f t="array" ref="AE26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6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60" s="91">
        <f>IFERROR(SUM(Tabla_Buffers_Agroinsumos[[#This Row],[C-MP]:[C-VL]]),"")</f>
        <v>0</v>
      </c>
      <c r="AH260" s="92" t="str">
        <f>IFERROR(Tabla_Buffers_Agroinsumos[[#This Row],[INV FIS CENTRAL]]-Tabla_Buffers_Agroinsumos[[#This Row],[BUFFER CENTRAL]],"")</f>
        <v/>
      </c>
      <c r="AI26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60" s="134"/>
      <c r="AK260" s="134"/>
      <c r="AL260" s="134"/>
      <c r="AM260" s="134"/>
      <c r="AN260" s="134"/>
      <c r="AO260" s="134"/>
      <c r="AP260" s="134"/>
      <c r="AQ260" s="134"/>
      <c r="AR260" s="134"/>
      <c r="AS260" s="134" t="str">
        <f t="array" ref="AS260">IFERROR(INDEX(TABLACONSOLIDADA[Buff Act],MATCH("AGROINSUMOScentralPROPIA"&amp;Tabla_Buffers_Agroinsumos[[#This Row],[CODIGO ]],TABLACONSOLIDADA[Bodega]&amp;TABLACONSOLIDADA[Codigo],0)),"")</f>
        <v/>
      </c>
      <c r="AT260" s="157" t="str">
        <f t="array" ref="AT260">IFERROR(INDEX(TABLACONSOLIDADA[Inv Fís Act],MATCH("AGROINSUMOScentralPROPIA"&amp;Tabla_Buffers_Agroinsumos[[#This Row],[CODIGO ]],TABLACONSOLIDADA[Bodega]&amp;TABLACONSOLIDADA[Codigo],0)),"")</f>
        <v/>
      </c>
      <c r="AU260" s="157" t="str">
        <f t="array" ref="AU26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6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60" s="134">
        <f>IFERROR(SUM(Tabla_Buffers_Agroinsumos[[#This Row],[P-MP]:[P-VL]]),"")</f>
        <v>0</v>
      </c>
      <c r="AX260" s="92" t="str">
        <f>IFERROR(Tabla_Buffers_Agroinsumos[[#This Row],[INV FIS PROPIA]]-Tabla_Buffers_Agroinsumos[[#This Row],[BUFFER PROPIA]],"")</f>
        <v/>
      </c>
      <c r="AY26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60" s="134"/>
      <c r="BA260" s="134"/>
      <c r="BB260" s="134"/>
      <c r="BC260" s="134"/>
      <c r="BD260" s="134"/>
      <c r="BE260" s="134"/>
      <c r="BF260" s="134"/>
      <c r="BG260" s="134"/>
      <c r="BH260" s="134"/>
      <c r="BI260" s="91" t="str">
        <f t="array" ref="BI260">IFERROR(INDEX(TABLACONSOLIDADA[Buff Act],MATCH("AGROINSUMOSSTODOMINGO"&amp;Tabla_Buffers_Agroinsumos[[#This Row],[CODIGO ]],TABLACONSOLIDADA[Bodega]&amp;TABLACONSOLIDADA[Codigo],0)),"")</f>
        <v/>
      </c>
      <c r="BJ260" s="157" t="str">
        <f t="array" ref="BJ260">IFERROR(INDEX(TABLACONSOLIDADA[Inv Fís Act],MATCH("AGROINSUMOSSTODOMINGO"&amp;Tabla_Buffers_Agroinsumos[[#This Row],[CODIGO ]],TABLACONSOLIDADA[Bodega]&amp;TABLACONSOLIDADA[Codigo],0)),"")</f>
        <v/>
      </c>
      <c r="BK260" s="157" t="str">
        <f t="array" ref="BK26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6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60" s="91">
        <f>IFERROR(SUM(Tabla_Buffers_Agroinsumos[[#This Row],[SD-MP]:[SD-VL]]),"")</f>
        <v>0</v>
      </c>
      <c r="BN260" s="92"/>
      <c r="BO260" s="92"/>
      <c r="BP260" s="134"/>
      <c r="BQ260" s="134"/>
      <c r="BR260" s="134"/>
      <c r="BS260" s="134"/>
      <c r="BT260" s="134"/>
      <c r="BU260" s="134"/>
      <c r="BV260" s="134"/>
      <c r="BW260" s="134"/>
      <c r="BX260" s="134"/>
      <c r="BY260" s="134" t="str">
        <f t="array" ref="BY260">IFERROR(INDEX(TABLACONSOLIDADA[Buff Act],MATCH("AGROINSUMOSMONCAYOLOPEZ"&amp;Tabla_Buffers_Agroinsumos[[#This Row],[CODIGO ]],TABLACONSOLIDADA[Bodega]&amp;TABLACONSOLIDADA[Codigo],0)),"")</f>
        <v/>
      </c>
      <c r="BZ260" s="157" t="str">
        <f t="array" ref="BZ260">IFERROR(INDEX(TABLACONSOLIDADA[Inv Fís Act],MATCH("AGROINSUMOSMONCAYOLOPEZ"&amp;Tabla_Buffers_Agroinsumos[[#This Row],[CODIGO ]],TABLACONSOLIDADA[Bodega]&amp;TABLACONSOLIDADA[Codigo],0)),"")</f>
        <v/>
      </c>
      <c r="CA260" s="157" t="str">
        <f t="array" ref="CA26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6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60" s="134">
        <f>IFERROR(SUM(Tabla_Buffers_Agroinsumos[[#This Row],[ML-MP]:[ML-VL]]),"")</f>
        <v>0</v>
      </c>
      <c r="CD260" s="92" t="str">
        <f>IFERROR(Tabla_Buffers_Agroinsumos[[#This Row],[INV FIS ML]]-Tabla_Buffers_Agroinsumos[[#This Row],[BUFFER ML]],"")</f>
        <v/>
      </c>
      <c r="CE26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60" s="134"/>
      <c r="CG260" s="134"/>
      <c r="CH260" s="134"/>
      <c r="CI260" s="134"/>
      <c r="CJ260" s="134"/>
      <c r="CK260" s="134"/>
      <c r="CL260" s="134"/>
      <c r="CM260" s="134"/>
      <c r="CN260" s="134"/>
      <c r="CO260" s="134" t="str">
        <f t="array" ref="CO260">IFERROR(INDEX(TABLACONSOLIDADA[Buff Act],MATCH("AGROINSUMOSAGROHERMANOSLEON"&amp;Tabla_Buffers_Agroinsumos[[#This Row],[CODIGO ]],TABLACONSOLIDADA[Bodega]&amp;TABLACONSOLIDADA[Codigo],0)),"")</f>
        <v/>
      </c>
      <c r="CP260" s="157" t="str">
        <f t="array" ref="CP260">IFERROR(INDEX(TABLACONSOLIDADA[Inv Fís Act],MATCH("AGROINSUMOSAGROHERMANOSLEON"&amp;Tabla_Buffers_Agroinsumos[[#This Row],[CODIGO ]],TABLACONSOLIDADA[Bodega]&amp;TABLACONSOLIDADA[Codigo],0)),"")</f>
        <v/>
      </c>
      <c r="CQ260" s="157" t="str">
        <f t="array" ref="CQ26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6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60" s="134">
        <f>IFERROR(SUM(Tabla_Buffers_Agroinsumos[[#This Row],[AL-MP]:[AL-VL]]),"")</f>
        <v>0</v>
      </c>
      <c r="CT260" s="92" t="str">
        <f>IFERROR(Tabla_Buffers_Agroinsumos[[#This Row],[INV FIS AL]]-Tabla_Buffers_Agroinsumos[[#This Row],[BUFFER AL]],"")</f>
        <v/>
      </c>
      <c r="CU26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60" s="134"/>
      <c r="CW260" s="134"/>
      <c r="CX260" s="134"/>
      <c r="CY260" s="134"/>
      <c r="CZ260" s="134"/>
      <c r="DA260" s="134"/>
      <c r="DB260" s="134"/>
      <c r="DC260" s="134"/>
      <c r="DD260" s="134"/>
      <c r="DE260" s="134" t="str">
        <f t="array" ref="DE260">IFERROR(INDEX(TABLACONSOLIDADA[Buff Act],MATCH("AGROINSUMOSAGRONUEVO"&amp;Tabla_Buffers_Agroinsumos[[#This Row],[CODIGO ]],TABLACONSOLIDADA[Bodega]&amp;TABLACONSOLIDADA[Codigo],0)),"")</f>
        <v/>
      </c>
      <c r="DF260" s="157" t="str">
        <f t="array" ref="DF260">IFERROR(INDEX(TABLACONSOLIDADA[Inv Fís Act],MATCH("AGROINSUMOSAGRONUEVO"&amp;Tabla_Buffers_Agroinsumos[[#This Row],[CODIGO ]],TABLACONSOLIDADA[Bodega]&amp;TABLACONSOLIDADA[Codigo],0)),"")</f>
        <v/>
      </c>
      <c r="DG260" s="157" t="str">
        <f t="array" ref="DG26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6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60" s="134">
        <f>IFERROR(SUM(Tabla_Buffers_Agroinsumos[[#This Row],[AN-MP]:[AN-VL]]),"")</f>
        <v>0</v>
      </c>
      <c r="DJ260" s="92" t="str">
        <f>IFERROR(Tabla_Buffers_Agroinsumos[[#This Row],[INV FIS AN]]-Tabla_Buffers_Agroinsumos[[#This Row],[BUFFER AN]],"")</f>
        <v/>
      </c>
      <c r="DK26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60" s="134"/>
      <c r="DM260" s="134"/>
      <c r="DN260" s="134"/>
      <c r="DO260" s="134"/>
      <c r="DP260" s="134"/>
      <c r="DQ260" s="134"/>
      <c r="DR260" s="134"/>
      <c r="DS260" s="134"/>
      <c r="DT260" s="134"/>
      <c r="DU260" s="134" t="str">
        <f t="array" ref="DU260">IFERROR(INDEX(TABLACONSOLIDADA[Buff Act],MATCH("AGROINSUMOSAGROQUIMICOSSUR"&amp;Tabla_Buffers_Agroinsumos[[#This Row],[CODIGO ]],TABLACONSOLIDADA[Bodega]&amp;TABLACONSOLIDADA[Codigo],0)),"")</f>
        <v/>
      </c>
      <c r="DV260" s="157" t="str">
        <f t="array" ref="DV260">IFERROR(INDEX(TABLACONSOLIDADA[Inv Fís Act],MATCH("AGROINSUMOSAGROQUIMICOSSUR"&amp;Tabla_Buffers_Agroinsumos[[#This Row],[CODIGO ]],TABLACONSOLIDADA[Bodega]&amp;TABLACONSOLIDADA[Codigo],0)),"")</f>
        <v/>
      </c>
      <c r="DW260" s="157" t="str">
        <f t="array" ref="DW26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6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60" s="134">
        <f>IFERROR(SUM(Tabla_Buffers_Agroinsumos[[#This Row],[AS-MP]:[AS-VL]]),"")</f>
        <v>0</v>
      </c>
      <c r="DZ260" s="92" t="str">
        <f>IFERROR(Tabla_Buffers_Agroinsumos[[#This Row],[INV FIS AS]]-Tabla_Buffers_Agroinsumos[[#This Row],[BUFFER AS]],"")</f>
        <v/>
      </c>
      <c r="EA26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60" s="134"/>
      <c r="EC260" s="134"/>
      <c r="ED260" s="134"/>
      <c r="EE260" s="134"/>
      <c r="EF260" s="134"/>
      <c r="EG260" s="134"/>
      <c r="EH260" s="134"/>
      <c r="EI260" s="134"/>
      <c r="EJ260" s="134"/>
      <c r="EK260" s="134" t="str">
        <f t="array" ref="EK260">IFERROR(INDEX(TABLACONSOLIDADA[Buff Act],MATCH("AGROINSUMOSLAFINCA"&amp;Tabla_Buffers_Agroinsumos[[#This Row],[CODIGO ]],TABLACONSOLIDADA[Bodega]&amp;TABLACONSOLIDADA[Codigo],0)),"")</f>
        <v/>
      </c>
      <c r="EL260" s="157" t="str">
        <f t="array" ref="EL260">IFERROR(INDEX(TABLACONSOLIDADA[Inv Fís Act],MATCH("AGROINSUMOSLAFINCA"&amp;Tabla_Buffers_Agroinsumos[[#This Row],[CODIGO ]],TABLACONSOLIDADA[Bodega]&amp;TABLACONSOLIDADA[Codigo],0)),"")</f>
        <v/>
      </c>
      <c r="EM260" s="157" t="str">
        <f t="array" ref="EM26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6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60" s="134">
        <f>IFERROR(SUM(Tabla_Buffers_Agroinsumos[[#This Row],[LF-MP]:[LF-VL]]),"")</f>
        <v>0</v>
      </c>
      <c r="EP260" s="92" t="str">
        <f>IFERROR(Tabla_Buffers_Agroinsumos[[#This Row],[INV FIS LF]]-Tabla_Buffers_Agroinsumos[[#This Row],[BUFFER LF]],"")</f>
        <v/>
      </c>
      <c r="EQ26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60" s="134"/>
      <c r="ES260" s="134"/>
      <c r="ET260" s="134"/>
      <c r="EU260" s="134"/>
      <c r="EV260" s="134"/>
      <c r="EW260" s="134"/>
      <c r="EX260" s="134"/>
      <c r="EY260" s="134"/>
      <c r="EZ260" s="134"/>
      <c r="FA260" s="134" t="str">
        <f t="array" ref="FA260">IFERROR(INDEX(TABLACONSOLIDADA[Buff Act],MATCH("AGROINSUMOSVERONICALEDESMA"&amp;Tabla_Buffers_Agroinsumos[[#This Row],[CODIGO ]],TABLACONSOLIDADA[Bodega]&amp;TABLACONSOLIDADA[Codigo],0)),"")</f>
        <v/>
      </c>
      <c r="FB260" s="157" t="str">
        <f t="array" ref="FB260">IFERROR(INDEX(TABLACONSOLIDADA[Inv Fís Act],MATCH("AGROINSUMOSVERONICALEDESMA"&amp;Tabla_Buffers_Agroinsumos[[#This Row],[CODIGO ]],TABLACONSOLIDADA[Bodega]&amp;TABLACONSOLIDADA[Codigo],0)),"")</f>
        <v/>
      </c>
      <c r="FC260" s="157" t="str">
        <f t="array" ref="FC26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6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60" s="134">
        <f>IFERROR(SUM(Tabla_Buffers_Agroinsumos[[#This Row],[VL-MP]:[VL-LF]]),"")</f>
        <v>0</v>
      </c>
      <c r="FF260" s="92" t="str">
        <f>IFERROR(Tabla_Buffers_Agroinsumos[[#This Row],[INV FIS VL]]-Tabla_Buffers_Agroinsumos[[#This Row],[BUFFER VL]],"")</f>
        <v/>
      </c>
      <c r="FG26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60" s="134"/>
      <c r="FI260" s="134"/>
      <c r="FJ260" s="134"/>
      <c r="FK260" s="134"/>
      <c r="FL260" s="134"/>
      <c r="FM260" s="134"/>
      <c r="FN260" s="134"/>
      <c r="FO260" s="134"/>
      <c r="FP260" s="134"/>
    </row>
    <row r="261" spans="1:172">
      <c r="A261" s="7" t="s">
        <v>456</v>
      </c>
      <c r="B261" s="7" t="s">
        <v>457</v>
      </c>
      <c r="C261" s="7" t="s">
        <v>716</v>
      </c>
      <c r="D261" s="7" t="s">
        <v>718</v>
      </c>
      <c r="E261" s="7" t="s">
        <v>863</v>
      </c>
      <c r="F261" s="19" t="s">
        <v>808</v>
      </c>
      <c r="G261" s="19" t="s">
        <v>802</v>
      </c>
      <c r="H261" s="19">
        <f>VLOOKUP(Tabla_Buffers_Agroinsumos[[#This Row],[CODIGO ]],TABLACONSOLIDADA[[Codigo]:[PV]],6,0)</f>
        <v>0</v>
      </c>
      <c r="I261" s="19">
        <f>VLOOKUP(Tabla_Buffers_Agroinsumos[[#This Row],[CODIGO ]],TABLACONSOLIDADA[[Codigo]:[PV]],5,0)</f>
        <v>0.06</v>
      </c>
      <c r="J261" s="19">
        <v>4</v>
      </c>
      <c r="K261" s="19">
        <v>6</v>
      </c>
      <c r="L261" s="19">
        <f>IFERROR(Tabla_Buffers_Agroinsumos[[#This Row],[BUFFER CENTRAL]]/((Tabla_Buffers_Agroinsumos[[#This Row],[TIEMPO REPOSICION ]]/Tabla_Buffers_Agroinsumos[[#This Row],[FRECUENCIA]])+1),0)</f>
        <v>0</v>
      </c>
      <c r="M261" s="19">
        <f t="array" ref="M261">IFERROR(INDEX(TABLACONSOLIDADA[Buff Act],MATCH("AGROINSUMOSMATERIAPRIMA"&amp;Tabla_Buffers_Agroinsumos[[#This Row],[CODIGO ]],TABLACONSOLIDADA[Bodega]&amp;TABLACONSOLIDADA[Codigo],0)),"")</f>
        <v>1500</v>
      </c>
      <c r="N261" s="157">
        <f t="array" ref="N261">IFERROR(INDEX(TABLACONSOLIDADA[Inv Fís Act],MATCH("AGROINSUMOSMATERIAPRIMA"&amp;Tabla_Buffers_Agroinsumos[[#This Row],[CODIGO ]],TABLACONSOLIDADA[Bodega]&amp;TABLACONSOLIDADA[Codigo],0)),"")</f>
        <v>1916</v>
      </c>
      <c r="O261" s="157">
        <f t="array" ref="O26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1916</v>
      </c>
      <c r="P26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61" s="19">
        <f>IFERROR(SUM(Tabla_Buffers_Agroinsumos[[#This Row],[MP-C]:[MP-VL]]),"")</f>
        <v>0</v>
      </c>
      <c r="R261" s="92">
        <f>IFERROR(Tabla_Buffers_Agroinsumos[[#This Row],[INV FIS MATERIA PRIMA]]-Tabla_Buffers_Agroinsumos[[#This Row],[BUFFER MATERIA PRIMA]],"")</f>
        <v>416</v>
      </c>
      <c r="S26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416</v>
      </c>
      <c r="T261" s="19"/>
      <c r="U261" s="19"/>
      <c r="V261" s="19"/>
      <c r="W261" s="19"/>
      <c r="X261" s="19"/>
      <c r="Y261" s="19"/>
      <c r="Z261" s="19"/>
      <c r="AA261" s="19"/>
      <c r="AB261" s="19"/>
      <c r="AC261" s="152" t="str">
        <f t="array" ref="AC261">IFERROR(INDEX(TABLACONSOLIDADA[Buff Act],MATCH("AGROINSUMOSCENTRAL"&amp;Tabla_Buffers_Agroinsumos[[#This Row],[CODIGO ]],TABLACONSOLIDADA[Bodega]&amp;TABLACONSOLIDADA[Codigo],0)),"")</f>
        <v/>
      </c>
      <c r="AD261" s="157" t="str">
        <f t="array" ref="AD261">IFERROR(INDEX(TABLACONSOLIDADA[Inv Fís Act],MATCH("AGROINSUMOSCENTRAL"&amp;Tabla_Buffers_Agroinsumos[[#This Row],[CODIGO ]],TABLACONSOLIDADA[Bodega]&amp;TABLACONSOLIDADA[Codigo],0)),"")</f>
        <v/>
      </c>
      <c r="AE261" s="157" t="str">
        <f t="array" ref="AE26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6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61" s="91">
        <f>IFERROR(SUM(Tabla_Buffers_Agroinsumos[[#This Row],[C-MP]:[C-VL]]),"")</f>
        <v>0</v>
      </c>
      <c r="AH261" s="92" t="str">
        <f>IFERROR(Tabla_Buffers_Agroinsumos[[#This Row],[INV FIS CENTRAL]]-Tabla_Buffers_Agroinsumos[[#This Row],[BUFFER CENTRAL]],"")</f>
        <v/>
      </c>
      <c r="AI26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61" s="134"/>
      <c r="AK261" s="134"/>
      <c r="AL261" s="134"/>
      <c r="AM261" s="134"/>
      <c r="AN261" s="134"/>
      <c r="AO261" s="134"/>
      <c r="AP261" s="134"/>
      <c r="AQ261" s="134"/>
      <c r="AR261" s="134"/>
      <c r="AS261" s="134" t="str">
        <f t="array" ref="AS261">IFERROR(INDEX(TABLACONSOLIDADA[Buff Act],MATCH("AGROINSUMOScentralPROPIA"&amp;Tabla_Buffers_Agroinsumos[[#This Row],[CODIGO ]],TABLACONSOLIDADA[Bodega]&amp;TABLACONSOLIDADA[Codigo],0)),"")</f>
        <v/>
      </c>
      <c r="AT261" s="157" t="str">
        <f t="array" ref="AT261">IFERROR(INDEX(TABLACONSOLIDADA[Inv Fís Act],MATCH("AGROINSUMOScentralPROPIA"&amp;Tabla_Buffers_Agroinsumos[[#This Row],[CODIGO ]],TABLACONSOLIDADA[Bodega]&amp;TABLACONSOLIDADA[Codigo],0)),"")</f>
        <v/>
      </c>
      <c r="AU261" s="157" t="str">
        <f t="array" ref="AU26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6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61" s="134">
        <f>IFERROR(SUM(Tabla_Buffers_Agroinsumos[[#This Row],[P-MP]:[P-VL]]),"")</f>
        <v>0</v>
      </c>
      <c r="AX261" s="92" t="str">
        <f>IFERROR(Tabla_Buffers_Agroinsumos[[#This Row],[INV FIS PROPIA]]-Tabla_Buffers_Agroinsumos[[#This Row],[BUFFER PROPIA]],"")</f>
        <v/>
      </c>
      <c r="AY26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61" s="134"/>
      <c r="BA261" s="134"/>
      <c r="BB261" s="134"/>
      <c r="BC261" s="134"/>
      <c r="BD261" s="134"/>
      <c r="BE261" s="134"/>
      <c r="BF261" s="134"/>
      <c r="BG261" s="134"/>
      <c r="BH261" s="134"/>
      <c r="BI261" s="91" t="str">
        <f t="array" ref="BI261">IFERROR(INDEX(TABLACONSOLIDADA[Buff Act],MATCH("AGROINSUMOSSTODOMINGO"&amp;Tabla_Buffers_Agroinsumos[[#This Row],[CODIGO ]],TABLACONSOLIDADA[Bodega]&amp;TABLACONSOLIDADA[Codigo],0)),"")</f>
        <v/>
      </c>
      <c r="BJ261" s="157" t="str">
        <f t="array" ref="BJ261">IFERROR(INDEX(TABLACONSOLIDADA[Inv Fís Act],MATCH("AGROINSUMOSSTODOMINGO"&amp;Tabla_Buffers_Agroinsumos[[#This Row],[CODIGO ]],TABLACONSOLIDADA[Bodega]&amp;TABLACONSOLIDADA[Codigo],0)),"")</f>
        <v/>
      </c>
      <c r="BK261" s="157" t="str">
        <f t="array" ref="BK26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6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61" s="91">
        <f>IFERROR(SUM(Tabla_Buffers_Agroinsumos[[#This Row],[SD-MP]:[SD-VL]]),"")</f>
        <v>0</v>
      </c>
      <c r="BN261" s="92"/>
      <c r="BO261" s="92"/>
      <c r="BP261" s="134"/>
      <c r="BQ261" s="134"/>
      <c r="BR261" s="134"/>
      <c r="BS261" s="134"/>
      <c r="BT261" s="134"/>
      <c r="BU261" s="134"/>
      <c r="BV261" s="134"/>
      <c r="BW261" s="134"/>
      <c r="BX261" s="134"/>
      <c r="BY261" s="134" t="str">
        <f t="array" ref="BY261">IFERROR(INDEX(TABLACONSOLIDADA[Buff Act],MATCH("AGROINSUMOSMONCAYOLOPEZ"&amp;Tabla_Buffers_Agroinsumos[[#This Row],[CODIGO ]],TABLACONSOLIDADA[Bodega]&amp;TABLACONSOLIDADA[Codigo],0)),"")</f>
        <v/>
      </c>
      <c r="BZ261" s="157" t="str">
        <f t="array" ref="BZ261">IFERROR(INDEX(TABLACONSOLIDADA[Inv Fís Act],MATCH("AGROINSUMOSMONCAYOLOPEZ"&amp;Tabla_Buffers_Agroinsumos[[#This Row],[CODIGO ]],TABLACONSOLIDADA[Bodega]&amp;TABLACONSOLIDADA[Codigo],0)),"")</f>
        <v/>
      </c>
      <c r="CA261" s="157" t="str">
        <f t="array" ref="CA26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6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61" s="134">
        <f>IFERROR(SUM(Tabla_Buffers_Agroinsumos[[#This Row],[ML-MP]:[ML-VL]]),"")</f>
        <v>0</v>
      </c>
      <c r="CD261" s="92" t="str">
        <f>IFERROR(Tabla_Buffers_Agroinsumos[[#This Row],[INV FIS ML]]-Tabla_Buffers_Agroinsumos[[#This Row],[BUFFER ML]],"")</f>
        <v/>
      </c>
      <c r="CE26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61" s="134"/>
      <c r="CG261" s="134"/>
      <c r="CH261" s="134"/>
      <c r="CI261" s="134"/>
      <c r="CJ261" s="134"/>
      <c r="CK261" s="134"/>
      <c r="CL261" s="134"/>
      <c r="CM261" s="134"/>
      <c r="CN261" s="134"/>
      <c r="CO261" s="134" t="str">
        <f t="array" ref="CO261">IFERROR(INDEX(TABLACONSOLIDADA[Buff Act],MATCH("AGROINSUMOSAGROHERMANOSLEON"&amp;Tabla_Buffers_Agroinsumos[[#This Row],[CODIGO ]],TABLACONSOLIDADA[Bodega]&amp;TABLACONSOLIDADA[Codigo],0)),"")</f>
        <v/>
      </c>
      <c r="CP261" s="157" t="str">
        <f t="array" ref="CP261">IFERROR(INDEX(TABLACONSOLIDADA[Inv Fís Act],MATCH("AGROINSUMOSAGROHERMANOSLEON"&amp;Tabla_Buffers_Agroinsumos[[#This Row],[CODIGO ]],TABLACONSOLIDADA[Bodega]&amp;TABLACONSOLIDADA[Codigo],0)),"")</f>
        <v/>
      </c>
      <c r="CQ261" s="157" t="str">
        <f t="array" ref="CQ26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6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61" s="134">
        <f>IFERROR(SUM(Tabla_Buffers_Agroinsumos[[#This Row],[AL-MP]:[AL-VL]]),"")</f>
        <v>0</v>
      </c>
      <c r="CT261" s="92" t="str">
        <f>IFERROR(Tabla_Buffers_Agroinsumos[[#This Row],[INV FIS AL]]-Tabla_Buffers_Agroinsumos[[#This Row],[BUFFER AL]],"")</f>
        <v/>
      </c>
      <c r="CU26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61" s="134"/>
      <c r="CW261" s="134"/>
      <c r="CX261" s="134"/>
      <c r="CY261" s="134"/>
      <c r="CZ261" s="134"/>
      <c r="DA261" s="134"/>
      <c r="DB261" s="134"/>
      <c r="DC261" s="134"/>
      <c r="DD261" s="134"/>
      <c r="DE261" s="134" t="str">
        <f t="array" ref="DE261">IFERROR(INDEX(TABLACONSOLIDADA[Buff Act],MATCH("AGROINSUMOSAGRONUEVO"&amp;Tabla_Buffers_Agroinsumos[[#This Row],[CODIGO ]],TABLACONSOLIDADA[Bodega]&amp;TABLACONSOLIDADA[Codigo],0)),"")</f>
        <v/>
      </c>
      <c r="DF261" s="157" t="str">
        <f t="array" ref="DF261">IFERROR(INDEX(TABLACONSOLIDADA[Inv Fís Act],MATCH("AGROINSUMOSAGRONUEVO"&amp;Tabla_Buffers_Agroinsumos[[#This Row],[CODIGO ]],TABLACONSOLIDADA[Bodega]&amp;TABLACONSOLIDADA[Codigo],0)),"")</f>
        <v/>
      </c>
      <c r="DG261" s="157" t="str">
        <f t="array" ref="DG26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6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61" s="134">
        <f>IFERROR(SUM(Tabla_Buffers_Agroinsumos[[#This Row],[AN-MP]:[AN-VL]]),"")</f>
        <v>0</v>
      </c>
      <c r="DJ261" s="92" t="str">
        <f>IFERROR(Tabla_Buffers_Agroinsumos[[#This Row],[INV FIS AN]]-Tabla_Buffers_Agroinsumos[[#This Row],[BUFFER AN]],"")</f>
        <v/>
      </c>
      <c r="DK26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61" s="134"/>
      <c r="DM261" s="134"/>
      <c r="DN261" s="134"/>
      <c r="DO261" s="134"/>
      <c r="DP261" s="134"/>
      <c r="DQ261" s="134"/>
      <c r="DR261" s="134"/>
      <c r="DS261" s="134"/>
      <c r="DT261" s="134"/>
      <c r="DU261" s="134" t="str">
        <f t="array" ref="DU261">IFERROR(INDEX(TABLACONSOLIDADA[Buff Act],MATCH("AGROINSUMOSAGROQUIMICOSSUR"&amp;Tabla_Buffers_Agroinsumos[[#This Row],[CODIGO ]],TABLACONSOLIDADA[Bodega]&amp;TABLACONSOLIDADA[Codigo],0)),"")</f>
        <v/>
      </c>
      <c r="DV261" s="157" t="str">
        <f t="array" ref="DV261">IFERROR(INDEX(TABLACONSOLIDADA[Inv Fís Act],MATCH("AGROINSUMOSAGROQUIMICOSSUR"&amp;Tabla_Buffers_Agroinsumos[[#This Row],[CODIGO ]],TABLACONSOLIDADA[Bodega]&amp;TABLACONSOLIDADA[Codigo],0)),"")</f>
        <v/>
      </c>
      <c r="DW261" s="157" t="str">
        <f t="array" ref="DW26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6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61" s="134">
        <f>IFERROR(SUM(Tabla_Buffers_Agroinsumos[[#This Row],[AS-MP]:[AS-VL]]),"")</f>
        <v>0</v>
      </c>
      <c r="DZ261" s="92" t="str">
        <f>IFERROR(Tabla_Buffers_Agroinsumos[[#This Row],[INV FIS AS]]-Tabla_Buffers_Agroinsumos[[#This Row],[BUFFER AS]],"")</f>
        <v/>
      </c>
      <c r="EA26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61" s="134"/>
      <c r="EC261" s="134"/>
      <c r="ED261" s="134"/>
      <c r="EE261" s="134"/>
      <c r="EF261" s="134"/>
      <c r="EG261" s="134"/>
      <c r="EH261" s="134"/>
      <c r="EI261" s="134"/>
      <c r="EJ261" s="134"/>
      <c r="EK261" s="134" t="str">
        <f t="array" ref="EK261">IFERROR(INDEX(TABLACONSOLIDADA[Buff Act],MATCH("AGROINSUMOSLAFINCA"&amp;Tabla_Buffers_Agroinsumos[[#This Row],[CODIGO ]],TABLACONSOLIDADA[Bodega]&amp;TABLACONSOLIDADA[Codigo],0)),"")</f>
        <v/>
      </c>
      <c r="EL261" s="157" t="str">
        <f t="array" ref="EL261">IFERROR(INDEX(TABLACONSOLIDADA[Inv Fís Act],MATCH("AGROINSUMOSLAFINCA"&amp;Tabla_Buffers_Agroinsumos[[#This Row],[CODIGO ]],TABLACONSOLIDADA[Bodega]&amp;TABLACONSOLIDADA[Codigo],0)),"")</f>
        <v/>
      </c>
      <c r="EM261" s="157" t="str">
        <f t="array" ref="EM26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6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61" s="134">
        <f>IFERROR(SUM(Tabla_Buffers_Agroinsumos[[#This Row],[LF-MP]:[LF-VL]]),"")</f>
        <v>0</v>
      </c>
      <c r="EP261" s="92" t="str">
        <f>IFERROR(Tabla_Buffers_Agroinsumos[[#This Row],[INV FIS LF]]-Tabla_Buffers_Agroinsumos[[#This Row],[BUFFER LF]],"")</f>
        <v/>
      </c>
      <c r="EQ26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61" s="134"/>
      <c r="ES261" s="134"/>
      <c r="ET261" s="134"/>
      <c r="EU261" s="134"/>
      <c r="EV261" s="134"/>
      <c r="EW261" s="134"/>
      <c r="EX261" s="134"/>
      <c r="EY261" s="134"/>
      <c r="EZ261" s="134"/>
      <c r="FA261" s="134" t="str">
        <f t="array" ref="FA261">IFERROR(INDEX(TABLACONSOLIDADA[Buff Act],MATCH("AGROINSUMOSVERONICALEDESMA"&amp;Tabla_Buffers_Agroinsumos[[#This Row],[CODIGO ]],TABLACONSOLIDADA[Bodega]&amp;TABLACONSOLIDADA[Codigo],0)),"")</f>
        <v/>
      </c>
      <c r="FB261" s="157" t="str">
        <f t="array" ref="FB261">IFERROR(INDEX(TABLACONSOLIDADA[Inv Fís Act],MATCH("AGROINSUMOSVERONICALEDESMA"&amp;Tabla_Buffers_Agroinsumos[[#This Row],[CODIGO ]],TABLACONSOLIDADA[Bodega]&amp;TABLACONSOLIDADA[Codigo],0)),"")</f>
        <v/>
      </c>
      <c r="FC261" s="157" t="str">
        <f t="array" ref="FC26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6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61" s="134">
        <f>IFERROR(SUM(Tabla_Buffers_Agroinsumos[[#This Row],[VL-MP]:[VL-LF]]),"")</f>
        <v>0</v>
      </c>
      <c r="FF261" s="92" t="str">
        <f>IFERROR(Tabla_Buffers_Agroinsumos[[#This Row],[INV FIS VL]]-Tabla_Buffers_Agroinsumos[[#This Row],[BUFFER VL]],"")</f>
        <v/>
      </c>
      <c r="FG26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61" s="134"/>
      <c r="FI261" s="134"/>
      <c r="FJ261" s="134"/>
      <c r="FK261" s="134"/>
      <c r="FL261" s="134"/>
      <c r="FM261" s="134"/>
      <c r="FN261" s="134"/>
      <c r="FO261" s="134"/>
      <c r="FP261" s="134"/>
    </row>
    <row r="262" spans="1:172">
      <c r="A262" s="7" t="s">
        <v>458</v>
      </c>
      <c r="B262" s="7" t="s">
        <v>459</v>
      </c>
      <c r="C262" s="7" t="s">
        <v>716</v>
      </c>
      <c r="D262" s="7" t="s">
        <v>718</v>
      </c>
      <c r="E262" s="7" t="s">
        <v>863</v>
      </c>
      <c r="F262" s="19" t="s">
        <v>808</v>
      </c>
      <c r="G262" s="19" t="s">
        <v>802</v>
      </c>
      <c r="H262" s="19">
        <f>VLOOKUP(Tabla_Buffers_Agroinsumos[[#This Row],[CODIGO ]],TABLACONSOLIDADA[[Codigo]:[PV]],6,0)</f>
        <v>0</v>
      </c>
      <c r="I262" s="19">
        <f>VLOOKUP(Tabla_Buffers_Agroinsumos[[#This Row],[CODIGO ]],TABLACONSOLIDADA[[Codigo]:[PV]],5,0)</f>
        <v>0.28000000000000003</v>
      </c>
      <c r="J262" s="19">
        <v>4</v>
      </c>
      <c r="K262" s="19">
        <v>6</v>
      </c>
      <c r="L262" s="19">
        <f>IFERROR(Tabla_Buffers_Agroinsumos[[#This Row],[BUFFER CENTRAL]]/((Tabla_Buffers_Agroinsumos[[#This Row],[TIEMPO REPOSICION ]]/Tabla_Buffers_Agroinsumos[[#This Row],[FRECUENCIA]])+1),0)</f>
        <v>0</v>
      </c>
      <c r="M262" s="19">
        <f t="array" ref="M262">IFERROR(INDEX(TABLACONSOLIDADA[Buff Act],MATCH("AGROINSUMOSMATERIAPRIMA"&amp;Tabla_Buffers_Agroinsumos[[#This Row],[CODIGO ]],TABLACONSOLIDADA[Bodega]&amp;TABLACONSOLIDADA[Codigo],0)),"")</f>
        <v>500</v>
      </c>
      <c r="N262" s="157">
        <f t="array" ref="N262">IFERROR(INDEX(TABLACONSOLIDADA[Inv Fís Act],MATCH("AGROINSUMOSMATERIAPRIMA"&amp;Tabla_Buffers_Agroinsumos[[#This Row],[CODIGO ]],TABLACONSOLIDADA[Bodega]&amp;TABLACONSOLIDADA[Codigo],0)),"")</f>
        <v>438</v>
      </c>
      <c r="O262" s="157">
        <f t="array" ref="O26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438</v>
      </c>
      <c r="P26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62" s="19">
        <f>IFERROR(SUM(Tabla_Buffers_Agroinsumos[[#This Row],[MP-C]:[MP-VL]]),"")</f>
        <v>0</v>
      </c>
      <c r="R262" s="92">
        <f>IFERROR(Tabla_Buffers_Agroinsumos[[#This Row],[INV FIS MATERIA PRIMA]]-Tabla_Buffers_Agroinsumos[[#This Row],[BUFFER MATERIA PRIMA]],"")</f>
        <v>-62</v>
      </c>
      <c r="S26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-62</v>
      </c>
      <c r="T262" s="19"/>
      <c r="U262" s="19"/>
      <c r="V262" s="19"/>
      <c r="W262" s="19"/>
      <c r="X262" s="19"/>
      <c r="Y262" s="19"/>
      <c r="Z262" s="19"/>
      <c r="AA262" s="19"/>
      <c r="AB262" s="19"/>
      <c r="AC262" s="152" t="str">
        <f t="array" ref="AC262">IFERROR(INDEX(TABLACONSOLIDADA[Buff Act],MATCH("AGROINSUMOSCENTRAL"&amp;Tabla_Buffers_Agroinsumos[[#This Row],[CODIGO ]],TABLACONSOLIDADA[Bodega]&amp;TABLACONSOLIDADA[Codigo],0)),"")</f>
        <v/>
      </c>
      <c r="AD262" s="157" t="str">
        <f t="array" ref="AD262">IFERROR(INDEX(TABLACONSOLIDADA[Inv Fís Act],MATCH("AGROINSUMOSCENTRAL"&amp;Tabla_Buffers_Agroinsumos[[#This Row],[CODIGO ]],TABLACONSOLIDADA[Bodega]&amp;TABLACONSOLIDADA[Codigo],0)),"")</f>
        <v/>
      </c>
      <c r="AE262" s="157" t="str">
        <f t="array" ref="AE26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6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62" s="91">
        <f>IFERROR(SUM(Tabla_Buffers_Agroinsumos[[#This Row],[C-MP]:[C-VL]]),"")</f>
        <v>0</v>
      </c>
      <c r="AH262" s="92" t="str">
        <f>IFERROR(Tabla_Buffers_Agroinsumos[[#This Row],[INV FIS CENTRAL]]-Tabla_Buffers_Agroinsumos[[#This Row],[BUFFER CENTRAL]],"")</f>
        <v/>
      </c>
      <c r="AI26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62" s="134"/>
      <c r="AK262" s="134"/>
      <c r="AL262" s="134"/>
      <c r="AM262" s="134"/>
      <c r="AN262" s="134"/>
      <c r="AO262" s="134"/>
      <c r="AP262" s="134"/>
      <c r="AQ262" s="134"/>
      <c r="AR262" s="134"/>
      <c r="AS262" s="134" t="str">
        <f t="array" ref="AS262">IFERROR(INDEX(TABLACONSOLIDADA[Buff Act],MATCH("AGROINSUMOScentralPROPIA"&amp;Tabla_Buffers_Agroinsumos[[#This Row],[CODIGO ]],TABLACONSOLIDADA[Bodega]&amp;TABLACONSOLIDADA[Codigo],0)),"")</f>
        <v/>
      </c>
      <c r="AT262" s="157" t="str">
        <f t="array" ref="AT262">IFERROR(INDEX(TABLACONSOLIDADA[Inv Fís Act],MATCH("AGROINSUMOScentralPROPIA"&amp;Tabla_Buffers_Agroinsumos[[#This Row],[CODIGO ]],TABLACONSOLIDADA[Bodega]&amp;TABLACONSOLIDADA[Codigo],0)),"")</f>
        <v/>
      </c>
      <c r="AU262" s="157" t="str">
        <f t="array" ref="AU26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6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62" s="134">
        <f>IFERROR(SUM(Tabla_Buffers_Agroinsumos[[#This Row],[P-MP]:[P-VL]]),"")</f>
        <v>0</v>
      </c>
      <c r="AX262" s="92" t="str">
        <f>IFERROR(Tabla_Buffers_Agroinsumos[[#This Row],[INV FIS PROPIA]]-Tabla_Buffers_Agroinsumos[[#This Row],[BUFFER PROPIA]],"")</f>
        <v/>
      </c>
      <c r="AY26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62" s="134"/>
      <c r="BA262" s="134"/>
      <c r="BB262" s="134"/>
      <c r="BC262" s="134"/>
      <c r="BD262" s="134"/>
      <c r="BE262" s="134"/>
      <c r="BF262" s="134"/>
      <c r="BG262" s="134"/>
      <c r="BH262" s="134"/>
      <c r="BI262" s="91" t="str">
        <f t="array" ref="BI262">IFERROR(INDEX(TABLACONSOLIDADA[Buff Act],MATCH("AGROINSUMOSSTODOMINGO"&amp;Tabla_Buffers_Agroinsumos[[#This Row],[CODIGO ]],TABLACONSOLIDADA[Bodega]&amp;TABLACONSOLIDADA[Codigo],0)),"")</f>
        <v/>
      </c>
      <c r="BJ262" s="157" t="str">
        <f t="array" ref="BJ262">IFERROR(INDEX(TABLACONSOLIDADA[Inv Fís Act],MATCH("AGROINSUMOSSTODOMINGO"&amp;Tabla_Buffers_Agroinsumos[[#This Row],[CODIGO ]],TABLACONSOLIDADA[Bodega]&amp;TABLACONSOLIDADA[Codigo],0)),"")</f>
        <v/>
      </c>
      <c r="BK262" s="157" t="str">
        <f t="array" ref="BK26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6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62" s="91">
        <f>IFERROR(SUM(Tabla_Buffers_Agroinsumos[[#This Row],[SD-MP]:[SD-VL]]),"")</f>
        <v>0</v>
      </c>
      <c r="BN262" s="92"/>
      <c r="BO262" s="92"/>
      <c r="BP262" s="134"/>
      <c r="BQ262" s="134"/>
      <c r="BR262" s="134"/>
      <c r="BS262" s="134"/>
      <c r="BT262" s="134"/>
      <c r="BU262" s="134"/>
      <c r="BV262" s="134"/>
      <c r="BW262" s="134"/>
      <c r="BX262" s="134"/>
      <c r="BY262" s="134" t="str">
        <f t="array" ref="BY262">IFERROR(INDEX(TABLACONSOLIDADA[Buff Act],MATCH("AGROINSUMOSMONCAYOLOPEZ"&amp;Tabla_Buffers_Agroinsumos[[#This Row],[CODIGO ]],TABLACONSOLIDADA[Bodega]&amp;TABLACONSOLIDADA[Codigo],0)),"")</f>
        <v/>
      </c>
      <c r="BZ262" s="157" t="str">
        <f t="array" ref="BZ262">IFERROR(INDEX(TABLACONSOLIDADA[Inv Fís Act],MATCH("AGROINSUMOSMONCAYOLOPEZ"&amp;Tabla_Buffers_Agroinsumos[[#This Row],[CODIGO ]],TABLACONSOLIDADA[Bodega]&amp;TABLACONSOLIDADA[Codigo],0)),"")</f>
        <v/>
      </c>
      <c r="CA262" s="157" t="str">
        <f t="array" ref="CA26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6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62" s="134">
        <f>IFERROR(SUM(Tabla_Buffers_Agroinsumos[[#This Row],[ML-MP]:[ML-VL]]),"")</f>
        <v>0</v>
      </c>
      <c r="CD262" s="92" t="str">
        <f>IFERROR(Tabla_Buffers_Agroinsumos[[#This Row],[INV FIS ML]]-Tabla_Buffers_Agroinsumos[[#This Row],[BUFFER ML]],"")</f>
        <v/>
      </c>
      <c r="CE26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62" s="134"/>
      <c r="CG262" s="134"/>
      <c r="CH262" s="134"/>
      <c r="CI262" s="134"/>
      <c r="CJ262" s="134"/>
      <c r="CK262" s="134"/>
      <c r="CL262" s="134"/>
      <c r="CM262" s="134"/>
      <c r="CN262" s="134"/>
      <c r="CO262" s="134" t="str">
        <f t="array" ref="CO262">IFERROR(INDEX(TABLACONSOLIDADA[Buff Act],MATCH("AGROINSUMOSAGROHERMANOSLEON"&amp;Tabla_Buffers_Agroinsumos[[#This Row],[CODIGO ]],TABLACONSOLIDADA[Bodega]&amp;TABLACONSOLIDADA[Codigo],0)),"")</f>
        <v/>
      </c>
      <c r="CP262" s="157" t="str">
        <f t="array" ref="CP262">IFERROR(INDEX(TABLACONSOLIDADA[Inv Fís Act],MATCH("AGROINSUMOSAGROHERMANOSLEON"&amp;Tabla_Buffers_Agroinsumos[[#This Row],[CODIGO ]],TABLACONSOLIDADA[Bodega]&amp;TABLACONSOLIDADA[Codigo],0)),"")</f>
        <v/>
      </c>
      <c r="CQ262" s="157" t="str">
        <f t="array" ref="CQ26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6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62" s="134">
        <f>IFERROR(SUM(Tabla_Buffers_Agroinsumos[[#This Row],[AL-MP]:[AL-VL]]),"")</f>
        <v>0</v>
      </c>
      <c r="CT262" s="92" t="str">
        <f>IFERROR(Tabla_Buffers_Agroinsumos[[#This Row],[INV FIS AL]]-Tabla_Buffers_Agroinsumos[[#This Row],[BUFFER AL]],"")</f>
        <v/>
      </c>
      <c r="CU26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62" s="134"/>
      <c r="CW262" s="134"/>
      <c r="CX262" s="134"/>
      <c r="CY262" s="134"/>
      <c r="CZ262" s="134"/>
      <c r="DA262" s="134"/>
      <c r="DB262" s="134"/>
      <c r="DC262" s="134"/>
      <c r="DD262" s="134"/>
      <c r="DE262" s="134" t="str">
        <f t="array" ref="DE262">IFERROR(INDEX(TABLACONSOLIDADA[Buff Act],MATCH("AGROINSUMOSAGRONUEVO"&amp;Tabla_Buffers_Agroinsumos[[#This Row],[CODIGO ]],TABLACONSOLIDADA[Bodega]&amp;TABLACONSOLIDADA[Codigo],0)),"")</f>
        <v/>
      </c>
      <c r="DF262" s="157" t="str">
        <f t="array" ref="DF262">IFERROR(INDEX(TABLACONSOLIDADA[Inv Fís Act],MATCH("AGROINSUMOSAGRONUEVO"&amp;Tabla_Buffers_Agroinsumos[[#This Row],[CODIGO ]],TABLACONSOLIDADA[Bodega]&amp;TABLACONSOLIDADA[Codigo],0)),"")</f>
        <v/>
      </c>
      <c r="DG262" s="157" t="str">
        <f t="array" ref="DG26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6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62" s="134">
        <f>IFERROR(SUM(Tabla_Buffers_Agroinsumos[[#This Row],[AN-MP]:[AN-VL]]),"")</f>
        <v>0</v>
      </c>
      <c r="DJ262" s="92" t="str">
        <f>IFERROR(Tabla_Buffers_Agroinsumos[[#This Row],[INV FIS AN]]-Tabla_Buffers_Agroinsumos[[#This Row],[BUFFER AN]],"")</f>
        <v/>
      </c>
      <c r="DK26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62" s="134"/>
      <c r="DM262" s="134"/>
      <c r="DN262" s="134"/>
      <c r="DO262" s="134"/>
      <c r="DP262" s="134"/>
      <c r="DQ262" s="134"/>
      <c r="DR262" s="134"/>
      <c r="DS262" s="134"/>
      <c r="DT262" s="134"/>
      <c r="DU262" s="134" t="str">
        <f t="array" ref="DU262">IFERROR(INDEX(TABLACONSOLIDADA[Buff Act],MATCH("AGROINSUMOSAGROQUIMICOSSUR"&amp;Tabla_Buffers_Agroinsumos[[#This Row],[CODIGO ]],TABLACONSOLIDADA[Bodega]&amp;TABLACONSOLIDADA[Codigo],0)),"")</f>
        <v/>
      </c>
      <c r="DV262" s="157" t="str">
        <f t="array" ref="DV262">IFERROR(INDEX(TABLACONSOLIDADA[Inv Fís Act],MATCH("AGROINSUMOSAGROQUIMICOSSUR"&amp;Tabla_Buffers_Agroinsumos[[#This Row],[CODIGO ]],TABLACONSOLIDADA[Bodega]&amp;TABLACONSOLIDADA[Codigo],0)),"")</f>
        <v/>
      </c>
      <c r="DW262" s="157" t="str">
        <f t="array" ref="DW26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6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62" s="134">
        <f>IFERROR(SUM(Tabla_Buffers_Agroinsumos[[#This Row],[AS-MP]:[AS-VL]]),"")</f>
        <v>0</v>
      </c>
      <c r="DZ262" s="92" t="str">
        <f>IFERROR(Tabla_Buffers_Agroinsumos[[#This Row],[INV FIS AS]]-Tabla_Buffers_Agroinsumos[[#This Row],[BUFFER AS]],"")</f>
        <v/>
      </c>
      <c r="EA26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62" s="134"/>
      <c r="EC262" s="134"/>
      <c r="ED262" s="134"/>
      <c r="EE262" s="134"/>
      <c r="EF262" s="134"/>
      <c r="EG262" s="134"/>
      <c r="EH262" s="134"/>
      <c r="EI262" s="134"/>
      <c r="EJ262" s="134"/>
      <c r="EK262" s="134" t="str">
        <f t="array" ref="EK262">IFERROR(INDEX(TABLACONSOLIDADA[Buff Act],MATCH("AGROINSUMOSLAFINCA"&amp;Tabla_Buffers_Agroinsumos[[#This Row],[CODIGO ]],TABLACONSOLIDADA[Bodega]&amp;TABLACONSOLIDADA[Codigo],0)),"")</f>
        <v/>
      </c>
      <c r="EL262" s="157" t="str">
        <f t="array" ref="EL262">IFERROR(INDEX(TABLACONSOLIDADA[Inv Fís Act],MATCH("AGROINSUMOSLAFINCA"&amp;Tabla_Buffers_Agroinsumos[[#This Row],[CODIGO ]],TABLACONSOLIDADA[Bodega]&amp;TABLACONSOLIDADA[Codigo],0)),"")</f>
        <v/>
      </c>
      <c r="EM262" s="157" t="str">
        <f t="array" ref="EM26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6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62" s="134">
        <f>IFERROR(SUM(Tabla_Buffers_Agroinsumos[[#This Row],[LF-MP]:[LF-VL]]),"")</f>
        <v>0</v>
      </c>
      <c r="EP262" s="92" t="str">
        <f>IFERROR(Tabla_Buffers_Agroinsumos[[#This Row],[INV FIS LF]]-Tabla_Buffers_Agroinsumos[[#This Row],[BUFFER LF]],"")</f>
        <v/>
      </c>
      <c r="EQ26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62" s="134"/>
      <c r="ES262" s="134"/>
      <c r="ET262" s="134"/>
      <c r="EU262" s="134"/>
      <c r="EV262" s="134"/>
      <c r="EW262" s="134"/>
      <c r="EX262" s="134"/>
      <c r="EY262" s="134"/>
      <c r="EZ262" s="134"/>
      <c r="FA262" s="134" t="str">
        <f t="array" ref="FA262">IFERROR(INDEX(TABLACONSOLIDADA[Buff Act],MATCH("AGROINSUMOSVERONICALEDESMA"&amp;Tabla_Buffers_Agroinsumos[[#This Row],[CODIGO ]],TABLACONSOLIDADA[Bodega]&amp;TABLACONSOLIDADA[Codigo],0)),"")</f>
        <v/>
      </c>
      <c r="FB262" s="157" t="str">
        <f t="array" ref="FB262">IFERROR(INDEX(TABLACONSOLIDADA[Inv Fís Act],MATCH("AGROINSUMOSVERONICALEDESMA"&amp;Tabla_Buffers_Agroinsumos[[#This Row],[CODIGO ]],TABLACONSOLIDADA[Bodega]&amp;TABLACONSOLIDADA[Codigo],0)),"")</f>
        <v/>
      </c>
      <c r="FC262" s="157" t="str">
        <f t="array" ref="FC26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6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62" s="134">
        <f>IFERROR(SUM(Tabla_Buffers_Agroinsumos[[#This Row],[VL-MP]:[VL-LF]]),"")</f>
        <v>0</v>
      </c>
      <c r="FF262" s="92" t="str">
        <f>IFERROR(Tabla_Buffers_Agroinsumos[[#This Row],[INV FIS VL]]-Tabla_Buffers_Agroinsumos[[#This Row],[BUFFER VL]],"")</f>
        <v/>
      </c>
      <c r="FG26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62" s="134"/>
      <c r="FI262" s="134"/>
      <c r="FJ262" s="134"/>
      <c r="FK262" s="134"/>
      <c r="FL262" s="134"/>
      <c r="FM262" s="134"/>
      <c r="FN262" s="134"/>
      <c r="FO262" s="134"/>
      <c r="FP262" s="134"/>
    </row>
    <row r="263" spans="1:172">
      <c r="A263" s="7" t="s">
        <v>460</v>
      </c>
      <c r="B263" s="7" t="s">
        <v>461</v>
      </c>
      <c r="C263" s="7" t="s">
        <v>709</v>
      </c>
      <c r="D263" s="7" t="s">
        <v>761</v>
      </c>
      <c r="E263" s="7" t="s">
        <v>863</v>
      </c>
      <c r="F263" s="19" t="s">
        <v>805</v>
      </c>
      <c r="G263" s="19" t="s">
        <v>802</v>
      </c>
      <c r="H263" s="19">
        <f>VLOOKUP(Tabla_Buffers_Agroinsumos[[#This Row],[CODIGO ]],TABLACONSOLIDADA[[Codigo]:[PV]],6,0)</f>
        <v>0</v>
      </c>
      <c r="I263" s="19">
        <f>VLOOKUP(Tabla_Buffers_Agroinsumos[[#This Row],[CODIGO ]],TABLACONSOLIDADA[[Codigo]:[PV]],5,0)</f>
        <v>39.78</v>
      </c>
      <c r="J263" s="19">
        <v>4</v>
      </c>
      <c r="K263" s="19">
        <v>4</v>
      </c>
      <c r="L263" s="19">
        <f>IFERROR(Tabla_Buffers_Agroinsumos[[#This Row],[BUFFER CENTRAL]]/((Tabla_Buffers_Agroinsumos[[#This Row],[TIEMPO REPOSICION ]]/Tabla_Buffers_Agroinsumos[[#This Row],[FRECUENCIA]])+1),0)</f>
        <v>0</v>
      </c>
      <c r="M263" s="19">
        <f t="array" ref="M263">IFERROR(INDEX(TABLACONSOLIDADA[Buff Act],MATCH("AGROINSUMOSMATERIAPRIMA"&amp;Tabla_Buffers_Agroinsumos[[#This Row],[CODIGO ]],TABLACONSOLIDADA[Bodega]&amp;TABLACONSOLIDADA[Codigo],0)),"")</f>
        <v>0</v>
      </c>
      <c r="N263" s="157">
        <f t="array" ref="N263">IFERROR(INDEX(TABLACONSOLIDADA[Inv Fís Act],MATCH("AGROINSUMOSMATERIAPRIMA"&amp;Tabla_Buffers_Agroinsumos[[#This Row],[CODIGO ]],TABLACONSOLIDADA[Bodega]&amp;TABLACONSOLIDADA[Codigo],0)),"")</f>
        <v>61</v>
      </c>
      <c r="O263" s="157">
        <f t="array" ref="O26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61</v>
      </c>
      <c r="P26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63" s="19">
        <f>IFERROR(SUM(Tabla_Buffers_Agroinsumos[[#This Row],[MP-C]:[MP-VL]]),"")</f>
        <v>0</v>
      </c>
      <c r="R263" s="92">
        <f>IFERROR(Tabla_Buffers_Agroinsumos[[#This Row],[INV FIS MATERIA PRIMA]]-Tabla_Buffers_Agroinsumos[[#This Row],[BUFFER MATERIA PRIMA]],"")</f>
        <v>61</v>
      </c>
      <c r="S26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61</v>
      </c>
      <c r="T263" s="19"/>
      <c r="U263" s="19"/>
      <c r="V263" s="19"/>
      <c r="W263" s="19"/>
      <c r="X263" s="19"/>
      <c r="Y263" s="19"/>
      <c r="Z263" s="19"/>
      <c r="AA263" s="19"/>
      <c r="AB263" s="19"/>
      <c r="AC263" s="152" t="str">
        <f t="array" ref="AC263">IFERROR(INDEX(TABLACONSOLIDADA[Buff Act],MATCH("AGROINSUMOSCENTRAL"&amp;Tabla_Buffers_Agroinsumos[[#This Row],[CODIGO ]],TABLACONSOLIDADA[Bodega]&amp;TABLACONSOLIDADA[Codigo],0)),"")</f>
        <v/>
      </c>
      <c r="AD263" s="157" t="str">
        <f t="array" ref="AD263">IFERROR(INDEX(TABLACONSOLIDADA[Inv Fís Act],MATCH("AGROINSUMOSCENTRAL"&amp;Tabla_Buffers_Agroinsumos[[#This Row],[CODIGO ]],TABLACONSOLIDADA[Bodega]&amp;TABLACONSOLIDADA[Codigo],0)),"")</f>
        <v/>
      </c>
      <c r="AE263" s="157" t="str">
        <f t="array" ref="AE26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6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63" s="91">
        <f>IFERROR(SUM(Tabla_Buffers_Agroinsumos[[#This Row],[C-MP]:[C-VL]]),"")</f>
        <v>0</v>
      </c>
      <c r="AH263" s="92" t="str">
        <f>IFERROR(Tabla_Buffers_Agroinsumos[[#This Row],[INV FIS CENTRAL]]-Tabla_Buffers_Agroinsumos[[#This Row],[BUFFER CENTRAL]],"")</f>
        <v/>
      </c>
      <c r="AI26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63" s="134"/>
      <c r="AK263" s="134"/>
      <c r="AL263" s="134"/>
      <c r="AM263" s="134"/>
      <c r="AN263" s="134"/>
      <c r="AO263" s="134"/>
      <c r="AP263" s="134"/>
      <c r="AQ263" s="134"/>
      <c r="AR263" s="134"/>
      <c r="AS263" s="134" t="str">
        <f t="array" ref="AS263">IFERROR(INDEX(TABLACONSOLIDADA[Buff Act],MATCH("AGROINSUMOScentralPROPIA"&amp;Tabla_Buffers_Agroinsumos[[#This Row],[CODIGO ]],TABLACONSOLIDADA[Bodega]&amp;TABLACONSOLIDADA[Codigo],0)),"")</f>
        <v/>
      </c>
      <c r="AT263" s="157" t="str">
        <f t="array" ref="AT263">IFERROR(INDEX(TABLACONSOLIDADA[Inv Fís Act],MATCH("AGROINSUMOScentralPROPIA"&amp;Tabla_Buffers_Agroinsumos[[#This Row],[CODIGO ]],TABLACONSOLIDADA[Bodega]&amp;TABLACONSOLIDADA[Codigo],0)),"")</f>
        <v/>
      </c>
      <c r="AU263" s="157" t="str">
        <f t="array" ref="AU26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6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63" s="134">
        <f>IFERROR(SUM(Tabla_Buffers_Agroinsumos[[#This Row],[P-MP]:[P-VL]]),"")</f>
        <v>0</v>
      </c>
      <c r="AX263" s="92" t="str">
        <f>IFERROR(Tabla_Buffers_Agroinsumos[[#This Row],[INV FIS PROPIA]]-Tabla_Buffers_Agroinsumos[[#This Row],[BUFFER PROPIA]],"")</f>
        <v/>
      </c>
      <c r="AY26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63" s="134"/>
      <c r="BA263" s="134"/>
      <c r="BB263" s="134"/>
      <c r="BC263" s="134"/>
      <c r="BD263" s="134"/>
      <c r="BE263" s="134"/>
      <c r="BF263" s="134"/>
      <c r="BG263" s="134"/>
      <c r="BH263" s="134"/>
      <c r="BI263" s="91" t="str">
        <f t="array" ref="BI263">IFERROR(INDEX(TABLACONSOLIDADA[Buff Act],MATCH("AGROINSUMOSSTODOMINGO"&amp;Tabla_Buffers_Agroinsumos[[#This Row],[CODIGO ]],TABLACONSOLIDADA[Bodega]&amp;TABLACONSOLIDADA[Codigo],0)),"")</f>
        <v/>
      </c>
      <c r="BJ263" s="157" t="str">
        <f t="array" ref="BJ263">IFERROR(INDEX(TABLACONSOLIDADA[Inv Fís Act],MATCH("AGROINSUMOSSTODOMINGO"&amp;Tabla_Buffers_Agroinsumos[[#This Row],[CODIGO ]],TABLACONSOLIDADA[Bodega]&amp;TABLACONSOLIDADA[Codigo],0)),"")</f>
        <v/>
      </c>
      <c r="BK263" s="157" t="str">
        <f t="array" ref="BK26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6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63" s="91">
        <f>IFERROR(SUM(Tabla_Buffers_Agroinsumos[[#This Row],[SD-MP]:[SD-VL]]),"")</f>
        <v>0</v>
      </c>
      <c r="BN263" s="92"/>
      <c r="BO263" s="92"/>
      <c r="BP263" s="134"/>
      <c r="BQ263" s="134"/>
      <c r="BR263" s="134"/>
      <c r="BS263" s="134"/>
      <c r="BT263" s="134"/>
      <c r="BU263" s="134"/>
      <c r="BV263" s="134"/>
      <c r="BW263" s="134"/>
      <c r="BX263" s="134"/>
      <c r="BY263" s="134" t="str">
        <f t="array" ref="BY263">IFERROR(INDEX(TABLACONSOLIDADA[Buff Act],MATCH("AGROINSUMOSMONCAYOLOPEZ"&amp;Tabla_Buffers_Agroinsumos[[#This Row],[CODIGO ]],TABLACONSOLIDADA[Bodega]&amp;TABLACONSOLIDADA[Codigo],0)),"")</f>
        <v/>
      </c>
      <c r="BZ263" s="157" t="str">
        <f t="array" ref="BZ263">IFERROR(INDEX(TABLACONSOLIDADA[Inv Fís Act],MATCH("AGROINSUMOSMONCAYOLOPEZ"&amp;Tabla_Buffers_Agroinsumos[[#This Row],[CODIGO ]],TABLACONSOLIDADA[Bodega]&amp;TABLACONSOLIDADA[Codigo],0)),"")</f>
        <v/>
      </c>
      <c r="CA263" s="157" t="str">
        <f t="array" ref="CA26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6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63" s="134">
        <f>IFERROR(SUM(Tabla_Buffers_Agroinsumos[[#This Row],[ML-MP]:[ML-VL]]),"")</f>
        <v>0</v>
      </c>
      <c r="CD263" s="92" t="str">
        <f>IFERROR(Tabla_Buffers_Agroinsumos[[#This Row],[INV FIS ML]]-Tabla_Buffers_Agroinsumos[[#This Row],[BUFFER ML]],"")</f>
        <v/>
      </c>
      <c r="CE26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63" s="134"/>
      <c r="CG263" s="134"/>
      <c r="CH263" s="134"/>
      <c r="CI263" s="134"/>
      <c r="CJ263" s="134"/>
      <c r="CK263" s="134"/>
      <c r="CL263" s="134"/>
      <c r="CM263" s="134"/>
      <c r="CN263" s="134"/>
      <c r="CO263" s="134" t="str">
        <f t="array" ref="CO263">IFERROR(INDEX(TABLACONSOLIDADA[Buff Act],MATCH("AGROINSUMOSAGROHERMANOSLEON"&amp;Tabla_Buffers_Agroinsumos[[#This Row],[CODIGO ]],TABLACONSOLIDADA[Bodega]&amp;TABLACONSOLIDADA[Codigo],0)),"")</f>
        <v/>
      </c>
      <c r="CP263" s="157" t="str">
        <f t="array" ref="CP263">IFERROR(INDEX(TABLACONSOLIDADA[Inv Fís Act],MATCH("AGROINSUMOSAGROHERMANOSLEON"&amp;Tabla_Buffers_Agroinsumos[[#This Row],[CODIGO ]],TABLACONSOLIDADA[Bodega]&amp;TABLACONSOLIDADA[Codigo],0)),"")</f>
        <v/>
      </c>
      <c r="CQ263" s="157" t="str">
        <f t="array" ref="CQ26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6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63" s="134">
        <f>IFERROR(SUM(Tabla_Buffers_Agroinsumos[[#This Row],[AL-MP]:[AL-VL]]),"")</f>
        <v>0</v>
      </c>
      <c r="CT263" s="92" t="str">
        <f>IFERROR(Tabla_Buffers_Agroinsumos[[#This Row],[INV FIS AL]]-Tabla_Buffers_Agroinsumos[[#This Row],[BUFFER AL]],"")</f>
        <v/>
      </c>
      <c r="CU26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63" s="134"/>
      <c r="CW263" s="134"/>
      <c r="CX263" s="134"/>
      <c r="CY263" s="134"/>
      <c r="CZ263" s="134"/>
      <c r="DA263" s="134"/>
      <c r="DB263" s="134"/>
      <c r="DC263" s="134"/>
      <c r="DD263" s="134"/>
      <c r="DE263" s="134" t="str">
        <f t="array" ref="DE263">IFERROR(INDEX(TABLACONSOLIDADA[Buff Act],MATCH("AGROINSUMOSAGRONUEVO"&amp;Tabla_Buffers_Agroinsumos[[#This Row],[CODIGO ]],TABLACONSOLIDADA[Bodega]&amp;TABLACONSOLIDADA[Codigo],0)),"")</f>
        <v/>
      </c>
      <c r="DF263" s="157" t="str">
        <f t="array" ref="DF263">IFERROR(INDEX(TABLACONSOLIDADA[Inv Fís Act],MATCH("AGROINSUMOSAGRONUEVO"&amp;Tabla_Buffers_Agroinsumos[[#This Row],[CODIGO ]],TABLACONSOLIDADA[Bodega]&amp;TABLACONSOLIDADA[Codigo],0)),"")</f>
        <v/>
      </c>
      <c r="DG263" s="157" t="str">
        <f t="array" ref="DG26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6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63" s="134">
        <f>IFERROR(SUM(Tabla_Buffers_Agroinsumos[[#This Row],[AN-MP]:[AN-VL]]),"")</f>
        <v>0</v>
      </c>
      <c r="DJ263" s="92" t="str">
        <f>IFERROR(Tabla_Buffers_Agroinsumos[[#This Row],[INV FIS AN]]-Tabla_Buffers_Agroinsumos[[#This Row],[BUFFER AN]],"")</f>
        <v/>
      </c>
      <c r="DK26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63" s="134"/>
      <c r="DM263" s="134"/>
      <c r="DN263" s="134"/>
      <c r="DO263" s="134"/>
      <c r="DP263" s="134"/>
      <c r="DQ263" s="134"/>
      <c r="DR263" s="134"/>
      <c r="DS263" s="134"/>
      <c r="DT263" s="134"/>
      <c r="DU263" s="134" t="str">
        <f t="array" ref="DU263">IFERROR(INDEX(TABLACONSOLIDADA[Buff Act],MATCH("AGROINSUMOSAGROQUIMICOSSUR"&amp;Tabla_Buffers_Agroinsumos[[#This Row],[CODIGO ]],TABLACONSOLIDADA[Bodega]&amp;TABLACONSOLIDADA[Codigo],0)),"")</f>
        <v/>
      </c>
      <c r="DV263" s="157" t="str">
        <f t="array" ref="DV263">IFERROR(INDEX(TABLACONSOLIDADA[Inv Fís Act],MATCH("AGROINSUMOSAGROQUIMICOSSUR"&amp;Tabla_Buffers_Agroinsumos[[#This Row],[CODIGO ]],TABLACONSOLIDADA[Bodega]&amp;TABLACONSOLIDADA[Codigo],0)),"")</f>
        <v/>
      </c>
      <c r="DW263" s="157" t="str">
        <f t="array" ref="DW26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6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63" s="134">
        <f>IFERROR(SUM(Tabla_Buffers_Agroinsumos[[#This Row],[AS-MP]:[AS-VL]]),"")</f>
        <v>0</v>
      </c>
      <c r="DZ263" s="92" t="str">
        <f>IFERROR(Tabla_Buffers_Agroinsumos[[#This Row],[INV FIS AS]]-Tabla_Buffers_Agroinsumos[[#This Row],[BUFFER AS]],"")</f>
        <v/>
      </c>
      <c r="EA26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63" s="134"/>
      <c r="EC263" s="134"/>
      <c r="ED263" s="134"/>
      <c r="EE263" s="134"/>
      <c r="EF263" s="134"/>
      <c r="EG263" s="134"/>
      <c r="EH263" s="134"/>
      <c r="EI263" s="134"/>
      <c r="EJ263" s="134"/>
      <c r="EK263" s="134" t="str">
        <f t="array" ref="EK263">IFERROR(INDEX(TABLACONSOLIDADA[Buff Act],MATCH("AGROINSUMOSLAFINCA"&amp;Tabla_Buffers_Agroinsumos[[#This Row],[CODIGO ]],TABLACONSOLIDADA[Bodega]&amp;TABLACONSOLIDADA[Codigo],0)),"")</f>
        <v/>
      </c>
      <c r="EL263" s="157" t="str">
        <f t="array" ref="EL263">IFERROR(INDEX(TABLACONSOLIDADA[Inv Fís Act],MATCH("AGROINSUMOSLAFINCA"&amp;Tabla_Buffers_Agroinsumos[[#This Row],[CODIGO ]],TABLACONSOLIDADA[Bodega]&amp;TABLACONSOLIDADA[Codigo],0)),"")</f>
        <v/>
      </c>
      <c r="EM263" s="157" t="str">
        <f t="array" ref="EM26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6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63" s="134">
        <f>IFERROR(SUM(Tabla_Buffers_Agroinsumos[[#This Row],[LF-MP]:[LF-VL]]),"")</f>
        <v>0</v>
      </c>
      <c r="EP263" s="92" t="str">
        <f>IFERROR(Tabla_Buffers_Agroinsumos[[#This Row],[INV FIS LF]]-Tabla_Buffers_Agroinsumos[[#This Row],[BUFFER LF]],"")</f>
        <v/>
      </c>
      <c r="EQ26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63" s="134"/>
      <c r="ES263" s="134"/>
      <c r="ET263" s="134"/>
      <c r="EU263" s="134"/>
      <c r="EV263" s="134"/>
      <c r="EW263" s="134"/>
      <c r="EX263" s="134"/>
      <c r="EY263" s="134"/>
      <c r="EZ263" s="134"/>
      <c r="FA263" s="134" t="str">
        <f t="array" ref="FA263">IFERROR(INDEX(TABLACONSOLIDADA[Buff Act],MATCH("AGROINSUMOSVERONICALEDESMA"&amp;Tabla_Buffers_Agroinsumos[[#This Row],[CODIGO ]],TABLACONSOLIDADA[Bodega]&amp;TABLACONSOLIDADA[Codigo],0)),"")</f>
        <v/>
      </c>
      <c r="FB263" s="157" t="str">
        <f t="array" ref="FB263">IFERROR(INDEX(TABLACONSOLIDADA[Inv Fís Act],MATCH("AGROINSUMOSVERONICALEDESMA"&amp;Tabla_Buffers_Agroinsumos[[#This Row],[CODIGO ]],TABLACONSOLIDADA[Bodega]&amp;TABLACONSOLIDADA[Codigo],0)),"")</f>
        <v/>
      </c>
      <c r="FC263" s="157" t="str">
        <f t="array" ref="FC26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6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63" s="134">
        <f>IFERROR(SUM(Tabla_Buffers_Agroinsumos[[#This Row],[VL-MP]:[VL-LF]]),"")</f>
        <v>0</v>
      </c>
      <c r="FF263" s="92" t="str">
        <f>IFERROR(Tabla_Buffers_Agroinsumos[[#This Row],[INV FIS VL]]-Tabla_Buffers_Agroinsumos[[#This Row],[BUFFER VL]],"")</f>
        <v/>
      </c>
      <c r="FG26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63" s="134"/>
      <c r="FI263" s="134"/>
      <c r="FJ263" s="134"/>
      <c r="FK263" s="134"/>
      <c r="FL263" s="134"/>
      <c r="FM263" s="134"/>
      <c r="FN263" s="134"/>
      <c r="FO263" s="134"/>
      <c r="FP263" s="134"/>
    </row>
    <row r="264" spans="1:172">
      <c r="A264" s="7" t="s">
        <v>462</v>
      </c>
      <c r="B264" s="7" t="s">
        <v>463</v>
      </c>
      <c r="C264" s="7" t="s">
        <v>707</v>
      </c>
      <c r="D264" s="7" t="s">
        <v>715</v>
      </c>
      <c r="E264" s="7" t="s">
        <v>975</v>
      </c>
      <c r="F264" s="19" t="s">
        <v>698</v>
      </c>
      <c r="G264" s="19" t="s">
        <v>698</v>
      </c>
      <c r="H264" s="19">
        <f>VLOOKUP(Tabla_Buffers_Agroinsumos[[#This Row],[CODIGO ]],TABLACONSOLIDADA[[Codigo]:[PV]],6,0)</f>
        <v>0</v>
      </c>
      <c r="I264" s="19">
        <f>VLOOKUP(Tabla_Buffers_Agroinsumos[[#This Row],[CODIGO ]],TABLACONSOLIDADA[[Codigo]:[PV]],5,0)</f>
        <v>1.23</v>
      </c>
      <c r="J264" s="19" t="s">
        <v>698</v>
      </c>
      <c r="K264" s="19" t="s">
        <v>698</v>
      </c>
      <c r="L264" s="19">
        <f>IFERROR(Tabla_Buffers_Agroinsumos[[#This Row],[BUFFER CENTRAL]]/((Tabla_Buffers_Agroinsumos[[#This Row],[TIEMPO REPOSICION ]]/Tabla_Buffers_Agroinsumos[[#This Row],[FRECUENCIA]])+1),0)</f>
        <v>0</v>
      </c>
      <c r="M264" s="19" t="str">
        <f t="array" ref="M264">IFERROR(INDEX(TABLACONSOLIDADA[Buff Act],MATCH("AGROINSUMOSMATERIAPRIMA"&amp;Tabla_Buffers_Agroinsumos[[#This Row],[CODIGO ]],TABLACONSOLIDADA[Bodega]&amp;TABLACONSOLIDADA[Codigo],0)),"")</f>
        <v/>
      </c>
      <c r="N264" s="157" t="str">
        <f t="array" ref="N264">IFERROR(INDEX(TABLACONSOLIDADA[Inv Fís Act],MATCH("AGROINSUMOSMATERIAPRIMA"&amp;Tabla_Buffers_Agroinsumos[[#This Row],[CODIGO ]],TABLACONSOLIDADA[Bodega]&amp;TABLACONSOLIDADA[Codigo],0)),"")</f>
        <v/>
      </c>
      <c r="O264" s="157" t="str">
        <f t="array" ref="O26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6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64" s="19">
        <f>IFERROR(SUM(Tabla_Buffers_Agroinsumos[[#This Row],[MP-C]:[MP-VL]]),"")</f>
        <v>0</v>
      </c>
      <c r="R264" s="92" t="str">
        <f>IFERROR(Tabla_Buffers_Agroinsumos[[#This Row],[INV FIS MATERIA PRIMA]]-Tabla_Buffers_Agroinsumos[[#This Row],[BUFFER MATERIA PRIMA]],"")</f>
        <v/>
      </c>
      <c r="S26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64" s="19"/>
      <c r="U264" s="19"/>
      <c r="V264" s="19"/>
      <c r="W264" s="19"/>
      <c r="X264" s="19"/>
      <c r="Y264" s="19"/>
      <c r="Z264" s="19"/>
      <c r="AA264" s="19"/>
      <c r="AB264" s="19"/>
      <c r="AC264" s="152">
        <f t="array" ref="AC264">IFERROR(INDEX(TABLACONSOLIDADA[Buff Act],MATCH("AGROINSUMOSCENTRAL"&amp;Tabla_Buffers_Agroinsumos[[#This Row],[CODIGO ]],TABLACONSOLIDADA[Bodega]&amp;TABLACONSOLIDADA[Codigo],0)),"")</f>
        <v>0</v>
      </c>
      <c r="AD264" s="157">
        <f t="array" ref="AD264">IFERROR(INDEX(TABLACONSOLIDADA[Inv Fís Act],MATCH("AGROINSUMOSCENTRAL"&amp;Tabla_Buffers_Agroinsumos[[#This Row],[CODIGO ]],TABLACONSOLIDADA[Bodega]&amp;TABLACONSOLIDADA[Codigo],0)),"")</f>
        <v>0</v>
      </c>
      <c r="AE264" s="157">
        <f t="array" ref="AE26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6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64" s="91">
        <f>IFERROR(SUM(Tabla_Buffers_Agroinsumos[[#This Row],[C-MP]:[C-VL]]),"")</f>
        <v>0</v>
      </c>
      <c r="AH264" s="92">
        <f>IFERROR(Tabla_Buffers_Agroinsumos[[#This Row],[INV FIS CENTRAL]]-Tabla_Buffers_Agroinsumos[[#This Row],[BUFFER CENTRAL]],"")</f>
        <v>0</v>
      </c>
      <c r="AI26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64" s="134"/>
      <c r="AK264" s="134"/>
      <c r="AL264" s="134"/>
      <c r="AM264" s="134"/>
      <c r="AN264" s="134"/>
      <c r="AO264" s="134"/>
      <c r="AP264" s="134"/>
      <c r="AQ264" s="134"/>
      <c r="AR264" s="134"/>
      <c r="AS264" s="134">
        <f t="array" ref="AS264">IFERROR(INDEX(TABLACONSOLIDADA[Buff Act],MATCH("AGROINSUMOScentralPROPIA"&amp;Tabla_Buffers_Agroinsumos[[#This Row],[CODIGO ]],TABLACONSOLIDADA[Bodega]&amp;TABLACONSOLIDADA[Codigo],0)),"")</f>
        <v>0</v>
      </c>
      <c r="AT264" s="157">
        <f t="array" ref="AT264">IFERROR(INDEX(TABLACONSOLIDADA[Inv Fís Act],MATCH("AGROINSUMOScentralPROPIA"&amp;Tabla_Buffers_Agroinsumos[[#This Row],[CODIGO ]],TABLACONSOLIDADA[Bodega]&amp;TABLACONSOLIDADA[Codigo],0)),"")</f>
        <v>0</v>
      </c>
      <c r="AU264" s="157">
        <f t="array" ref="AU26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6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64" s="134">
        <f>IFERROR(SUM(Tabla_Buffers_Agroinsumos[[#This Row],[P-MP]:[P-VL]]),"")</f>
        <v>0</v>
      </c>
      <c r="AX264" s="92">
        <f>IFERROR(Tabla_Buffers_Agroinsumos[[#This Row],[INV FIS PROPIA]]-Tabla_Buffers_Agroinsumos[[#This Row],[BUFFER PROPIA]],"")</f>
        <v>0</v>
      </c>
      <c r="AY26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264" s="134"/>
      <c r="BA264" s="134"/>
      <c r="BB264" s="134"/>
      <c r="BC264" s="134"/>
      <c r="BD264" s="134"/>
      <c r="BE264" s="134"/>
      <c r="BF264" s="134"/>
      <c r="BG264" s="134"/>
      <c r="BH264" s="134"/>
      <c r="BI264" s="91">
        <f t="array" ref="BI264">IFERROR(INDEX(TABLACONSOLIDADA[Buff Act],MATCH("AGROINSUMOSSTODOMINGO"&amp;Tabla_Buffers_Agroinsumos[[#This Row],[CODIGO ]],TABLACONSOLIDADA[Bodega]&amp;TABLACONSOLIDADA[Codigo],0)),"")</f>
        <v>0</v>
      </c>
      <c r="BJ264" s="157">
        <f t="array" ref="BJ264">IFERROR(INDEX(TABLACONSOLIDADA[Inv Fís Act],MATCH("AGROINSUMOSSTODOMINGO"&amp;Tabla_Buffers_Agroinsumos[[#This Row],[CODIGO ]],TABLACONSOLIDADA[Bodega]&amp;TABLACONSOLIDADA[Codigo],0)),"")</f>
        <v>0</v>
      </c>
      <c r="BK264" s="157">
        <f t="array" ref="BK26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6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64" s="91">
        <f>IFERROR(SUM(Tabla_Buffers_Agroinsumos[[#This Row],[SD-MP]:[SD-VL]]),"")</f>
        <v>0</v>
      </c>
      <c r="BN264" s="92"/>
      <c r="BO264" s="92"/>
      <c r="BP264" s="134"/>
      <c r="BQ264" s="134"/>
      <c r="BR264" s="134"/>
      <c r="BS264" s="134"/>
      <c r="BT264" s="134"/>
      <c r="BU264" s="134"/>
      <c r="BV264" s="134"/>
      <c r="BW264" s="134"/>
      <c r="BX264" s="134"/>
      <c r="BY264" s="134">
        <f t="array" ref="BY264">IFERROR(INDEX(TABLACONSOLIDADA[Buff Act],MATCH("AGROINSUMOSMONCAYOLOPEZ"&amp;Tabla_Buffers_Agroinsumos[[#This Row],[CODIGO ]],TABLACONSOLIDADA[Bodega]&amp;TABLACONSOLIDADA[Codigo],0)),"")</f>
        <v>0</v>
      </c>
      <c r="BZ264" s="157">
        <f t="array" ref="BZ264">IFERROR(INDEX(TABLACONSOLIDADA[Inv Fís Act],MATCH("AGROINSUMOSMONCAYOLOPEZ"&amp;Tabla_Buffers_Agroinsumos[[#This Row],[CODIGO ]],TABLACONSOLIDADA[Bodega]&amp;TABLACONSOLIDADA[Codigo],0)),"")</f>
        <v>0</v>
      </c>
      <c r="CA264" s="157">
        <f t="array" ref="CA26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6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64" s="134">
        <f>IFERROR(SUM(Tabla_Buffers_Agroinsumos[[#This Row],[ML-MP]:[ML-VL]]),"")</f>
        <v>0</v>
      </c>
      <c r="CD264" s="92">
        <f>IFERROR(Tabla_Buffers_Agroinsumos[[#This Row],[INV FIS ML]]-Tabla_Buffers_Agroinsumos[[#This Row],[BUFFER ML]],"")</f>
        <v>0</v>
      </c>
      <c r="CE264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64" s="134"/>
      <c r="CG264" s="134"/>
      <c r="CH264" s="134"/>
      <c r="CI264" s="134"/>
      <c r="CJ264" s="134"/>
      <c r="CK264" s="134"/>
      <c r="CL264" s="134"/>
      <c r="CM264" s="134"/>
      <c r="CN264" s="134"/>
      <c r="CO264" s="134">
        <f t="array" ref="CO264">IFERROR(INDEX(TABLACONSOLIDADA[Buff Act],MATCH("AGROINSUMOSAGROHERMANOSLEON"&amp;Tabla_Buffers_Agroinsumos[[#This Row],[CODIGO ]],TABLACONSOLIDADA[Bodega]&amp;TABLACONSOLIDADA[Codigo],0)),"")</f>
        <v>0</v>
      </c>
      <c r="CP264" s="157">
        <f t="array" ref="CP264">IFERROR(INDEX(TABLACONSOLIDADA[Inv Fís Act],MATCH("AGROINSUMOSAGROHERMANOSLEON"&amp;Tabla_Buffers_Agroinsumos[[#This Row],[CODIGO ]],TABLACONSOLIDADA[Bodega]&amp;TABLACONSOLIDADA[Codigo],0)),"")</f>
        <v>0</v>
      </c>
      <c r="CQ264" s="157">
        <f t="array" ref="CQ26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6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64" s="134">
        <f>IFERROR(SUM(Tabla_Buffers_Agroinsumos[[#This Row],[AL-MP]:[AL-VL]]),"")</f>
        <v>0</v>
      </c>
      <c r="CT264" s="92">
        <f>IFERROR(Tabla_Buffers_Agroinsumos[[#This Row],[INV FIS AL]]-Tabla_Buffers_Agroinsumos[[#This Row],[BUFFER AL]],"")</f>
        <v>0</v>
      </c>
      <c r="CU264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64" s="134"/>
      <c r="CW264" s="134"/>
      <c r="CX264" s="134"/>
      <c r="CY264" s="134"/>
      <c r="CZ264" s="134"/>
      <c r="DA264" s="134"/>
      <c r="DB264" s="134"/>
      <c r="DC264" s="134"/>
      <c r="DD264" s="134"/>
      <c r="DE264" s="134">
        <f t="array" ref="DE264">IFERROR(INDEX(TABLACONSOLIDADA[Buff Act],MATCH("AGROINSUMOSAGRONUEVO"&amp;Tabla_Buffers_Agroinsumos[[#This Row],[CODIGO ]],TABLACONSOLIDADA[Bodega]&amp;TABLACONSOLIDADA[Codigo],0)),"")</f>
        <v>0</v>
      </c>
      <c r="DF264" s="157">
        <f t="array" ref="DF264">IFERROR(INDEX(TABLACONSOLIDADA[Inv Fís Act],MATCH("AGROINSUMOSAGRONUEVO"&amp;Tabla_Buffers_Agroinsumos[[#This Row],[CODIGO ]],TABLACONSOLIDADA[Bodega]&amp;TABLACONSOLIDADA[Codigo],0)),"")</f>
        <v>0</v>
      </c>
      <c r="DG264" s="157">
        <f t="array" ref="DG26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6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64" s="134">
        <f>IFERROR(SUM(Tabla_Buffers_Agroinsumos[[#This Row],[AN-MP]:[AN-VL]]),"")</f>
        <v>0</v>
      </c>
      <c r="DJ264" s="92">
        <f>IFERROR(Tabla_Buffers_Agroinsumos[[#This Row],[INV FIS AN]]-Tabla_Buffers_Agroinsumos[[#This Row],[BUFFER AN]],"")</f>
        <v>0</v>
      </c>
      <c r="DK264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64" s="134"/>
      <c r="DM264" s="134"/>
      <c r="DN264" s="134"/>
      <c r="DO264" s="134"/>
      <c r="DP264" s="134"/>
      <c r="DQ264" s="134"/>
      <c r="DR264" s="134"/>
      <c r="DS264" s="134"/>
      <c r="DT264" s="134"/>
      <c r="DU264" s="134">
        <f t="array" ref="DU264">IFERROR(INDEX(TABLACONSOLIDADA[Buff Act],MATCH("AGROINSUMOSAGROQUIMICOSSUR"&amp;Tabla_Buffers_Agroinsumos[[#This Row],[CODIGO ]],TABLACONSOLIDADA[Bodega]&amp;TABLACONSOLIDADA[Codigo],0)),"")</f>
        <v>0</v>
      </c>
      <c r="DV264" s="157">
        <f t="array" ref="DV264">IFERROR(INDEX(TABLACONSOLIDADA[Inv Fís Act],MATCH("AGROINSUMOSAGROQUIMICOSSUR"&amp;Tabla_Buffers_Agroinsumos[[#This Row],[CODIGO ]],TABLACONSOLIDADA[Bodega]&amp;TABLACONSOLIDADA[Codigo],0)),"")</f>
        <v>0</v>
      </c>
      <c r="DW264" s="157">
        <f t="array" ref="DW26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6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64" s="134">
        <f>IFERROR(SUM(Tabla_Buffers_Agroinsumos[[#This Row],[AS-MP]:[AS-VL]]),"")</f>
        <v>0</v>
      </c>
      <c r="DZ264" s="92">
        <f>IFERROR(Tabla_Buffers_Agroinsumos[[#This Row],[INV FIS AS]]-Tabla_Buffers_Agroinsumos[[#This Row],[BUFFER AS]],"")</f>
        <v>0</v>
      </c>
      <c r="EA264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64" s="134"/>
      <c r="EC264" s="134"/>
      <c r="ED264" s="134"/>
      <c r="EE264" s="134"/>
      <c r="EF264" s="134"/>
      <c r="EG264" s="134"/>
      <c r="EH264" s="134"/>
      <c r="EI264" s="134"/>
      <c r="EJ264" s="134"/>
      <c r="EK264" s="134">
        <f t="array" ref="EK264">IFERROR(INDEX(TABLACONSOLIDADA[Buff Act],MATCH("AGROINSUMOSLAFINCA"&amp;Tabla_Buffers_Agroinsumos[[#This Row],[CODIGO ]],TABLACONSOLIDADA[Bodega]&amp;TABLACONSOLIDADA[Codigo],0)),"")</f>
        <v>0</v>
      </c>
      <c r="EL264" s="157">
        <f t="array" ref="EL264">IFERROR(INDEX(TABLACONSOLIDADA[Inv Fís Act],MATCH("AGROINSUMOSLAFINCA"&amp;Tabla_Buffers_Agroinsumos[[#This Row],[CODIGO ]],TABLACONSOLIDADA[Bodega]&amp;TABLACONSOLIDADA[Codigo],0)),"")</f>
        <v>0</v>
      </c>
      <c r="EM264" s="157">
        <f t="array" ref="EM26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6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64" s="134">
        <f>IFERROR(SUM(Tabla_Buffers_Agroinsumos[[#This Row],[LF-MP]:[LF-VL]]),"")</f>
        <v>0</v>
      </c>
      <c r="EP264" s="92">
        <f>IFERROR(Tabla_Buffers_Agroinsumos[[#This Row],[INV FIS LF]]-Tabla_Buffers_Agroinsumos[[#This Row],[BUFFER LF]],"")</f>
        <v>0</v>
      </c>
      <c r="EQ264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64" s="134"/>
      <c r="ES264" s="134"/>
      <c r="ET264" s="134"/>
      <c r="EU264" s="134"/>
      <c r="EV264" s="134"/>
      <c r="EW264" s="134"/>
      <c r="EX264" s="134"/>
      <c r="EY264" s="134"/>
      <c r="EZ264" s="134"/>
      <c r="FA264" s="134">
        <f t="array" ref="FA264">IFERROR(INDEX(TABLACONSOLIDADA[Buff Act],MATCH("AGROINSUMOSVERONICALEDESMA"&amp;Tabla_Buffers_Agroinsumos[[#This Row],[CODIGO ]],TABLACONSOLIDADA[Bodega]&amp;TABLACONSOLIDADA[Codigo],0)),"")</f>
        <v>0</v>
      </c>
      <c r="FB264" s="157">
        <f t="array" ref="FB264">IFERROR(INDEX(TABLACONSOLIDADA[Inv Fís Act],MATCH("AGROINSUMOSVERONICALEDESMA"&amp;Tabla_Buffers_Agroinsumos[[#This Row],[CODIGO ]],TABLACONSOLIDADA[Bodega]&amp;TABLACONSOLIDADA[Codigo],0)),"")</f>
        <v>0</v>
      </c>
      <c r="FC264" s="157">
        <f t="array" ref="FC26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6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64" s="134">
        <f>IFERROR(SUM(Tabla_Buffers_Agroinsumos[[#This Row],[VL-MP]:[VL-LF]]),"")</f>
        <v>0</v>
      </c>
      <c r="FF264" s="92">
        <f>IFERROR(Tabla_Buffers_Agroinsumos[[#This Row],[INV FIS VL]]-Tabla_Buffers_Agroinsumos[[#This Row],[BUFFER VL]],"")</f>
        <v>0</v>
      </c>
      <c r="FG264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64" s="134"/>
      <c r="FI264" s="134"/>
      <c r="FJ264" s="134"/>
      <c r="FK264" s="134"/>
      <c r="FL264" s="134"/>
      <c r="FM264" s="134"/>
      <c r="FN264" s="134"/>
      <c r="FO264" s="134"/>
      <c r="FP264" s="134"/>
    </row>
    <row r="265" spans="1:172">
      <c r="A265" s="7" t="s">
        <v>464</v>
      </c>
      <c r="B265" s="7" t="s">
        <v>465</v>
      </c>
      <c r="C265" s="7" t="s">
        <v>707</v>
      </c>
      <c r="D265" s="7" t="s">
        <v>715</v>
      </c>
      <c r="E265" s="7" t="s">
        <v>975</v>
      </c>
      <c r="F265" s="19" t="s">
        <v>698</v>
      </c>
      <c r="G265" s="19" t="s">
        <v>698</v>
      </c>
      <c r="H265" s="19">
        <f>VLOOKUP(Tabla_Buffers_Agroinsumos[[#This Row],[CODIGO ]],TABLACONSOLIDADA[[Codigo]:[PV]],6,0)</f>
        <v>0</v>
      </c>
      <c r="I265" s="19">
        <f>VLOOKUP(Tabla_Buffers_Agroinsumos[[#This Row],[CODIGO ]],TABLACONSOLIDADA[[Codigo]:[PV]],5,0)</f>
        <v>2.19</v>
      </c>
      <c r="J265" s="19" t="s">
        <v>698</v>
      </c>
      <c r="K265" s="19" t="s">
        <v>698</v>
      </c>
      <c r="L265" s="19">
        <f>IFERROR(Tabla_Buffers_Agroinsumos[[#This Row],[BUFFER CENTRAL]]/((Tabla_Buffers_Agroinsumos[[#This Row],[TIEMPO REPOSICION ]]/Tabla_Buffers_Agroinsumos[[#This Row],[FRECUENCIA]])+1),0)</f>
        <v>0</v>
      </c>
      <c r="M265" s="19" t="str">
        <f t="array" ref="M265">IFERROR(INDEX(TABLACONSOLIDADA[Buff Act],MATCH("AGROINSUMOSMATERIAPRIMA"&amp;Tabla_Buffers_Agroinsumos[[#This Row],[CODIGO ]],TABLACONSOLIDADA[Bodega]&amp;TABLACONSOLIDADA[Codigo],0)),"")</f>
        <v/>
      </c>
      <c r="N265" s="157" t="str">
        <f t="array" ref="N265">IFERROR(INDEX(TABLACONSOLIDADA[Inv Fís Act],MATCH("AGROINSUMOSMATERIAPRIMA"&amp;Tabla_Buffers_Agroinsumos[[#This Row],[CODIGO ]],TABLACONSOLIDADA[Bodega]&amp;TABLACONSOLIDADA[Codigo],0)),"")</f>
        <v/>
      </c>
      <c r="O265" s="157" t="str">
        <f t="array" ref="O26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6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65" s="19">
        <f>IFERROR(SUM(Tabla_Buffers_Agroinsumos[[#This Row],[MP-C]:[MP-VL]]),"")</f>
        <v>0</v>
      </c>
      <c r="R265" s="92" t="str">
        <f>IFERROR(Tabla_Buffers_Agroinsumos[[#This Row],[INV FIS MATERIA PRIMA]]-Tabla_Buffers_Agroinsumos[[#This Row],[BUFFER MATERIA PRIMA]],"")</f>
        <v/>
      </c>
      <c r="S26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65" s="19"/>
      <c r="U265" s="19"/>
      <c r="V265" s="19"/>
      <c r="W265" s="19"/>
      <c r="X265" s="19"/>
      <c r="Y265" s="19"/>
      <c r="Z265" s="19"/>
      <c r="AA265" s="19"/>
      <c r="AB265" s="19"/>
      <c r="AC265" s="152">
        <f t="array" ref="AC265">IFERROR(INDEX(TABLACONSOLIDADA[Buff Act],MATCH("AGROINSUMOSCENTRAL"&amp;Tabla_Buffers_Agroinsumos[[#This Row],[CODIGO ]],TABLACONSOLIDADA[Bodega]&amp;TABLACONSOLIDADA[Codigo],0)),"")</f>
        <v>0</v>
      </c>
      <c r="AD265" s="157">
        <f t="array" ref="AD265">IFERROR(INDEX(TABLACONSOLIDADA[Inv Fís Act],MATCH("AGROINSUMOSCENTRAL"&amp;Tabla_Buffers_Agroinsumos[[#This Row],[CODIGO ]],TABLACONSOLIDADA[Bodega]&amp;TABLACONSOLIDADA[Codigo],0)),"")</f>
        <v>0</v>
      </c>
      <c r="AE265" s="157">
        <f t="array" ref="AE26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6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65" s="91">
        <f>IFERROR(SUM(Tabla_Buffers_Agroinsumos[[#This Row],[C-MP]:[C-VL]]),"")</f>
        <v>0</v>
      </c>
      <c r="AH265" s="92">
        <f>IFERROR(Tabla_Buffers_Agroinsumos[[#This Row],[INV FIS CENTRAL]]-Tabla_Buffers_Agroinsumos[[#This Row],[BUFFER CENTRAL]],"")</f>
        <v>0</v>
      </c>
      <c r="AI26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65" s="134"/>
      <c r="AK265" s="134"/>
      <c r="AL265" s="134"/>
      <c r="AM265" s="134"/>
      <c r="AN265" s="134"/>
      <c r="AO265" s="134"/>
      <c r="AP265" s="134"/>
      <c r="AQ265" s="134"/>
      <c r="AR265" s="134"/>
      <c r="AS265" s="134">
        <f t="array" ref="AS265">IFERROR(INDEX(TABLACONSOLIDADA[Buff Act],MATCH("AGROINSUMOScentralPROPIA"&amp;Tabla_Buffers_Agroinsumos[[#This Row],[CODIGO ]],TABLACONSOLIDADA[Bodega]&amp;TABLACONSOLIDADA[Codigo],0)),"")</f>
        <v>0</v>
      </c>
      <c r="AT265" s="157">
        <f t="array" ref="AT265">IFERROR(INDEX(TABLACONSOLIDADA[Inv Fís Act],MATCH("AGROINSUMOScentralPROPIA"&amp;Tabla_Buffers_Agroinsumos[[#This Row],[CODIGO ]],TABLACONSOLIDADA[Bodega]&amp;TABLACONSOLIDADA[Codigo],0)),"")</f>
        <v>0</v>
      </c>
      <c r="AU265" s="157">
        <f t="array" ref="AU26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6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65" s="134">
        <f>IFERROR(SUM(Tabla_Buffers_Agroinsumos[[#This Row],[P-MP]:[P-VL]]),"")</f>
        <v>0</v>
      </c>
      <c r="AX265" s="92">
        <f>IFERROR(Tabla_Buffers_Agroinsumos[[#This Row],[INV FIS PROPIA]]-Tabla_Buffers_Agroinsumos[[#This Row],[BUFFER PROPIA]],"")</f>
        <v>0</v>
      </c>
      <c r="AY26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265" s="134"/>
      <c r="BA265" s="134"/>
      <c r="BB265" s="134"/>
      <c r="BC265" s="134"/>
      <c r="BD265" s="134"/>
      <c r="BE265" s="134"/>
      <c r="BF265" s="134"/>
      <c r="BG265" s="134"/>
      <c r="BH265" s="134"/>
      <c r="BI265" s="91">
        <f t="array" ref="BI265">IFERROR(INDEX(TABLACONSOLIDADA[Buff Act],MATCH("AGROINSUMOSSTODOMINGO"&amp;Tabla_Buffers_Agroinsumos[[#This Row],[CODIGO ]],TABLACONSOLIDADA[Bodega]&amp;TABLACONSOLIDADA[Codigo],0)),"")</f>
        <v>0</v>
      </c>
      <c r="BJ265" s="157">
        <f t="array" ref="BJ265">IFERROR(INDEX(TABLACONSOLIDADA[Inv Fís Act],MATCH("AGROINSUMOSSTODOMINGO"&amp;Tabla_Buffers_Agroinsumos[[#This Row],[CODIGO ]],TABLACONSOLIDADA[Bodega]&amp;TABLACONSOLIDADA[Codigo],0)),"")</f>
        <v>0</v>
      </c>
      <c r="BK265" s="157">
        <f t="array" ref="BK26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6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65" s="91">
        <f>IFERROR(SUM(Tabla_Buffers_Agroinsumos[[#This Row],[SD-MP]:[SD-VL]]),"")</f>
        <v>0</v>
      </c>
      <c r="BN265" s="92"/>
      <c r="BO265" s="92"/>
      <c r="BP265" s="134"/>
      <c r="BQ265" s="134"/>
      <c r="BR265" s="134"/>
      <c r="BS265" s="134"/>
      <c r="BT265" s="134"/>
      <c r="BU265" s="134"/>
      <c r="BV265" s="134"/>
      <c r="BW265" s="134"/>
      <c r="BX265" s="134"/>
      <c r="BY265" s="134">
        <f t="array" ref="BY265">IFERROR(INDEX(TABLACONSOLIDADA[Buff Act],MATCH("AGROINSUMOSMONCAYOLOPEZ"&amp;Tabla_Buffers_Agroinsumos[[#This Row],[CODIGO ]],TABLACONSOLIDADA[Bodega]&amp;TABLACONSOLIDADA[Codigo],0)),"")</f>
        <v>0</v>
      </c>
      <c r="BZ265" s="157">
        <f t="array" ref="BZ265">IFERROR(INDEX(TABLACONSOLIDADA[Inv Fís Act],MATCH("AGROINSUMOSMONCAYOLOPEZ"&amp;Tabla_Buffers_Agroinsumos[[#This Row],[CODIGO ]],TABLACONSOLIDADA[Bodega]&amp;TABLACONSOLIDADA[Codigo],0)),"")</f>
        <v>0</v>
      </c>
      <c r="CA265" s="157">
        <f t="array" ref="CA26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6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65" s="134">
        <f>IFERROR(SUM(Tabla_Buffers_Agroinsumos[[#This Row],[ML-MP]:[ML-VL]]),"")</f>
        <v>0</v>
      </c>
      <c r="CD265" s="92">
        <f>IFERROR(Tabla_Buffers_Agroinsumos[[#This Row],[INV FIS ML]]-Tabla_Buffers_Agroinsumos[[#This Row],[BUFFER ML]],"")</f>
        <v>0</v>
      </c>
      <c r="CE26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65" s="134"/>
      <c r="CG265" s="134"/>
      <c r="CH265" s="134"/>
      <c r="CI265" s="134"/>
      <c r="CJ265" s="134"/>
      <c r="CK265" s="134"/>
      <c r="CL265" s="134"/>
      <c r="CM265" s="134"/>
      <c r="CN265" s="134"/>
      <c r="CO265" s="134">
        <f t="array" ref="CO265">IFERROR(INDEX(TABLACONSOLIDADA[Buff Act],MATCH("AGROINSUMOSAGROHERMANOSLEON"&amp;Tabla_Buffers_Agroinsumos[[#This Row],[CODIGO ]],TABLACONSOLIDADA[Bodega]&amp;TABLACONSOLIDADA[Codigo],0)),"")</f>
        <v>0</v>
      </c>
      <c r="CP265" s="157">
        <f t="array" ref="CP265">IFERROR(INDEX(TABLACONSOLIDADA[Inv Fís Act],MATCH("AGROINSUMOSAGROHERMANOSLEON"&amp;Tabla_Buffers_Agroinsumos[[#This Row],[CODIGO ]],TABLACONSOLIDADA[Bodega]&amp;TABLACONSOLIDADA[Codigo],0)),"")</f>
        <v>0</v>
      </c>
      <c r="CQ265" s="157">
        <f t="array" ref="CQ26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6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65" s="134">
        <f>IFERROR(SUM(Tabla_Buffers_Agroinsumos[[#This Row],[AL-MP]:[AL-VL]]),"")</f>
        <v>0</v>
      </c>
      <c r="CT265" s="92">
        <f>IFERROR(Tabla_Buffers_Agroinsumos[[#This Row],[INV FIS AL]]-Tabla_Buffers_Agroinsumos[[#This Row],[BUFFER AL]],"")</f>
        <v>0</v>
      </c>
      <c r="CU26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65" s="134"/>
      <c r="CW265" s="134"/>
      <c r="CX265" s="134"/>
      <c r="CY265" s="134"/>
      <c r="CZ265" s="134"/>
      <c r="DA265" s="134"/>
      <c r="DB265" s="134"/>
      <c r="DC265" s="134"/>
      <c r="DD265" s="134"/>
      <c r="DE265" s="134">
        <f t="array" ref="DE265">IFERROR(INDEX(TABLACONSOLIDADA[Buff Act],MATCH("AGROINSUMOSAGRONUEVO"&amp;Tabla_Buffers_Agroinsumos[[#This Row],[CODIGO ]],TABLACONSOLIDADA[Bodega]&amp;TABLACONSOLIDADA[Codigo],0)),"")</f>
        <v>0</v>
      </c>
      <c r="DF265" s="157">
        <f t="array" ref="DF265">IFERROR(INDEX(TABLACONSOLIDADA[Inv Fís Act],MATCH("AGROINSUMOSAGRONUEVO"&amp;Tabla_Buffers_Agroinsumos[[#This Row],[CODIGO ]],TABLACONSOLIDADA[Bodega]&amp;TABLACONSOLIDADA[Codigo],0)),"")</f>
        <v>0</v>
      </c>
      <c r="DG265" s="157">
        <f t="array" ref="DG26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6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65" s="134">
        <f>IFERROR(SUM(Tabla_Buffers_Agroinsumos[[#This Row],[AN-MP]:[AN-VL]]),"")</f>
        <v>0</v>
      </c>
      <c r="DJ265" s="92">
        <f>IFERROR(Tabla_Buffers_Agroinsumos[[#This Row],[INV FIS AN]]-Tabla_Buffers_Agroinsumos[[#This Row],[BUFFER AN]],"")</f>
        <v>0</v>
      </c>
      <c r="DK26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65" s="134"/>
      <c r="DM265" s="134"/>
      <c r="DN265" s="134"/>
      <c r="DO265" s="134"/>
      <c r="DP265" s="134"/>
      <c r="DQ265" s="134"/>
      <c r="DR265" s="134"/>
      <c r="DS265" s="134"/>
      <c r="DT265" s="134"/>
      <c r="DU265" s="134">
        <f t="array" ref="DU265">IFERROR(INDEX(TABLACONSOLIDADA[Buff Act],MATCH("AGROINSUMOSAGROQUIMICOSSUR"&amp;Tabla_Buffers_Agroinsumos[[#This Row],[CODIGO ]],TABLACONSOLIDADA[Bodega]&amp;TABLACONSOLIDADA[Codigo],0)),"")</f>
        <v>0</v>
      </c>
      <c r="DV265" s="157">
        <f t="array" ref="DV265">IFERROR(INDEX(TABLACONSOLIDADA[Inv Fís Act],MATCH("AGROINSUMOSAGROQUIMICOSSUR"&amp;Tabla_Buffers_Agroinsumos[[#This Row],[CODIGO ]],TABLACONSOLIDADA[Bodega]&amp;TABLACONSOLIDADA[Codigo],0)),"")</f>
        <v>0</v>
      </c>
      <c r="DW265" s="157">
        <f t="array" ref="DW26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6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65" s="134">
        <f>IFERROR(SUM(Tabla_Buffers_Agroinsumos[[#This Row],[AS-MP]:[AS-VL]]),"")</f>
        <v>0</v>
      </c>
      <c r="DZ265" s="92">
        <f>IFERROR(Tabla_Buffers_Agroinsumos[[#This Row],[INV FIS AS]]-Tabla_Buffers_Agroinsumos[[#This Row],[BUFFER AS]],"")</f>
        <v>0</v>
      </c>
      <c r="EA26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65" s="134"/>
      <c r="EC265" s="134"/>
      <c r="ED265" s="134"/>
      <c r="EE265" s="134"/>
      <c r="EF265" s="134"/>
      <c r="EG265" s="134"/>
      <c r="EH265" s="134"/>
      <c r="EI265" s="134"/>
      <c r="EJ265" s="134"/>
      <c r="EK265" s="134">
        <f t="array" ref="EK265">IFERROR(INDEX(TABLACONSOLIDADA[Buff Act],MATCH("AGROINSUMOSLAFINCA"&amp;Tabla_Buffers_Agroinsumos[[#This Row],[CODIGO ]],TABLACONSOLIDADA[Bodega]&amp;TABLACONSOLIDADA[Codigo],0)),"")</f>
        <v>0</v>
      </c>
      <c r="EL265" s="157">
        <f t="array" ref="EL265">IFERROR(INDEX(TABLACONSOLIDADA[Inv Fís Act],MATCH("AGROINSUMOSLAFINCA"&amp;Tabla_Buffers_Agroinsumos[[#This Row],[CODIGO ]],TABLACONSOLIDADA[Bodega]&amp;TABLACONSOLIDADA[Codigo],0)),"")</f>
        <v>0</v>
      </c>
      <c r="EM265" s="157">
        <f t="array" ref="EM26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6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65" s="134">
        <f>IFERROR(SUM(Tabla_Buffers_Agroinsumos[[#This Row],[LF-MP]:[LF-VL]]),"")</f>
        <v>0</v>
      </c>
      <c r="EP265" s="92">
        <f>IFERROR(Tabla_Buffers_Agroinsumos[[#This Row],[INV FIS LF]]-Tabla_Buffers_Agroinsumos[[#This Row],[BUFFER LF]],"")</f>
        <v>0</v>
      </c>
      <c r="EQ26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65" s="134"/>
      <c r="ES265" s="134"/>
      <c r="ET265" s="134"/>
      <c r="EU265" s="134"/>
      <c r="EV265" s="134"/>
      <c r="EW265" s="134"/>
      <c r="EX265" s="134"/>
      <c r="EY265" s="134"/>
      <c r="EZ265" s="134"/>
      <c r="FA265" s="134">
        <f t="array" ref="FA265">IFERROR(INDEX(TABLACONSOLIDADA[Buff Act],MATCH("AGROINSUMOSVERONICALEDESMA"&amp;Tabla_Buffers_Agroinsumos[[#This Row],[CODIGO ]],TABLACONSOLIDADA[Bodega]&amp;TABLACONSOLIDADA[Codigo],0)),"")</f>
        <v>0</v>
      </c>
      <c r="FB265" s="157">
        <f t="array" ref="FB265">IFERROR(INDEX(TABLACONSOLIDADA[Inv Fís Act],MATCH("AGROINSUMOSVERONICALEDESMA"&amp;Tabla_Buffers_Agroinsumos[[#This Row],[CODIGO ]],TABLACONSOLIDADA[Bodega]&amp;TABLACONSOLIDADA[Codigo],0)),"")</f>
        <v>0</v>
      </c>
      <c r="FC265" s="157">
        <f t="array" ref="FC26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6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65" s="134">
        <f>IFERROR(SUM(Tabla_Buffers_Agroinsumos[[#This Row],[VL-MP]:[VL-LF]]),"")</f>
        <v>0</v>
      </c>
      <c r="FF265" s="92">
        <f>IFERROR(Tabla_Buffers_Agroinsumos[[#This Row],[INV FIS VL]]-Tabla_Buffers_Agroinsumos[[#This Row],[BUFFER VL]],"")</f>
        <v>0</v>
      </c>
      <c r="FG265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65" s="134"/>
      <c r="FI265" s="134"/>
      <c r="FJ265" s="134"/>
      <c r="FK265" s="134"/>
      <c r="FL265" s="134"/>
      <c r="FM265" s="134"/>
      <c r="FN265" s="134"/>
      <c r="FO265" s="134"/>
      <c r="FP265" s="134"/>
    </row>
    <row r="266" spans="1:172">
      <c r="A266" s="7" t="s">
        <v>466</v>
      </c>
      <c r="B266" s="7" t="s">
        <v>467</v>
      </c>
      <c r="C266" s="7" t="s">
        <v>707</v>
      </c>
      <c r="D266" s="7" t="s">
        <v>715</v>
      </c>
      <c r="E266" s="7" t="s">
        <v>975</v>
      </c>
      <c r="F266" s="19" t="s">
        <v>698</v>
      </c>
      <c r="G266" s="19" t="s">
        <v>698</v>
      </c>
      <c r="H266" s="19">
        <f>VLOOKUP(Tabla_Buffers_Agroinsumos[[#This Row],[CODIGO ]],TABLACONSOLIDADA[[Codigo]:[PV]],6,0)</f>
        <v>0</v>
      </c>
      <c r="I266" s="19">
        <f>VLOOKUP(Tabla_Buffers_Agroinsumos[[#This Row],[CODIGO ]],TABLACONSOLIDADA[[Codigo]:[PV]],5,0)</f>
        <v>4.2699999999999996</v>
      </c>
      <c r="J266" s="19" t="s">
        <v>698</v>
      </c>
      <c r="K266" s="19" t="s">
        <v>698</v>
      </c>
      <c r="L266" s="19">
        <f>IFERROR(Tabla_Buffers_Agroinsumos[[#This Row],[BUFFER CENTRAL]]/((Tabla_Buffers_Agroinsumos[[#This Row],[TIEMPO REPOSICION ]]/Tabla_Buffers_Agroinsumos[[#This Row],[FRECUENCIA]])+1),0)</f>
        <v>0</v>
      </c>
      <c r="M266" s="19" t="str">
        <f t="array" ref="M266">IFERROR(INDEX(TABLACONSOLIDADA[Buff Act],MATCH("AGROINSUMOSMATERIAPRIMA"&amp;Tabla_Buffers_Agroinsumos[[#This Row],[CODIGO ]],TABLACONSOLIDADA[Bodega]&amp;TABLACONSOLIDADA[Codigo],0)),"")</f>
        <v/>
      </c>
      <c r="N266" s="157" t="str">
        <f t="array" ref="N266">IFERROR(INDEX(TABLACONSOLIDADA[Inv Fís Act],MATCH("AGROINSUMOSMATERIAPRIMA"&amp;Tabla_Buffers_Agroinsumos[[#This Row],[CODIGO ]],TABLACONSOLIDADA[Bodega]&amp;TABLACONSOLIDADA[Codigo],0)),"")</f>
        <v/>
      </c>
      <c r="O266" s="157" t="str">
        <f t="array" ref="O26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6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66" s="19">
        <f>IFERROR(SUM(Tabla_Buffers_Agroinsumos[[#This Row],[MP-C]:[MP-VL]]),"")</f>
        <v>0</v>
      </c>
      <c r="R266" s="92" t="str">
        <f>IFERROR(Tabla_Buffers_Agroinsumos[[#This Row],[INV FIS MATERIA PRIMA]]-Tabla_Buffers_Agroinsumos[[#This Row],[BUFFER MATERIA PRIMA]],"")</f>
        <v/>
      </c>
      <c r="S26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66" s="19"/>
      <c r="U266" s="19"/>
      <c r="V266" s="19"/>
      <c r="W266" s="19"/>
      <c r="X266" s="19"/>
      <c r="Y266" s="19"/>
      <c r="Z266" s="19"/>
      <c r="AA266" s="19"/>
      <c r="AB266" s="19"/>
      <c r="AC266" s="152">
        <f t="array" ref="AC266">IFERROR(INDEX(TABLACONSOLIDADA[Buff Act],MATCH("AGROINSUMOSCENTRAL"&amp;Tabla_Buffers_Agroinsumos[[#This Row],[CODIGO ]],TABLACONSOLIDADA[Bodega]&amp;TABLACONSOLIDADA[Codigo],0)),"")</f>
        <v>0</v>
      </c>
      <c r="AD266" s="157">
        <f t="array" ref="AD266">IFERROR(INDEX(TABLACONSOLIDADA[Inv Fís Act],MATCH("AGROINSUMOSCENTRAL"&amp;Tabla_Buffers_Agroinsumos[[#This Row],[CODIGO ]],TABLACONSOLIDADA[Bodega]&amp;TABLACONSOLIDADA[Codigo],0)),"")</f>
        <v>0</v>
      </c>
      <c r="AE266" s="157">
        <f t="array" ref="AE26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6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66" s="91">
        <f>IFERROR(SUM(Tabla_Buffers_Agroinsumos[[#This Row],[C-MP]:[C-VL]]),"")</f>
        <v>0</v>
      </c>
      <c r="AH266" s="92">
        <f>IFERROR(Tabla_Buffers_Agroinsumos[[#This Row],[INV FIS CENTRAL]]-Tabla_Buffers_Agroinsumos[[#This Row],[BUFFER CENTRAL]],"")</f>
        <v>0</v>
      </c>
      <c r="AI266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66" s="134"/>
      <c r="AK266" s="134"/>
      <c r="AL266" s="134"/>
      <c r="AM266" s="134"/>
      <c r="AN266" s="134"/>
      <c r="AO266" s="134"/>
      <c r="AP266" s="134"/>
      <c r="AQ266" s="134"/>
      <c r="AR266" s="134"/>
      <c r="AS266" s="134">
        <f t="array" ref="AS266">IFERROR(INDEX(TABLACONSOLIDADA[Buff Act],MATCH("AGROINSUMOScentralPROPIA"&amp;Tabla_Buffers_Agroinsumos[[#This Row],[CODIGO ]],TABLACONSOLIDADA[Bodega]&amp;TABLACONSOLIDADA[Codigo],0)),"")</f>
        <v>0</v>
      </c>
      <c r="AT266" s="157">
        <f t="array" ref="AT266">IFERROR(INDEX(TABLACONSOLIDADA[Inv Fís Act],MATCH("AGROINSUMOScentralPROPIA"&amp;Tabla_Buffers_Agroinsumos[[#This Row],[CODIGO ]],TABLACONSOLIDADA[Bodega]&amp;TABLACONSOLIDADA[Codigo],0)),"")</f>
        <v>0</v>
      </c>
      <c r="AU266" s="157">
        <f t="array" ref="AU26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6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66" s="134">
        <f>IFERROR(SUM(Tabla_Buffers_Agroinsumos[[#This Row],[P-MP]:[P-VL]]),"")</f>
        <v>0</v>
      </c>
      <c r="AX266" s="92">
        <f>IFERROR(Tabla_Buffers_Agroinsumos[[#This Row],[INV FIS PROPIA]]-Tabla_Buffers_Agroinsumos[[#This Row],[BUFFER PROPIA]],"")</f>
        <v>0</v>
      </c>
      <c r="AY266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266" s="134"/>
      <c r="BA266" s="134"/>
      <c r="BB266" s="134"/>
      <c r="BC266" s="134"/>
      <c r="BD266" s="134"/>
      <c r="BE266" s="134"/>
      <c r="BF266" s="134"/>
      <c r="BG266" s="134"/>
      <c r="BH266" s="134"/>
      <c r="BI266" s="91">
        <f t="array" ref="BI266">IFERROR(INDEX(TABLACONSOLIDADA[Buff Act],MATCH("AGROINSUMOSSTODOMINGO"&amp;Tabla_Buffers_Agroinsumos[[#This Row],[CODIGO ]],TABLACONSOLIDADA[Bodega]&amp;TABLACONSOLIDADA[Codigo],0)),"")</f>
        <v>0</v>
      </c>
      <c r="BJ266" s="157">
        <f t="array" ref="BJ266">IFERROR(INDEX(TABLACONSOLIDADA[Inv Fís Act],MATCH("AGROINSUMOSSTODOMINGO"&amp;Tabla_Buffers_Agroinsumos[[#This Row],[CODIGO ]],TABLACONSOLIDADA[Bodega]&amp;TABLACONSOLIDADA[Codigo],0)),"")</f>
        <v>0</v>
      </c>
      <c r="BK266" s="157">
        <f t="array" ref="BK26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6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66" s="91">
        <f>IFERROR(SUM(Tabla_Buffers_Agroinsumos[[#This Row],[SD-MP]:[SD-VL]]),"")</f>
        <v>0</v>
      </c>
      <c r="BN266" s="92"/>
      <c r="BO266" s="92"/>
      <c r="BP266" s="134"/>
      <c r="BQ266" s="134"/>
      <c r="BR266" s="134"/>
      <c r="BS266" s="134"/>
      <c r="BT266" s="134"/>
      <c r="BU266" s="134"/>
      <c r="BV266" s="134"/>
      <c r="BW266" s="134"/>
      <c r="BX266" s="134"/>
      <c r="BY266" s="134">
        <f t="array" ref="BY266">IFERROR(INDEX(TABLACONSOLIDADA[Buff Act],MATCH("AGROINSUMOSMONCAYOLOPEZ"&amp;Tabla_Buffers_Agroinsumos[[#This Row],[CODIGO ]],TABLACONSOLIDADA[Bodega]&amp;TABLACONSOLIDADA[Codigo],0)),"")</f>
        <v>0</v>
      </c>
      <c r="BZ266" s="157">
        <f t="array" ref="BZ266">IFERROR(INDEX(TABLACONSOLIDADA[Inv Fís Act],MATCH("AGROINSUMOSMONCAYOLOPEZ"&amp;Tabla_Buffers_Agroinsumos[[#This Row],[CODIGO ]],TABLACONSOLIDADA[Bodega]&amp;TABLACONSOLIDADA[Codigo],0)),"")</f>
        <v>0</v>
      </c>
      <c r="CA266" s="157">
        <f t="array" ref="CA26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6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66" s="134">
        <f>IFERROR(SUM(Tabla_Buffers_Agroinsumos[[#This Row],[ML-MP]:[ML-VL]]),"")</f>
        <v>0</v>
      </c>
      <c r="CD266" s="92">
        <f>IFERROR(Tabla_Buffers_Agroinsumos[[#This Row],[INV FIS ML]]-Tabla_Buffers_Agroinsumos[[#This Row],[BUFFER ML]],"")</f>
        <v>0</v>
      </c>
      <c r="CE266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66" s="134"/>
      <c r="CG266" s="134"/>
      <c r="CH266" s="134"/>
      <c r="CI266" s="134"/>
      <c r="CJ266" s="134"/>
      <c r="CK266" s="134"/>
      <c r="CL266" s="134"/>
      <c r="CM266" s="134"/>
      <c r="CN266" s="134"/>
      <c r="CO266" s="134">
        <f t="array" ref="CO266">IFERROR(INDEX(TABLACONSOLIDADA[Buff Act],MATCH("AGROINSUMOSAGROHERMANOSLEON"&amp;Tabla_Buffers_Agroinsumos[[#This Row],[CODIGO ]],TABLACONSOLIDADA[Bodega]&amp;TABLACONSOLIDADA[Codigo],0)),"")</f>
        <v>0</v>
      </c>
      <c r="CP266" s="157">
        <f t="array" ref="CP266">IFERROR(INDEX(TABLACONSOLIDADA[Inv Fís Act],MATCH("AGROINSUMOSAGROHERMANOSLEON"&amp;Tabla_Buffers_Agroinsumos[[#This Row],[CODIGO ]],TABLACONSOLIDADA[Bodega]&amp;TABLACONSOLIDADA[Codigo],0)),"")</f>
        <v>0</v>
      </c>
      <c r="CQ266" s="157">
        <f t="array" ref="CQ26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6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66" s="134">
        <f>IFERROR(SUM(Tabla_Buffers_Agroinsumos[[#This Row],[AL-MP]:[AL-VL]]),"")</f>
        <v>0</v>
      </c>
      <c r="CT266" s="92">
        <f>IFERROR(Tabla_Buffers_Agroinsumos[[#This Row],[INV FIS AL]]-Tabla_Buffers_Agroinsumos[[#This Row],[BUFFER AL]],"")</f>
        <v>0</v>
      </c>
      <c r="CU266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66" s="134"/>
      <c r="CW266" s="134"/>
      <c r="CX266" s="134"/>
      <c r="CY266" s="134"/>
      <c r="CZ266" s="134"/>
      <c r="DA266" s="134"/>
      <c r="DB266" s="134"/>
      <c r="DC266" s="134"/>
      <c r="DD266" s="134"/>
      <c r="DE266" s="134">
        <f t="array" ref="DE266">IFERROR(INDEX(TABLACONSOLIDADA[Buff Act],MATCH("AGROINSUMOSAGRONUEVO"&amp;Tabla_Buffers_Agroinsumos[[#This Row],[CODIGO ]],TABLACONSOLIDADA[Bodega]&amp;TABLACONSOLIDADA[Codigo],0)),"")</f>
        <v>0</v>
      </c>
      <c r="DF266" s="157">
        <f t="array" ref="DF266">IFERROR(INDEX(TABLACONSOLIDADA[Inv Fís Act],MATCH("AGROINSUMOSAGRONUEVO"&amp;Tabla_Buffers_Agroinsumos[[#This Row],[CODIGO ]],TABLACONSOLIDADA[Bodega]&amp;TABLACONSOLIDADA[Codigo],0)),"")</f>
        <v>0</v>
      </c>
      <c r="DG266" s="157">
        <f t="array" ref="DG26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6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66" s="134">
        <f>IFERROR(SUM(Tabla_Buffers_Agroinsumos[[#This Row],[AN-MP]:[AN-VL]]),"")</f>
        <v>0</v>
      </c>
      <c r="DJ266" s="92">
        <f>IFERROR(Tabla_Buffers_Agroinsumos[[#This Row],[INV FIS AN]]-Tabla_Buffers_Agroinsumos[[#This Row],[BUFFER AN]],"")</f>
        <v>0</v>
      </c>
      <c r="DK266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66" s="134"/>
      <c r="DM266" s="134"/>
      <c r="DN266" s="134"/>
      <c r="DO266" s="134"/>
      <c r="DP266" s="134"/>
      <c r="DQ266" s="134"/>
      <c r="DR266" s="134"/>
      <c r="DS266" s="134"/>
      <c r="DT266" s="134"/>
      <c r="DU266" s="134">
        <f t="array" ref="DU266">IFERROR(INDEX(TABLACONSOLIDADA[Buff Act],MATCH("AGROINSUMOSAGROQUIMICOSSUR"&amp;Tabla_Buffers_Agroinsumos[[#This Row],[CODIGO ]],TABLACONSOLIDADA[Bodega]&amp;TABLACONSOLIDADA[Codigo],0)),"")</f>
        <v>0</v>
      </c>
      <c r="DV266" s="157">
        <f t="array" ref="DV266">IFERROR(INDEX(TABLACONSOLIDADA[Inv Fís Act],MATCH("AGROINSUMOSAGROQUIMICOSSUR"&amp;Tabla_Buffers_Agroinsumos[[#This Row],[CODIGO ]],TABLACONSOLIDADA[Bodega]&amp;TABLACONSOLIDADA[Codigo],0)),"")</f>
        <v>0</v>
      </c>
      <c r="DW266" s="157">
        <f t="array" ref="DW26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6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66" s="134">
        <f>IFERROR(SUM(Tabla_Buffers_Agroinsumos[[#This Row],[AS-MP]:[AS-VL]]),"")</f>
        <v>0</v>
      </c>
      <c r="DZ266" s="92">
        <f>IFERROR(Tabla_Buffers_Agroinsumos[[#This Row],[INV FIS AS]]-Tabla_Buffers_Agroinsumos[[#This Row],[BUFFER AS]],"")</f>
        <v>0</v>
      </c>
      <c r="EA266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66" s="134"/>
      <c r="EC266" s="134"/>
      <c r="ED266" s="134"/>
      <c r="EE266" s="134"/>
      <c r="EF266" s="134"/>
      <c r="EG266" s="134"/>
      <c r="EH266" s="134"/>
      <c r="EI266" s="134"/>
      <c r="EJ266" s="134"/>
      <c r="EK266" s="134">
        <f t="array" ref="EK266">IFERROR(INDEX(TABLACONSOLIDADA[Buff Act],MATCH("AGROINSUMOSLAFINCA"&amp;Tabla_Buffers_Agroinsumos[[#This Row],[CODIGO ]],TABLACONSOLIDADA[Bodega]&amp;TABLACONSOLIDADA[Codigo],0)),"")</f>
        <v>0</v>
      </c>
      <c r="EL266" s="157">
        <f t="array" ref="EL266">IFERROR(INDEX(TABLACONSOLIDADA[Inv Fís Act],MATCH("AGROINSUMOSLAFINCA"&amp;Tabla_Buffers_Agroinsumos[[#This Row],[CODIGO ]],TABLACONSOLIDADA[Bodega]&amp;TABLACONSOLIDADA[Codigo],0)),"")</f>
        <v>0</v>
      </c>
      <c r="EM266" s="157">
        <f t="array" ref="EM26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6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66" s="134">
        <f>IFERROR(SUM(Tabla_Buffers_Agroinsumos[[#This Row],[LF-MP]:[LF-VL]]),"")</f>
        <v>0</v>
      </c>
      <c r="EP266" s="92">
        <f>IFERROR(Tabla_Buffers_Agroinsumos[[#This Row],[INV FIS LF]]-Tabla_Buffers_Agroinsumos[[#This Row],[BUFFER LF]],"")</f>
        <v>0</v>
      </c>
      <c r="EQ266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66" s="134"/>
      <c r="ES266" s="134"/>
      <c r="ET266" s="134"/>
      <c r="EU266" s="134"/>
      <c r="EV266" s="134"/>
      <c r="EW266" s="134"/>
      <c r="EX266" s="134"/>
      <c r="EY266" s="134"/>
      <c r="EZ266" s="134"/>
      <c r="FA266" s="134">
        <f t="array" ref="FA266">IFERROR(INDEX(TABLACONSOLIDADA[Buff Act],MATCH("AGROINSUMOSVERONICALEDESMA"&amp;Tabla_Buffers_Agroinsumos[[#This Row],[CODIGO ]],TABLACONSOLIDADA[Bodega]&amp;TABLACONSOLIDADA[Codigo],0)),"")</f>
        <v>0</v>
      </c>
      <c r="FB266" s="157">
        <f t="array" ref="FB266">IFERROR(INDEX(TABLACONSOLIDADA[Inv Fís Act],MATCH("AGROINSUMOSVERONICALEDESMA"&amp;Tabla_Buffers_Agroinsumos[[#This Row],[CODIGO ]],TABLACONSOLIDADA[Bodega]&amp;TABLACONSOLIDADA[Codigo],0)),"")</f>
        <v>0</v>
      </c>
      <c r="FC266" s="157">
        <f t="array" ref="FC26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6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66" s="134">
        <f>IFERROR(SUM(Tabla_Buffers_Agroinsumos[[#This Row],[VL-MP]:[VL-LF]]),"")</f>
        <v>0</v>
      </c>
      <c r="FF266" s="92">
        <f>IFERROR(Tabla_Buffers_Agroinsumos[[#This Row],[INV FIS VL]]-Tabla_Buffers_Agroinsumos[[#This Row],[BUFFER VL]],"")</f>
        <v>0</v>
      </c>
      <c r="FG266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66" s="134"/>
      <c r="FI266" s="134"/>
      <c r="FJ266" s="134"/>
      <c r="FK266" s="134"/>
      <c r="FL266" s="134"/>
      <c r="FM266" s="134"/>
      <c r="FN266" s="134"/>
      <c r="FO266" s="134"/>
      <c r="FP266" s="134"/>
    </row>
    <row r="267" spans="1:172">
      <c r="A267" s="7" t="s">
        <v>468</v>
      </c>
      <c r="B267" s="7" t="s">
        <v>469</v>
      </c>
      <c r="C267" s="7" t="s">
        <v>712</v>
      </c>
      <c r="D267" s="7" t="s">
        <v>720</v>
      </c>
      <c r="E267" s="7" t="s">
        <v>863</v>
      </c>
      <c r="F267" s="19" t="s">
        <v>814</v>
      </c>
      <c r="G267" s="19" t="s">
        <v>873</v>
      </c>
      <c r="H267" s="19">
        <f>VLOOKUP(Tabla_Buffers_Agroinsumos[[#This Row],[CODIGO ]],TABLACONSOLIDADA[[Codigo]:[PV]],6,0)</f>
        <v>0</v>
      </c>
      <c r="I267" s="19">
        <f>VLOOKUP(Tabla_Buffers_Agroinsumos[[#This Row],[CODIGO ]],TABLACONSOLIDADA[[Codigo]:[PV]],5,0)</f>
        <v>0.71</v>
      </c>
      <c r="J267" s="19">
        <v>12</v>
      </c>
      <c r="K267" s="19">
        <v>14</v>
      </c>
      <c r="L267" s="19">
        <f>IFERROR(Tabla_Buffers_Agroinsumos[[#This Row],[BUFFER CENTRAL]]/((Tabla_Buffers_Agroinsumos[[#This Row],[TIEMPO REPOSICION ]]/Tabla_Buffers_Agroinsumos[[#This Row],[FRECUENCIA]])+1),0)</f>
        <v>0</v>
      </c>
      <c r="M267" s="19">
        <f t="array" ref="M267">IFERROR(INDEX(TABLACONSOLIDADA[Buff Act],MATCH("AGROINSUMOSMATERIAPRIMA"&amp;Tabla_Buffers_Agroinsumos[[#This Row],[CODIGO ]],TABLACONSOLIDADA[Bodega]&amp;TABLACONSOLIDADA[Codigo],0)),"")</f>
        <v>0</v>
      </c>
      <c r="N267" s="157">
        <f t="array" ref="N267">IFERROR(INDEX(TABLACONSOLIDADA[Inv Fís Act],MATCH("AGROINSUMOSMATERIAPRIMA"&amp;Tabla_Buffers_Agroinsumos[[#This Row],[CODIGO ]],TABLACONSOLIDADA[Bodega]&amp;TABLACONSOLIDADA[Codigo],0)),"")</f>
        <v>0</v>
      </c>
      <c r="O267" s="157">
        <f t="array" ref="O26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26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67" s="19">
        <f>IFERROR(SUM(Tabla_Buffers_Agroinsumos[[#This Row],[MP-C]:[MP-VL]]),"")</f>
        <v>0</v>
      </c>
      <c r="R267" s="92">
        <f>IFERROR(Tabla_Buffers_Agroinsumos[[#This Row],[INV FIS MATERIA PRIMA]]-Tabla_Buffers_Agroinsumos[[#This Row],[BUFFER MATERIA PRIMA]],"")</f>
        <v>0</v>
      </c>
      <c r="S26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267" s="19"/>
      <c r="U267" s="19"/>
      <c r="V267" s="19"/>
      <c r="W267" s="19"/>
      <c r="X267" s="19"/>
      <c r="Y267" s="19"/>
      <c r="Z267" s="19"/>
      <c r="AA267" s="19"/>
      <c r="AB267" s="19"/>
      <c r="AC267" s="152" t="str">
        <f t="array" ref="AC267">IFERROR(INDEX(TABLACONSOLIDADA[Buff Act],MATCH("AGROINSUMOSCENTRAL"&amp;Tabla_Buffers_Agroinsumos[[#This Row],[CODIGO ]],TABLACONSOLIDADA[Bodega]&amp;TABLACONSOLIDADA[Codigo],0)),"")</f>
        <v/>
      </c>
      <c r="AD267" s="157" t="str">
        <f t="array" ref="AD267">IFERROR(INDEX(TABLACONSOLIDADA[Inv Fís Act],MATCH("AGROINSUMOSCENTRAL"&amp;Tabla_Buffers_Agroinsumos[[#This Row],[CODIGO ]],TABLACONSOLIDADA[Bodega]&amp;TABLACONSOLIDADA[Codigo],0)),"")</f>
        <v/>
      </c>
      <c r="AE267" s="157" t="str">
        <f t="array" ref="AE26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6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67" s="91">
        <f>IFERROR(SUM(Tabla_Buffers_Agroinsumos[[#This Row],[C-MP]:[C-VL]]),"")</f>
        <v>0</v>
      </c>
      <c r="AH267" s="92" t="str">
        <f>IFERROR(Tabla_Buffers_Agroinsumos[[#This Row],[INV FIS CENTRAL]]-Tabla_Buffers_Agroinsumos[[#This Row],[BUFFER CENTRAL]],"")</f>
        <v/>
      </c>
      <c r="AI26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67" s="134"/>
      <c r="AK267" s="134"/>
      <c r="AL267" s="134"/>
      <c r="AM267" s="134"/>
      <c r="AN267" s="134"/>
      <c r="AO267" s="134"/>
      <c r="AP267" s="134"/>
      <c r="AQ267" s="134"/>
      <c r="AR267" s="134"/>
      <c r="AS267" s="134" t="str">
        <f t="array" ref="AS267">IFERROR(INDEX(TABLACONSOLIDADA[Buff Act],MATCH("AGROINSUMOScentralPROPIA"&amp;Tabla_Buffers_Agroinsumos[[#This Row],[CODIGO ]],TABLACONSOLIDADA[Bodega]&amp;TABLACONSOLIDADA[Codigo],0)),"")</f>
        <v/>
      </c>
      <c r="AT267" s="157" t="str">
        <f t="array" ref="AT267">IFERROR(INDEX(TABLACONSOLIDADA[Inv Fís Act],MATCH("AGROINSUMOScentralPROPIA"&amp;Tabla_Buffers_Agroinsumos[[#This Row],[CODIGO ]],TABLACONSOLIDADA[Bodega]&amp;TABLACONSOLIDADA[Codigo],0)),"")</f>
        <v/>
      </c>
      <c r="AU267" s="157" t="str">
        <f t="array" ref="AU26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6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67" s="134">
        <f>IFERROR(SUM(Tabla_Buffers_Agroinsumos[[#This Row],[P-MP]:[P-VL]]),"")</f>
        <v>0</v>
      </c>
      <c r="AX267" s="92" t="str">
        <f>IFERROR(Tabla_Buffers_Agroinsumos[[#This Row],[INV FIS PROPIA]]-Tabla_Buffers_Agroinsumos[[#This Row],[BUFFER PROPIA]],"")</f>
        <v/>
      </c>
      <c r="AY26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67" s="134"/>
      <c r="BA267" s="134"/>
      <c r="BB267" s="134"/>
      <c r="BC267" s="134"/>
      <c r="BD267" s="134"/>
      <c r="BE267" s="134"/>
      <c r="BF267" s="134"/>
      <c r="BG267" s="134"/>
      <c r="BH267" s="134"/>
      <c r="BI267" s="91" t="str">
        <f t="array" ref="BI267">IFERROR(INDEX(TABLACONSOLIDADA[Buff Act],MATCH("AGROINSUMOSSTODOMINGO"&amp;Tabla_Buffers_Agroinsumos[[#This Row],[CODIGO ]],TABLACONSOLIDADA[Bodega]&amp;TABLACONSOLIDADA[Codigo],0)),"")</f>
        <v/>
      </c>
      <c r="BJ267" s="157" t="str">
        <f t="array" ref="BJ267">IFERROR(INDEX(TABLACONSOLIDADA[Inv Fís Act],MATCH("AGROINSUMOSSTODOMINGO"&amp;Tabla_Buffers_Agroinsumos[[#This Row],[CODIGO ]],TABLACONSOLIDADA[Bodega]&amp;TABLACONSOLIDADA[Codigo],0)),"")</f>
        <v/>
      </c>
      <c r="BK267" s="157" t="str">
        <f t="array" ref="BK26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6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67" s="91">
        <f>IFERROR(SUM(Tabla_Buffers_Agroinsumos[[#This Row],[SD-MP]:[SD-VL]]),"")</f>
        <v>0</v>
      </c>
      <c r="BN267" s="92"/>
      <c r="BO267" s="92"/>
      <c r="BP267" s="134"/>
      <c r="BQ267" s="134"/>
      <c r="BR267" s="134"/>
      <c r="BS267" s="134"/>
      <c r="BT267" s="134"/>
      <c r="BU267" s="134"/>
      <c r="BV267" s="134"/>
      <c r="BW267" s="134"/>
      <c r="BX267" s="134"/>
      <c r="BY267" s="134" t="str">
        <f t="array" ref="BY267">IFERROR(INDEX(TABLACONSOLIDADA[Buff Act],MATCH("AGROINSUMOSMONCAYOLOPEZ"&amp;Tabla_Buffers_Agroinsumos[[#This Row],[CODIGO ]],TABLACONSOLIDADA[Bodega]&amp;TABLACONSOLIDADA[Codigo],0)),"")</f>
        <v/>
      </c>
      <c r="BZ267" s="157" t="str">
        <f t="array" ref="BZ267">IFERROR(INDEX(TABLACONSOLIDADA[Inv Fís Act],MATCH("AGROINSUMOSMONCAYOLOPEZ"&amp;Tabla_Buffers_Agroinsumos[[#This Row],[CODIGO ]],TABLACONSOLIDADA[Bodega]&amp;TABLACONSOLIDADA[Codigo],0)),"")</f>
        <v/>
      </c>
      <c r="CA267" s="157" t="str">
        <f t="array" ref="CA26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6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67" s="134">
        <f>IFERROR(SUM(Tabla_Buffers_Agroinsumos[[#This Row],[ML-MP]:[ML-VL]]),"")</f>
        <v>0</v>
      </c>
      <c r="CD267" s="92" t="str">
        <f>IFERROR(Tabla_Buffers_Agroinsumos[[#This Row],[INV FIS ML]]-Tabla_Buffers_Agroinsumos[[#This Row],[BUFFER ML]],"")</f>
        <v/>
      </c>
      <c r="CE26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67" s="134"/>
      <c r="CG267" s="134"/>
      <c r="CH267" s="134"/>
      <c r="CI267" s="134"/>
      <c r="CJ267" s="134"/>
      <c r="CK267" s="134"/>
      <c r="CL267" s="134"/>
      <c r="CM267" s="134"/>
      <c r="CN267" s="134"/>
      <c r="CO267" s="134" t="str">
        <f t="array" ref="CO267">IFERROR(INDEX(TABLACONSOLIDADA[Buff Act],MATCH("AGROINSUMOSAGROHERMANOSLEON"&amp;Tabla_Buffers_Agroinsumos[[#This Row],[CODIGO ]],TABLACONSOLIDADA[Bodega]&amp;TABLACONSOLIDADA[Codigo],0)),"")</f>
        <v/>
      </c>
      <c r="CP267" s="157" t="str">
        <f t="array" ref="CP267">IFERROR(INDEX(TABLACONSOLIDADA[Inv Fís Act],MATCH("AGROINSUMOSAGROHERMANOSLEON"&amp;Tabla_Buffers_Agroinsumos[[#This Row],[CODIGO ]],TABLACONSOLIDADA[Bodega]&amp;TABLACONSOLIDADA[Codigo],0)),"")</f>
        <v/>
      </c>
      <c r="CQ267" s="157" t="str">
        <f t="array" ref="CQ26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6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67" s="134">
        <f>IFERROR(SUM(Tabla_Buffers_Agroinsumos[[#This Row],[AL-MP]:[AL-VL]]),"")</f>
        <v>0</v>
      </c>
      <c r="CT267" s="92" t="str">
        <f>IFERROR(Tabla_Buffers_Agroinsumos[[#This Row],[INV FIS AL]]-Tabla_Buffers_Agroinsumos[[#This Row],[BUFFER AL]],"")</f>
        <v/>
      </c>
      <c r="CU26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67" s="134"/>
      <c r="CW267" s="134"/>
      <c r="CX267" s="134"/>
      <c r="CY267" s="134"/>
      <c r="CZ267" s="134"/>
      <c r="DA267" s="134"/>
      <c r="DB267" s="134"/>
      <c r="DC267" s="134"/>
      <c r="DD267" s="134"/>
      <c r="DE267" s="134" t="str">
        <f t="array" ref="DE267">IFERROR(INDEX(TABLACONSOLIDADA[Buff Act],MATCH("AGROINSUMOSAGRONUEVO"&amp;Tabla_Buffers_Agroinsumos[[#This Row],[CODIGO ]],TABLACONSOLIDADA[Bodega]&amp;TABLACONSOLIDADA[Codigo],0)),"")</f>
        <v/>
      </c>
      <c r="DF267" s="157" t="str">
        <f t="array" ref="DF267">IFERROR(INDEX(TABLACONSOLIDADA[Inv Fís Act],MATCH("AGROINSUMOSAGRONUEVO"&amp;Tabla_Buffers_Agroinsumos[[#This Row],[CODIGO ]],TABLACONSOLIDADA[Bodega]&amp;TABLACONSOLIDADA[Codigo],0)),"")</f>
        <v/>
      </c>
      <c r="DG267" s="157" t="str">
        <f t="array" ref="DG26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6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67" s="134">
        <f>IFERROR(SUM(Tabla_Buffers_Agroinsumos[[#This Row],[AN-MP]:[AN-VL]]),"")</f>
        <v>0</v>
      </c>
      <c r="DJ267" s="92" t="str">
        <f>IFERROR(Tabla_Buffers_Agroinsumos[[#This Row],[INV FIS AN]]-Tabla_Buffers_Agroinsumos[[#This Row],[BUFFER AN]],"")</f>
        <v/>
      </c>
      <c r="DK26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67" s="134"/>
      <c r="DM267" s="134"/>
      <c r="DN267" s="134"/>
      <c r="DO267" s="134"/>
      <c r="DP267" s="134"/>
      <c r="DQ267" s="134"/>
      <c r="DR267" s="134"/>
      <c r="DS267" s="134"/>
      <c r="DT267" s="134"/>
      <c r="DU267" s="134" t="str">
        <f t="array" ref="DU267">IFERROR(INDEX(TABLACONSOLIDADA[Buff Act],MATCH("AGROINSUMOSAGROQUIMICOSSUR"&amp;Tabla_Buffers_Agroinsumos[[#This Row],[CODIGO ]],TABLACONSOLIDADA[Bodega]&amp;TABLACONSOLIDADA[Codigo],0)),"")</f>
        <v/>
      </c>
      <c r="DV267" s="157" t="str">
        <f t="array" ref="DV267">IFERROR(INDEX(TABLACONSOLIDADA[Inv Fís Act],MATCH("AGROINSUMOSAGROQUIMICOSSUR"&amp;Tabla_Buffers_Agroinsumos[[#This Row],[CODIGO ]],TABLACONSOLIDADA[Bodega]&amp;TABLACONSOLIDADA[Codigo],0)),"")</f>
        <v/>
      </c>
      <c r="DW267" s="157" t="str">
        <f t="array" ref="DW26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6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67" s="134">
        <f>IFERROR(SUM(Tabla_Buffers_Agroinsumos[[#This Row],[AS-MP]:[AS-VL]]),"")</f>
        <v>0</v>
      </c>
      <c r="DZ267" s="92" t="str">
        <f>IFERROR(Tabla_Buffers_Agroinsumos[[#This Row],[INV FIS AS]]-Tabla_Buffers_Agroinsumos[[#This Row],[BUFFER AS]],"")</f>
        <v/>
      </c>
      <c r="EA26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67" s="134"/>
      <c r="EC267" s="134"/>
      <c r="ED267" s="134"/>
      <c r="EE267" s="134"/>
      <c r="EF267" s="134"/>
      <c r="EG267" s="134"/>
      <c r="EH267" s="134"/>
      <c r="EI267" s="134"/>
      <c r="EJ267" s="134"/>
      <c r="EK267" s="134" t="str">
        <f t="array" ref="EK267">IFERROR(INDEX(TABLACONSOLIDADA[Buff Act],MATCH("AGROINSUMOSLAFINCA"&amp;Tabla_Buffers_Agroinsumos[[#This Row],[CODIGO ]],TABLACONSOLIDADA[Bodega]&amp;TABLACONSOLIDADA[Codigo],0)),"")</f>
        <v/>
      </c>
      <c r="EL267" s="157" t="str">
        <f t="array" ref="EL267">IFERROR(INDEX(TABLACONSOLIDADA[Inv Fís Act],MATCH("AGROINSUMOSLAFINCA"&amp;Tabla_Buffers_Agroinsumos[[#This Row],[CODIGO ]],TABLACONSOLIDADA[Bodega]&amp;TABLACONSOLIDADA[Codigo],0)),"")</f>
        <v/>
      </c>
      <c r="EM267" s="157" t="str">
        <f t="array" ref="EM26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6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67" s="134">
        <f>IFERROR(SUM(Tabla_Buffers_Agroinsumos[[#This Row],[LF-MP]:[LF-VL]]),"")</f>
        <v>0</v>
      </c>
      <c r="EP267" s="92" t="str">
        <f>IFERROR(Tabla_Buffers_Agroinsumos[[#This Row],[INV FIS LF]]-Tabla_Buffers_Agroinsumos[[#This Row],[BUFFER LF]],"")</f>
        <v/>
      </c>
      <c r="EQ26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67" s="134"/>
      <c r="ES267" s="134"/>
      <c r="ET267" s="134"/>
      <c r="EU267" s="134"/>
      <c r="EV267" s="134"/>
      <c r="EW267" s="134"/>
      <c r="EX267" s="134"/>
      <c r="EY267" s="134"/>
      <c r="EZ267" s="134"/>
      <c r="FA267" s="134" t="str">
        <f t="array" ref="FA267">IFERROR(INDEX(TABLACONSOLIDADA[Buff Act],MATCH("AGROINSUMOSVERONICALEDESMA"&amp;Tabla_Buffers_Agroinsumos[[#This Row],[CODIGO ]],TABLACONSOLIDADA[Bodega]&amp;TABLACONSOLIDADA[Codigo],0)),"")</f>
        <v/>
      </c>
      <c r="FB267" s="157" t="str">
        <f t="array" ref="FB267">IFERROR(INDEX(TABLACONSOLIDADA[Inv Fís Act],MATCH("AGROINSUMOSVERONICALEDESMA"&amp;Tabla_Buffers_Agroinsumos[[#This Row],[CODIGO ]],TABLACONSOLIDADA[Bodega]&amp;TABLACONSOLIDADA[Codigo],0)),"")</f>
        <v/>
      </c>
      <c r="FC267" s="157" t="str">
        <f t="array" ref="FC26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6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67" s="134">
        <f>IFERROR(SUM(Tabla_Buffers_Agroinsumos[[#This Row],[VL-MP]:[VL-LF]]),"")</f>
        <v>0</v>
      </c>
      <c r="FF267" s="92" t="str">
        <f>IFERROR(Tabla_Buffers_Agroinsumos[[#This Row],[INV FIS VL]]-Tabla_Buffers_Agroinsumos[[#This Row],[BUFFER VL]],"")</f>
        <v/>
      </c>
      <c r="FG26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67" s="134"/>
      <c r="FI267" s="134"/>
      <c r="FJ267" s="134"/>
      <c r="FK267" s="134"/>
      <c r="FL267" s="134"/>
      <c r="FM267" s="134"/>
      <c r="FN267" s="134"/>
      <c r="FO267" s="134"/>
      <c r="FP267" s="134"/>
    </row>
    <row r="268" spans="1:172">
      <c r="A268" s="7" t="s">
        <v>470</v>
      </c>
      <c r="B268" s="7" t="s">
        <v>471</v>
      </c>
      <c r="C268" s="7" t="s">
        <v>712</v>
      </c>
      <c r="D268" s="7" t="s">
        <v>720</v>
      </c>
      <c r="E268" s="7" t="s">
        <v>863</v>
      </c>
      <c r="F268" s="19" t="s">
        <v>814</v>
      </c>
      <c r="G268" s="19" t="s">
        <v>873</v>
      </c>
      <c r="H268" s="19">
        <f>VLOOKUP(Tabla_Buffers_Agroinsumos[[#This Row],[CODIGO ]],TABLACONSOLIDADA[[Codigo]:[PV]],6,0)</f>
        <v>0</v>
      </c>
      <c r="I268" s="19">
        <f>VLOOKUP(Tabla_Buffers_Agroinsumos[[#This Row],[CODIGO ]],TABLACONSOLIDADA[[Codigo]:[PV]],5,0)</f>
        <v>142.54</v>
      </c>
      <c r="J268" s="19">
        <v>12</v>
      </c>
      <c r="K268" s="19">
        <v>14</v>
      </c>
      <c r="L268" s="19">
        <f>IFERROR(Tabla_Buffers_Agroinsumos[[#This Row],[BUFFER CENTRAL]]/((Tabla_Buffers_Agroinsumos[[#This Row],[TIEMPO REPOSICION ]]/Tabla_Buffers_Agroinsumos[[#This Row],[FRECUENCIA]])+1),0)</f>
        <v>0</v>
      </c>
      <c r="M268" s="19">
        <f t="array" ref="M268">IFERROR(INDEX(TABLACONSOLIDADA[Buff Act],MATCH("AGROINSUMOSMATERIAPRIMA"&amp;Tabla_Buffers_Agroinsumos[[#This Row],[CODIGO ]],TABLACONSOLIDADA[Bodega]&amp;TABLACONSOLIDADA[Codigo],0)),"")</f>
        <v>60</v>
      </c>
      <c r="N268" s="157">
        <f t="array" ref="N268">IFERROR(INDEX(TABLACONSOLIDADA[Inv Fís Act],MATCH("AGROINSUMOSMATERIAPRIMA"&amp;Tabla_Buffers_Agroinsumos[[#This Row],[CODIGO ]],TABLACONSOLIDADA[Bodega]&amp;TABLACONSOLIDADA[Codigo],0)),"")</f>
        <v>60.113999999999997</v>
      </c>
      <c r="O268" s="157">
        <f t="array" ref="O26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60.113999999999997</v>
      </c>
      <c r="P26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68" s="19">
        <f>IFERROR(SUM(Tabla_Buffers_Agroinsumos[[#This Row],[MP-C]:[MP-VL]]),"")</f>
        <v>0</v>
      </c>
      <c r="R268" s="92">
        <f>IFERROR(Tabla_Buffers_Agroinsumos[[#This Row],[INV FIS MATERIA PRIMA]]-Tabla_Buffers_Agroinsumos[[#This Row],[BUFFER MATERIA PRIMA]],"")</f>
        <v>0.11399999999999721</v>
      </c>
      <c r="S268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0.11399999999999721</v>
      </c>
      <c r="T268" s="19"/>
      <c r="U268" s="19"/>
      <c r="V268" s="19"/>
      <c r="W268" s="19"/>
      <c r="X268" s="19"/>
      <c r="Y268" s="19"/>
      <c r="Z268" s="19"/>
      <c r="AA268" s="19"/>
      <c r="AB268" s="19"/>
      <c r="AC268" s="152" t="str">
        <f t="array" ref="AC268">IFERROR(INDEX(TABLACONSOLIDADA[Buff Act],MATCH("AGROINSUMOSCENTRAL"&amp;Tabla_Buffers_Agroinsumos[[#This Row],[CODIGO ]],TABLACONSOLIDADA[Bodega]&amp;TABLACONSOLIDADA[Codigo],0)),"")</f>
        <v/>
      </c>
      <c r="AD268" s="157" t="str">
        <f t="array" ref="AD268">IFERROR(INDEX(TABLACONSOLIDADA[Inv Fís Act],MATCH("AGROINSUMOSCENTRAL"&amp;Tabla_Buffers_Agroinsumos[[#This Row],[CODIGO ]],TABLACONSOLIDADA[Bodega]&amp;TABLACONSOLIDADA[Codigo],0)),"")</f>
        <v/>
      </c>
      <c r="AE268" s="157" t="str">
        <f t="array" ref="AE26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6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68" s="91">
        <f>IFERROR(SUM(Tabla_Buffers_Agroinsumos[[#This Row],[C-MP]:[C-VL]]),"")</f>
        <v>0</v>
      </c>
      <c r="AH268" s="92" t="str">
        <f>IFERROR(Tabla_Buffers_Agroinsumos[[#This Row],[INV FIS CENTRAL]]-Tabla_Buffers_Agroinsumos[[#This Row],[BUFFER CENTRAL]],"")</f>
        <v/>
      </c>
      <c r="AI26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68" s="134"/>
      <c r="AK268" s="134"/>
      <c r="AL268" s="134"/>
      <c r="AM268" s="134"/>
      <c r="AN268" s="134"/>
      <c r="AO268" s="134"/>
      <c r="AP268" s="134"/>
      <c r="AQ268" s="134"/>
      <c r="AR268" s="134"/>
      <c r="AS268" s="134" t="str">
        <f t="array" ref="AS268">IFERROR(INDEX(TABLACONSOLIDADA[Buff Act],MATCH("AGROINSUMOScentralPROPIA"&amp;Tabla_Buffers_Agroinsumos[[#This Row],[CODIGO ]],TABLACONSOLIDADA[Bodega]&amp;TABLACONSOLIDADA[Codigo],0)),"")</f>
        <v/>
      </c>
      <c r="AT268" s="157" t="str">
        <f t="array" ref="AT268">IFERROR(INDEX(TABLACONSOLIDADA[Inv Fís Act],MATCH("AGROINSUMOScentralPROPIA"&amp;Tabla_Buffers_Agroinsumos[[#This Row],[CODIGO ]],TABLACONSOLIDADA[Bodega]&amp;TABLACONSOLIDADA[Codigo],0)),"")</f>
        <v/>
      </c>
      <c r="AU268" s="157" t="str">
        <f t="array" ref="AU26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6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68" s="134">
        <f>IFERROR(SUM(Tabla_Buffers_Agroinsumos[[#This Row],[P-MP]:[P-VL]]),"")</f>
        <v>0</v>
      </c>
      <c r="AX268" s="92" t="str">
        <f>IFERROR(Tabla_Buffers_Agroinsumos[[#This Row],[INV FIS PROPIA]]-Tabla_Buffers_Agroinsumos[[#This Row],[BUFFER PROPIA]],"")</f>
        <v/>
      </c>
      <c r="AY26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68" s="134"/>
      <c r="BA268" s="134"/>
      <c r="BB268" s="134"/>
      <c r="BC268" s="134"/>
      <c r="BD268" s="134"/>
      <c r="BE268" s="134"/>
      <c r="BF268" s="134"/>
      <c r="BG268" s="134"/>
      <c r="BH268" s="134"/>
      <c r="BI268" s="91" t="str">
        <f t="array" ref="BI268">IFERROR(INDEX(TABLACONSOLIDADA[Buff Act],MATCH("AGROINSUMOSSTODOMINGO"&amp;Tabla_Buffers_Agroinsumos[[#This Row],[CODIGO ]],TABLACONSOLIDADA[Bodega]&amp;TABLACONSOLIDADA[Codigo],0)),"")</f>
        <v/>
      </c>
      <c r="BJ268" s="157" t="str">
        <f t="array" ref="BJ268">IFERROR(INDEX(TABLACONSOLIDADA[Inv Fís Act],MATCH("AGROINSUMOSSTODOMINGO"&amp;Tabla_Buffers_Agroinsumos[[#This Row],[CODIGO ]],TABLACONSOLIDADA[Bodega]&amp;TABLACONSOLIDADA[Codigo],0)),"")</f>
        <v/>
      </c>
      <c r="BK268" s="157" t="str">
        <f t="array" ref="BK26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6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68" s="91">
        <f>IFERROR(SUM(Tabla_Buffers_Agroinsumos[[#This Row],[SD-MP]:[SD-VL]]),"")</f>
        <v>0</v>
      </c>
      <c r="BN268" s="92"/>
      <c r="BO268" s="92"/>
      <c r="BP268" s="134"/>
      <c r="BQ268" s="134"/>
      <c r="BR268" s="134"/>
      <c r="BS268" s="134"/>
      <c r="BT268" s="134"/>
      <c r="BU268" s="134"/>
      <c r="BV268" s="134"/>
      <c r="BW268" s="134"/>
      <c r="BX268" s="134"/>
      <c r="BY268" s="134" t="str">
        <f t="array" ref="BY268">IFERROR(INDEX(TABLACONSOLIDADA[Buff Act],MATCH("AGROINSUMOSMONCAYOLOPEZ"&amp;Tabla_Buffers_Agroinsumos[[#This Row],[CODIGO ]],TABLACONSOLIDADA[Bodega]&amp;TABLACONSOLIDADA[Codigo],0)),"")</f>
        <v/>
      </c>
      <c r="BZ268" s="157" t="str">
        <f t="array" ref="BZ268">IFERROR(INDEX(TABLACONSOLIDADA[Inv Fís Act],MATCH("AGROINSUMOSMONCAYOLOPEZ"&amp;Tabla_Buffers_Agroinsumos[[#This Row],[CODIGO ]],TABLACONSOLIDADA[Bodega]&amp;TABLACONSOLIDADA[Codigo],0)),"")</f>
        <v/>
      </c>
      <c r="CA268" s="157" t="str">
        <f t="array" ref="CA26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6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68" s="134">
        <f>IFERROR(SUM(Tabla_Buffers_Agroinsumos[[#This Row],[ML-MP]:[ML-VL]]),"")</f>
        <v>0</v>
      </c>
      <c r="CD268" s="92" t="str">
        <f>IFERROR(Tabla_Buffers_Agroinsumos[[#This Row],[INV FIS ML]]-Tabla_Buffers_Agroinsumos[[#This Row],[BUFFER ML]],"")</f>
        <v/>
      </c>
      <c r="CE26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68" s="134"/>
      <c r="CG268" s="134"/>
      <c r="CH268" s="134"/>
      <c r="CI268" s="134"/>
      <c r="CJ268" s="134"/>
      <c r="CK268" s="134"/>
      <c r="CL268" s="134"/>
      <c r="CM268" s="134"/>
      <c r="CN268" s="134"/>
      <c r="CO268" s="134" t="str">
        <f t="array" ref="CO268">IFERROR(INDEX(TABLACONSOLIDADA[Buff Act],MATCH("AGROINSUMOSAGROHERMANOSLEON"&amp;Tabla_Buffers_Agroinsumos[[#This Row],[CODIGO ]],TABLACONSOLIDADA[Bodega]&amp;TABLACONSOLIDADA[Codigo],0)),"")</f>
        <v/>
      </c>
      <c r="CP268" s="157" t="str">
        <f t="array" ref="CP268">IFERROR(INDEX(TABLACONSOLIDADA[Inv Fís Act],MATCH("AGROINSUMOSAGROHERMANOSLEON"&amp;Tabla_Buffers_Agroinsumos[[#This Row],[CODIGO ]],TABLACONSOLIDADA[Bodega]&amp;TABLACONSOLIDADA[Codigo],0)),"")</f>
        <v/>
      </c>
      <c r="CQ268" s="157" t="str">
        <f t="array" ref="CQ26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6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68" s="134">
        <f>IFERROR(SUM(Tabla_Buffers_Agroinsumos[[#This Row],[AL-MP]:[AL-VL]]),"")</f>
        <v>0</v>
      </c>
      <c r="CT268" s="92" t="str">
        <f>IFERROR(Tabla_Buffers_Agroinsumos[[#This Row],[INV FIS AL]]-Tabla_Buffers_Agroinsumos[[#This Row],[BUFFER AL]],"")</f>
        <v/>
      </c>
      <c r="CU26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68" s="134"/>
      <c r="CW268" s="134"/>
      <c r="CX268" s="134"/>
      <c r="CY268" s="134"/>
      <c r="CZ268" s="134"/>
      <c r="DA268" s="134"/>
      <c r="DB268" s="134"/>
      <c r="DC268" s="134"/>
      <c r="DD268" s="134"/>
      <c r="DE268" s="134" t="str">
        <f t="array" ref="DE268">IFERROR(INDEX(TABLACONSOLIDADA[Buff Act],MATCH("AGROINSUMOSAGRONUEVO"&amp;Tabla_Buffers_Agroinsumos[[#This Row],[CODIGO ]],TABLACONSOLIDADA[Bodega]&amp;TABLACONSOLIDADA[Codigo],0)),"")</f>
        <v/>
      </c>
      <c r="DF268" s="157" t="str">
        <f t="array" ref="DF268">IFERROR(INDEX(TABLACONSOLIDADA[Inv Fís Act],MATCH("AGROINSUMOSAGRONUEVO"&amp;Tabla_Buffers_Agroinsumos[[#This Row],[CODIGO ]],TABLACONSOLIDADA[Bodega]&amp;TABLACONSOLIDADA[Codigo],0)),"")</f>
        <v/>
      </c>
      <c r="DG268" s="157" t="str">
        <f t="array" ref="DG26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6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68" s="134">
        <f>IFERROR(SUM(Tabla_Buffers_Agroinsumos[[#This Row],[AN-MP]:[AN-VL]]),"")</f>
        <v>0</v>
      </c>
      <c r="DJ268" s="92" t="str">
        <f>IFERROR(Tabla_Buffers_Agroinsumos[[#This Row],[INV FIS AN]]-Tabla_Buffers_Agroinsumos[[#This Row],[BUFFER AN]],"")</f>
        <v/>
      </c>
      <c r="DK26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68" s="134"/>
      <c r="DM268" s="134"/>
      <c r="DN268" s="134"/>
      <c r="DO268" s="134"/>
      <c r="DP268" s="134"/>
      <c r="DQ268" s="134"/>
      <c r="DR268" s="134"/>
      <c r="DS268" s="134"/>
      <c r="DT268" s="134"/>
      <c r="DU268" s="134" t="str">
        <f t="array" ref="DU268">IFERROR(INDEX(TABLACONSOLIDADA[Buff Act],MATCH("AGROINSUMOSAGROQUIMICOSSUR"&amp;Tabla_Buffers_Agroinsumos[[#This Row],[CODIGO ]],TABLACONSOLIDADA[Bodega]&amp;TABLACONSOLIDADA[Codigo],0)),"")</f>
        <v/>
      </c>
      <c r="DV268" s="157" t="str">
        <f t="array" ref="DV268">IFERROR(INDEX(TABLACONSOLIDADA[Inv Fís Act],MATCH("AGROINSUMOSAGROQUIMICOSSUR"&amp;Tabla_Buffers_Agroinsumos[[#This Row],[CODIGO ]],TABLACONSOLIDADA[Bodega]&amp;TABLACONSOLIDADA[Codigo],0)),"")</f>
        <v/>
      </c>
      <c r="DW268" s="157" t="str">
        <f t="array" ref="DW26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6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68" s="134">
        <f>IFERROR(SUM(Tabla_Buffers_Agroinsumos[[#This Row],[AS-MP]:[AS-VL]]),"")</f>
        <v>0</v>
      </c>
      <c r="DZ268" s="92" t="str">
        <f>IFERROR(Tabla_Buffers_Agroinsumos[[#This Row],[INV FIS AS]]-Tabla_Buffers_Agroinsumos[[#This Row],[BUFFER AS]],"")</f>
        <v/>
      </c>
      <c r="EA26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68" s="134"/>
      <c r="EC268" s="134"/>
      <c r="ED268" s="134"/>
      <c r="EE268" s="134"/>
      <c r="EF268" s="134"/>
      <c r="EG268" s="134"/>
      <c r="EH268" s="134"/>
      <c r="EI268" s="134"/>
      <c r="EJ268" s="134"/>
      <c r="EK268" s="134" t="str">
        <f t="array" ref="EK268">IFERROR(INDEX(TABLACONSOLIDADA[Buff Act],MATCH("AGROINSUMOSLAFINCA"&amp;Tabla_Buffers_Agroinsumos[[#This Row],[CODIGO ]],TABLACONSOLIDADA[Bodega]&amp;TABLACONSOLIDADA[Codigo],0)),"")</f>
        <v/>
      </c>
      <c r="EL268" s="157" t="str">
        <f t="array" ref="EL268">IFERROR(INDEX(TABLACONSOLIDADA[Inv Fís Act],MATCH("AGROINSUMOSLAFINCA"&amp;Tabla_Buffers_Agroinsumos[[#This Row],[CODIGO ]],TABLACONSOLIDADA[Bodega]&amp;TABLACONSOLIDADA[Codigo],0)),"")</f>
        <v/>
      </c>
      <c r="EM268" s="157" t="str">
        <f t="array" ref="EM26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6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68" s="134">
        <f>IFERROR(SUM(Tabla_Buffers_Agroinsumos[[#This Row],[LF-MP]:[LF-VL]]),"")</f>
        <v>0</v>
      </c>
      <c r="EP268" s="92" t="str">
        <f>IFERROR(Tabla_Buffers_Agroinsumos[[#This Row],[INV FIS LF]]-Tabla_Buffers_Agroinsumos[[#This Row],[BUFFER LF]],"")</f>
        <v/>
      </c>
      <c r="EQ26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68" s="134"/>
      <c r="ES268" s="134"/>
      <c r="ET268" s="134"/>
      <c r="EU268" s="134"/>
      <c r="EV268" s="134"/>
      <c r="EW268" s="134"/>
      <c r="EX268" s="134"/>
      <c r="EY268" s="134"/>
      <c r="EZ268" s="134"/>
      <c r="FA268" s="134" t="str">
        <f t="array" ref="FA268">IFERROR(INDEX(TABLACONSOLIDADA[Buff Act],MATCH("AGROINSUMOSVERONICALEDESMA"&amp;Tabla_Buffers_Agroinsumos[[#This Row],[CODIGO ]],TABLACONSOLIDADA[Bodega]&amp;TABLACONSOLIDADA[Codigo],0)),"")</f>
        <v/>
      </c>
      <c r="FB268" s="157" t="str">
        <f t="array" ref="FB268">IFERROR(INDEX(TABLACONSOLIDADA[Inv Fís Act],MATCH("AGROINSUMOSVERONICALEDESMA"&amp;Tabla_Buffers_Agroinsumos[[#This Row],[CODIGO ]],TABLACONSOLIDADA[Bodega]&amp;TABLACONSOLIDADA[Codigo],0)),"")</f>
        <v/>
      </c>
      <c r="FC268" s="157" t="str">
        <f t="array" ref="FC26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6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68" s="134">
        <f>IFERROR(SUM(Tabla_Buffers_Agroinsumos[[#This Row],[VL-MP]:[VL-LF]]),"")</f>
        <v>0</v>
      </c>
      <c r="FF268" s="92" t="str">
        <f>IFERROR(Tabla_Buffers_Agroinsumos[[#This Row],[INV FIS VL]]-Tabla_Buffers_Agroinsumos[[#This Row],[BUFFER VL]],"")</f>
        <v/>
      </c>
      <c r="FG26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68" s="134"/>
      <c r="FI268" s="134"/>
      <c r="FJ268" s="134"/>
      <c r="FK268" s="134"/>
      <c r="FL268" s="134"/>
      <c r="FM268" s="134"/>
      <c r="FN268" s="134"/>
      <c r="FO268" s="134"/>
      <c r="FP268" s="134"/>
    </row>
    <row r="269" spans="1:172">
      <c r="A269" s="7" t="s">
        <v>897</v>
      </c>
      <c r="B269" s="7" t="s">
        <v>955</v>
      </c>
      <c r="C269" s="7" t="s">
        <v>946</v>
      </c>
      <c r="D269" s="7" t="s">
        <v>719</v>
      </c>
      <c r="E269" s="7" t="s">
        <v>975</v>
      </c>
      <c r="F269" s="19" t="s">
        <v>698</v>
      </c>
      <c r="G269" s="19" t="s">
        <v>698</v>
      </c>
      <c r="H269" s="19">
        <f>VLOOKUP(Tabla_Buffers_Agroinsumos[[#This Row],[CODIGO ]],TABLACONSOLIDADA[[Codigo]:[PV]],6,0)</f>
        <v>0</v>
      </c>
      <c r="I269" s="19">
        <f>VLOOKUP(Tabla_Buffers_Agroinsumos[[#This Row],[CODIGO ]],TABLACONSOLIDADA[[Codigo]:[PV]],5,0)</f>
        <v>0.6</v>
      </c>
      <c r="J269" s="19" t="s">
        <v>698</v>
      </c>
      <c r="K269" s="19" t="s">
        <v>698</v>
      </c>
      <c r="L269" s="19">
        <f>IFERROR(Tabla_Buffers_Agroinsumos[[#This Row],[BUFFER CENTRAL]]/((Tabla_Buffers_Agroinsumos[[#This Row],[TIEMPO REPOSICION ]]/Tabla_Buffers_Agroinsumos[[#This Row],[FRECUENCIA]])+1),0)</f>
        <v>0</v>
      </c>
      <c r="M269" s="19" t="str">
        <f t="array" ref="M269">IFERROR(INDEX(TABLACONSOLIDADA[Buff Act],MATCH("AGROINSUMOSMATERIAPRIMA"&amp;Tabla_Buffers_Agroinsumos[[#This Row],[CODIGO ]],TABLACONSOLIDADA[Bodega]&amp;TABLACONSOLIDADA[Codigo],0)),"")</f>
        <v/>
      </c>
      <c r="N269" s="157" t="str">
        <f t="array" ref="N269">IFERROR(INDEX(TABLACONSOLIDADA[Inv Fís Act],MATCH("AGROINSUMOSMATERIAPRIMA"&amp;Tabla_Buffers_Agroinsumos[[#This Row],[CODIGO ]],TABLACONSOLIDADA[Bodega]&amp;TABLACONSOLIDADA[Codigo],0)),"")</f>
        <v/>
      </c>
      <c r="O269" s="157" t="str">
        <f t="array" ref="O26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6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69" s="19">
        <f>IFERROR(SUM(Tabla_Buffers_Agroinsumos[[#This Row],[MP-C]:[MP-VL]]),"")</f>
        <v>0</v>
      </c>
      <c r="R269" s="92" t="str">
        <f>IFERROR(Tabla_Buffers_Agroinsumos[[#This Row],[INV FIS MATERIA PRIMA]]-Tabla_Buffers_Agroinsumos[[#This Row],[BUFFER MATERIA PRIMA]],"")</f>
        <v/>
      </c>
      <c r="S26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69" s="19"/>
      <c r="U269" s="19"/>
      <c r="V269" s="19"/>
      <c r="W269" s="19"/>
      <c r="X269" s="19"/>
      <c r="Y269" s="19"/>
      <c r="Z269" s="19"/>
      <c r="AA269" s="19"/>
      <c r="AB269" s="19"/>
      <c r="AC269" s="152">
        <f t="array" ref="AC269">IFERROR(INDEX(TABLACONSOLIDADA[Buff Act],MATCH("AGROINSUMOSCENTRAL"&amp;Tabla_Buffers_Agroinsumos[[#This Row],[CODIGO ]],TABLACONSOLIDADA[Bodega]&amp;TABLACONSOLIDADA[Codigo],0)),"")</f>
        <v>0</v>
      </c>
      <c r="AD269" s="157">
        <f t="array" ref="AD269">IFERROR(INDEX(TABLACONSOLIDADA[Inv Fís Act],MATCH("AGROINSUMOSCENTRAL"&amp;Tabla_Buffers_Agroinsumos[[#This Row],[CODIGO ]],TABLACONSOLIDADA[Bodega]&amp;TABLACONSOLIDADA[Codigo],0)),"")</f>
        <v>0</v>
      </c>
      <c r="AE269" s="157">
        <f t="array" ref="AE26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6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69" s="91">
        <f>IFERROR(SUM(Tabla_Buffers_Agroinsumos[[#This Row],[C-MP]:[C-VL]]),"")</f>
        <v>0</v>
      </c>
      <c r="AH269" s="92">
        <f>IFERROR(Tabla_Buffers_Agroinsumos[[#This Row],[INV FIS CENTRAL]]-Tabla_Buffers_Agroinsumos[[#This Row],[BUFFER CENTRAL]],"")</f>
        <v>0</v>
      </c>
      <c r="AI26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69" s="134"/>
      <c r="AK269" s="134"/>
      <c r="AL269" s="134"/>
      <c r="AM269" s="134"/>
      <c r="AN269" s="134"/>
      <c r="AO269" s="134"/>
      <c r="AP269" s="134"/>
      <c r="AQ269" s="134"/>
      <c r="AR269" s="134"/>
      <c r="AS269" s="134">
        <f t="array" ref="AS269">IFERROR(INDEX(TABLACONSOLIDADA[Buff Act],MATCH("AGROINSUMOScentralPROPIA"&amp;Tabla_Buffers_Agroinsumos[[#This Row],[CODIGO ]],TABLACONSOLIDADA[Bodega]&amp;TABLACONSOLIDADA[Codigo],0)),"")</f>
        <v>60</v>
      </c>
      <c r="AT269" s="157">
        <f t="array" ref="AT269">IFERROR(INDEX(TABLACONSOLIDADA[Inv Fís Act],MATCH("AGROINSUMOScentralPROPIA"&amp;Tabla_Buffers_Agroinsumos[[#This Row],[CODIGO ]],TABLACONSOLIDADA[Bodega]&amp;TABLACONSOLIDADA[Codigo],0)),"")</f>
        <v>0</v>
      </c>
      <c r="AU269" s="157">
        <f t="array" ref="AU26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6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69" s="134">
        <f>IFERROR(SUM(Tabla_Buffers_Agroinsumos[[#This Row],[P-MP]:[P-VL]]),"")</f>
        <v>0</v>
      </c>
      <c r="AX269" s="92">
        <f>IFERROR(Tabla_Buffers_Agroinsumos[[#This Row],[INV FIS PROPIA]]-Tabla_Buffers_Agroinsumos[[#This Row],[BUFFER PROPIA]],"")</f>
        <v>-60</v>
      </c>
      <c r="AY26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-60</v>
      </c>
      <c r="AZ269" s="134"/>
      <c r="BA269" s="134"/>
      <c r="BB269" s="134"/>
      <c r="BC269" s="134"/>
      <c r="BD269" s="134"/>
      <c r="BE269" s="134"/>
      <c r="BF269" s="134"/>
      <c r="BG269" s="134"/>
      <c r="BH269" s="134"/>
      <c r="BI269" s="91" t="str">
        <f t="array" ref="BI269">IFERROR(INDEX(TABLACONSOLIDADA[Buff Act],MATCH("AGROINSUMOSSTODOMINGO"&amp;Tabla_Buffers_Agroinsumos[[#This Row],[CODIGO ]],TABLACONSOLIDADA[Bodega]&amp;TABLACONSOLIDADA[Codigo],0)),"")</f>
        <v/>
      </c>
      <c r="BJ269" s="157" t="str">
        <f t="array" ref="BJ269">IFERROR(INDEX(TABLACONSOLIDADA[Inv Fís Act],MATCH("AGROINSUMOSSTODOMINGO"&amp;Tabla_Buffers_Agroinsumos[[#This Row],[CODIGO ]],TABLACONSOLIDADA[Bodega]&amp;TABLACONSOLIDADA[Codigo],0)),"")</f>
        <v/>
      </c>
      <c r="BK269" s="157" t="str">
        <f t="array" ref="BK26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6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69" s="91">
        <f>IFERROR(SUM(Tabla_Buffers_Agroinsumos[[#This Row],[SD-MP]:[SD-VL]]),"")</f>
        <v>0</v>
      </c>
      <c r="BN269" s="92"/>
      <c r="BO269" s="92"/>
      <c r="BP269" s="134"/>
      <c r="BQ269" s="134"/>
      <c r="BR269" s="134"/>
      <c r="BS269" s="134"/>
      <c r="BT269" s="134"/>
      <c r="BU269" s="134"/>
      <c r="BV269" s="134"/>
      <c r="BW269" s="134"/>
      <c r="BX269" s="134"/>
      <c r="BY269" s="134">
        <f t="array" ref="BY269">IFERROR(INDEX(TABLACONSOLIDADA[Buff Act],MATCH("AGROINSUMOSMONCAYOLOPEZ"&amp;Tabla_Buffers_Agroinsumos[[#This Row],[CODIGO ]],TABLACONSOLIDADA[Bodega]&amp;TABLACONSOLIDADA[Codigo],0)),"")</f>
        <v>0</v>
      </c>
      <c r="BZ269" s="157">
        <f t="array" ref="BZ269">IFERROR(INDEX(TABLACONSOLIDADA[Inv Fís Act],MATCH("AGROINSUMOSMONCAYOLOPEZ"&amp;Tabla_Buffers_Agroinsumos[[#This Row],[CODIGO ]],TABLACONSOLIDADA[Bodega]&amp;TABLACONSOLIDADA[Codigo],0)),"")</f>
        <v>0</v>
      </c>
      <c r="CA269" s="157">
        <f t="array" ref="CA26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6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69" s="134">
        <f>IFERROR(SUM(Tabla_Buffers_Agroinsumos[[#This Row],[ML-MP]:[ML-VL]]),"")</f>
        <v>0</v>
      </c>
      <c r="CD269" s="92">
        <f>IFERROR(Tabla_Buffers_Agroinsumos[[#This Row],[INV FIS ML]]-Tabla_Buffers_Agroinsumos[[#This Row],[BUFFER ML]],"")</f>
        <v>0</v>
      </c>
      <c r="CE26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69" s="134"/>
      <c r="CG269" s="134"/>
      <c r="CH269" s="134"/>
      <c r="CI269" s="134"/>
      <c r="CJ269" s="134"/>
      <c r="CK269" s="134"/>
      <c r="CL269" s="134"/>
      <c r="CM269" s="134"/>
      <c r="CN269" s="134"/>
      <c r="CO269" s="134">
        <f t="array" ref="CO269">IFERROR(INDEX(TABLACONSOLIDADA[Buff Act],MATCH("AGROINSUMOSAGROHERMANOSLEON"&amp;Tabla_Buffers_Agroinsumos[[#This Row],[CODIGO ]],TABLACONSOLIDADA[Bodega]&amp;TABLACONSOLIDADA[Codigo],0)),"")</f>
        <v>0</v>
      </c>
      <c r="CP269" s="157">
        <f t="array" ref="CP269">IFERROR(INDEX(TABLACONSOLIDADA[Inv Fís Act],MATCH("AGROINSUMOSAGROHERMANOSLEON"&amp;Tabla_Buffers_Agroinsumos[[#This Row],[CODIGO ]],TABLACONSOLIDADA[Bodega]&amp;TABLACONSOLIDADA[Codigo],0)),"")</f>
        <v>0</v>
      </c>
      <c r="CQ269" s="157">
        <f t="array" ref="CQ26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6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69" s="134">
        <f>IFERROR(SUM(Tabla_Buffers_Agroinsumos[[#This Row],[AL-MP]:[AL-VL]]),"")</f>
        <v>0</v>
      </c>
      <c r="CT269" s="92">
        <f>IFERROR(Tabla_Buffers_Agroinsumos[[#This Row],[INV FIS AL]]-Tabla_Buffers_Agroinsumos[[#This Row],[BUFFER AL]],"")</f>
        <v>0</v>
      </c>
      <c r="CU269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69" s="134"/>
      <c r="CW269" s="134"/>
      <c r="CX269" s="134"/>
      <c r="CY269" s="134"/>
      <c r="CZ269" s="134"/>
      <c r="DA269" s="134"/>
      <c r="DB269" s="134"/>
      <c r="DC269" s="134"/>
      <c r="DD269" s="134"/>
      <c r="DE269" s="134">
        <f t="array" ref="DE269">IFERROR(INDEX(TABLACONSOLIDADA[Buff Act],MATCH("AGROINSUMOSAGRONUEVO"&amp;Tabla_Buffers_Agroinsumos[[#This Row],[CODIGO ]],TABLACONSOLIDADA[Bodega]&amp;TABLACONSOLIDADA[Codigo],0)),"")</f>
        <v>0</v>
      </c>
      <c r="DF269" s="157">
        <f t="array" ref="DF269">IFERROR(INDEX(TABLACONSOLIDADA[Inv Fís Act],MATCH("AGROINSUMOSAGRONUEVO"&amp;Tabla_Buffers_Agroinsumos[[#This Row],[CODIGO ]],TABLACONSOLIDADA[Bodega]&amp;TABLACONSOLIDADA[Codigo],0)),"")</f>
        <v>0</v>
      </c>
      <c r="DG269" s="157">
        <f t="array" ref="DG26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6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69" s="134">
        <f>IFERROR(SUM(Tabla_Buffers_Agroinsumos[[#This Row],[AN-MP]:[AN-VL]]),"")</f>
        <v>0</v>
      </c>
      <c r="DJ269" s="92">
        <f>IFERROR(Tabla_Buffers_Agroinsumos[[#This Row],[INV FIS AN]]-Tabla_Buffers_Agroinsumos[[#This Row],[BUFFER AN]],"")</f>
        <v>0</v>
      </c>
      <c r="DK26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69" s="134"/>
      <c r="DM269" s="134"/>
      <c r="DN269" s="134"/>
      <c r="DO269" s="134"/>
      <c r="DP269" s="134"/>
      <c r="DQ269" s="134"/>
      <c r="DR269" s="134"/>
      <c r="DS269" s="134"/>
      <c r="DT269" s="134"/>
      <c r="DU269" s="134">
        <f t="array" ref="DU269">IFERROR(INDEX(TABLACONSOLIDADA[Buff Act],MATCH("AGROINSUMOSAGROQUIMICOSSUR"&amp;Tabla_Buffers_Agroinsumos[[#This Row],[CODIGO ]],TABLACONSOLIDADA[Bodega]&amp;TABLACONSOLIDADA[Codigo],0)),"")</f>
        <v>0</v>
      </c>
      <c r="DV269" s="157">
        <f t="array" ref="DV269">IFERROR(INDEX(TABLACONSOLIDADA[Inv Fís Act],MATCH("AGROINSUMOSAGROQUIMICOSSUR"&amp;Tabla_Buffers_Agroinsumos[[#This Row],[CODIGO ]],TABLACONSOLIDADA[Bodega]&amp;TABLACONSOLIDADA[Codigo],0)),"")</f>
        <v>0</v>
      </c>
      <c r="DW269" s="157">
        <f t="array" ref="DW26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6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69" s="134">
        <f>IFERROR(SUM(Tabla_Buffers_Agroinsumos[[#This Row],[AS-MP]:[AS-VL]]),"")</f>
        <v>0</v>
      </c>
      <c r="DZ269" s="92">
        <f>IFERROR(Tabla_Buffers_Agroinsumos[[#This Row],[INV FIS AS]]-Tabla_Buffers_Agroinsumos[[#This Row],[BUFFER AS]],"")</f>
        <v>0</v>
      </c>
      <c r="EA26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69" s="134"/>
      <c r="EC269" s="134"/>
      <c r="ED269" s="134"/>
      <c r="EE269" s="134"/>
      <c r="EF269" s="134"/>
      <c r="EG269" s="134"/>
      <c r="EH269" s="134"/>
      <c r="EI269" s="134"/>
      <c r="EJ269" s="134"/>
      <c r="EK269" s="134">
        <f t="array" ref="EK269">IFERROR(INDEX(TABLACONSOLIDADA[Buff Act],MATCH("AGROINSUMOSLAFINCA"&amp;Tabla_Buffers_Agroinsumos[[#This Row],[CODIGO ]],TABLACONSOLIDADA[Bodega]&amp;TABLACONSOLIDADA[Codigo],0)),"")</f>
        <v>0</v>
      </c>
      <c r="EL269" s="157">
        <f t="array" ref="EL269">IFERROR(INDEX(TABLACONSOLIDADA[Inv Fís Act],MATCH("AGROINSUMOSLAFINCA"&amp;Tabla_Buffers_Agroinsumos[[#This Row],[CODIGO ]],TABLACONSOLIDADA[Bodega]&amp;TABLACONSOLIDADA[Codigo],0)),"")</f>
        <v>0</v>
      </c>
      <c r="EM269" s="157">
        <f t="array" ref="EM26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6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69" s="134">
        <f>IFERROR(SUM(Tabla_Buffers_Agroinsumos[[#This Row],[LF-MP]:[LF-VL]]),"")</f>
        <v>0</v>
      </c>
      <c r="EP269" s="92">
        <f>IFERROR(Tabla_Buffers_Agroinsumos[[#This Row],[INV FIS LF]]-Tabla_Buffers_Agroinsumos[[#This Row],[BUFFER LF]],"")</f>
        <v>0</v>
      </c>
      <c r="EQ26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69" s="134"/>
      <c r="ES269" s="134"/>
      <c r="ET269" s="134"/>
      <c r="EU269" s="134"/>
      <c r="EV269" s="134"/>
      <c r="EW269" s="134"/>
      <c r="EX269" s="134"/>
      <c r="EY269" s="134"/>
      <c r="EZ269" s="134"/>
      <c r="FA269" s="134">
        <f t="array" ref="FA269">IFERROR(INDEX(TABLACONSOLIDADA[Buff Act],MATCH("AGROINSUMOSVERONICALEDESMA"&amp;Tabla_Buffers_Agroinsumos[[#This Row],[CODIGO ]],TABLACONSOLIDADA[Bodega]&amp;TABLACONSOLIDADA[Codigo],0)),"")</f>
        <v>0</v>
      </c>
      <c r="FB269" s="157">
        <f t="array" ref="FB269">IFERROR(INDEX(TABLACONSOLIDADA[Inv Fís Act],MATCH("AGROINSUMOSVERONICALEDESMA"&amp;Tabla_Buffers_Agroinsumos[[#This Row],[CODIGO ]],TABLACONSOLIDADA[Bodega]&amp;TABLACONSOLIDADA[Codigo],0)),"")</f>
        <v>0</v>
      </c>
      <c r="FC269" s="157">
        <f t="array" ref="FC26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6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69" s="134">
        <f>IFERROR(SUM(Tabla_Buffers_Agroinsumos[[#This Row],[VL-MP]:[VL-LF]]),"")</f>
        <v>0</v>
      </c>
      <c r="FF269" s="92">
        <f>IFERROR(Tabla_Buffers_Agroinsumos[[#This Row],[INV FIS VL]]-Tabla_Buffers_Agroinsumos[[#This Row],[BUFFER VL]],"")</f>
        <v>0</v>
      </c>
      <c r="FG26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69" s="134"/>
      <c r="FI269" s="134"/>
      <c r="FJ269" s="134"/>
      <c r="FK269" s="134"/>
      <c r="FL269" s="134"/>
      <c r="FM269" s="134"/>
      <c r="FN269" s="134"/>
      <c r="FO269" s="134"/>
      <c r="FP269" s="134"/>
    </row>
    <row r="270" spans="1:172">
      <c r="A270" s="7" t="s">
        <v>898</v>
      </c>
      <c r="B270" s="7" t="s">
        <v>956</v>
      </c>
      <c r="C270" s="7" t="s">
        <v>946</v>
      </c>
      <c r="D270" s="7" t="s">
        <v>719</v>
      </c>
      <c r="E270" s="7" t="s">
        <v>975</v>
      </c>
      <c r="F270" s="19" t="s">
        <v>698</v>
      </c>
      <c r="G270" s="19" t="s">
        <v>698</v>
      </c>
      <c r="H270" s="19">
        <f>VLOOKUP(Tabla_Buffers_Agroinsumos[[#This Row],[CODIGO ]],TABLACONSOLIDADA[[Codigo]:[PV]],6,0)</f>
        <v>0</v>
      </c>
      <c r="I270" s="19">
        <f>VLOOKUP(Tabla_Buffers_Agroinsumos[[#This Row],[CODIGO ]],TABLACONSOLIDADA[[Codigo]:[PV]],5,0)</f>
        <v>2.99</v>
      </c>
      <c r="J270" s="19" t="s">
        <v>698</v>
      </c>
      <c r="K270" s="19" t="s">
        <v>698</v>
      </c>
      <c r="L270" s="19">
        <f>IFERROR(Tabla_Buffers_Agroinsumos[[#This Row],[BUFFER CENTRAL]]/((Tabla_Buffers_Agroinsumos[[#This Row],[TIEMPO REPOSICION ]]/Tabla_Buffers_Agroinsumos[[#This Row],[FRECUENCIA]])+1),0)</f>
        <v>0</v>
      </c>
      <c r="M270" s="19" t="str">
        <f t="array" ref="M270">IFERROR(INDEX(TABLACONSOLIDADA[Buff Act],MATCH("AGROINSUMOSMATERIAPRIMA"&amp;Tabla_Buffers_Agroinsumos[[#This Row],[CODIGO ]],TABLACONSOLIDADA[Bodega]&amp;TABLACONSOLIDADA[Codigo],0)),"")</f>
        <v/>
      </c>
      <c r="N270" s="157" t="str">
        <f t="array" ref="N270">IFERROR(INDEX(TABLACONSOLIDADA[Inv Fís Act],MATCH("AGROINSUMOSMATERIAPRIMA"&amp;Tabla_Buffers_Agroinsumos[[#This Row],[CODIGO ]],TABLACONSOLIDADA[Bodega]&amp;TABLACONSOLIDADA[Codigo],0)),"")</f>
        <v/>
      </c>
      <c r="O270" s="157" t="str">
        <f t="array" ref="O27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7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70" s="19">
        <f>IFERROR(SUM(Tabla_Buffers_Agroinsumos[[#This Row],[MP-C]:[MP-VL]]),"")</f>
        <v>0</v>
      </c>
      <c r="R270" s="92" t="str">
        <f>IFERROR(Tabla_Buffers_Agroinsumos[[#This Row],[INV FIS MATERIA PRIMA]]-Tabla_Buffers_Agroinsumos[[#This Row],[BUFFER MATERIA PRIMA]],"")</f>
        <v/>
      </c>
      <c r="S27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70" s="19"/>
      <c r="U270" s="19"/>
      <c r="V270" s="19"/>
      <c r="W270" s="19"/>
      <c r="X270" s="19"/>
      <c r="Y270" s="19"/>
      <c r="Z270" s="19"/>
      <c r="AA270" s="19"/>
      <c r="AB270" s="19"/>
      <c r="AC270" s="152">
        <f t="array" ref="AC270">IFERROR(INDEX(TABLACONSOLIDADA[Buff Act],MATCH("AGROINSUMOSCENTRAL"&amp;Tabla_Buffers_Agroinsumos[[#This Row],[CODIGO ]],TABLACONSOLIDADA[Bodega]&amp;TABLACONSOLIDADA[Codigo],0)),"")</f>
        <v>0</v>
      </c>
      <c r="AD270" s="157">
        <f t="array" ref="AD270">IFERROR(INDEX(TABLACONSOLIDADA[Inv Fís Act],MATCH("AGROINSUMOSCENTRAL"&amp;Tabla_Buffers_Agroinsumos[[#This Row],[CODIGO ]],TABLACONSOLIDADA[Bodega]&amp;TABLACONSOLIDADA[Codigo],0)),"")</f>
        <v>0</v>
      </c>
      <c r="AE270" s="157">
        <f t="array" ref="AE27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7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70" s="91">
        <f>IFERROR(SUM(Tabla_Buffers_Agroinsumos[[#This Row],[C-MP]:[C-VL]]),"")</f>
        <v>0</v>
      </c>
      <c r="AH270" s="92">
        <f>IFERROR(Tabla_Buffers_Agroinsumos[[#This Row],[INV FIS CENTRAL]]-Tabla_Buffers_Agroinsumos[[#This Row],[BUFFER CENTRAL]],"")</f>
        <v>0</v>
      </c>
      <c r="AI27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70" s="134"/>
      <c r="AK270" s="134"/>
      <c r="AL270" s="134"/>
      <c r="AM270" s="134"/>
      <c r="AN270" s="134"/>
      <c r="AO270" s="134"/>
      <c r="AP270" s="134"/>
      <c r="AQ270" s="134"/>
      <c r="AR270" s="134"/>
      <c r="AS270" s="134">
        <f t="array" ref="AS270">IFERROR(INDEX(TABLACONSOLIDADA[Buff Act],MATCH("AGROINSUMOScentralPROPIA"&amp;Tabla_Buffers_Agroinsumos[[#This Row],[CODIGO ]],TABLACONSOLIDADA[Bodega]&amp;TABLACONSOLIDADA[Codigo],0)),"")</f>
        <v>60</v>
      </c>
      <c r="AT270" s="157">
        <f t="array" ref="AT270">IFERROR(INDEX(TABLACONSOLIDADA[Inv Fís Act],MATCH("AGROINSUMOScentralPROPIA"&amp;Tabla_Buffers_Agroinsumos[[#This Row],[CODIGO ]],TABLACONSOLIDADA[Bodega]&amp;TABLACONSOLIDADA[Codigo],0)),"")</f>
        <v>0</v>
      </c>
      <c r="AU270" s="157">
        <f t="array" ref="AU27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7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70" s="134">
        <f>IFERROR(SUM(Tabla_Buffers_Agroinsumos[[#This Row],[P-MP]:[P-VL]]),"")</f>
        <v>0</v>
      </c>
      <c r="AX270" s="92">
        <f>IFERROR(Tabla_Buffers_Agroinsumos[[#This Row],[INV FIS PROPIA]]-Tabla_Buffers_Agroinsumos[[#This Row],[BUFFER PROPIA]],"")</f>
        <v>-60</v>
      </c>
      <c r="AY27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-60</v>
      </c>
      <c r="AZ270" s="134"/>
      <c r="BA270" s="134"/>
      <c r="BB270" s="134"/>
      <c r="BC270" s="134"/>
      <c r="BD270" s="134"/>
      <c r="BE270" s="134"/>
      <c r="BF270" s="134"/>
      <c r="BG270" s="134"/>
      <c r="BH270" s="134"/>
      <c r="BI270" s="91" t="str">
        <f t="array" ref="BI270">IFERROR(INDEX(TABLACONSOLIDADA[Buff Act],MATCH("AGROINSUMOSSTODOMINGO"&amp;Tabla_Buffers_Agroinsumos[[#This Row],[CODIGO ]],TABLACONSOLIDADA[Bodega]&amp;TABLACONSOLIDADA[Codigo],0)),"")</f>
        <v/>
      </c>
      <c r="BJ270" s="157" t="str">
        <f t="array" ref="BJ270">IFERROR(INDEX(TABLACONSOLIDADA[Inv Fís Act],MATCH("AGROINSUMOSSTODOMINGO"&amp;Tabla_Buffers_Agroinsumos[[#This Row],[CODIGO ]],TABLACONSOLIDADA[Bodega]&amp;TABLACONSOLIDADA[Codigo],0)),"")</f>
        <v/>
      </c>
      <c r="BK270" s="157" t="str">
        <f t="array" ref="BK27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7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70" s="91">
        <f>IFERROR(SUM(Tabla_Buffers_Agroinsumos[[#This Row],[SD-MP]:[SD-VL]]),"")</f>
        <v>0</v>
      </c>
      <c r="BN270" s="92"/>
      <c r="BO270" s="92"/>
      <c r="BP270" s="134"/>
      <c r="BQ270" s="134"/>
      <c r="BR270" s="134"/>
      <c r="BS270" s="134"/>
      <c r="BT270" s="134"/>
      <c r="BU270" s="134"/>
      <c r="BV270" s="134"/>
      <c r="BW270" s="134"/>
      <c r="BX270" s="134"/>
      <c r="BY270" s="134">
        <f t="array" ref="BY270">IFERROR(INDEX(TABLACONSOLIDADA[Buff Act],MATCH("AGROINSUMOSMONCAYOLOPEZ"&amp;Tabla_Buffers_Agroinsumos[[#This Row],[CODIGO ]],TABLACONSOLIDADA[Bodega]&amp;TABLACONSOLIDADA[Codigo],0)),"")</f>
        <v>0</v>
      </c>
      <c r="BZ270" s="157">
        <f t="array" ref="BZ270">IFERROR(INDEX(TABLACONSOLIDADA[Inv Fís Act],MATCH("AGROINSUMOSMONCAYOLOPEZ"&amp;Tabla_Buffers_Agroinsumos[[#This Row],[CODIGO ]],TABLACONSOLIDADA[Bodega]&amp;TABLACONSOLIDADA[Codigo],0)),"")</f>
        <v>0</v>
      </c>
      <c r="CA270" s="157">
        <f t="array" ref="CA27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7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70" s="134">
        <f>IFERROR(SUM(Tabla_Buffers_Agroinsumos[[#This Row],[ML-MP]:[ML-VL]]),"")</f>
        <v>0</v>
      </c>
      <c r="CD270" s="92">
        <f>IFERROR(Tabla_Buffers_Agroinsumos[[#This Row],[INV FIS ML]]-Tabla_Buffers_Agroinsumos[[#This Row],[BUFFER ML]],"")</f>
        <v>0</v>
      </c>
      <c r="CE27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70" s="134"/>
      <c r="CG270" s="134"/>
      <c r="CH270" s="134"/>
      <c r="CI270" s="134"/>
      <c r="CJ270" s="134"/>
      <c r="CK270" s="134"/>
      <c r="CL270" s="134"/>
      <c r="CM270" s="134"/>
      <c r="CN270" s="134"/>
      <c r="CO270" s="134">
        <f t="array" ref="CO270">IFERROR(INDEX(TABLACONSOLIDADA[Buff Act],MATCH("AGROINSUMOSAGROHERMANOSLEON"&amp;Tabla_Buffers_Agroinsumos[[#This Row],[CODIGO ]],TABLACONSOLIDADA[Bodega]&amp;TABLACONSOLIDADA[Codigo],0)),"")</f>
        <v>0</v>
      </c>
      <c r="CP270" s="157">
        <f t="array" ref="CP270">IFERROR(INDEX(TABLACONSOLIDADA[Inv Fís Act],MATCH("AGROINSUMOSAGROHERMANOSLEON"&amp;Tabla_Buffers_Agroinsumos[[#This Row],[CODIGO ]],TABLACONSOLIDADA[Bodega]&amp;TABLACONSOLIDADA[Codigo],0)),"")</f>
        <v>0</v>
      </c>
      <c r="CQ270" s="157">
        <f t="array" ref="CQ27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7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70" s="134">
        <f>IFERROR(SUM(Tabla_Buffers_Agroinsumos[[#This Row],[AL-MP]:[AL-VL]]),"")</f>
        <v>0</v>
      </c>
      <c r="CT270" s="92">
        <f>IFERROR(Tabla_Buffers_Agroinsumos[[#This Row],[INV FIS AL]]-Tabla_Buffers_Agroinsumos[[#This Row],[BUFFER AL]],"")</f>
        <v>0</v>
      </c>
      <c r="CU270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70" s="134"/>
      <c r="CW270" s="134"/>
      <c r="CX270" s="134"/>
      <c r="CY270" s="134"/>
      <c r="CZ270" s="134"/>
      <c r="DA270" s="134"/>
      <c r="DB270" s="134"/>
      <c r="DC270" s="134"/>
      <c r="DD270" s="134"/>
      <c r="DE270" s="134">
        <f t="array" ref="DE270">IFERROR(INDEX(TABLACONSOLIDADA[Buff Act],MATCH("AGROINSUMOSAGRONUEVO"&amp;Tabla_Buffers_Agroinsumos[[#This Row],[CODIGO ]],TABLACONSOLIDADA[Bodega]&amp;TABLACONSOLIDADA[Codigo],0)),"")</f>
        <v>0</v>
      </c>
      <c r="DF270" s="157">
        <f t="array" ref="DF270">IFERROR(INDEX(TABLACONSOLIDADA[Inv Fís Act],MATCH("AGROINSUMOSAGRONUEVO"&amp;Tabla_Buffers_Agroinsumos[[#This Row],[CODIGO ]],TABLACONSOLIDADA[Bodega]&amp;TABLACONSOLIDADA[Codigo],0)),"")</f>
        <v>0</v>
      </c>
      <c r="DG270" s="157">
        <f t="array" ref="DG27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7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70" s="134">
        <f>IFERROR(SUM(Tabla_Buffers_Agroinsumos[[#This Row],[AN-MP]:[AN-VL]]),"")</f>
        <v>0</v>
      </c>
      <c r="DJ270" s="92">
        <f>IFERROR(Tabla_Buffers_Agroinsumos[[#This Row],[INV FIS AN]]-Tabla_Buffers_Agroinsumos[[#This Row],[BUFFER AN]],"")</f>
        <v>0</v>
      </c>
      <c r="DK27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70" s="134"/>
      <c r="DM270" s="134"/>
      <c r="DN270" s="134"/>
      <c r="DO270" s="134"/>
      <c r="DP270" s="134"/>
      <c r="DQ270" s="134"/>
      <c r="DR270" s="134"/>
      <c r="DS270" s="134"/>
      <c r="DT270" s="134"/>
      <c r="DU270" s="134">
        <f t="array" ref="DU270">IFERROR(INDEX(TABLACONSOLIDADA[Buff Act],MATCH("AGROINSUMOSAGROQUIMICOSSUR"&amp;Tabla_Buffers_Agroinsumos[[#This Row],[CODIGO ]],TABLACONSOLIDADA[Bodega]&amp;TABLACONSOLIDADA[Codigo],0)),"")</f>
        <v>0</v>
      </c>
      <c r="DV270" s="157">
        <f t="array" ref="DV270">IFERROR(INDEX(TABLACONSOLIDADA[Inv Fís Act],MATCH("AGROINSUMOSAGROQUIMICOSSUR"&amp;Tabla_Buffers_Agroinsumos[[#This Row],[CODIGO ]],TABLACONSOLIDADA[Bodega]&amp;TABLACONSOLIDADA[Codigo],0)),"")</f>
        <v>0</v>
      </c>
      <c r="DW270" s="157">
        <f t="array" ref="DW27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7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70" s="134">
        <f>IFERROR(SUM(Tabla_Buffers_Agroinsumos[[#This Row],[AS-MP]:[AS-VL]]),"")</f>
        <v>0</v>
      </c>
      <c r="DZ270" s="92">
        <f>IFERROR(Tabla_Buffers_Agroinsumos[[#This Row],[INV FIS AS]]-Tabla_Buffers_Agroinsumos[[#This Row],[BUFFER AS]],"")</f>
        <v>0</v>
      </c>
      <c r="EA27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70" s="134"/>
      <c r="EC270" s="134"/>
      <c r="ED270" s="134"/>
      <c r="EE270" s="134"/>
      <c r="EF270" s="134"/>
      <c r="EG270" s="134"/>
      <c r="EH270" s="134"/>
      <c r="EI270" s="134"/>
      <c r="EJ270" s="134"/>
      <c r="EK270" s="134">
        <f t="array" ref="EK270">IFERROR(INDEX(TABLACONSOLIDADA[Buff Act],MATCH("AGROINSUMOSLAFINCA"&amp;Tabla_Buffers_Agroinsumos[[#This Row],[CODIGO ]],TABLACONSOLIDADA[Bodega]&amp;TABLACONSOLIDADA[Codigo],0)),"")</f>
        <v>0</v>
      </c>
      <c r="EL270" s="157">
        <f t="array" ref="EL270">IFERROR(INDEX(TABLACONSOLIDADA[Inv Fís Act],MATCH("AGROINSUMOSLAFINCA"&amp;Tabla_Buffers_Agroinsumos[[#This Row],[CODIGO ]],TABLACONSOLIDADA[Bodega]&amp;TABLACONSOLIDADA[Codigo],0)),"")</f>
        <v>0</v>
      </c>
      <c r="EM270" s="157">
        <f t="array" ref="EM27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7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70" s="134">
        <f>IFERROR(SUM(Tabla_Buffers_Agroinsumos[[#This Row],[LF-MP]:[LF-VL]]),"")</f>
        <v>0</v>
      </c>
      <c r="EP270" s="92">
        <f>IFERROR(Tabla_Buffers_Agroinsumos[[#This Row],[INV FIS LF]]-Tabla_Buffers_Agroinsumos[[#This Row],[BUFFER LF]],"")</f>
        <v>0</v>
      </c>
      <c r="EQ270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70" s="134"/>
      <c r="ES270" s="134"/>
      <c r="ET270" s="134"/>
      <c r="EU270" s="134"/>
      <c r="EV270" s="134"/>
      <c r="EW270" s="134"/>
      <c r="EX270" s="134"/>
      <c r="EY270" s="134"/>
      <c r="EZ270" s="134"/>
      <c r="FA270" s="134">
        <f t="array" ref="FA270">IFERROR(INDEX(TABLACONSOLIDADA[Buff Act],MATCH("AGROINSUMOSVERONICALEDESMA"&amp;Tabla_Buffers_Agroinsumos[[#This Row],[CODIGO ]],TABLACONSOLIDADA[Bodega]&amp;TABLACONSOLIDADA[Codigo],0)),"")</f>
        <v>0</v>
      </c>
      <c r="FB270" s="157">
        <f t="array" ref="FB270">IFERROR(INDEX(TABLACONSOLIDADA[Inv Fís Act],MATCH("AGROINSUMOSVERONICALEDESMA"&amp;Tabla_Buffers_Agroinsumos[[#This Row],[CODIGO ]],TABLACONSOLIDADA[Bodega]&amp;TABLACONSOLIDADA[Codigo],0)),"")</f>
        <v>0</v>
      </c>
      <c r="FC270" s="157">
        <f t="array" ref="FC27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7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70" s="134">
        <f>IFERROR(SUM(Tabla_Buffers_Agroinsumos[[#This Row],[VL-MP]:[VL-LF]]),"")</f>
        <v>0</v>
      </c>
      <c r="FF270" s="92">
        <f>IFERROR(Tabla_Buffers_Agroinsumos[[#This Row],[INV FIS VL]]-Tabla_Buffers_Agroinsumos[[#This Row],[BUFFER VL]],"")</f>
        <v>0</v>
      </c>
      <c r="FG27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70" s="134"/>
      <c r="FI270" s="134"/>
      <c r="FJ270" s="134"/>
      <c r="FK270" s="134"/>
      <c r="FL270" s="134"/>
      <c r="FM270" s="134"/>
      <c r="FN270" s="134"/>
      <c r="FO270" s="134"/>
      <c r="FP270" s="134"/>
    </row>
    <row r="271" spans="1:172">
      <c r="A271" s="7" t="s">
        <v>899</v>
      </c>
      <c r="B271" s="7" t="s">
        <v>957</v>
      </c>
      <c r="C271" s="7" t="s">
        <v>946</v>
      </c>
      <c r="D271" s="7" t="s">
        <v>719</v>
      </c>
      <c r="E271" s="7" t="s">
        <v>975</v>
      </c>
      <c r="F271" s="19" t="s">
        <v>698</v>
      </c>
      <c r="G271" s="19" t="s">
        <v>698</v>
      </c>
      <c r="H271" s="19">
        <f>VLOOKUP(Tabla_Buffers_Agroinsumos[[#This Row],[CODIGO ]],TABLACONSOLIDADA[[Codigo]:[PV]],6,0)</f>
        <v>0</v>
      </c>
      <c r="I271" s="19">
        <f>VLOOKUP(Tabla_Buffers_Agroinsumos[[#This Row],[CODIGO ]],TABLACONSOLIDADA[[Codigo]:[PV]],5,0)</f>
        <v>5.98</v>
      </c>
      <c r="J271" s="19" t="s">
        <v>698</v>
      </c>
      <c r="K271" s="19" t="s">
        <v>698</v>
      </c>
      <c r="L271" s="19">
        <f>IFERROR(Tabla_Buffers_Agroinsumos[[#This Row],[BUFFER CENTRAL]]/((Tabla_Buffers_Agroinsumos[[#This Row],[TIEMPO REPOSICION ]]/Tabla_Buffers_Agroinsumos[[#This Row],[FRECUENCIA]])+1),0)</f>
        <v>0</v>
      </c>
      <c r="M271" s="19" t="str">
        <f t="array" ref="M271">IFERROR(INDEX(TABLACONSOLIDADA[Buff Act],MATCH("AGROINSUMOSMATERIAPRIMA"&amp;Tabla_Buffers_Agroinsumos[[#This Row],[CODIGO ]],TABLACONSOLIDADA[Bodega]&amp;TABLACONSOLIDADA[Codigo],0)),"")</f>
        <v/>
      </c>
      <c r="N271" s="157" t="str">
        <f t="array" ref="N271">IFERROR(INDEX(TABLACONSOLIDADA[Inv Fís Act],MATCH("AGROINSUMOSMATERIAPRIMA"&amp;Tabla_Buffers_Agroinsumos[[#This Row],[CODIGO ]],TABLACONSOLIDADA[Bodega]&amp;TABLACONSOLIDADA[Codigo],0)),"")</f>
        <v/>
      </c>
      <c r="O271" s="157" t="str">
        <f t="array" ref="O27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7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71" s="19">
        <f>IFERROR(SUM(Tabla_Buffers_Agroinsumos[[#This Row],[MP-C]:[MP-VL]]),"")</f>
        <v>0</v>
      </c>
      <c r="R271" s="92" t="str">
        <f>IFERROR(Tabla_Buffers_Agroinsumos[[#This Row],[INV FIS MATERIA PRIMA]]-Tabla_Buffers_Agroinsumos[[#This Row],[BUFFER MATERIA PRIMA]],"")</f>
        <v/>
      </c>
      <c r="S27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71" s="19"/>
      <c r="U271" s="19"/>
      <c r="V271" s="19"/>
      <c r="W271" s="19"/>
      <c r="X271" s="19"/>
      <c r="Y271" s="19"/>
      <c r="Z271" s="19"/>
      <c r="AA271" s="19"/>
      <c r="AB271" s="19"/>
      <c r="AC271" s="152">
        <f t="array" ref="AC271">IFERROR(INDEX(TABLACONSOLIDADA[Buff Act],MATCH("AGROINSUMOSCENTRAL"&amp;Tabla_Buffers_Agroinsumos[[#This Row],[CODIGO ]],TABLACONSOLIDADA[Bodega]&amp;TABLACONSOLIDADA[Codigo],0)),"")</f>
        <v>0</v>
      </c>
      <c r="AD271" s="157">
        <f t="array" ref="AD271">IFERROR(INDEX(TABLACONSOLIDADA[Inv Fís Act],MATCH("AGROINSUMOSCENTRAL"&amp;Tabla_Buffers_Agroinsumos[[#This Row],[CODIGO ]],TABLACONSOLIDADA[Bodega]&amp;TABLACONSOLIDADA[Codigo],0)),"")</f>
        <v>0</v>
      </c>
      <c r="AE271" s="157">
        <f t="array" ref="AE27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7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71" s="91">
        <f>IFERROR(SUM(Tabla_Buffers_Agroinsumos[[#This Row],[C-MP]:[C-VL]]),"")</f>
        <v>0</v>
      </c>
      <c r="AH271" s="92">
        <f>IFERROR(Tabla_Buffers_Agroinsumos[[#This Row],[INV FIS CENTRAL]]-Tabla_Buffers_Agroinsumos[[#This Row],[BUFFER CENTRAL]],"")</f>
        <v>0</v>
      </c>
      <c r="AI27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71" s="134"/>
      <c r="AK271" s="134"/>
      <c r="AL271" s="134"/>
      <c r="AM271" s="134"/>
      <c r="AN271" s="134"/>
      <c r="AO271" s="134"/>
      <c r="AP271" s="134"/>
      <c r="AQ271" s="134"/>
      <c r="AR271" s="134"/>
      <c r="AS271" s="134">
        <f t="array" ref="AS271">IFERROR(INDEX(TABLACONSOLIDADA[Buff Act],MATCH("AGROINSUMOScentralPROPIA"&amp;Tabla_Buffers_Agroinsumos[[#This Row],[CODIGO ]],TABLACONSOLIDADA[Bodega]&amp;TABLACONSOLIDADA[Codigo],0)),"")</f>
        <v>30</v>
      </c>
      <c r="AT271" s="157">
        <f t="array" ref="AT271">IFERROR(INDEX(TABLACONSOLIDADA[Inv Fís Act],MATCH("AGROINSUMOScentralPROPIA"&amp;Tabla_Buffers_Agroinsumos[[#This Row],[CODIGO ]],TABLACONSOLIDADA[Bodega]&amp;TABLACONSOLIDADA[Codigo],0)),"")</f>
        <v>0</v>
      </c>
      <c r="AU271" s="157">
        <f t="array" ref="AU27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7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71" s="134">
        <f>IFERROR(SUM(Tabla_Buffers_Agroinsumos[[#This Row],[P-MP]:[P-VL]]),"")</f>
        <v>0</v>
      </c>
      <c r="AX271" s="92">
        <f>IFERROR(Tabla_Buffers_Agroinsumos[[#This Row],[INV FIS PROPIA]]-Tabla_Buffers_Agroinsumos[[#This Row],[BUFFER PROPIA]],"")</f>
        <v>-30</v>
      </c>
      <c r="AY27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</v>
      </c>
      <c r="AZ271" s="134"/>
      <c r="BA271" s="134"/>
      <c r="BB271" s="134"/>
      <c r="BC271" s="134"/>
      <c r="BD271" s="134"/>
      <c r="BE271" s="134"/>
      <c r="BF271" s="134"/>
      <c r="BG271" s="134"/>
      <c r="BH271" s="134"/>
      <c r="BI271" s="91" t="str">
        <f t="array" ref="BI271">IFERROR(INDEX(TABLACONSOLIDADA[Buff Act],MATCH("AGROINSUMOSSTODOMINGO"&amp;Tabla_Buffers_Agroinsumos[[#This Row],[CODIGO ]],TABLACONSOLIDADA[Bodega]&amp;TABLACONSOLIDADA[Codigo],0)),"")</f>
        <v/>
      </c>
      <c r="BJ271" s="157" t="str">
        <f t="array" ref="BJ271">IFERROR(INDEX(TABLACONSOLIDADA[Inv Fís Act],MATCH("AGROINSUMOSSTODOMINGO"&amp;Tabla_Buffers_Agroinsumos[[#This Row],[CODIGO ]],TABLACONSOLIDADA[Bodega]&amp;TABLACONSOLIDADA[Codigo],0)),"")</f>
        <v/>
      </c>
      <c r="BK271" s="157" t="str">
        <f t="array" ref="BK27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7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71" s="91">
        <f>IFERROR(SUM(Tabla_Buffers_Agroinsumos[[#This Row],[SD-MP]:[SD-VL]]),"")</f>
        <v>0</v>
      </c>
      <c r="BN271" s="92"/>
      <c r="BO271" s="92"/>
      <c r="BP271" s="134"/>
      <c r="BQ271" s="134"/>
      <c r="BR271" s="134"/>
      <c r="BS271" s="134"/>
      <c r="BT271" s="134"/>
      <c r="BU271" s="134"/>
      <c r="BV271" s="134"/>
      <c r="BW271" s="134"/>
      <c r="BX271" s="134"/>
      <c r="BY271" s="134">
        <f t="array" ref="BY271">IFERROR(INDEX(TABLACONSOLIDADA[Buff Act],MATCH("AGROINSUMOSMONCAYOLOPEZ"&amp;Tabla_Buffers_Agroinsumos[[#This Row],[CODIGO ]],TABLACONSOLIDADA[Bodega]&amp;TABLACONSOLIDADA[Codigo],0)),"")</f>
        <v>0</v>
      </c>
      <c r="BZ271" s="157">
        <f t="array" ref="BZ271">IFERROR(INDEX(TABLACONSOLIDADA[Inv Fís Act],MATCH("AGROINSUMOSMONCAYOLOPEZ"&amp;Tabla_Buffers_Agroinsumos[[#This Row],[CODIGO ]],TABLACONSOLIDADA[Bodega]&amp;TABLACONSOLIDADA[Codigo],0)),"")</f>
        <v>0</v>
      </c>
      <c r="CA271" s="157">
        <f t="array" ref="CA27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7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71" s="134">
        <f>IFERROR(SUM(Tabla_Buffers_Agroinsumos[[#This Row],[ML-MP]:[ML-VL]]),"")</f>
        <v>0</v>
      </c>
      <c r="CD271" s="92">
        <f>IFERROR(Tabla_Buffers_Agroinsumos[[#This Row],[INV FIS ML]]-Tabla_Buffers_Agroinsumos[[#This Row],[BUFFER ML]],"")</f>
        <v>0</v>
      </c>
      <c r="CE271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71" s="134"/>
      <c r="CG271" s="134"/>
      <c r="CH271" s="134"/>
      <c r="CI271" s="134"/>
      <c r="CJ271" s="134"/>
      <c r="CK271" s="134"/>
      <c r="CL271" s="134"/>
      <c r="CM271" s="134"/>
      <c r="CN271" s="134"/>
      <c r="CO271" s="134">
        <f t="array" ref="CO271">IFERROR(INDEX(TABLACONSOLIDADA[Buff Act],MATCH("AGROINSUMOSAGROHERMANOSLEON"&amp;Tabla_Buffers_Agroinsumos[[#This Row],[CODIGO ]],TABLACONSOLIDADA[Bodega]&amp;TABLACONSOLIDADA[Codigo],0)),"")</f>
        <v>0</v>
      </c>
      <c r="CP271" s="157">
        <f t="array" ref="CP271">IFERROR(INDEX(TABLACONSOLIDADA[Inv Fís Act],MATCH("AGROINSUMOSAGROHERMANOSLEON"&amp;Tabla_Buffers_Agroinsumos[[#This Row],[CODIGO ]],TABLACONSOLIDADA[Bodega]&amp;TABLACONSOLIDADA[Codigo],0)),"")</f>
        <v>0</v>
      </c>
      <c r="CQ271" s="157">
        <f t="array" ref="CQ27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7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71" s="134">
        <f>IFERROR(SUM(Tabla_Buffers_Agroinsumos[[#This Row],[AL-MP]:[AL-VL]]),"")</f>
        <v>0</v>
      </c>
      <c r="CT271" s="92">
        <f>IFERROR(Tabla_Buffers_Agroinsumos[[#This Row],[INV FIS AL]]-Tabla_Buffers_Agroinsumos[[#This Row],[BUFFER AL]],"")</f>
        <v>0</v>
      </c>
      <c r="CU271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71" s="134"/>
      <c r="CW271" s="134"/>
      <c r="CX271" s="134"/>
      <c r="CY271" s="134"/>
      <c r="CZ271" s="134"/>
      <c r="DA271" s="134"/>
      <c r="DB271" s="134"/>
      <c r="DC271" s="134"/>
      <c r="DD271" s="134"/>
      <c r="DE271" s="134">
        <f t="array" ref="DE271">IFERROR(INDEX(TABLACONSOLIDADA[Buff Act],MATCH("AGROINSUMOSAGRONUEVO"&amp;Tabla_Buffers_Agroinsumos[[#This Row],[CODIGO ]],TABLACONSOLIDADA[Bodega]&amp;TABLACONSOLIDADA[Codigo],0)),"")</f>
        <v>0</v>
      </c>
      <c r="DF271" s="157">
        <f t="array" ref="DF271">IFERROR(INDEX(TABLACONSOLIDADA[Inv Fís Act],MATCH("AGROINSUMOSAGRONUEVO"&amp;Tabla_Buffers_Agroinsumos[[#This Row],[CODIGO ]],TABLACONSOLIDADA[Bodega]&amp;TABLACONSOLIDADA[Codigo],0)),"")</f>
        <v>0</v>
      </c>
      <c r="DG271" s="157">
        <f t="array" ref="DG27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7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71" s="134">
        <f>IFERROR(SUM(Tabla_Buffers_Agroinsumos[[#This Row],[AN-MP]:[AN-VL]]),"")</f>
        <v>0</v>
      </c>
      <c r="DJ271" s="92">
        <f>IFERROR(Tabla_Buffers_Agroinsumos[[#This Row],[INV FIS AN]]-Tabla_Buffers_Agroinsumos[[#This Row],[BUFFER AN]],"")</f>
        <v>0</v>
      </c>
      <c r="DK271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71" s="134"/>
      <c r="DM271" s="134"/>
      <c r="DN271" s="134"/>
      <c r="DO271" s="134"/>
      <c r="DP271" s="134"/>
      <c r="DQ271" s="134"/>
      <c r="DR271" s="134"/>
      <c r="DS271" s="134"/>
      <c r="DT271" s="134"/>
      <c r="DU271" s="134">
        <f t="array" ref="DU271">IFERROR(INDEX(TABLACONSOLIDADA[Buff Act],MATCH("AGROINSUMOSAGROQUIMICOSSUR"&amp;Tabla_Buffers_Agroinsumos[[#This Row],[CODIGO ]],TABLACONSOLIDADA[Bodega]&amp;TABLACONSOLIDADA[Codigo],0)),"")</f>
        <v>0</v>
      </c>
      <c r="DV271" s="157">
        <f t="array" ref="DV271">IFERROR(INDEX(TABLACONSOLIDADA[Inv Fís Act],MATCH("AGROINSUMOSAGROQUIMICOSSUR"&amp;Tabla_Buffers_Agroinsumos[[#This Row],[CODIGO ]],TABLACONSOLIDADA[Bodega]&amp;TABLACONSOLIDADA[Codigo],0)),"")</f>
        <v>0</v>
      </c>
      <c r="DW271" s="157">
        <f t="array" ref="DW27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7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71" s="134">
        <f>IFERROR(SUM(Tabla_Buffers_Agroinsumos[[#This Row],[AS-MP]:[AS-VL]]),"")</f>
        <v>0</v>
      </c>
      <c r="DZ271" s="92">
        <f>IFERROR(Tabla_Buffers_Agroinsumos[[#This Row],[INV FIS AS]]-Tabla_Buffers_Agroinsumos[[#This Row],[BUFFER AS]],"")</f>
        <v>0</v>
      </c>
      <c r="EA271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71" s="134"/>
      <c r="EC271" s="134"/>
      <c r="ED271" s="134"/>
      <c r="EE271" s="134"/>
      <c r="EF271" s="134"/>
      <c r="EG271" s="134"/>
      <c r="EH271" s="134"/>
      <c r="EI271" s="134"/>
      <c r="EJ271" s="134"/>
      <c r="EK271" s="134">
        <f t="array" ref="EK271">IFERROR(INDEX(TABLACONSOLIDADA[Buff Act],MATCH("AGROINSUMOSLAFINCA"&amp;Tabla_Buffers_Agroinsumos[[#This Row],[CODIGO ]],TABLACONSOLIDADA[Bodega]&amp;TABLACONSOLIDADA[Codigo],0)),"")</f>
        <v>0</v>
      </c>
      <c r="EL271" s="157">
        <f t="array" ref="EL271">IFERROR(INDEX(TABLACONSOLIDADA[Inv Fís Act],MATCH("AGROINSUMOSLAFINCA"&amp;Tabla_Buffers_Agroinsumos[[#This Row],[CODIGO ]],TABLACONSOLIDADA[Bodega]&amp;TABLACONSOLIDADA[Codigo],0)),"")</f>
        <v>0</v>
      </c>
      <c r="EM271" s="157">
        <f t="array" ref="EM27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7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71" s="134">
        <f>IFERROR(SUM(Tabla_Buffers_Agroinsumos[[#This Row],[LF-MP]:[LF-VL]]),"")</f>
        <v>0</v>
      </c>
      <c r="EP271" s="92">
        <f>IFERROR(Tabla_Buffers_Agroinsumos[[#This Row],[INV FIS LF]]-Tabla_Buffers_Agroinsumos[[#This Row],[BUFFER LF]],"")</f>
        <v>0</v>
      </c>
      <c r="EQ271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71" s="134"/>
      <c r="ES271" s="134"/>
      <c r="ET271" s="134"/>
      <c r="EU271" s="134"/>
      <c r="EV271" s="134"/>
      <c r="EW271" s="134"/>
      <c r="EX271" s="134"/>
      <c r="EY271" s="134"/>
      <c r="EZ271" s="134"/>
      <c r="FA271" s="134">
        <f t="array" ref="FA271">IFERROR(INDEX(TABLACONSOLIDADA[Buff Act],MATCH("AGROINSUMOSVERONICALEDESMA"&amp;Tabla_Buffers_Agroinsumos[[#This Row],[CODIGO ]],TABLACONSOLIDADA[Bodega]&amp;TABLACONSOLIDADA[Codigo],0)),"")</f>
        <v>0</v>
      </c>
      <c r="FB271" s="157">
        <f t="array" ref="FB271">IFERROR(INDEX(TABLACONSOLIDADA[Inv Fís Act],MATCH("AGROINSUMOSVERONICALEDESMA"&amp;Tabla_Buffers_Agroinsumos[[#This Row],[CODIGO ]],TABLACONSOLIDADA[Bodega]&amp;TABLACONSOLIDADA[Codigo],0)),"")</f>
        <v>0</v>
      </c>
      <c r="FC271" s="157">
        <f t="array" ref="FC27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7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71" s="134">
        <f>IFERROR(SUM(Tabla_Buffers_Agroinsumos[[#This Row],[VL-MP]:[VL-LF]]),"")</f>
        <v>0</v>
      </c>
      <c r="FF271" s="92">
        <f>IFERROR(Tabla_Buffers_Agroinsumos[[#This Row],[INV FIS VL]]-Tabla_Buffers_Agroinsumos[[#This Row],[BUFFER VL]],"")</f>
        <v>0</v>
      </c>
      <c r="FG271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71" s="134"/>
      <c r="FI271" s="134"/>
      <c r="FJ271" s="134"/>
      <c r="FK271" s="134"/>
      <c r="FL271" s="134"/>
      <c r="FM271" s="134"/>
      <c r="FN271" s="134"/>
      <c r="FO271" s="134"/>
      <c r="FP271" s="134"/>
    </row>
    <row r="272" spans="1:172">
      <c r="A272" s="7" t="s">
        <v>472</v>
      </c>
      <c r="B272" s="7" t="s">
        <v>940</v>
      </c>
      <c r="C272" s="7" t="s">
        <v>707</v>
      </c>
      <c r="D272" s="7" t="s">
        <v>717</v>
      </c>
      <c r="E272" s="7" t="s">
        <v>863</v>
      </c>
      <c r="F272" s="19" t="s">
        <v>804</v>
      </c>
      <c r="G272" s="19" t="s">
        <v>802</v>
      </c>
      <c r="H272" s="19">
        <f>VLOOKUP(Tabla_Buffers_Agroinsumos[[#This Row],[CODIGO ]],TABLACONSOLIDADA[[Codigo]:[PV]],6,0)</f>
        <v>0</v>
      </c>
      <c r="I272" s="19">
        <f>VLOOKUP(Tabla_Buffers_Agroinsumos[[#This Row],[CODIGO ]],TABLACONSOLIDADA[[Codigo]:[PV]],5,0)</f>
        <v>824.02</v>
      </c>
      <c r="J272" s="19">
        <v>4</v>
      </c>
      <c r="K272" s="19">
        <v>4</v>
      </c>
      <c r="L272" s="19">
        <f>IFERROR(Tabla_Buffers_Agroinsumos[[#This Row],[BUFFER CENTRAL]]/((Tabla_Buffers_Agroinsumos[[#This Row],[TIEMPO REPOSICION ]]/Tabla_Buffers_Agroinsumos[[#This Row],[FRECUENCIA]])+1),0)</f>
        <v>0</v>
      </c>
      <c r="M272" s="19">
        <f t="array" ref="M272">IFERROR(INDEX(TABLACONSOLIDADA[Buff Act],MATCH("AGROINSUMOSMATERIAPRIMA"&amp;Tabla_Buffers_Agroinsumos[[#This Row],[CODIGO ]],TABLACONSOLIDADA[Bodega]&amp;TABLACONSOLIDADA[Codigo],0)),"")</f>
        <v>3</v>
      </c>
      <c r="N272" s="157">
        <f t="array" ref="N272">IFERROR(INDEX(TABLACONSOLIDADA[Inv Fís Act],MATCH("AGROINSUMOSMATERIAPRIMA"&amp;Tabla_Buffers_Agroinsumos[[#This Row],[CODIGO ]],TABLACONSOLIDADA[Bodega]&amp;TABLACONSOLIDADA[Codigo],0)),"")</f>
        <v>3.9438900000000001</v>
      </c>
      <c r="O272" s="157">
        <f t="array" ref="O27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3.9438900000000001</v>
      </c>
      <c r="P27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72" s="19">
        <f>IFERROR(SUM(Tabla_Buffers_Agroinsumos[[#This Row],[MP-C]:[MP-VL]]),"")</f>
        <v>0</v>
      </c>
      <c r="R272" s="92">
        <f>IFERROR(Tabla_Buffers_Agroinsumos[[#This Row],[INV FIS MATERIA PRIMA]]-Tabla_Buffers_Agroinsumos[[#This Row],[BUFFER MATERIA PRIMA]],"")</f>
        <v>0.94389000000000012</v>
      </c>
      <c r="S27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0.94389000000000012</v>
      </c>
      <c r="T272" s="19"/>
      <c r="U272" s="19"/>
      <c r="V272" s="19"/>
      <c r="W272" s="19"/>
      <c r="X272" s="19"/>
      <c r="Y272" s="19"/>
      <c r="Z272" s="19"/>
      <c r="AA272" s="19"/>
      <c r="AB272" s="19"/>
      <c r="AC272" s="152" t="str">
        <f t="array" ref="AC272">IFERROR(INDEX(TABLACONSOLIDADA[Buff Act],MATCH("AGROINSUMOSCENTRAL"&amp;Tabla_Buffers_Agroinsumos[[#This Row],[CODIGO ]],TABLACONSOLIDADA[Bodega]&amp;TABLACONSOLIDADA[Codigo],0)),"")</f>
        <v/>
      </c>
      <c r="AD272" s="157" t="str">
        <f t="array" ref="AD272">IFERROR(INDEX(TABLACONSOLIDADA[Inv Fís Act],MATCH("AGROINSUMOSCENTRAL"&amp;Tabla_Buffers_Agroinsumos[[#This Row],[CODIGO ]],TABLACONSOLIDADA[Bodega]&amp;TABLACONSOLIDADA[Codigo],0)),"")</f>
        <v/>
      </c>
      <c r="AE272" s="157" t="str">
        <f t="array" ref="AE27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7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72" s="91">
        <f>IFERROR(SUM(Tabla_Buffers_Agroinsumos[[#This Row],[C-MP]:[C-VL]]),"")</f>
        <v>0</v>
      </c>
      <c r="AH272" s="92" t="str">
        <f>IFERROR(Tabla_Buffers_Agroinsumos[[#This Row],[INV FIS CENTRAL]]-Tabla_Buffers_Agroinsumos[[#This Row],[BUFFER CENTRAL]],"")</f>
        <v/>
      </c>
      <c r="AI27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72" s="134"/>
      <c r="AK272" s="134"/>
      <c r="AL272" s="134"/>
      <c r="AM272" s="134"/>
      <c r="AN272" s="134"/>
      <c r="AO272" s="134"/>
      <c r="AP272" s="134"/>
      <c r="AQ272" s="134"/>
      <c r="AR272" s="134"/>
      <c r="AS272" s="134" t="str">
        <f t="array" ref="AS272">IFERROR(INDEX(TABLACONSOLIDADA[Buff Act],MATCH("AGROINSUMOScentralPROPIA"&amp;Tabla_Buffers_Agroinsumos[[#This Row],[CODIGO ]],TABLACONSOLIDADA[Bodega]&amp;TABLACONSOLIDADA[Codigo],0)),"")</f>
        <v/>
      </c>
      <c r="AT272" s="157" t="str">
        <f t="array" ref="AT272">IFERROR(INDEX(TABLACONSOLIDADA[Inv Fís Act],MATCH("AGROINSUMOScentralPROPIA"&amp;Tabla_Buffers_Agroinsumos[[#This Row],[CODIGO ]],TABLACONSOLIDADA[Bodega]&amp;TABLACONSOLIDADA[Codigo],0)),"")</f>
        <v/>
      </c>
      <c r="AU272" s="157" t="str">
        <f t="array" ref="AU27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7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72" s="134">
        <f>IFERROR(SUM(Tabla_Buffers_Agroinsumos[[#This Row],[P-MP]:[P-VL]]),"")</f>
        <v>0</v>
      </c>
      <c r="AX272" s="92" t="str">
        <f>IFERROR(Tabla_Buffers_Agroinsumos[[#This Row],[INV FIS PROPIA]]-Tabla_Buffers_Agroinsumos[[#This Row],[BUFFER PROPIA]],"")</f>
        <v/>
      </c>
      <c r="AY27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72" s="134"/>
      <c r="BA272" s="134"/>
      <c r="BB272" s="134"/>
      <c r="BC272" s="134"/>
      <c r="BD272" s="134"/>
      <c r="BE272" s="134"/>
      <c r="BF272" s="134"/>
      <c r="BG272" s="134"/>
      <c r="BH272" s="134"/>
      <c r="BI272" s="91" t="str">
        <f t="array" ref="BI272">IFERROR(INDEX(TABLACONSOLIDADA[Buff Act],MATCH("AGROINSUMOSSTODOMINGO"&amp;Tabla_Buffers_Agroinsumos[[#This Row],[CODIGO ]],TABLACONSOLIDADA[Bodega]&amp;TABLACONSOLIDADA[Codigo],0)),"")</f>
        <v/>
      </c>
      <c r="BJ272" s="157" t="str">
        <f t="array" ref="BJ272">IFERROR(INDEX(TABLACONSOLIDADA[Inv Fís Act],MATCH("AGROINSUMOSSTODOMINGO"&amp;Tabla_Buffers_Agroinsumos[[#This Row],[CODIGO ]],TABLACONSOLIDADA[Bodega]&amp;TABLACONSOLIDADA[Codigo],0)),"")</f>
        <v/>
      </c>
      <c r="BK272" s="157" t="str">
        <f t="array" ref="BK27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7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72" s="91">
        <f>IFERROR(SUM(Tabla_Buffers_Agroinsumos[[#This Row],[SD-MP]:[SD-VL]]),"")</f>
        <v>0</v>
      </c>
      <c r="BN272" s="92"/>
      <c r="BO272" s="92"/>
      <c r="BP272" s="134"/>
      <c r="BQ272" s="134"/>
      <c r="BR272" s="134"/>
      <c r="BS272" s="134"/>
      <c r="BT272" s="134"/>
      <c r="BU272" s="134"/>
      <c r="BV272" s="134"/>
      <c r="BW272" s="134"/>
      <c r="BX272" s="134"/>
      <c r="BY272" s="134" t="str">
        <f t="array" ref="BY272">IFERROR(INDEX(TABLACONSOLIDADA[Buff Act],MATCH("AGROINSUMOSMONCAYOLOPEZ"&amp;Tabla_Buffers_Agroinsumos[[#This Row],[CODIGO ]],TABLACONSOLIDADA[Bodega]&amp;TABLACONSOLIDADA[Codigo],0)),"")</f>
        <v/>
      </c>
      <c r="BZ272" s="157" t="str">
        <f t="array" ref="BZ272">IFERROR(INDEX(TABLACONSOLIDADA[Inv Fís Act],MATCH("AGROINSUMOSMONCAYOLOPEZ"&amp;Tabla_Buffers_Agroinsumos[[#This Row],[CODIGO ]],TABLACONSOLIDADA[Bodega]&amp;TABLACONSOLIDADA[Codigo],0)),"")</f>
        <v/>
      </c>
      <c r="CA272" s="157" t="str">
        <f t="array" ref="CA27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7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72" s="134">
        <f>IFERROR(SUM(Tabla_Buffers_Agroinsumos[[#This Row],[ML-MP]:[ML-VL]]),"")</f>
        <v>0</v>
      </c>
      <c r="CD272" s="92" t="str">
        <f>IFERROR(Tabla_Buffers_Agroinsumos[[#This Row],[INV FIS ML]]-Tabla_Buffers_Agroinsumos[[#This Row],[BUFFER ML]],"")</f>
        <v/>
      </c>
      <c r="CE27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72" s="134"/>
      <c r="CG272" s="134"/>
      <c r="CH272" s="134"/>
      <c r="CI272" s="134"/>
      <c r="CJ272" s="134"/>
      <c r="CK272" s="134"/>
      <c r="CL272" s="134"/>
      <c r="CM272" s="134"/>
      <c r="CN272" s="134"/>
      <c r="CO272" s="134" t="str">
        <f t="array" ref="CO272">IFERROR(INDEX(TABLACONSOLIDADA[Buff Act],MATCH("AGROINSUMOSAGROHERMANOSLEON"&amp;Tabla_Buffers_Agroinsumos[[#This Row],[CODIGO ]],TABLACONSOLIDADA[Bodega]&amp;TABLACONSOLIDADA[Codigo],0)),"")</f>
        <v/>
      </c>
      <c r="CP272" s="157" t="str">
        <f t="array" ref="CP272">IFERROR(INDEX(TABLACONSOLIDADA[Inv Fís Act],MATCH("AGROINSUMOSAGROHERMANOSLEON"&amp;Tabla_Buffers_Agroinsumos[[#This Row],[CODIGO ]],TABLACONSOLIDADA[Bodega]&amp;TABLACONSOLIDADA[Codigo],0)),"")</f>
        <v/>
      </c>
      <c r="CQ272" s="157" t="str">
        <f t="array" ref="CQ27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7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72" s="134">
        <f>IFERROR(SUM(Tabla_Buffers_Agroinsumos[[#This Row],[AL-MP]:[AL-VL]]),"")</f>
        <v>0</v>
      </c>
      <c r="CT272" s="92" t="str">
        <f>IFERROR(Tabla_Buffers_Agroinsumos[[#This Row],[INV FIS AL]]-Tabla_Buffers_Agroinsumos[[#This Row],[BUFFER AL]],"")</f>
        <v/>
      </c>
      <c r="CU27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72" s="134"/>
      <c r="CW272" s="134"/>
      <c r="CX272" s="134"/>
      <c r="CY272" s="134"/>
      <c r="CZ272" s="134"/>
      <c r="DA272" s="134"/>
      <c r="DB272" s="134"/>
      <c r="DC272" s="134"/>
      <c r="DD272" s="134"/>
      <c r="DE272" s="134" t="str">
        <f t="array" ref="DE272">IFERROR(INDEX(TABLACONSOLIDADA[Buff Act],MATCH("AGROINSUMOSAGRONUEVO"&amp;Tabla_Buffers_Agroinsumos[[#This Row],[CODIGO ]],TABLACONSOLIDADA[Bodega]&amp;TABLACONSOLIDADA[Codigo],0)),"")</f>
        <v/>
      </c>
      <c r="DF272" s="157" t="str">
        <f t="array" ref="DF272">IFERROR(INDEX(TABLACONSOLIDADA[Inv Fís Act],MATCH("AGROINSUMOSAGRONUEVO"&amp;Tabla_Buffers_Agroinsumos[[#This Row],[CODIGO ]],TABLACONSOLIDADA[Bodega]&amp;TABLACONSOLIDADA[Codigo],0)),"")</f>
        <v/>
      </c>
      <c r="DG272" s="157" t="str">
        <f t="array" ref="DG27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7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72" s="134">
        <f>IFERROR(SUM(Tabla_Buffers_Agroinsumos[[#This Row],[AN-MP]:[AN-VL]]),"")</f>
        <v>0</v>
      </c>
      <c r="DJ272" s="92" t="str">
        <f>IFERROR(Tabla_Buffers_Agroinsumos[[#This Row],[INV FIS AN]]-Tabla_Buffers_Agroinsumos[[#This Row],[BUFFER AN]],"")</f>
        <v/>
      </c>
      <c r="DK27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72" s="134"/>
      <c r="DM272" s="134"/>
      <c r="DN272" s="134"/>
      <c r="DO272" s="134"/>
      <c r="DP272" s="134"/>
      <c r="DQ272" s="134"/>
      <c r="DR272" s="134"/>
      <c r="DS272" s="134"/>
      <c r="DT272" s="134"/>
      <c r="DU272" s="134" t="str">
        <f t="array" ref="DU272">IFERROR(INDEX(TABLACONSOLIDADA[Buff Act],MATCH("AGROINSUMOSAGROQUIMICOSSUR"&amp;Tabla_Buffers_Agroinsumos[[#This Row],[CODIGO ]],TABLACONSOLIDADA[Bodega]&amp;TABLACONSOLIDADA[Codigo],0)),"")</f>
        <v/>
      </c>
      <c r="DV272" s="157" t="str">
        <f t="array" ref="DV272">IFERROR(INDEX(TABLACONSOLIDADA[Inv Fís Act],MATCH("AGROINSUMOSAGROQUIMICOSSUR"&amp;Tabla_Buffers_Agroinsumos[[#This Row],[CODIGO ]],TABLACONSOLIDADA[Bodega]&amp;TABLACONSOLIDADA[Codigo],0)),"")</f>
        <v/>
      </c>
      <c r="DW272" s="157" t="str">
        <f t="array" ref="DW27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7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72" s="134">
        <f>IFERROR(SUM(Tabla_Buffers_Agroinsumos[[#This Row],[AS-MP]:[AS-VL]]),"")</f>
        <v>0</v>
      </c>
      <c r="DZ272" s="92" t="str">
        <f>IFERROR(Tabla_Buffers_Agroinsumos[[#This Row],[INV FIS AS]]-Tabla_Buffers_Agroinsumos[[#This Row],[BUFFER AS]],"")</f>
        <v/>
      </c>
      <c r="EA27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72" s="134"/>
      <c r="EC272" s="134"/>
      <c r="ED272" s="134"/>
      <c r="EE272" s="134"/>
      <c r="EF272" s="134"/>
      <c r="EG272" s="134"/>
      <c r="EH272" s="134"/>
      <c r="EI272" s="134"/>
      <c r="EJ272" s="134"/>
      <c r="EK272" s="134" t="str">
        <f t="array" ref="EK272">IFERROR(INDEX(TABLACONSOLIDADA[Buff Act],MATCH("AGROINSUMOSLAFINCA"&amp;Tabla_Buffers_Agroinsumos[[#This Row],[CODIGO ]],TABLACONSOLIDADA[Bodega]&amp;TABLACONSOLIDADA[Codigo],0)),"")</f>
        <v/>
      </c>
      <c r="EL272" s="157" t="str">
        <f t="array" ref="EL272">IFERROR(INDEX(TABLACONSOLIDADA[Inv Fís Act],MATCH("AGROINSUMOSLAFINCA"&amp;Tabla_Buffers_Agroinsumos[[#This Row],[CODIGO ]],TABLACONSOLIDADA[Bodega]&amp;TABLACONSOLIDADA[Codigo],0)),"")</f>
        <v/>
      </c>
      <c r="EM272" s="157" t="str">
        <f t="array" ref="EM27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7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72" s="134">
        <f>IFERROR(SUM(Tabla_Buffers_Agroinsumos[[#This Row],[LF-MP]:[LF-VL]]),"")</f>
        <v>0</v>
      </c>
      <c r="EP272" s="92" t="str">
        <f>IFERROR(Tabla_Buffers_Agroinsumos[[#This Row],[INV FIS LF]]-Tabla_Buffers_Agroinsumos[[#This Row],[BUFFER LF]],"")</f>
        <v/>
      </c>
      <c r="EQ27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72" s="134"/>
      <c r="ES272" s="134"/>
      <c r="ET272" s="134"/>
      <c r="EU272" s="134"/>
      <c r="EV272" s="134"/>
      <c r="EW272" s="134"/>
      <c r="EX272" s="134"/>
      <c r="EY272" s="134"/>
      <c r="EZ272" s="134"/>
      <c r="FA272" s="134" t="str">
        <f t="array" ref="FA272">IFERROR(INDEX(TABLACONSOLIDADA[Buff Act],MATCH("AGROINSUMOSVERONICALEDESMA"&amp;Tabla_Buffers_Agroinsumos[[#This Row],[CODIGO ]],TABLACONSOLIDADA[Bodega]&amp;TABLACONSOLIDADA[Codigo],0)),"")</f>
        <v/>
      </c>
      <c r="FB272" s="157" t="str">
        <f t="array" ref="FB272">IFERROR(INDEX(TABLACONSOLIDADA[Inv Fís Act],MATCH("AGROINSUMOSVERONICALEDESMA"&amp;Tabla_Buffers_Agroinsumos[[#This Row],[CODIGO ]],TABLACONSOLIDADA[Bodega]&amp;TABLACONSOLIDADA[Codigo],0)),"")</f>
        <v/>
      </c>
      <c r="FC272" s="157" t="str">
        <f t="array" ref="FC27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7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72" s="134">
        <f>IFERROR(SUM(Tabla_Buffers_Agroinsumos[[#This Row],[VL-MP]:[VL-LF]]),"")</f>
        <v>0</v>
      </c>
      <c r="FF272" s="92" t="str">
        <f>IFERROR(Tabla_Buffers_Agroinsumos[[#This Row],[INV FIS VL]]-Tabla_Buffers_Agroinsumos[[#This Row],[BUFFER VL]],"")</f>
        <v/>
      </c>
      <c r="FG27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72" s="134"/>
      <c r="FI272" s="134"/>
      <c r="FJ272" s="134"/>
      <c r="FK272" s="134"/>
      <c r="FL272" s="134"/>
      <c r="FM272" s="134"/>
      <c r="FN272" s="134"/>
      <c r="FO272" s="134"/>
      <c r="FP272" s="134"/>
    </row>
    <row r="273" spans="1:172">
      <c r="A273" s="20" t="s">
        <v>1206</v>
      </c>
      <c r="B273" s="20" t="s">
        <v>1207</v>
      </c>
      <c r="C273" s="20" t="s">
        <v>707</v>
      </c>
      <c r="D273" s="20" t="s">
        <v>717</v>
      </c>
      <c r="E273" s="20" t="s">
        <v>863</v>
      </c>
      <c r="F273" s="111" t="s">
        <v>804</v>
      </c>
      <c r="G273" s="111" t="s">
        <v>802</v>
      </c>
      <c r="H273" s="111">
        <v>0</v>
      </c>
      <c r="I273" s="111">
        <v>0</v>
      </c>
      <c r="J273" s="111"/>
      <c r="K273" s="111"/>
      <c r="L273" s="111">
        <f>IFERROR(Tabla_Buffers_Agroinsumos[[#This Row],[BUFFER CENTRAL]]/((Tabla_Buffers_Agroinsumos[[#This Row],[TIEMPO REPOSICION ]]/Tabla_Buffers_Agroinsumos[[#This Row],[FRECUENCIA]])+1),0)</f>
        <v>0</v>
      </c>
      <c r="M273" s="111">
        <v>5</v>
      </c>
      <c r="N273" s="111" t="str">
        <f t="array" ref="N273">IFERROR(INDEX(TABLACONSOLIDADA[Inv Fís Act],MATCH("AGROINSUMOSMATERIAPRIMA"&amp;Tabla_Buffers_Agroinsumos[[#This Row],[CODIGO ]],TABLACONSOLIDADA[Bodega]&amp;TABLACONSOLIDADA[Codigo],0)),"")</f>
        <v/>
      </c>
      <c r="O273" s="178" t="str">
        <f t="array" ref="O27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73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73" s="111">
        <f>IFERROR(SUM(Tabla_Buffers_Agroinsumos[[#This Row],[MP-C]:[MP-VL]]),"")</f>
        <v>0</v>
      </c>
      <c r="R273" s="154" t="str">
        <f>IFERROR(Tabla_Buffers_Agroinsumos[[#This Row],[INV FIS MATERIA PRIMA]]-Tabla_Buffers_Agroinsumos[[#This Row],[BUFFER MATERIA PRIMA]],"")</f>
        <v/>
      </c>
      <c r="S273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73" s="111"/>
      <c r="U273" s="111"/>
      <c r="V273" s="111"/>
      <c r="W273" s="111"/>
      <c r="X273" s="111"/>
      <c r="Y273" s="111"/>
      <c r="Z273" s="111"/>
      <c r="AA273" s="111"/>
      <c r="AB273" s="111"/>
      <c r="AC273" s="152"/>
      <c r="AD273" s="111" t="str">
        <f t="array" ref="AD273">IFERROR(INDEX(TABLACONSOLIDADA[Inv Fís Act],MATCH("AGROINSUMOSCENTRAL"&amp;Tabla_Buffers_Agroinsumos[[#This Row],[CODIGO ]],TABLACONSOLIDADA[Bodega]&amp;TABLACONSOLIDADA[Codigo],0)),"")</f>
        <v/>
      </c>
      <c r="AE273" s="178" t="str">
        <f t="array" ref="AE27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73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73" s="153">
        <f>IFERROR(SUM(Tabla_Buffers_Agroinsumos[[#This Row],[C-MP]:[C-VL]]),"")</f>
        <v>0</v>
      </c>
      <c r="AH273" s="154" t="str">
        <f>IFERROR(Tabla_Buffers_Agroinsumos[[#This Row],[INV FIS CENTRAL]]-Tabla_Buffers_Agroinsumos[[#This Row],[BUFFER CENTRAL]],"")</f>
        <v/>
      </c>
      <c r="AI273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73" s="135"/>
      <c r="AK273" s="135"/>
      <c r="AL273" s="135"/>
      <c r="AM273" s="135"/>
      <c r="AN273" s="135"/>
      <c r="AO273" s="135"/>
      <c r="AP273" s="135"/>
      <c r="AQ273" s="135"/>
      <c r="AR273" s="135"/>
      <c r="AS273" s="135" t="str">
        <f t="array" ref="AS273">IFERROR(INDEX(TABLACONSOLIDADA[Buff Act],MATCH("AGROINSUMOScentralPROPIA"&amp;Tabla_Buffers_Agroinsumos[[#This Row],[CODIGO ]],TABLACONSOLIDADA[Bodega]&amp;TABLACONSOLIDADA[Codigo],0)),"")</f>
        <v/>
      </c>
      <c r="AT273" s="111" t="str">
        <f t="array" ref="AT273">IFERROR(INDEX(TABLACONSOLIDADA[Inv Fís Act],MATCH("AGROINSUMOScentralPROPIA"&amp;Tabla_Buffers_Agroinsumos[[#This Row],[CODIGO ]],TABLACONSOLIDADA[Bodega]&amp;TABLACONSOLIDADA[Codigo],0)),"")</f>
        <v/>
      </c>
      <c r="AU273" s="178" t="str">
        <f t="array" ref="AU27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73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73" s="135">
        <f>IFERROR(SUM(Tabla_Buffers_Agroinsumos[[#This Row],[P-MP]:[P-VL]]),"")</f>
        <v>0</v>
      </c>
      <c r="AX273" s="154" t="str">
        <f>IFERROR(Tabla_Buffers_Agroinsumos[[#This Row],[INV FIS PROPIA]]-Tabla_Buffers_Agroinsumos[[#This Row],[BUFFER PROPIA]],"")</f>
        <v/>
      </c>
      <c r="AY273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73" s="135"/>
      <c r="BA273" s="135"/>
      <c r="BB273" s="135"/>
      <c r="BC273" s="135"/>
      <c r="BD273" s="135"/>
      <c r="BE273" s="135"/>
      <c r="BF273" s="135"/>
      <c r="BG273" s="135"/>
      <c r="BH273" s="135"/>
      <c r="BI273" s="153" t="str">
        <f t="array" ref="BI273">IFERROR(INDEX(TABLACONSOLIDADA[Buff Act],MATCH("AGROINSUMOSSTODOMINGO"&amp;Tabla_Buffers_Agroinsumos[[#This Row],[CODIGO ]],TABLACONSOLIDADA[Bodega]&amp;TABLACONSOLIDADA[Codigo],0)),"")</f>
        <v/>
      </c>
      <c r="BJ273" s="111" t="str">
        <f t="array" ref="BJ273">IFERROR(INDEX(TABLACONSOLIDADA[Inv Fís Act],MATCH("AGROINSUMOSSTODOMINGO"&amp;Tabla_Buffers_Agroinsumos[[#This Row],[CODIGO ]],TABLACONSOLIDADA[Bodega]&amp;TABLACONSOLIDADA[Codigo],0)),"")</f>
        <v/>
      </c>
      <c r="BK273" s="178" t="str">
        <f t="array" ref="BK27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73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73" s="153">
        <f>IFERROR(SUM(Tabla_Buffers_Agroinsumos[[#This Row],[SD-MP]:[SD-VL]]),"")</f>
        <v>0</v>
      </c>
      <c r="BN273" s="154"/>
      <c r="BO273" s="154"/>
      <c r="BP273" s="135"/>
      <c r="BQ273" s="135"/>
      <c r="BR273" s="135"/>
      <c r="BS273" s="135"/>
      <c r="BT273" s="135"/>
      <c r="BU273" s="135"/>
      <c r="BV273" s="135"/>
      <c r="BW273" s="135"/>
      <c r="BX273" s="135"/>
      <c r="BY273" s="135" t="str">
        <f t="array" ref="BY273">IFERROR(INDEX(TABLACONSOLIDADA[Buff Act],MATCH("AGROINSUMOSMONCAYOLOPEZ"&amp;Tabla_Buffers_Agroinsumos[[#This Row],[CODIGO ]],TABLACONSOLIDADA[Bodega]&amp;TABLACONSOLIDADA[Codigo],0)),"")</f>
        <v/>
      </c>
      <c r="BZ273" s="111" t="str">
        <f t="array" ref="BZ273">IFERROR(INDEX(TABLACONSOLIDADA[Inv Fís Act],MATCH("AGROINSUMOSMONCAYOLOPEZ"&amp;Tabla_Buffers_Agroinsumos[[#This Row],[CODIGO ]],TABLACONSOLIDADA[Bodega]&amp;TABLACONSOLIDADA[Codigo],0)),"")</f>
        <v/>
      </c>
      <c r="CA273" s="178" t="str">
        <f t="array" ref="CA27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73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73" s="135">
        <f>IFERROR(SUM(Tabla_Buffers_Agroinsumos[[#This Row],[ML-MP]:[ML-VL]]),"")</f>
        <v>0</v>
      </c>
      <c r="CD273" s="154" t="str">
        <f>IFERROR(Tabla_Buffers_Agroinsumos[[#This Row],[INV FIS ML]]-Tabla_Buffers_Agroinsumos[[#This Row],[BUFFER ML]],"")</f>
        <v/>
      </c>
      <c r="CE273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73" s="135"/>
      <c r="CG273" s="135"/>
      <c r="CH273" s="135"/>
      <c r="CI273" s="135"/>
      <c r="CJ273" s="135"/>
      <c r="CK273" s="135"/>
      <c r="CL273" s="135"/>
      <c r="CM273" s="135"/>
      <c r="CN273" s="135"/>
      <c r="CO273" s="135" t="str">
        <f t="array" ref="CO273">IFERROR(INDEX(TABLACONSOLIDADA[Buff Act],MATCH("AGROINSUMOSAGROHERMANOSLEON"&amp;Tabla_Buffers_Agroinsumos[[#This Row],[CODIGO ]],TABLACONSOLIDADA[Bodega]&amp;TABLACONSOLIDADA[Codigo],0)),"")</f>
        <v/>
      </c>
      <c r="CP273" s="111" t="str">
        <f t="array" ref="CP273">IFERROR(INDEX(TABLACONSOLIDADA[Inv Fís Act],MATCH("AGROINSUMOSAGROHERMANOSLEON"&amp;Tabla_Buffers_Agroinsumos[[#This Row],[CODIGO ]],TABLACONSOLIDADA[Bodega]&amp;TABLACONSOLIDADA[Codigo],0)),"")</f>
        <v/>
      </c>
      <c r="CQ273" s="178" t="str">
        <f t="array" ref="CQ27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73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73" s="135">
        <f>IFERROR(SUM(Tabla_Buffers_Agroinsumos[[#This Row],[AL-MP]:[AL-VL]]),"")</f>
        <v>0</v>
      </c>
      <c r="CT273" s="154" t="str">
        <f>IFERROR(Tabla_Buffers_Agroinsumos[[#This Row],[INV FIS AL]]-Tabla_Buffers_Agroinsumos[[#This Row],[BUFFER AL]],"")</f>
        <v/>
      </c>
      <c r="CU273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73" s="135"/>
      <c r="CW273" s="135"/>
      <c r="CX273" s="135"/>
      <c r="CY273" s="135"/>
      <c r="CZ273" s="135"/>
      <c r="DA273" s="135"/>
      <c r="DB273" s="135"/>
      <c r="DC273" s="135"/>
      <c r="DD273" s="135"/>
      <c r="DE273" s="135" t="str">
        <f t="array" ref="DE273">IFERROR(INDEX(TABLACONSOLIDADA[Buff Act],MATCH("AGROINSUMOSAGRONUEVO"&amp;Tabla_Buffers_Agroinsumos[[#This Row],[CODIGO ]],TABLACONSOLIDADA[Bodega]&amp;TABLACONSOLIDADA[Codigo],0)),"")</f>
        <v/>
      </c>
      <c r="DF273" s="111" t="str">
        <f t="array" ref="DF273">IFERROR(INDEX(TABLACONSOLIDADA[Inv Fís Act],MATCH("AGROINSUMOSAGRONUEVO"&amp;Tabla_Buffers_Agroinsumos[[#This Row],[CODIGO ]],TABLACONSOLIDADA[Bodega]&amp;TABLACONSOLIDADA[Codigo],0)),"")</f>
        <v/>
      </c>
      <c r="DG273" s="178" t="str">
        <f t="array" ref="DG27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73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73" s="135">
        <f>IFERROR(SUM(Tabla_Buffers_Agroinsumos[[#This Row],[AN-MP]:[AN-VL]]),"")</f>
        <v>0</v>
      </c>
      <c r="DJ273" s="154" t="str">
        <f>IFERROR(Tabla_Buffers_Agroinsumos[[#This Row],[INV FIS AN]]-Tabla_Buffers_Agroinsumos[[#This Row],[BUFFER AN]],"")</f>
        <v/>
      </c>
      <c r="DK273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73" s="135"/>
      <c r="DM273" s="135"/>
      <c r="DN273" s="135"/>
      <c r="DO273" s="135"/>
      <c r="DP273" s="135"/>
      <c r="DQ273" s="135"/>
      <c r="DR273" s="135"/>
      <c r="DS273" s="135"/>
      <c r="DT273" s="135"/>
      <c r="DU273" s="135" t="str">
        <f t="array" ref="DU273">IFERROR(INDEX(TABLACONSOLIDADA[Buff Act],MATCH("AGROINSUMOSAGROQUIMICOSSUR"&amp;Tabla_Buffers_Agroinsumos[[#This Row],[CODIGO ]],TABLACONSOLIDADA[Bodega]&amp;TABLACONSOLIDADA[Codigo],0)),"")</f>
        <v/>
      </c>
      <c r="DV273" s="111" t="str">
        <f t="array" ref="DV273">IFERROR(INDEX(TABLACONSOLIDADA[Inv Fís Act],MATCH("AGROINSUMOSAGROQUIMICOSSUR"&amp;Tabla_Buffers_Agroinsumos[[#This Row],[CODIGO ]],TABLACONSOLIDADA[Bodega]&amp;TABLACONSOLIDADA[Codigo],0)),"")</f>
        <v/>
      </c>
      <c r="DW273" s="178" t="str">
        <f t="array" ref="DW27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73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73" s="135">
        <f>IFERROR(SUM(Tabla_Buffers_Agroinsumos[[#This Row],[AS-MP]:[AS-VL]]),"")</f>
        <v>0</v>
      </c>
      <c r="DZ273" s="154" t="str">
        <f>IFERROR(Tabla_Buffers_Agroinsumos[[#This Row],[INV FIS AS]]-Tabla_Buffers_Agroinsumos[[#This Row],[BUFFER AS]],"")</f>
        <v/>
      </c>
      <c r="EA273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73" s="135"/>
      <c r="EC273" s="135"/>
      <c r="ED273" s="135"/>
      <c r="EE273" s="135"/>
      <c r="EF273" s="135"/>
      <c r="EG273" s="135"/>
      <c r="EH273" s="135"/>
      <c r="EI273" s="135"/>
      <c r="EJ273" s="135"/>
      <c r="EK273" s="135" t="str">
        <f t="array" ref="EK273">IFERROR(INDEX(TABLACONSOLIDADA[Buff Act],MATCH("AGROINSUMOSLAFINCA"&amp;Tabla_Buffers_Agroinsumos[[#This Row],[CODIGO ]],TABLACONSOLIDADA[Bodega]&amp;TABLACONSOLIDADA[Codigo],0)),"")</f>
        <v/>
      </c>
      <c r="EL273" s="111" t="str">
        <f t="array" ref="EL273">IFERROR(INDEX(TABLACONSOLIDADA[Inv Fís Act],MATCH("AGROINSUMOSLAFINCA"&amp;Tabla_Buffers_Agroinsumos[[#This Row],[CODIGO ]],TABLACONSOLIDADA[Bodega]&amp;TABLACONSOLIDADA[Codigo],0)),"")</f>
        <v/>
      </c>
      <c r="EM273" s="178" t="str">
        <f t="array" ref="EM27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73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73" s="135">
        <f>IFERROR(SUM(Tabla_Buffers_Agroinsumos[[#This Row],[LF-MP]:[LF-VL]]),"")</f>
        <v>0</v>
      </c>
      <c r="EP273" s="154" t="str">
        <f>IFERROR(Tabla_Buffers_Agroinsumos[[#This Row],[INV FIS LF]]-Tabla_Buffers_Agroinsumos[[#This Row],[BUFFER LF]],"")</f>
        <v/>
      </c>
      <c r="EQ273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73" s="135"/>
      <c r="ES273" s="135"/>
      <c r="ET273" s="135"/>
      <c r="EU273" s="135"/>
      <c r="EV273" s="135"/>
      <c r="EW273" s="135"/>
      <c r="EX273" s="135"/>
      <c r="EY273" s="135"/>
      <c r="EZ273" s="135"/>
      <c r="FA273" s="135" t="str">
        <f t="array" ref="FA273">IFERROR(INDEX(TABLACONSOLIDADA[Buff Act],MATCH("AGROINSUMOSVERONICALEDESMA"&amp;Tabla_Buffers_Agroinsumos[[#This Row],[CODIGO ]],TABLACONSOLIDADA[Bodega]&amp;TABLACONSOLIDADA[Codigo],0)),"")</f>
        <v/>
      </c>
      <c r="FB273" s="111" t="str">
        <f t="array" ref="FB273">IFERROR(INDEX(TABLACONSOLIDADA[Inv Fís Act],MATCH("AGROINSUMOSVERONICALEDESMA"&amp;Tabla_Buffers_Agroinsumos[[#This Row],[CODIGO ]],TABLACONSOLIDADA[Bodega]&amp;TABLACONSOLIDADA[Codigo],0)),"")</f>
        <v/>
      </c>
      <c r="FC273" s="178" t="str">
        <f t="array" ref="FC27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73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73" s="135">
        <f>IFERROR(SUM(Tabla_Buffers_Agroinsumos[[#This Row],[VL-MP]:[VL-LF]]),"")</f>
        <v>0</v>
      </c>
      <c r="FF273" s="154" t="str">
        <f>IFERROR(Tabla_Buffers_Agroinsumos[[#This Row],[INV FIS VL]]-Tabla_Buffers_Agroinsumos[[#This Row],[BUFFER VL]],"")</f>
        <v/>
      </c>
      <c r="FG273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73" s="135"/>
      <c r="FI273" s="135"/>
      <c r="FJ273" s="135"/>
      <c r="FK273" s="135"/>
      <c r="FL273" s="135"/>
      <c r="FM273" s="135"/>
      <c r="FN273" s="135"/>
      <c r="FO273" s="135"/>
      <c r="FP273" s="135"/>
    </row>
    <row r="274" spans="1:172">
      <c r="A274" s="7" t="s">
        <v>911</v>
      </c>
      <c r="B274" s="7" t="s">
        <v>912</v>
      </c>
      <c r="C274" s="7" t="s">
        <v>707</v>
      </c>
      <c r="D274" s="7" t="s">
        <v>717</v>
      </c>
      <c r="E274" s="7" t="s">
        <v>863</v>
      </c>
      <c r="F274" s="19"/>
      <c r="G274" s="19" t="s">
        <v>802</v>
      </c>
      <c r="H274" s="19">
        <f>VLOOKUP(Tabla_Buffers_Agroinsumos[[#This Row],[CODIGO ]],TABLACONSOLIDADA[[Codigo]:[PV]],6,0)</f>
        <v>0</v>
      </c>
      <c r="I274" s="19">
        <f>VLOOKUP(Tabla_Buffers_Agroinsumos[[#This Row],[CODIGO ]],TABLACONSOLIDADA[[Codigo]:[PV]],5,0)</f>
        <v>0</v>
      </c>
      <c r="J274" s="19">
        <v>4</v>
      </c>
      <c r="K274" s="19">
        <v>4</v>
      </c>
      <c r="L274" s="19">
        <f>IFERROR(Tabla_Buffers_Agroinsumos[[#This Row],[BUFFER CENTRAL]]/((Tabla_Buffers_Agroinsumos[[#This Row],[TIEMPO REPOSICION ]]/Tabla_Buffers_Agroinsumos[[#This Row],[FRECUENCIA]])+1),0)</f>
        <v>0</v>
      </c>
      <c r="M274" s="19">
        <f t="array" ref="M274">IFERROR(INDEX(TABLACONSOLIDADA[Buff Act],MATCH("AGROINSUMOSMATERIAPRIMA"&amp;Tabla_Buffers_Agroinsumos[[#This Row],[CODIGO ]],TABLACONSOLIDADA[Bodega]&amp;TABLACONSOLIDADA[Codigo],0)),"")</f>
        <v>0</v>
      </c>
      <c r="N274" s="157">
        <f t="array" ref="N274">IFERROR(INDEX(TABLACONSOLIDADA[Inv Fís Act],MATCH("AGROINSUMOSMATERIAPRIMA"&amp;Tabla_Buffers_Agroinsumos[[#This Row],[CODIGO ]],TABLACONSOLIDADA[Bodega]&amp;TABLACONSOLIDADA[Codigo],0)),"")</f>
        <v>0</v>
      </c>
      <c r="O274" s="157">
        <f t="array" ref="O27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27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74" s="19">
        <f>IFERROR(SUM(Tabla_Buffers_Agroinsumos[[#This Row],[MP-C]:[MP-VL]]),"")</f>
        <v>0</v>
      </c>
      <c r="R274" s="92">
        <f>IFERROR(Tabla_Buffers_Agroinsumos[[#This Row],[INV FIS MATERIA PRIMA]]-Tabla_Buffers_Agroinsumos[[#This Row],[BUFFER MATERIA PRIMA]],"")</f>
        <v>0</v>
      </c>
      <c r="S27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274" s="19"/>
      <c r="U274" s="19"/>
      <c r="V274" s="19"/>
      <c r="W274" s="19"/>
      <c r="X274" s="19"/>
      <c r="Y274" s="19"/>
      <c r="Z274" s="19"/>
      <c r="AA274" s="19"/>
      <c r="AB274" s="19"/>
      <c r="AC274" s="152" t="str">
        <f t="array" ref="AC274">IFERROR(INDEX(TABLACONSOLIDADA[Buff Act],MATCH("AGROINSUMOSCENTRAL"&amp;Tabla_Buffers_Agroinsumos[[#This Row],[CODIGO ]],TABLACONSOLIDADA[Bodega]&amp;TABLACONSOLIDADA[Codigo],0)),"")</f>
        <v/>
      </c>
      <c r="AD274" s="157" t="str">
        <f t="array" ref="AD274">IFERROR(INDEX(TABLACONSOLIDADA[Inv Fís Act],MATCH("AGROINSUMOSCENTRAL"&amp;Tabla_Buffers_Agroinsumos[[#This Row],[CODIGO ]],TABLACONSOLIDADA[Bodega]&amp;TABLACONSOLIDADA[Codigo],0)),"")</f>
        <v/>
      </c>
      <c r="AE274" s="157" t="str">
        <f t="array" ref="AE27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7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74" s="91">
        <f>IFERROR(SUM(Tabla_Buffers_Agroinsumos[[#This Row],[C-MP]:[C-VL]]),"")</f>
        <v>0</v>
      </c>
      <c r="AH274" s="92" t="str">
        <f>IFERROR(Tabla_Buffers_Agroinsumos[[#This Row],[INV FIS CENTRAL]]-Tabla_Buffers_Agroinsumos[[#This Row],[BUFFER CENTRAL]],"")</f>
        <v/>
      </c>
      <c r="AI27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74" s="134"/>
      <c r="AK274" s="134"/>
      <c r="AL274" s="134"/>
      <c r="AM274" s="134"/>
      <c r="AN274" s="134"/>
      <c r="AO274" s="134"/>
      <c r="AP274" s="134"/>
      <c r="AQ274" s="134"/>
      <c r="AR274" s="134"/>
      <c r="AS274" s="134" t="str">
        <f t="array" ref="AS274">IFERROR(INDEX(TABLACONSOLIDADA[Buff Act],MATCH("AGROINSUMOScentralPROPIA"&amp;Tabla_Buffers_Agroinsumos[[#This Row],[CODIGO ]],TABLACONSOLIDADA[Bodega]&amp;TABLACONSOLIDADA[Codigo],0)),"")</f>
        <v/>
      </c>
      <c r="AT274" s="157" t="str">
        <f t="array" ref="AT274">IFERROR(INDEX(TABLACONSOLIDADA[Inv Fís Act],MATCH("AGROINSUMOScentralPROPIA"&amp;Tabla_Buffers_Agroinsumos[[#This Row],[CODIGO ]],TABLACONSOLIDADA[Bodega]&amp;TABLACONSOLIDADA[Codigo],0)),"")</f>
        <v/>
      </c>
      <c r="AU274" s="157" t="str">
        <f t="array" ref="AU27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7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74" s="134">
        <f>IFERROR(SUM(Tabla_Buffers_Agroinsumos[[#This Row],[P-MP]:[P-VL]]),"")</f>
        <v>0</v>
      </c>
      <c r="AX274" s="92" t="str">
        <f>IFERROR(Tabla_Buffers_Agroinsumos[[#This Row],[INV FIS PROPIA]]-Tabla_Buffers_Agroinsumos[[#This Row],[BUFFER PROPIA]],"")</f>
        <v/>
      </c>
      <c r="AY27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74" s="134"/>
      <c r="BA274" s="134"/>
      <c r="BB274" s="134"/>
      <c r="BC274" s="134"/>
      <c r="BD274" s="134"/>
      <c r="BE274" s="134"/>
      <c r="BF274" s="134"/>
      <c r="BG274" s="134"/>
      <c r="BH274" s="134"/>
      <c r="BI274" s="91" t="str">
        <f t="array" ref="BI274">IFERROR(INDEX(TABLACONSOLIDADA[Buff Act],MATCH("AGROINSUMOSSTODOMINGO"&amp;Tabla_Buffers_Agroinsumos[[#This Row],[CODIGO ]],TABLACONSOLIDADA[Bodega]&amp;TABLACONSOLIDADA[Codigo],0)),"")</f>
        <v/>
      </c>
      <c r="BJ274" s="157" t="str">
        <f t="array" ref="BJ274">IFERROR(INDEX(TABLACONSOLIDADA[Inv Fís Act],MATCH("AGROINSUMOSSTODOMINGO"&amp;Tabla_Buffers_Agroinsumos[[#This Row],[CODIGO ]],TABLACONSOLIDADA[Bodega]&amp;TABLACONSOLIDADA[Codigo],0)),"")</f>
        <v/>
      </c>
      <c r="BK274" s="157" t="str">
        <f t="array" ref="BK27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7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74" s="91">
        <f>IFERROR(SUM(Tabla_Buffers_Agroinsumos[[#This Row],[SD-MP]:[SD-VL]]),"")</f>
        <v>0</v>
      </c>
      <c r="BN274" s="92"/>
      <c r="BO274" s="92"/>
      <c r="BP274" s="134"/>
      <c r="BQ274" s="134"/>
      <c r="BR274" s="134"/>
      <c r="BS274" s="134"/>
      <c r="BT274" s="134"/>
      <c r="BU274" s="134"/>
      <c r="BV274" s="134"/>
      <c r="BW274" s="134"/>
      <c r="BX274" s="134"/>
      <c r="BY274" s="134" t="str">
        <f t="array" ref="BY274">IFERROR(INDEX(TABLACONSOLIDADA[Buff Act],MATCH("AGROINSUMOSMONCAYOLOPEZ"&amp;Tabla_Buffers_Agroinsumos[[#This Row],[CODIGO ]],TABLACONSOLIDADA[Bodega]&amp;TABLACONSOLIDADA[Codigo],0)),"")</f>
        <v/>
      </c>
      <c r="BZ274" s="157" t="str">
        <f t="array" ref="BZ274">IFERROR(INDEX(TABLACONSOLIDADA[Inv Fís Act],MATCH("AGROINSUMOSMONCAYOLOPEZ"&amp;Tabla_Buffers_Agroinsumos[[#This Row],[CODIGO ]],TABLACONSOLIDADA[Bodega]&amp;TABLACONSOLIDADA[Codigo],0)),"")</f>
        <v/>
      </c>
      <c r="CA274" s="157" t="str">
        <f t="array" ref="CA27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7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74" s="134">
        <f>IFERROR(SUM(Tabla_Buffers_Agroinsumos[[#This Row],[ML-MP]:[ML-VL]]),"")</f>
        <v>0</v>
      </c>
      <c r="CD274" s="92" t="str">
        <f>IFERROR(Tabla_Buffers_Agroinsumos[[#This Row],[INV FIS ML]]-Tabla_Buffers_Agroinsumos[[#This Row],[BUFFER ML]],"")</f>
        <v/>
      </c>
      <c r="CE27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74" s="134"/>
      <c r="CG274" s="134"/>
      <c r="CH274" s="134"/>
      <c r="CI274" s="134"/>
      <c r="CJ274" s="134"/>
      <c r="CK274" s="134"/>
      <c r="CL274" s="134"/>
      <c r="CM274" s="134"/>
      <c r="CN274" s="134"/>
      <c r="CO274" s="134" t="str">
        <f t="array" ref="CO274">IFERROR(INDEX(TABLACONSOLIDADA[Buff Act],MATCH("AGROINSUMOSAGROHERMANOSLEON"&amp;Tabla_Buffers_Agroinsumos[[#This Row],[CODIGO ]],TABLACONSOLIDADA[Bodega]&amp;TABLACONSOLIDADA[Codigo],0)),"")</f>
        <v/>
      </c>
      <c r="CP274" s="157" t="str">
        <f t="array" ref="CP274">IFERROR(INDEX(TABLACONSOLIDADA[Inv Fís Act],MATCH("AGROINSUMOSAGROHERMANOSLEON"&amp;Tabla_Buffers_Agroinsumos[[#This Row],[CODIGO ]],TABLACONSOLIDADA[Bodega]&amp;TABLACONSOLIDADA[Codigo],0)),"")</f>
        <v/>
      </c>
      <c r="CQ274" s="157" t="str">
        <f t="array" ref="CQ27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7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74" s="134">
        <f>IFERROR(SUM(Tabla_Buffers_Agroinsumos[[#This Row],[AL-MP]:[AL-VL]]),"")</f>
        <v>0</v>
      </c>
      <c r="CT274" s="92" t="str">
        <f>IFERROR(Tabla_Buffers_Agroinsumos[[#This Row],[INV FIS AL]]-Tabla_Buffers_Agroinsumos[[#This Row],[BUFFER AL]],"")</f>
        <v/>
      </c>
      <c r="CU27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74" s="134"/>
      <c r="CW274" s="134"/>
      <c r="CX274" s="134"/>
      <c r="CY274" s="134"/>
      <c r="CZ274" s="134"/>
      <c r="DA274" s="134"/>
      <c r="DB274" s="134"/>
      <c r="DC274" s="134"/>
      <c r="DD274" s="134"/>
      <c r="DE274" s="134" t="str">
        <f t="array" ref="DE274">IFERROR(INDEX(TABLACONSOLIDADA[Buff Act],MATCH("AGROINSUMOSAGRONUEVO"&amp;Tabla_Buffers_Agroinsumos[[#This Row],[CODIGO ]],TABLACONSOLIDADA[Bodega]&amp;TABLACONSOLIDADA[Codigo],0)),"")</f>
        <v/>
      </c>
      <c r="DF274" s="157" t="str">
        <f t="array" ref="DF274">IFERROR(INDEX(TABLACONSOLIDADA[Inv Fís Act],MATCH("AGROINSUMOSAGRONUEVO"&amp;Tabla_Buffers_Agroinsumos[[#This Row],[CODIGO ]],TABLACONSOLIDADA[Bodega]&amp;TABLACONSOLIDADA[Codigo],0)),"")</f>
        <v/>
      </c>
      <c r="DG274" s="157" t="str">
        <f t="array" ref="DG27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7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74" s="134">
        <f>IFERROR(SUM(Tabla_Buffers_Agroinsumos[[#This Row],[AN-MP]:[AN-VL]]),"")</f>
        <v>0</v>
      </c>
      <c r="DJ274" s="92" t="str">
        <f>IFERROR(Tabla_Buffers_Agroinsumos[[#This Row],[INV FIS AN]]-Tabla_Buffers_Agroinsumos[[#This Row],[BUFFER AN]],"")</f>
        <v/>
      </c>
      <c r="DK27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74" s="134"/>
      <c r="DM274" s="134"/>
      <c r="DN274" s="134"/>
      <c r="DO274" s="134"/>
      <c r="DP274" s="134"/>
      <c r="DQ274" s="134"/>
      <c r="DR274" s="134"/>
      <c r="DS274" s="134"/>
      <c r="DT274" s="134"/>
      <c r="DU274" s="134" t="str">
        <f t="array" ref="DU274">IFERROR(INDEX(TABLACONSOLIDADA[Buff Act],MATCH("AGROINSUMOSAGROQUIMICOSSUR"&amp;Tabla_Buffers_Agroinsumos[[#This Row],[CODIGO ]],TABLACONSOLIDADA[Bodega]&amp;TABLACONSOLIDADA[Codigo],0)),"")</f>
        <v/>
      </c>
      <c r="DV274" s="157" t="str">
        <f t="array" ref="DV274">IFERROR(INDEX(TABLACONSOLIDADA[Inv Fís Act],MATCH("AGROINSUMOSAGROQUIMICOSSUR"&amp;Tabla_Buffers_Agroinsumos[[#This Row],[CODIGO ]],TABLACONSOLIDADA[Bodega]&amp;TABLACONSOLIDADA[Codigo],0)),"")</f>
        <v/>
      </c>
      <c r="DW274" s="157" t="str">
        <f t="array" ref="DW27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7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74" s="134">
        <f>IFERROR(SUM(Tabla_Buffers_Agroinsumos[[#This Row],[AS-MP]:[AS-VL]]),"")</f>
        <v>0</v>
      </c>
      <c r="DZ274" s="92" t="str">
        <f>IFERROR(Tabla_Buffers_Agroinsumos[[#This Row],[INV FIS AS]]-Tabla_Buffers_Agroinsumos[[#This Row],[BUFFER AS]],"")</f>
        <v/>
      </c>
      <c r="EA27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74" s="134"/>
      <c r="EC274" s="134"/>
      <c r="ED274" s="134"/>
      <c r="EE274" s="134"/>
      <c r="EF274" s="134"/>
      <c r="EG274" s="134"/>
      <c r="EH274" s="134"/>
      <c r="EI274" s="134"/>
      <c r="EJ274" s="134"/>
      <c r="EK274" s="134" t="str">
        <f t="array" ref="EK274">IFERROR(INDEX(TABLACONSOLIDADA[Buff Act],MATCH("AGROINSUMOSLAFINCA"&amp;Tabla_Buffers_Agroinsumos[[#This Row],[CODIGO ]],TABLACONSOLIDADA[Bodega]&amp;TABLACONSOLIDADA[Codigo],0)),"")</f>
        <v/>
      </c>
      <c r="EL274" s="157" t="str">
        <f t="array" ref="EL274">IFERROR(INDEX(TABLACONSOLIDADA[Inv Fís Act],MATCH("AGROINSUMOSLAFINCA"&amp;Tabla_Buffers_Agroinsumos[[#This Row],[CODIGO ]],TABLACONSOLIDADA[Bodega]&amp;TABLACONSOLIDADA[Codigo],0)),"")</f>
        <v/>
      </c>
      <c r="EM274" s="157" t="str">
        <f t="array" ref="EM27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7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74" s="134">
        <f>IFERROR(SUM(Tabla_Buffers_Agroinsumos[[#This Row],[LF-MP]:[LF-VL]]),"")</f>
        <v>0</v>
      </c>
      <c r="EP274" s="92" t="str">
        <f>IFERROR(Tabla_Buffers_Agroinsumos[[#This Row],[INV FIS LF]]-Tabla_Buffers_Agroinsumos[[#This Row],[BUFFER LF]],"")</f>
        <v/>
      </c>
      <c r="EQ27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74" s="134"/>
      <c r="ES274" s="134"/>
      <c r="ET274" s="134"/>
      <c r="EU274" s="134"/>
      <c r="EV274" s="134"/>
      <c r="EW274" s="134"/>
      <c r="EX274" s="134"/>
      <c r="EY274" s="134"/>
      <c r="EZ274" s="134"/>
      <c r="FA274" s="134" t="str">
        <f t="array" ref="FA274">IFERROR(INDEX(TABLACONSOLIDADA[Buff Act],MATCH("AGROINSUMOSVERONICALEDESMA"&amp;Tabla_Buffers_Agroinsumos[[#This Row],[CODIGO ]],TABLACONSOLIDADA[Bodega]&amp;TABLACONSOLIDADA[Codigo],0)),"")</f>
        <v/>
      </c>
      <c r="FB274" s="157" t="str">
        <f t="array" ref="FB274">IFERROR(INDEX(TABLACONSOLIDADA[Inv Fís Act],MATCH("AGROINSUMOSVERONICALEDESMA"&amp;Tabla_Buffers_Agroinsumos[[#This Row],[CODIGO ]],TABLACONSOLIDADA[Bodega]&amp;TABLACONSOLIDADA[Codigo],0)),"")</f>
        <v/>
      </c>
      <c r="FC274" s="157" t="str">
        <f t="array" ref="FC27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7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74" s="134">
        <f>IFERROR(SUM(Tabla_Buffers_Agroinsumos[[#This Row],[VL-MP]:[VL-LF]]),"")</f>
        <v>0</v>
      </c>
      <c r="FF274" s="92" t="str">
        <f>IFERROR(Tabla_Buffers_Agroinsumos[[#This Row],[INV FIS VL]]-Tabla_Buffers_Agroinsumos[[#This Row],[BUFFER VL]],"")</f>
        <v/>
      </c>
      <c r="FG27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74" s="134"/>
      <c r="FI274" s="134"/>
      <c r="FJ274" s="134"/>
      <c r="FK274" s="134"/>
      <c r="FL274" s="134"/>
      <c r="FM274" s="134"/>
      <c r="FN274" s="134"/>
      <c r="FO274" s="134"/>
      <c r="FP274" s="134"/>
    </row>
    <row r="275" spans="1:172">
      <c r="A275" s="7" t="s">
        <v>474</v>
      </c>
      <c r="B275" s="7" t="s">
        <v>475</v>
      </c>
      <c r="C275" s="7" t="s">
        <v>709</v>
      </c>
      <c r="D275" s="7" t="s">
        <v>719</v>
      </c>
      <c r="E275" s="7" t="s">
        <v>975</v>
      </c>
      <c r="F275" s="19" t="s">
        <v>698</v>
      </c>
      <c r="G275" s="19" t="s">
        <v>698</v>
      </c>
      <c r="H275" s="19">
        <f>VLOOKUP(Tabla_Buffers_Agroinsumos[[#This Row],[CODIGO ]],TABLACONSOLIDADA[[Codigo]:[PV]],6,0)</f>
        <v>8.9</v>
      </c>
      <c r="I275" s="19">
        <f>VLOOKUP(Tabla_Buffers_Agroinsumos[[#This Row],[CODIGO ]],TABLACONSOLIDADA[[Codigo]:[PV]],5,0)</f>
        <v>2.68</v>
      </c>
      <c r="J275" s="19" t="s">
        <v>698</v>
      </c>
      <c r="K275" s="19" t="s">
        <v>698</v>
      </c>
      <c r="L275" s="19">
        <f>IFERROR(Tabla_Buffers_Agroinsumos[[#This Row],[BUFFER CENTRAL]]/((Tabla_Buffers_Agroinsumos[[#This Row],[TIEMPO REPOSICION ]]/Tabla_Buffers_Agroinsumos[[#This Row],[FRECUENCIA]])+1),0)</f>
        <v>0</v>
      </c>
      <c r="M275" s="19" t="str">
        <f t="array" ref="M275">IFERROR(INDEX(TABLACONSOLIDADA[Buff Act],MATCH("AGROINSUMOSMATERIAPRIMA"&amp;Tabla_Buffers_Agroinsumos[[#This Row],[CODIGO ]],TABLACONSOLIDADA[Bodega]&amp;TABLACONSOLIDADA[Codigo],0)),"")</f>
        <v/>
      </c>
      <c r="N275" s="157" t="str">
        <f t="array" ref="N275">IFERROR(INDEX(TABLACONSOLIDADA[Inv Fís Act],MATCH("AGROINSUMOSMATERIAPRIMA"&amp;Tabla_Buffers_Agroinsumos[[#This Row],[CODIGO ]],TABLACONSOLIDADA[Bodega]&amp;TABLACONSOLIDADA[Codigo],0)),"")</f>
        <v/>
      </c>
      <c r="O275" s="157" t="str">
        <f t="array" ref="O27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7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75" s="19">
        <f>IFERROR(SUM(Tabla_Buffers_Agroinsumos[[#This Row],[MP-C]:[MP-VL]]),"")</f>
        <v>0</v>
      </c>
      <c r="R275" s="92" t="str">
        <f>IFERROR(Tabla_Buffers_Agroinsumos[[#This Row],[INV FIS MATERIA PRIMA]]-Tabla_Buffers_Agroinsumos[[#This Row],[BUFFER MATERIA PRIMA]],"")</f>
        <v/>
      </c>
      <c r="S27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75" s="19"/>
      <c r="U275" s="19"/>
      <c r="V275" s="19"/>
      <c r="W275" s="19"/>
      <c r="X275" s="19"/>
      <c r="Y275" s="19"/>
      <c r="Z275" s="19"/>
      <c r="AA275" s="19"/>
      <c r="AB275" s="19"/>
      <c r="AC275" s="152">
        <f t="array" ref="AC275">IFERROR(INDEX(TABLACONSOLIDADA[Buff Act],MATCH("AGROINSUMOSCENTRAL"&amp;Tabla_Buffers_Agroinsumos[[#This Row],[CODIGO ]],TABLACONSOLIDADA[Bodega]&amp;TABLACONSOLIDADA[Codigo],0)),"")</f>
        <v>300</v>
      </c>
      <c r="AD275" s="157">
        <f t="array" ref="AD275">IFERROR(INDEX(TABLACONSOLIDADA[Inv Fís Act],MATCH("AGROINSUMOSCENTRAL"&amp;Tabla_Buffers_Agroinsumos[[#This Row],[CODIGO ]],TABLACONSOLIDADA[Bodega]&amp;TABLACONSOLIDADA[Codigo],0)),"")</f>
        <v>31</v>
      </c>
      <c r="AE275" s="157">
        <f t="array" ref="AE27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300</v>
      </c>
      <c r="AF27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75" s="91">
        <f>IFERROR(SUM(Tabla_Buffers_Agroinsumos[[#This Row],[C-MP]:[C-VL]]),"")</f>
        <v>0</v>
      </c>
      <c r="AH275" s="92">
        <f>IFERROR(Tabla_Buffers_Agroinsumos[[#This Row],[INV FIS CENTRAL]]-Tabla_Buffers_Agroinsumos[[#This Row],[BUFFER CENTRAL]],"")</f>
        <v>-269</v>
      </c>
      <c r="AI27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-269</v>
      </c>
      <c r="AJ275" s="134"/>
      <c r="AK275" s="134"/>
      <c r="AL275" s="134"/>
      <c r="AM275" s="134"/>
      <c r="AN275" s="134"/>
      <c r="AO275" s="134"/>
      <c r="AP275" s="134"/>
      <c r="AQ275" s="134"/>
      <c r="AR275" s="134"/>
      <c r="AS275" s="134">
        <f t="array" ref="AS275">IFERROR(INDEX(TABLACONSOLIDADA[Buff Act],MATCH("AGROINSUMOScentralPROPIA"&amp;Tabla_Buffers_Agroinsumos[[#This Row],[CODIGO ]],TABLACONSOLIDADA[Bodega]&amp;TABLACONSOLIDADA[Codigo],0)),"")</f>
        <v>60</v>
      </c>
      <c r="AT275" s="157">
        <f t="array" ref="AT275">IFERROR(INDEX(TABLACONSOLIDADA[Inv Fís Act],MATCH("AGROINSUMOScentralPROPIA"&amp;Tabla_Buffers_Agroinsumos[[#This Row],[CODIGO ]],TABLACONSOLIDADA[Bodega]&amp;TABLACONSOLIDADA[Codigo],0)),"")</f>
        <v>0</v>
      </c>
      <c r="AU275" s="157">
        <f t="array" ref="AU27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7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75" s="134">
        <f>IFERROR(SUM(Tabla_Buffers_Agroinsumos[[#This Row],[P-MP]:[P-VL]]),"")</f>
        <v>0</v>
      </c>
      <c r="AX275" s="92">
        <f>IFERROR(Tabla_Buffers_Agroinsumos[[#This Row],[INV FIS PROPIA]]-Tabla_Buffers_Agroinsumos[[#This Row],[BUFFER PROPIA]],"")</f>
        <v>-60</v>
      </c>
      <c r="AY27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-60</v>
      </c>
      <c r="AZ275" s="134"/>
      <c r="BA275" s="134"/>
      <c r="BB275" s="134"/>
      <c r="BC275" s="134"/>
      <c r="BD275" s="134"/>
      <c r="BE275" s="134"/>
      <c r="BF275" s="134"/>
      <c r="BG275" s="134"/>
      <c r="BH275" s="134"/>
      <c r="BI275" s="91">
        <f t="array" ref="BI275">IFERROR(INDEX(TABLACONSOLIDADA[Buff Act],MATCH("AGROINSUMOSSTODOMINGO"&amp;Tabla_Buffers_Agroinsumos[[#This Row],[CODIGO ]],TABLACONSOLIDADA[Bodega]&amp;TABLACONSOLIDADA[Codigo],0)),"")</f>
        <v>0</v>
      </c>
      <c r="BJ275" s="157">
        <f t="array" ref="BJ275">IFERROR(INDEX(TABLACONSOLIDADA[Inv Fís Act],MATCH("AGROINSUMOSSTODOMINGO"&amp;Tabla_Buffers_Agroinsumos[[#This Row],[CODIGO ]],TABLACONSOLIDADA[Bodega]&amp;TABLACONSOLIDADA[Codigo],0)),"")</f>
        <v>0</v>
      </c>
      <c r="BK275" s="157">
        <f t="array" ref="BK27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7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75" s="91">
        <f>IFERROR(SUM(Tabla_Buffers_Agroinsumos[[#This Row],[SD-MP]:[SD-VL]]),"")</f>
        <v>0</v>
      </c>
      <c r="BN275" s="92"/>
      <c r="BO275" s="92"/>
      <c r="BP275" s="134"/>
      <c r="BQ275" s="134"/>
      <c r="BR275" s="134"/>
      <c r="BS275" s="134"/>
      <c r="BT275" s="134"/>
      <c r="BU275" s="134"/>
      <c r="BV275" s="134"/>
      <c r="BW275" s="134"/>
      <c r="BX275" s="134"/>
      <c r="BY275" s="134">
        <f t="array" ref="BY275">IFERROR(INDEX(TABLACONSOLIDADA[Buff Act],MATCH("AGROINSUMOSMONCAYOLOPEZ"&amp;Tabla_Buffers_Agroinsumos[[#This Row],[CODIGO ]],TABLACONSOLIDADA[Bodega]&amp;TABLACONSOLIDADA[Codigo],0)),"")</f>
        <v>10</v>
      </c>
      <c r="BZ275" s="157">
        <f t="array" ref="BZ275">IFERROR(INDEX(TABLACONSOLIDADA[Inv Fís Act],MATCH("AGROINSUMOSMONCAYOLOPEZ"&amp;Tabla_Buffers_Agroinsumos[[#This Row],[CODIGO ]],TABLACONSOLIDADA[Bodega]&amp;TABLACONSOLIDADA[Codigo],0)),"")</f>
        <v>10</v>
      </c>
      <c r="CA275" s="157">
        <f t="array" ref="CA27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10</v>
      </c>
      <c r="CB27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75" s="134">
        <f>IFERROR(SUM(Tabla_Buffers_Agroinsumos[[#This Row],[ML-MP]:[ML-VL]]),"")</f>
        <v>0</v>
      </c>
      <c r="CD275" s="92">
        <f>IFERROR(Tabla_Buffers_Agroinsumos[[#This Row],[INV FIS ML]]-Tabla_Buffers_Agroinsumos[[#This Row],[BUFFER ML]],"")</f>
        <v>0</v>
      </c>
      <c r="CE27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75" s="134"/>
      <c r="CG275" s="134"/>
      <c r="CH275" s="134"/>
      <c r="CI275" s="134"/>
      <c r="CJ275" s="134"/>
      <c r="CK275" s="134"/>
      <c r="CL275" s="134"/>
      <c r="CM275" s="134"/>
      <c r="CN275" s="134"/>
      <c r="CO275" s="134">
        <f t="array" ref="CO275">IFERROR(INDEX(TABLACONSOLIDADA[Buff Act],MATCH("AGROINSUMOSAGROHERMANOSLEON"&amp;Tabla_Buffers_Agroinsumos[[#This Row],[CODIGO ]],TABLACONSOLIDADA[Bodega]&amp;TABLACONSOLIDADA[Codigo],0)),"")</f>
        <v>0</v>
      </c>
      <c r="CP275" s="157">
        <f t="array" ref="CP275">IFERROR(INDEX(TABLACONSOLIDADA[Inv Fís Act],MATCH("AGROINSUMOSAGROHERMANOSLEON"&amp;Tabla_Buffers_Agroinsumos[[#This Row],[CODIGO ]],TABLACONSOLIDADA[Bodega]&amp;TABLACONSOLIDADA[Codigo],0)),"")</f>
        <v>0</v>
      </c>
      <c r="CQ275" s="157">
        <f t="array" ref="CQ27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7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75" s="134">
        <f>IFERROR(SUM(Tabla_Buffers_Agroinsumos[[#This Row],[AL-MP]:[AL-VL]]),"")</f>
        <v>0</v>
      </c>
      <c r="CT275" s="92">
        <f>IFERROR(Tabla_Buffers_Agroinsumos[[#This Row],[INV FIS AL]]-Tabla_Buffers_Agroinsumos[[#This Row],[BUFFER AL]],"")</f>
        <v>0</v>
      </c>
      <c r="CU27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75" s="134"/>
      <c r="CW275" s="134"/>
      <c r="CX275" s="134"/>
      <c r="CY275" s="134"/>
      <c r="CZ275" s="134"/>
      <c r="DA275" s="134"/>
      <c r="DB275" s="134"/>
      <c r="DC275" s="134"/>
      <c r="DD275" s="134"/>
      <c r="DE275" s="134">
        <f t="array" ref="DE275">IFERROR(INDEX(TABLACONSOLIDADA[Buff Act],MATCH("AGROINSUMOSAGRONUEVO"&amp;Tabla_Buffers_Agroinsumos[[#This Row],[CODIGO ]],TABLACONSOLIDADA[Bodega]&amp;TABLACONSOLIDADA[Codigo],0)),"")</f>
        <v>0</v>
      </c>
      <c r="DF275" s="157">
        <f t="array" ref="DF275">IFERROR(INDEX(TABLACONSOLIDADA[Inv Fís Act],MATCH("AGROINSUMOSAGRONUEVO"&amp;Tabla_Buffers_Agroinsumos[[#This Row],[CODIGO ]],TABLACONSOLIDADA[Bodega]&amp;TABLACONSOLIDADA[Codigo],0)),"")</f>
        <v>0</v>
      </c>
      <c r="DG275" s="157">
        <f t="array" ref="DG27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7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75" s="134">
        <f>IFERROR(SUM(Tabla_Buffers_Agroinsumos[[#This Row],[AN-MP]:[AN-VL]]),"")</f>
        <v>0</v>
      </c>
      <c r="DJ275" s="92">
        <f>IFERROR(Tabla_Buffers_Agroinsumos[[#This Row],[INV FIS AN]]-Tabla_Buffers_Agroinsumos[[#This Row],[BUFFER AN]],"")</f>
        <v>0</v>
      </c>
      <c r="DK27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75" s="134"/>
      <c r="DM275" s="134"/>
      <c r="DN275" s="134"/>
      <c r="DO275" s="134"/>
      <c r="DP275" s="134"/>
      <c r="DQ275" s="134"/>
      <c r="DR275" s="134"/>
      <c r="DS275" s="134"/>
      <c r="DT275" s="134"/>
      <c r="DU275" s="134">
        <f t="array" ref="DU275">IFERROR(INDEX(TABLACONSOLIDADA[Buff Act],MATCH("AGROINSUMOSAGROQUIMICOSSUR"&amp;Tabla_Buffers_Agroinsumos[[#This Row],[CODIGO ]],TABLACONSOLIDADA[Bodega]&amp;TABLACONSOLIDADA[Codigo],0)),"")</f>
        <v>0</v>
      </c>
      <c r="DV275" s="157">
        <f t="array" ref="DV275">IFERROR(INDEX(TABLACONSOLIDADA[Inv Fís Act],MATCH("AGROINSUMOSAGROQUIMICOSSUR"&amp;Tabla_Buffers_Agroinsumos[[#This Row],[CODIGO ]],TABLACONSOLIDADA[Bodega]&amp;TABLACONSOLIDADA[Codigo],0)),"")</f>
        <v>0</v>
      </c>
      <c r="DW275" s="157">
        <f t="array" ref="DW27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7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75" s="134">
        <f>IFERROR(SUM(Tabla_Buffers_Agroinsumos[[#This Row],[AS-MP]:[AS-VL]]),"")</f>
        <v>0</v>
      </c>
      <c r="DZ275" s="92">
        <f>IFERROR(Tabla_Buffers_Agroinsumos[[#This Row],[INV FIS AS]]-Tabla_Buffers_Agroinsumos[[#This Row],[BUFFER AS]],"")</f>
        <v>0</v>
      </c>
      <c r="EA27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75" s="134"/>
      <c r="EC275" s="134"/>
      <c r="ED275" s="134"/>
      <c r="EE275" s="134"/>
      <c r="EF275" s="134"/>
      <c r="EG275" s="134"/>
      <c r="EH275" s="134"/>
      <c r="EI275" s="134"/>
      <c r="EJ275" s="134"/>
      <c r="EK275" s="134">
        <f t="array" ref="EK275">IFERROR(INDEX(TABLACONSOLIDADA[Buff Act],MATCH("AGROINSUMOSLAFINCA"&amp;Tabla_Buffers_Agroinsumos[[#This Row],[CODIGO ]],TABLACONSOLIDADA[Bodega]&amp;TABLACONSOLIDADA[Codigo],0)),"")</f>
        <v>0</v>
      </c>
      <c r="EL275" s="157">
        <f t="array" ref="EL275">IFERROR(INDEX(TABLACONSOLIDADA[Inv Fís Act],MATCH("AGROINSUMOSLAFINCA"&amp;Tabla_Buffers_Agroinsumos[[#This Row],[CODIGO ]],TABLACONSOLIDADA[Bodega]&amp;TABLACONSOLIDADA[Codigo],0)),"")</f>
        <v>0</v>
      </c>
      <c r="EM275" s="157">
        <f t="array" ref="EM27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7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75" s="134">
        <f>IFERROR(SUM(Tabla_Buffers_Agroinsumos[[#This Row],[LF-MP]:[LF-VL]]),"")</f>
        <v>0</v>
      </c>
      <c r="EP275" s="92">
        <f>IFERROR(Tabla_Buffers_Agroinsumos[[#This Row],[INV FIS LF]]-Tabla_Buffers_Agroinsumos[[#This Row],[BUFFER LF]],"")</f>
        <v>0</v>
      </c>
      <c r="EQ27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75" s="134"/>
      <c r="ES275" s="134"/>
      <c r="ET275" s="134"/>
      <c r="EU275" s="134"/>
      <c r="EV275" s="134"/>
      <c r="EW275" s="134"/>
      <c r="EX275" s="134"/>
      <c r="EY275" s="134"/>
      <c r="EZ275" s="134"/>
      <c r="FA275" s="134">
        <f t="array" ref="FA275">IFERROR(INDEX(TABLACONSOLIDADA[Buff Act],MATCH("AGROINSUMOSVERONICALEDESMA"&amp;Tabla_Buffers_Agroinsumos[[#This Row],[CODIGO ]],TABLACONSOLIDADA[Bodega]&amp;TABLACONSOLIDADA[Codigo],0)),"")</f>
        <v>42</v>
      </c>
      <c r="FB275" s="157">
        <f t="array" ref="FB275">IFERROR(INDEX(TABLACONSOLIDADA[Inv Fís Act],MATCH("AGROINSUMOSVERONICALEDESMA"&amp;Tabla_Buffers_Agroinsumos[[#This Row],[CODIGO ]],TABLACONSOLIDADA[Bodega]&amp;TABLACONSOLIDADA[Codigo],0)),"")</f>
        <v>21</v>
      </c>
      <c r="FC275" s="157">
        <f t="array" ref="FC27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38</v>
      </c>
      <c r="FD27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75" s="134">
        <f>IFERROR(SUM(Tabla_Buffers_Agroinsumos[[#This Row],[VL-MP]:[VL-LF]]),"")</f>
        <v>0</v>
      </c>
      <c r="FF275" s="92">
        <f>IFERROR(Tabla_Buffers_Agroinsumos[[#This Row],[INV FIS VL]]-Tabla_Buffers_Agroinsumos[[#This Row],[BUFFER VL]],"")</f>
        <v>-21</v>
      </c>
      <c r="FG275" s="92">
        <f>IFERROR(Tabla_Buffers_Agroinsumos[[#This Row],[INV FIS VL]]+Tabla_Buffers_Agroinsumos[[#This Row],[TRANSFERENCIAS A VL]]-Tabla_Buffers_Agroinsumos[[#This Row],[BUFFER VL]]-Tabla_Buffers_Agroinsumos[[#This Row],[TRANSFERENCIAS DE VL]],"")</f>
        <v>-21</v>
      </c>
      <c r="FH275" s="134"/>
      <c r="FI275" s="134"/>
      <c r="FJ275" s="134"/>
      <c r="FK275" s="134"/>
      <c r="FL275" s="134"/>
      <c r="FM275" s="134"/>
      <c r="FN275" s="134"/>
      <c r="FO275" s="134"/>
      <c r="FP275" s="134"/>
    </row>
    <row r="276" spans="1:172">
      <c r="A276" s="7" t="s">
        <v>476</v>
      </c>
      <c r="B276" s="7" t="s">
        <v>477</v>
      </c>
      <c r="C276" s="7" t="s">
        <v>708</v>
      </c>
      <c r="D276" s="7" t="s">
        <v>717</v>
      </c>
      <c r="E276" s="7" t="s">
        <v>863</v>
      </c>
      <c r="F276" s="19" t="s">
        <v>833</v>
      </c>
      <c r="G276" s="19" t="s">
        <v>802</v>
      </c>
      <c r="H276" s="19">
        <f>VLOOKUP(Tabla_Buffers_Agroinsumos[[#This Row],[CODIGO ]],TABLACONSOLIDADA[[Codigo]:[PV]],6,0)</f>
        <v>0</v>
      </c>
      <c r="I276" s="19">
        <f>VLOOKUP(Tabla_Buffers_Agroinsumos[[#This Row],[CODIGO ]],TABLACONSOLIDADA[[Codigo]:[PV]],5,0)</f>
        <v>51.3</v>
      </c>
      <c r="J276" s="19">
        <v>4</v>
      </c>
      <c r="K276" s="19">
        <v>4</v>
      </c>
      <c r="L276" s="19">
        <f>IFERROR(Tabla_Buffers_Agroinsumos[[#This Row],[BUFFER CENTRAL]]/((Tabla_Buffers_Agroinsumos[[#This Row],[TIEMPO REPOSICION ]]/Tabla_Buffers_Agroinsumos[[#This Row],[FRECUENCIA]])+1),0)</f>
        <v>0</v>
      </c>
      <c r="M276" s="19">
        <f t="array" ref="M276">IFERROR(INDEX(TABLACONSOLIDADA[Buff Act],MATCH("AGROINSUMOSMATERIAPRIMA"&amp;Tabla_Buffers_Agroinsumos[[#This Row],[CODIGO ]],TABLACONSOLIDADA[Bodega]&amp;TABLACONSOLIDADA[Codigo],0)),"")</f>
        <v>0</v>
      </c>
      <c r="N276" s="157">
        <f t="array" ref="N276">IFERROR(INDEX(TABLACONSOLIDADA[Inv Fís Act],MATCH("AGROINSUMOSMATERIAPRIMA"&amp;Tabla_Buffers_Agroinsumos[[#This Row],[CODIGO ]],TABLACONSOLIDADA[Bodega]&amp;TABLACONSOLIDADA[Codigo],0)),"")</f>
        <v>0</v>
      </c>
      <c r="O276" s="157">
        <f t="array" ref="O27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27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76" s="19">
        <f>IFERROR(SUM(Tabla_Buffers_Agroinsumos[[#This Row],[MP-C]:[MP-VL]]),"")</f>
        <v>0</v>
      </c>
      <c r="R276" s="92">
        <f>IFERROR(Tabla_Buffers_Agroinsumos[[#This Row],[INV FIS MATERIA PRIMA]]-Tabla_Buffers_Agroinsumos[[#This Row],[BUFFER MATERIA PRIMA]],"")</f>
        <v>0</v>
      </c>
      <c r="S27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276" s="19"/>
      <c r="U276" s="19"/>
      <c r="V276" s="19"/>
      <c r="W276" s="19"/>
      <c r="X276" s="19"/>
      <c r="Y276" s="19"/>
      <c r="Z276" s="19"/>
      <c r="AA276" s="19"/>
      <c r="AB276" s="19"/>
      <c r="AC276" s="152" t="str">
        <f t="array" ref="AC276">IFERROR(INDEX(TABLACONSOLIDADA[Buff Act],MATCH("AGROINSUMOSCENTRAL"&amp;Tabla_Buffers_Agroinsumos[[#This Row],[CODIGO ]],TABLACONSOLIDADA[Bodega]&amp;TABLACONSOLIDADA[Codigo],0)),"")</f>
        <v/>
      </c>
      <c r="AD276" s="157" t="str">
        <f t="array" ref="AD276">IFERROR(INDEX(TABLACONSOLIDADA[Inv Fís Act],MATCH("AGROINSUMOSCENTRAL"&amp;Tabla_Buffers_Agroinsumos[[#This Row],[CODIGO ]],TABLACONSOLIDADA[Bodega]&amp;TABLACONSOLIDADA[Codigo],0)),"")</f>
        <v/>
      </c>
      <c r="AE276" s="157" t="str">
        <f t="array" ref="AE27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7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76" s="91">
        <f>IFERROR(SUM(Tabla_Buffers_Agroinsumos[[#This Row],[C-MP]:[C-VL]]),"")</f>
        <v>0</v>
      </c>
      <c r="AH276" s="92" t="str">
        <f>IFERROR(Tabla_Buffers_Agroinsumos[[#This Row],[INV FIS CENTRAL]]-Tabla_Buffers_Agroinsumos[[#This Row],[BUFFER CENTRAL]],"")</f>
        <v/>
      </c>
      <c r="AI27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76" s="134"/>
      <c r="AK276" s="134"/>
      <c r="AL276" s="134"/>
      <c r="AM276" s="134"/>
      <c r="AN276" s="134"/>
      <c r="AO276" s="134"/>
      <c r="AP276" s="134"/>
      <c r="AQ276" s="134"/>
      <c r="AR276" s="134"/>
      <c r="AS276" s="134" t="str">
        <f t="array" ref="AS276">IFERROR(INDEX(TABLACONSOLIDADA[Buff Act],MATCH("AGROINSUMOScentralPROPIA"&amp;Tabla_Buffers_Agroinsumos[[#This Row],[CODIGO ]],TABLACONSOLIDADA[Bodega]&amp;TABLACONSOLIDADA[Codigo],0)),"")</f>
        <v/>
      </c>
      <c r="AT276" s="157" t="str">
        <f t="array" ref="AT276">IFERROR(INDEX(TABLACONSOLIDADA[Inv Fís Act],MATCH("AGROINSUMOScentralPROPIA"&amp;Tabla_Buffers_Agroinsumos[[#This Row],[CODIGO ]],TABLACONSOLIDADA[Bodega]&amp;TABLACONSOLIDADA[Codigo],0)),"")</f>
        <v/>
      </c>
      <c r="AU276" s="157" t="str">
        <f t="array" ref="AU27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7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76" s="134">
        <f>IFERROR(SUM(Tabla_Buffers_Agroinsumos[[#This Row],[P-MP]:[P-VL]]),"")</f>
        <v>0</v>
      </c>
      <c r="AX276" s="92" t="str">
        <f>IFERROR(Tabla_Buffers_Agroinsumos[[#This Row],[INV FIS PROPIA]]-Tabla_Buffers_Agroinsumos[[#This Row],[BUFFER PROPIA]],"")</f>
        <v/>
      </c>
      <c r="AY27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76" s="134"/>
      <c r="BA276" s="134"/>
      <c r="BB276" s="134"/>
      <c r="BC276" s="134"/>
      <c r="BD276" s="134"/>
      <c r="BE276" s="134"/>
      <c r="BF276" s="134"/>
      <c r="BG276" s="134"/>
      <c r="BH276" s="134"/>
      <c r="BI276" s="91" t="str">
        <f t="array" ref="BI276">IFERROR(INDEX(TABLACONSOLIDADA[Buff Act],MATCH("AGROINSUMOSSTODOMINGO"&amp;Tabla_Buffers_Agroinsumos[[#This Row],[CODIGO ]],TABLACONSOLIDADA[Bodega]&amp;TABLACONSOLIDADA[Codigo],0)),"")</f>
        <v/>
      </c>
      <c r="BJ276" s="157" t="str">
        <f t="array" ref="BJ276">IFERROR(INDEX(TABLACONSOLIDADA[Inv Fís Act],MATCH("AGROINSUMOSSTODOMINGO"&amp;Tabla_Buffers_Agroinsumos[[#This Row],[CODIGO ]],TABLACONSOLIDADA[Bodega]&amp;TABLACONSOLIDADA[Codigo],0)),"")</f>
        <v/>
      </c>
      <c r="BK276" s="157" t="str">
        <f t="array" ref="BK27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7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76" s="91">
        <f>IFERROR(SUM(Tabla_Buffers_Agroinsumos[[#This Row],[SD-MP]:[SD-VL]]),"")</f>
        <v>0</v>
      </c>
      <c r="BN276" s="92"/>
      <c r="BO276" s="92"/>
      <c r="BP276" s="134"/>
      <c r="BQ276" s="134"/>
      <c r="BR276" s="134"/>
      <c r="BS276" s="134"/>
      <c r="BT276" s="134"/>
      <c r="BU276" s="134"/>
      <c r="BV276" s="134"/>
      <c r="BW276" s="134"/>
      <c r="BX276" s="134"/>
      <c r="BY276" s="134" t="str">
        <f t="array" ref="BY276">IFERROR(INDEX(TABLACONSOLIDADA[Buff Act],MATCH("AGROINSUMOSMONCAYOLOPEZ"&amp;Tabla_Buffers_Agroinsumos[[#This Row],[CODIGO ]],TABLACONSOLIDADA[Bodega]&amp;TABLACONSOLIDADA[Codigo],0)),"")</f>
        <v/>
      </c>
      <c r="BZ276" s="157" t="str">
        <f t="array" ref="BZ276">IFERROR(INDEX(TABLACONSOLIDADA[Inv Fís Act],MATCH("AGROINSUMOSMONCAYOLOPEZ"&amp;Tabla_Buffers_Agroinsumos[[#This Row],[CODIGO ]],TABLACONSOLIDADA[Bodega]&amp;TABLACONSOLIDADA[Codigo],0)),"")</f>
        <v/>
      </c>
      <c r="CA276" s="157" t="str">
        <f t="array" ref="CA27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7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76" s="134">
        <f>IFERROR(SUM(Tabla_Buffers_Agroinsumos[[#This Row],[ML-MP]:[ML-VL]]),"")</f>
        <v>0</v>
      </c>
      <c r="CD276" s="92" t="str">
        <f>IFERROR(Tabla_Buffers_Agroinsumos[[#This Row],[INV FIS ML]]-Tabla_Buffers_Agroinsumos[[#This Row],[BUFFER ML]],"")</f>
        <v/>
      </c>
      <c r="CE27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76" s="134"/>
      <c r="CG276" s="134"/>
      <c r="CH276" s="134"/>
      <c r="CI276" s="134"/>
      <c r="CJ276" s="134"/>
      <c r="CK276" s="134"/>
      <c r="CL276" s="134"/>
      <c r="CM276" s="134"/>
      <c r="CN276" s="134"/>
      <c r="CO276" s="134" t="str">
        <f t="array" ref="CO276">IFERROR(INDEX(TABLACONSOLIDADA[Buff Act],MATCH("AGROINSUMOSAGROHERMANOSLEON"&amp;Tabla_Buffers_Agroinsumos[[#This Row],[CODIGO ]],TABLACONSOLIDADA[Bodega]&amp;TABLACONSOLIDADA[Codigo],0)),"")</f>
        <v/>
      </c>
      <c r="CP276" s="157" t="str">
        <f t="array" ref="CP276">IFERROR(INDEX(TABLACONSOLIDADA[Inv Fís Act],MATCH("AGROINSUMOSAGROHERMANOSLEON"&amp;Tabla_Buffers_Agroinsumos[[#This Row],[CODIGO ]],TABLACONSOLIDADA[Bodega]&amp;TABLACONSOLIDADA[Codigo],0)),"")</f>
        <v/>
      </c>
      <c r="CQ276" s="157" t="str">
        <f t="array" ref="CQ27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7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76" s="134">
        <f>IFERROR(SUM(Tabla_Buffers_Agroinsumos[[#This Row],[AL-MP]:[AL-VL]]),"")</f>
        <v>0</v>
      </c>
      <c r="CT276" s="92" t="str">
        <f>IFERROR(Tabla_Buffers_Agroinsumos[[#This Row],[INV FIS AL]]-Tabla_Buffers_Agroinsumos[[#This Row],[BUFFER AL]],"")</f>
        <v/>
      </c>
      <c r="CU27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76" s="134"/>
      <c r="CW276" s="134"/>
      <c r="CX276" s="134"/>
      <c r="CY276" s="134"/>
      <c r="CZ276" s="134"/>
      <c r="DA276" s="134"/>
      <c r="DB276" s="134"/>
      <c r="DC276" s="134"/>
      <c r="DD276" s="134"/>
      <c r="DE276" s="134" t="str">
        <f t="array" ref="DE276">IFERROR(INDEX(TABLACONSOLIDADA[Buff Act],MATCH("AGROINSUMOSAGRONUEVO"&amp;Tabla_Buffers_Agroinsumos[[#This Row],[CODIGO ]],TABLACONSOLIDADA[Bodega]&amp;TABLACONSOLIDADA[Codigo],0)),"")</f>
        <v/>
      </c>
      <c r="DF276" s="157" t="str">
        <f t="array" ref="DF276">IFERROR(INDEX(TABLACONSOLIDADA[Inv Fís Act],MATCH("AGROINSUMOSAGRONUEVO"&amp;Tabla_Buffers_Agroinsumos[[#This Row],[CODIGO ]],TABLACONSOLIDADA[Bodega]&amp;TABLACONSOLIDADA[Codigo],0)),"")</f>
        <v/>
      </c>
      <c r="DG276" s="157" t="str">
        <f t="array" ref="DG27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7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76" s="134">
        <f>IFERROR(SUM(Tabla_Buffers_Agroinsumos[[#This Row],[AN-MP]:[AN-VL]]),"")</f>
        <v>0</v>
      </c>
      <c r="DJ276" s="92" t="str">
        <f>IFERROR(Tabla_Buffers_Agroinsumos[[#This Row],[INV FIS AN]]-Tabla_Buffers_Agroinsumos[[#This Row],[BUFFER AN]],"")</f>
        <v/>
      </c>
      <c r="DK27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76" s="134"/>
      <c r="DM276" s="134"/>
      <c r="DN276" s="134"/>
      <c r="DO276" s="134"/>
      <c r="DP276" s="134"/>
      <c r="DQ276" s="134"/>
      <c r="DR276" s="134"/>
      <c r="DS276" s="134"/>
      <c r="DT276" s="134"/>
      <c r="DU276" s="134" t="str">
        <f t="array" ref="DU276">IFERROR(INDEX(TABLACONSOLIDADA[Buff Act],MATCH("AGROINSUMOSAGROQUIMICOSSUR"&amp;Tabla_Buffers_Agroinsumos[[#This Row],[CODIGO ]],TABLACONSOLIDADA[Bodega]&amp;TABLACONSOLIDADA[Codigo],0)),"")</f>
        <v/>
      </c>
      <c r="DV276" s="157" t="str">
        <f t="array" ref="DV276">IFERROR(INDEX(TABLACONSOLIDADA[Inv Fís Act],MATCH("AGROINSUMOSAGROQUIMICOSSUR"&amp;Tabla_Buffers_Agroinsumos[[#This Row],[CODIGO ]],TABLACONSOLIDADA[Bodega]&amp;TABLACONSOLIDADA[Codigo],0)),"")</f>
        <v/>
      </c>
      <c r="DW276" s="157" t="str">
        <f t="array" ref="DW27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7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76" s="134">
        <f>IFERROR(SUM(Tabla_Buffers_Agroinsumos[[#This Row],[AS-MP]:[AS-VL]]),"")</f>
        <v>0</v>
      </c>
      <c r="DZ276" s="92" t="str">
        <f>IFERROR(Tabla_Buffers_Agroinsumos[[#This Row],[INV FIS AS]]-Tabla_Buffers_Agroinsumos[[#This Row],[BUFFER AS]],"")</f>
        <v/>
      </c>
      <c r="EA27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76" s="134"/>
      <c r="EC276" s="134"/>
      <c r="ED276" s="134"/>
      <c r="EE276" s="134"/>
      <c r="EF276" s="134"/>
      <c r="EG276" s="134"/>
      <c r="EH276" s="134"/>
      <c r="EI276" s="134"/>
      <c r="EJ276" s="134"/>
      <c r="EK276" s="134" t="str">
        <f t="array" ref="EK276">IFERROR(INDEX(TABLACONSOLIDADA[Buff Act],MATCH("AGROINSUMOSLAFINCA"&amp;Tabla_Buffers_Agroinsumos[[#This Row],[CODIGO ]],TABLACONSOLIDADA[Bodega]&amp;TABLACONSOLIDADA[Codigo],0)),"")</f>
        <v/>
      </c>
      <c r="EL276" s="157" t="str">
        <f t="array" ref="EL276">IFERROR(INDEX(TABLACONSOLIDADA[Inv Fís Act],MATCH("AGROINSUMOSLAFINCA"&amp;Tabla_Buffers_Agroinsumos[[#This Row],[CODIGO ]],TABLACONSOLIDADA[Bodega]&amp;TABLACONSOLIDADA[Codigo],0)),"")</f>
        <v/>
      </c>
      <c r="EM276" s="157" t="str">
        <f t="array" ref="EM27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7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76" s="134">
        <f>IFERROR(SUM(Tabla_Buffers_Agroinsumos[[#This Row],[LF-MP]:[LF-VL]]),"")</f>
        <v>0</v>
      </c>
      <c r="EP276" s="92" t="str">
        <f>IFERROR(Tabla_Buffers_Agroinsumos[[#This Row],[INV FIS LF]]-Tabla_Buffers_Agroinsumos[[#This Row],[BUFFER LF]],"")</f>
        <v/>
      </c>
      <c r="EQ27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76" s="134"/>
      <c r="ES276" s="134"/>
      <c r="ET276" s="134"/>
      <c r="EU276" s="134"/>
      <c r="EV276" s="134"/>
      <c r="EW276" s="134"/>
      <c r="EX276" s="134"/>
      <c r="EY276" s="134"/>
      <c r="EZ276" s="134"/>
      <c r="FA276" s="134" t="str">
        <f t="array" ref="FA276">IFERROR(INDEX(TABLACONSOLIDADA[Buff Act],MATCH("AGROINSUMOSVERONICALEDESMA"&amp;Tabla_Buffers_Agroinsumos[[#This Row],[CODIGO ]],TABLACONSOLIDADA[Bodega]&amp;TABLACONSOLIDADA[Codigo],0)),"")</f>
        <v/>
      </c>
      <c r="FB276" s="157" t="str">
        <f t="array" ref="FB276">IFERROR(INDEX(TABLACONSOLIDADA[Inv Fís Act],MATCH("AGROINSUMOSVERONICALEDESMA"&amp;Tabla_Buffers_Agroinsumos[[#This Row],[CODIGO ]],TABLACONSOLIDADA[Bodega]&amp;TABLACONSOLIDADA[Codigo],0)),"")</f>
        <v/>
      </c>
      <c r="FC276" s="157" t="str">
        <f t="array" ref="FC27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7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76" s="134">
        <f>IFERROR(SUM(Tabla_Buffers_Agroinsumos[[#This Row],[VL-MP]:[VL-LF]]),"")</f>
        <v>0</v>
      </c>
      <c r="FF276" s="92" t="str">
        <f>IFERROR(Tabla_Buffers_Agroinsumos[[#This Row],[INV FIS VL]]-Tabla_Buffers_Agroinsumos[[#This Row],[BUFFER VL]],"")</f>
        <v/>
      </c>
      <c r="FG27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76" s="134"/>
      <c r="FI276" s="134"/>
      <c r="FJ276" s="134"/>
      <c r="FK276" s="134"/>
      <c r="FL276" s="134"/>
      <c r="FM276" s="134"/>
      <c r="FN276" s="134"/>
      <c r="FO276" s="134"/>
      <c r="FP276" s="134"/>
    </row>
    <row r="277" spans="1:172">
      <c r="A277" s="7" t="s">
        <v>478</v>
      </c>
      <c r="B277" s="7" t="s">
        <v>479</v>
      </c>
      <c r="C277" s="7" t="s">
        <v>708</v>
      </c>
      <c r="D277" s="7" t="s">
        <v>717</v>
      </c>
      <c r="E277" s="7" t="s">
        <v>863</v>
      </c>
      <c r="F277" s="19" t="s">
        <v>833</v>
      </c>
      <c r="G277" s="19" t="s">
        <v>802</v>
      </c>
      <c r="H277" s="19">
        <f>VLOOKUP(Tabla_Buffers_Agroinsumos[[#This Row],[CODIGO ]],TABLACONSOLIDADA[[Codigo]:[PV]],6,0)</f>
        <v>1075</v>
      </c>
      <c r="I277" s="19">
        <f>VLOOKUP(Tabla_Buffers_Agroinsumos[[#This Row],[CODIGO ]],TABLACONSOLIDADA[[Codigo]:[PV]],5,0)</f>
        <v>464.36</v>
      </c>
      <c r="J277" s="19">
        <v>4</v>
      </c>
      <c r="K277" s="19">
        <v>4</v>
      </c>
      <c r="L277" s="19">
        <f>IFERROR(Tabla_Buffers_Agroinsumos[[#This Row],[BUFFER CENTRAL]]/((Tabla_Buffers_Agroinsumos[[#This Row],[TIEMPO REPOSICION ]]/Tabla_Buffers_Agroinsumos[[#This Row],[FRECUENCIA]])+1),0)</f>
        <v>0</v>
      </c>
      <c r="M277" s="19">
        <f t="array" ref="M277">IFERROR(INDEX(TABLACONSOLIDADA[Buff Act],MATCH("AGROINSUMOSMATERIAPRIMA"&amp;Tabla_Buffers_Agroinsumos[[#This Row],[CODIGO ]],TABLACONSOLIDADA[Bodega]&amp;TABLACONSOLIDADA[Codigo],0)),"")</f>
        <v>0</v>
      </c>
      <c r="N277" s="157">
        <f t="array" ref="N277">IFERROR(INDEX(TABLACONSOLIDADA[Inv Fís Act],MATCH("AGROINSUMOSMATERIAPRIMA"&amp;Tabla_Buffers_Agroinsumos[[#This Row],[CODIGO ]],TABLACONSOLIDADA[Bodega]&amp;TABLACONSOLIDADA[Codigo],0)),"")</f>
        <v>0</v>
      </c>
      <c r="O277" s="157">
        <f t="array" ref="O27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27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77" s="19">
        <f>IFERROR(SUM(Tabla_Buffers_Agroinsumos[[#This Row],[MP-C]:[MP-VL]]),"")</f>
        <v>0</v>
      </c>
      <c r="R277" s="92">
        <f>IFERROR(Tabla_Buffers_Agroinsumos[[#This Row],[INV FIS MATERIA PRIMA]]-Tabla_Buffers_Agroinsumos[[#This Row],[BUFFER MATERIA PRIMA]],"")</f>
        <v>0</v>
      </c>
      <c r="S277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277" s="19"/>
      <c r="U277" s="19"/>
      <c r="V277" s="19"/>
      <c r="W277" s="19"/>
      <c r="X277" s="19"/>
      <c r="Y277" s="19"/>
      <c r="Z277" s="19"/>
      <c r="AA277" s="19"/>
      <c r="AB277" s="19"/>
      <c r="AC277" s="152" t="str">
        <f t="array" ref="AC277">IFERROR(INDEX(TABLACONSOLIDADA[Buff Act],MATCH("AGROINSUMOSCENTRAL"&amp;Tabla_Buffers_Agroinsumos[[#This Row],[CODIGO ]],TABLACONSOLIDADA[Bodega]&amp;TABLACONSOLIDADA[Codigo],0)),"")</f>
        <v/>
      </c>
      <c r="AD277" s="157" t="str">
        <f t="array" ref="AD277">IFERROR(INDEX(TABLACONSOLIDADA[Inv Fís Act],MATCH("AGROINSUMOSCENTRAL"&amp;Tabla_Buffers_Agroinsumos[[#This Row],[CODIGO ]],TABLACONSOLIDADA[Bodega]&amp;TABLACONSOLIDADA[Codigo],0)),"")</f>
        <v/>
      </c>
      <c r="AE277" s="157" t="str">
        <f t="array" ref="AE27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7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77" s="91">
        <f>IFERROR(SUM(Tabla_Buffers_Agroinsumos[[#This Row],[C-MP]:[C-VL]]),"")</f>
        <v>0</v>
      </c>
      <c r="AH277" s="92" t="str">
        <f>IFERROR(Tabla_Buffers_Agroinsumos[[#This Row],[INV FIS CENTRAL]]-Tabla_Buffers_Agroinsumos[[#This Row],[BUFFER CENTRAL]],"")</f>
        <v/>
      </c>
      <c r="AI277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77" s="134"/>
      <c r="AK277" s="134"/>
      <c r="AL277" s="134"/>
      <c r="AM277" s="134"/>
      <c r="AN277" s="134"/>
      <c r="AO277" s="134"/>
      <c r="AP277" s="134"/>
      <c r="AQ277" s="134"/>
      <c r="AR277" s="134"/>
      <c r="AS277" s="134" t="str">
        <f t="array" ref="AS277">IFERROR(INDEX(TABLACONSOLIDADA[Buff Act],MATCH("AGROINSUMOScentralPROPIA"&amp;Tabla_Buffers_Agroinsumos[[#This Row],[CODIGO ]],TABLACONSOLIDADA[Bodega]&amp;TABLACONSOLIDADA[Codigo],0)),"")</f>
        <v/>
      </c>
      <c r="AT277" s="157" t="str">
        <f t="array" ref="AT277">IFERROR(INDEX(TABLACONSOLIDADA[Inv Fís Act],MATCH("AGROINSUMOScentralPROPIA"&amp;Tabla_Buffers_Agroinsumos[[#This Row],[CODIGO ]],TABLACONSOLIDADA[Bodega]&amp;TABLACONSOLIDADA[Codigo],0)),"")</f>
        <v/>
      </c>
      <c r="AU277" s="157" t="str">
        <f t="array" ref="AU27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7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77" s="134">
        <f>IFERROR(SUM(Tabla_Buffers_Agroinsumos[[#This Row],[P-MP]:[P-VL]]),"")</f>
        <v>0</v>
      </c>
      <c r="AX277" s="92" t="str">
        <f>IFERROR(Tabla_Buffers_Agroinsumos[[#This Row],[INV FIS PROPIA]]-Tabla_Buffers_Agroinsumos[[#This Row],[BUFFER PROPIA]],"")</f>
        <v/>
      </c>
      <c r="AY277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77" s="134"/>
      <c r="BA277" s="134"/>
      <c r="BB277" s="134"/>
      <c r="BC277" s="134"/>
      <c r="BD277" s="134"/>
      <c r="BE277" s="134"/>
      <c r="BF277" s="134"/>
      <c r="BG277" s="134"/>
      <c r="BH277" s="134"/>
      <c r="BI277" s="91" t="str">
        <f t="array" ref="BI277">IFERROR(INDEX(TABLACONSOLIDADA[Buff Act],MATCH("AGROINSUMOSSTODOMINGO"&amp;Tabla_Buffers_Agroinsumos[[#This Row],[CODIGO ]],TABLACONSOLIDADA[Bodega]&amp;TABLACONSOLIDADA[Codigo],0)),"")</f>
        <v/>
      </c>
      <c r="BJ277" s="157" t="str">
        <f t="array" ref="BJ277">IFERROR(INDEX(TABLACONSOLIDADA[Inv Fís Act],MATCH("AGROINSUMOSSTODOMINGO"&amp;Tabla_Buffers_Agroinsumos[[#This Row],[CODIGO ]],TABLACONSOLIDADA[Bodega]&amp;TABLACONSOLIDADA[Codigo],0)),"")</f>
        <v/>
      </c>
      <c r="BK277" s="157" t="str">
        <f t="array" ref="BK27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7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77" s="91">
        <f>IFERROR(SUM(Tabla_Buffers_Agroinsumos[[#This Row],[SD-MP]:[SD-VL]]),"")</f>
        <v>0</v>
      </c>
      <c r="BN277" s="92"/>
      <c r="BO277" s="92"/>
      <c r="BP277" s="134"/>
      <c r="BQ277" s="134"/>
      <c r="BR277" s="134"/>
      <c r="BS277" s="134"/>
      <c r="BT277" s="134"/>
      <c r="BU277" s="134"/>
      <c r="BV277" s="134"/>
      <c r="BW277" s="134"/>
      <c r="BX277" s="134"/>
      <c r="BY277" s="134" t="str">
        <f t="array" ref="BY277">IFERROR(INDEX(TABLACONSOLIDADA[Buff Act],MATCH("AGROINSUMOSMONCAYOLOPEZ"&amp;Tabla_Buffers_Agroinsumos[[#This Row],[CODIGO ]],TABLACONSOLIDADA[Bodega]&amp;TABLACONSOLIDADA[Codigo],0)),"")</f>
        <v/>
      </c>
      <c r="BZ277" s="157" t="str">
        <f t="array" ref="BZ277">IFERROR(INDEX(TABLACONSOLIDADA[Inv Fís Act],MATCH("AGROINSUMOSMONCAYOLOPEZ"&amp;Tabla_Buffers_Agroinsumos[[#This Row],[CODIGO ]],TABLACONSOLIDADA[Bodega]&amp;TABLACONSOLIDADA[Codigo],0)),"")</f>
        <v/>
      </c>
      <c r="CA277" s="157" t="str">
        <f t="array" ref="CA27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7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77" s="134">
        <f>IFERROR(SUM(Tabla_Buffers_Agroinsumos[[#This Row],[ML-MP]:[ML-VL]]),"")</f>
        <v>0</v>
      </c>
      <c r="CD277" s="92" t="str">
        <f>IFERROR(Tabla_Buffers_Agroinsumos[[#This Row],[INV FIS ML]]-Tabla_Buffers_Agroinsumos[[#This Row],[BUFFER ML]],"")</f>
        <v/>
      </c>
      <c r="CE277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77" s="134"/>
      <c r="CG277" s="134"/>
      <c r="CH277" s="134"/>
      <c r="CI277" s="134"/>
      <c r="CJ277" s="134"/>
      <c r="CK277" s="134"/>
      <c r="CL277" s="134"/>
      <c r="CM277" s="134"/>
      <c r="CN277" s="134"/>
      <c r="CO277" s="134" t="str">
        <f t="array" ref="CO277">IFERROR(INDEX(TABLACONSOLIDADA[Buff Act],MATCH("AGROINSUMOSAGROHERMANOSLEON"&amp;Tabla_Buffers_Agroinsumos[[#This Row],[CODIGO ]],TABLACONSOLIDADA[Bodega]&amp;TABLACONSOLIDADA[Codigo],0)),"")</f>
        <v/>
      </c>
      <c r="CP277" s="157" t="str">
        <f t="array" ref="CP277">IFERROR(INDEX(TABLACONSOLIDADA[Inv Fís Act],MATCH("AGROINSUMOSAGROHERMANOSLEON"&amp;Tabla_Buffers_Agroinsumos[[#This Row],[CODIGO ]],TABLACONSOLIDADA[Bodega]&amp;TABLACONSOLIDADA[Codigo],0)),"")</f>
        <v/>
      </c>
      <c r="CQ277" s="157" t="str">
        <f t="array" ref="CQ27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7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77" s="134">
        <f>IFERROR(SUM(Tabla_Buffers_Agroinsumos[[#This Row],[AL-MP]:[AL-VL]]),"")</f>
        <v>0</v>
      </c>
      <c r="CT277" s="92" t="str">
        <f>IFERROR(Tabla_Buffers_Agroinsumos[[#This Row],[INV FIS AL]]-Tabla_Buffers_Agroinsumos[[#This Row],[BUFFER AL]],"")</f>
        <v/>
      </c>
      <c r="CU277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77" s="134"/>
      <c r="CW277" s="134"/>
      <c r="CX277" s="134"/>
      <c r="CY277" s="134"/>
      <c r="CZ277" s="134"/>
      <c r="DA277" s="134"/>
      <c r="DB277" s="134"/>
      <c r="DC277" s="134"/>
      <c r="DD277" s="134"/>
      <c r="DE277" s="134" t="str">
        <f t="array" ref="DE277">IFERROR(INDEX(TABLACONSOLIDADA[Buff Act],MATCH("AGROINSUMOSAGRONUEVO"&amp;Tabla_Buffers_Agroinsumos[[#This Row],[CODIGO ]],TABLACONSOLIDADA[Bodega]&amp;TABLACONSOLIDADA[Codigo],0)),"")</f>
        <v/>
      </c>
      <c r="DF277" s="157" t="str">
        <f t="array" ref="DF277">IFERROR(INDEX(TABLACONSOLIDADA[Inv Fís Act],MATCH("AGROINSUMOSAGRONUEVO"&amp;Tabla_Buffers_Agroinsumos[[#This Row],[CODIGO ]],TABLACONSOLIDADA[Bodega]&amp;TABLACONSOLIDADA[Codigo],0)),"")</f>
        <v/>
      </c>
      <c r="DG277" s="157" t="str">
        <f t="array" ref="DG27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7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77" s="134">
        <f>IFERROR(SUM(Tabla_Buffers_Agroinsumos[[#This Row],[AN-MP]:[AN-VL]]),"")</f>
        <v>0</v>
      </c>
      <c r="DJ277" s="92" t="str">
        <f>IFERROR(Tabla_Buffers_Agroinsumos[[#This Row],[INV FIS AN]]-Tabla_Buffers_Agroinsumos[[#This Row],[BUFFER AN]],"")</f>
        <v/>
      </c>
      <c r="DK277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77" s="134"/>
      <c r="DM277" s="134"/>
      <c r="DN277" s="134"/>
      <c r="DO277" s="134"/>
      <c r="DP277" s="134"/>
      <c r="DQ277" s="134"/>
      <c r="DR277" s="134"/>
      <c r="DS277" s="134"/>
      <c r="DT277" s="134"/>
      <c r="DU277" s="134" t="str">
        <f t="array" ref="DU277">IFERROR(INDEX(TABLACONSOLIDADA[Buff Act],MATCH("AGROINSUMOSAGROQUIMICOSSUR"&amp;Tabla_Buffers_Agroinsumos[[#This Row],[CODIGO ]],TABLACONSOLIDADA[Bodega]&amp;TABLACONSOLIDADA[Codigo],0)),"")</f>
        <v/>
      </c>
      <c r="DV277" s="157" t="str">
        <f t="array" ref="DV277">IFERROR(INDEX(TABLACONSOLIDADA[Inv Fís Act],MATCH("AGROINSUMOSAGROQUIMICOSSUR"&amp;Tabla_Buffers_Agroinsumos[[#This Row],[CODIGO ]],TABLACONSOLIDADA[Bodega]&amp;TABLACONSOLIDADA[Codigo],0)),"")</f>
        <v/>
      </c>
      <c r="DW277" s="157" t="str">
        <f t="array" ref="DW27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7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77" s="134">
        <f>IFERROR(SUM(Tabla_Buffers_Agroinsumos[[#This Row],[AS-MP]:[AS-VL]]),"")</f>
        <v>0</v>
      </c>
      <c r="DZ277" s="92" t="str">
        <f>IFERROR(Tabla_Buffers_Agroinsumos[[#This Row],[INV FIS AS]]-Tabla_Buffers_Agroinsumos[[#This Row],[BUFFER AS]],"")</f>
        <v/>
      </c>
      <c r="EA277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77" s="134"/>
      <c r="EC277" s="134"/>
      <c r="ED277" s="134"/>
      <c r="EE277" s="134"/>
      <c r="EF277" s="134"/>
      <c r="EG277" s="134"/>
      <c r="EH277" s="134"/>
      <c r="EI277" s="134"/>
      <c r="EJ277" s="134"/>
      <c r="EK277" s="134" t="str">
        <f t="array" ref="EK277">IFERROR(INDEX(TABLACONSOLIDADA[Buff Act],MATCH("AGROINSUMOSLAFINCA"&amp;Tabla_Buffers_Agroinsumos[[#This Row],[CODIGO ]],TABLACONSOLIDADA[Bodega]&amp;TABLACONSOLIDADA[Codigo],0)),"")</f>
        <v/>
      </c>
      <c r="EL277" s="157" t="str">
        <f t="array" ref="EL277">IFERROR(INDEX(TABLACONSOLIDADA[Inv Fís Act],MATCH("AGROINSUMOSLAFINCA"&amp;Tabla_Buffers_Agroinsumos[[#This Row],[CODIGO ]],TABLACONSOLIDADA[Bodega]&amp;TABLACONSOLIDADA[Codigo],0)),"")</f>
        <v/>
      </c>
      <c r="EM277" s="157" t="str">
        <f t="array" ref="EM27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7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77" s="134">
        <f>IFERROR(SUM(Tabla_Buffers_Agroinsumos[[#This Row],[LF-MP]:[LF-VL]]),"")</f>
        <v>0</v>
      </c>
      <c r="EP277" s="92" t="str">
        <f>IFERROR(Tabla_Buffers_Agroinsumos[[#This Row],[INV FIS LF]]-Tabla_Buffers_Agroinsumos[[#This Row],[BUFFER LF]],"")</f>
        <v/>
      </c>
      <c r="EQ277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77" s="134"/>
      <c r="ES277" s="134"/>
      <c r="ET277" s="134"/>
      <c r="EU277" s="134"/>
      <c r="EV277" s="134"/>
      <c r="EW277" s="134"/>
      <c r="EX277" s="134"/>
      <c r="EY277" s="134"/>
      <c r="EZ277" s="134"/>
      <c r="FA277" s="134" t="str">
        <f t="array" ref="FA277">IFERROR(INDEX(TABLACONSOLIDADA[Buff Act],MATCH("AGROINSUMOSVERONICALEDESMA"&amp;Tabla_Buffers_Agroinsumos[[#This Row],[CODIGO ]],TABLACONSOLIDADA[Bodega]&amp;TABLACONSOLIDADA[Codigo],0)),"")</f>
        <v/>
      </c>
      <c r="FB277" s="157" t="str">
        <f t="array" ref="FB277">IFERROR(INDEX(TABLACONSOLIDADA[Inv Fís Act],MATCH("AGROINSUMOSVERONICALEDESMA"&amp;Tabla_Buffers_Agroinsumos[[#This Row],[CODIGO ]],TABLACONSOLIDADA[Bodega]&amp;TABLACONSOLIDADA[Codigo],0)),"")</f>
        <v/>
      </c>
      <c r="FC277" s="157" t="str">
        <f t="array" ref="FC27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7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77" s="134">
        <f>IFERROR(SUM(Tabla_Buffers_Agroinsumos[[#This Row],[VL-MP]:[VL-LF]]),"")</f>
        <v>0</v>
      </c>
      <c r="FF277" s="92" t="str">
        <f>IFERROR(Tabla_Buffers_Agroinsumos[[#This Row],[INV FIS VL]]-Tabla_Buffers_Agroinsumos[[#This Row],[BUFFER VL]],"")</f>
        <v/>
      </c>
      <c r="FG277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77" s="134"/>
      <c r="FI277" s="134"/>
      <c r="FJ277" s="134"/>
      <c r="FK277" s="134"/>
      <c r="FL277" s="134"/>
      <c r="FM277" s="134"/>
      <c r="FN277" s="134"/>
      <c r="FO277" s="134"/>
      <c r="FP277" s="134"/>
    </row>
    <row r="278" spans="1:172">
      <c r="A278" s="7" t="s">
        <v>480</v>
      </c>
      <c r="B278" s="7" t="s">
        <v>832</v>
      </c>
      <c r="C278" s="7" t="s">
        <v>708</v>
      </c>
      <c r="D278" s="7" t="s">
        <v>715</v>
      </c>
      <c r="E278" s="7" t="s">
        <v>975</v>
      </c>
      <c r="F278" s="19" t="s">
        <v>698</v>
      </c>
      <c r="G278" s="19" t="s">
        <v>698</v>
      </c>
      <c r="H278" s="19">
        <f>VLOOKUP(Tabla_Buffers_Agroinsumos[[#This Row],[CODIGO ]],TABLACONSOLIDADA[[Codigo]:[PV]],6,0)</f>
        <v>172</v>
      </c>
      <c r="I278" s="19">
        <f>VLOOKUP(Tabla_Buffers_Agroinsumos[[#This Row],[CODIGO ]],TABLACONSOLIDADA[[Codigo]:[PV]],5,0)</f>
        <v>51.24</v>
      </c>
      <c r="J278" s="19" t="s">
        <v>698</v>
      </c>
      <c r="K278" s="19" t="s">
        <v>698</v>
      </c>
      <c r="L278" s="19">
        <f>IFERROR(Tabla_Buffers_Agroinsumos[[#This Row],[BUFFER CENTRAL]]/((Tabla_Buffers_Agroinsumos[[#This Row],[TIEMPO REPOSICION ]]/Tabla_Buffers_Agroinsumos[[#This Row],[FRECUENCIA]])+1),0)</f>
        <v>0</v>
      </c>
      <c r="M278" s="19" t="str">
        <f t="array" ref="M278">IFERROR(INDEX(TABLACONSOLIDADA[Buff Act],MATCH("AGROINSUMOSMATERIAPRIMA"&amp;Tabla_Buffers_Agroinsumos[[#This Row],[CODIGO ]],TABLACONSOLIDADA[Bodega]&amp;TABLACONSOLIDADA[Codigo],0)),"")</f>
        <v/>
      </c>
      <c r="N278" s="157" t="str">
        <f t="array" ref="N278">IFERROR(INDEX(TABLACONSOLIDADA[Inv Fís Act],MATCH("AGROINSUMOSMATERIAPRIMA"&amp;Tabla_Buffers_Agroinsumos[[#This Row],[CODIGO ]],TABLACONSOLIDADA[Bodega]&amp;TABLACONSOLIDADA[Codigo],0)),"")</f>
        <v/>
      </c>
      <c r="O278" s="157" t="str">
        <f t="array" ref="O27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7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78" s="19">
        <f>IFERROR(SUM(Tabla_Buffers_Agroinsumos[[#This Row],[MP-C]:[MP-VL]]),"")</f>
        <v>0</v>
      </c>
      <c r="R278" s="92" t="str">
        <f>IFERROR(Tabla_Buffers_Agroinsumos[[#This Row],[INV FIS MATERIA PRIMA]]-Tabla_Buffers_Agroinsumos[[#This Row],[BUFFER MATERIA PRIMA]],"")</f>
        <v/>
      </c>
      <c r="S27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78" s="19"/>
      <c r="U278" s="19"/>
      <c r="V278" s="19"/>
      <c r="W278" s="19"/>
      <c r="X278" s="19"/>
      <c r="Y278" s="19"/>
      <c r="Z278" s="19"/>
      <c r="AA278" s="19"/>
      <c r="AB278" s="19"/>
      <c r="AC278" s="152">
        <f t="array" ref="AC278">IFERROR(INDEX(TABLACONSOLIDADA[Buff Act],MATCH("AGROINSUMOSCENTRAL"&amp;Tabla_Buffers_Agroinsumos[[#This Row],[CODIGO ]],TABLACONSOLIDADA[Bodega]&amp;TABLACONSOLIDADA[Codigo],0)),"")</f>
        <v>0</v>
      </c>
      <c r="AD278" s="157">
        <f t="array" ref="AD278">IFERROR(INDEX(TABLACONSOLIDADA[Inv Fís Act],MATCH("AGROINSUMOSCENTRAL"&amp;Tabla_Buffers_Agroinsumos[[#This Row],[CODIGO ]],TABLACONSOLIDADA[Bodega]&amp;TABLACONSOLIDADA[Codigo],0)),"")</f>
        <v>0</v>
      </c>
      <c r="AE278" s="157">
        <f t="array" ref="AE27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7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78" s="91">
        <f>IFERROR(SUM(Tabla_Buffers_Agroinsumos[[#This Row],[C-MP]:[C-VL]]),"")</f>
        <v>0</v>
      </c>
      <c r="AH278" s="92">
        <f>IFERROR(Tabla_Buffers_Agroinsumos[[#This Row],[INV FIS CENTRAL]]-Tabla_Buffers_Agroinsumos[[#This Row],[BUFFER CENTRAL]],"")</f>
        <v>0</v>
      </c>
      <c r="AI27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78" s="134"/>
      <c r="AK278" s="134"/>
      <c r="AL278" s="134"/>
      <c r="AM278" s="134"/>
      <c r="AN278" s="134"/>
      <c r="AO278" s="134"/>
      <c r="AP278" s="134"/>
      <c r="AQ278" s="134"/>
      <c r="AR278" s="134"/>
      <c r="AS278" s="134">
        <f t="array" ref="AS278">IFERROR(INDEX(TABLACONSOLIDADA[Buff Act],MATCH("AGROINSUMOScentralPROPIA"&amp;Tabla_Buffers_Agroinsumos[[#This Row],[CODIGO ]],TABLACONSOLIDADA[Bodega]&amp;TABLACONSOLIDADA[Codigo],0)),"")</f>
        <v>9</v>
      </c>
      <c r="AT278" s="157">
        <f t="array" ref="AT278">IFERROR(INDEX(TABLACONSOLIDADA[Inv Fís Act],MATCH("AGROINSUMOScentralPROPIA"&amp;Tabla_Buffers_Agroinsumos[[#This Row],[CODIGO ]],TABLACONSOLIDADA[Bodega]&amp;TABLACONSOLIDADA[Codigo],0)),"")</f>
        <v>0</v>
      </c>
      <c r="AU278" s="157">
        <f t="array" ref="AU27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7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78" s="134">
        <f>IFERROR(SUM(Tabla_Buffers_Agroinsumos[[#This Row],[P-MP]:[P-VL]]),"")</f>
        <v>0</v>
      </c>
      <c r="AX278" s="92">
        <f>IFERROR(Tabla_Buffers_Agroinsumos[[#This Row],[INV FIS PROPIA]]-Tabla_Buffers_Agroinsumos[[#This Row],[BUFFER PROPIA]],"")</f>
        <v>-9</v>
      </c>
      <c r="AY27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-9</v>
      </c>
      <c r="AZ278" s="134"/>
      <c r="BA278" s="134"/>
      <c r="BB278" s="134"/>
      <c r="BC278" s="134"/>
      <c r="BD278" s="134"/>
      <c r="BE278" s="134"/>
      <c r="BF278" s="134"/>
      <c r="BG278" s="134"/>
      <c r="BH278" s="134"/>
      <c r="BI278" s="91">
        <f t="array" ref="BI278">IFERROR(INDEX(TABLACONSOLIDADA[Buff Act],MATCH("AGROINSUMOSSTODOMINGO"&amp;Tabla_Buffers_Agroinsumos[[#This Row],[CODIGO ]],TABLACONSOLIDADA[Bodega]&amp;TABLACONSOLIDADA[Codigo],0)),"")</f>
        <v>0</v>
      </c>
      <c r="BJ278" s="157">
        <f t="array" ref="BJ278">IFERROR(INDEX(TABLACONSOLIDADA[Inv Fís Act],MATCH("AGROINSUMOSSTODOMINGO"&amp;Tabla_Buffers_Agroinsumos[[#This Row],[CODIGO ]],TABLACONSOLIDADA[Bodega]&amp;TABLACONSOLIDADA[Codigo],0)),"")</f>
        <v>0</v>
      </c>
      <c r="BK278" s="157">
        <f t="array" ref="BK27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7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78" s="91">
        <f>IFERROR(SUM(Tabla_Buffers_Agroinsumos[[#This Row],[SD-MP]:[SD-VL]]),"")</f>
        <v>0</v>
      </c>
      <c r="BN278" s="92"/>
      <c r="BO278" s="92"/>
      <c r="BP278" s="134"/>
      <c r="BQ278" s="134"/>
      <c r="BR278" s="134"/>
      <c r="BS278" s="134"/>
      <c r="BT278" s="134"/>
      <c r="BU278" s="134"/>
      <c r="BV278" s="134"/>
      <c r="BW278" s="134"/>
      <c r="BX278" s="134"/>
      <c r="BY278" s="134">
        <f t="array" ref="BY278">IFERROR(INDEX(TABLACONSOLIDADA[Buff Act],MATCH("AGROINSUMOSMONCAYOLOPEZ"&amp;Tabla_Buffers_Agroinsumos[[#This Row],[CODIGO ]],TABLACONSOLIDADA[Bodega]&amp;TABLACONSOLIDADA[Codigo],0)),"")</f>
        <v>0</v>
      </c>
      <c r="BZ278" s="157">
        <f t="array" ref="BZ278">IFERROR(INDEX(TABLACONSOLIDADA[Inv Fís Act],MATCH("AGROINSUMOSMONCAYOLOPEZ"&amp;Tabla_Buffers_Agroinsumos[[#This Row],[CODIGO ]],TABLACONSOLIDADA[Bodega]&amp;TABLACONSOLIDADA[Codigo],0)),"")</f>
        <v>0</v>
      </c>
      <c r="CA278" s="157">
        <f t="array" ref="CA27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7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78" s="134">
        <f>IFERROR(SUM(Tabla_Buffers_Agroinsumos[[#This Row],[ML-MP]:[ML-VL]]),"")</f>
        <v>0</v>
      </c>
      <c r="CD278" s="92">
        <f>IFERROR(Tabla_Buffers_Agroinsumos[[#This Row],[INV FIS ML]]-Tabla_Buffers_Agroinsumos[[#This Row],[BUFFER ML]],"")</f>
        <v>0</v>
      </c>
      <c r="CE27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78" s="134"/>
      <c r="CG278" s="134"/>
      <c r="CH278" s="134"/>
      <c r="CI278" s="134"/>
      <c r="CJ278" s="134"/>
      <c r="CK278" s="134"/>
      <c r="CL278" s="134"/>
      <c r="CM278" s="134"/>
      <c r="CN278" s="134"/>
      <c r="CO278" s="134">
        <f t="array" ref="CO278">IFERROR(INDEX(TABLACONSOLIDADA[Buff Act],MATCH("AGROINSUMOSAGROHERMANOSLEON"&amp;Tabla_Buffers_Agroinsumos[[#This Row],[CODIGO ]],TABLACONSOLIDADA[Bodega]&amp;TABLACONSOLIDADA[Codigo],0)),"")</f>
        <v>0</v>
      </c>
      <c r="CP278" s="157">
        <f t="array" ref="CP278">IFERROR(INDEX(TABLACONSOLIDADA[Inv Fís Act],MATCH("AGROINSUMOSAGROHERMANOSLEON"&amp;Tabla_Buffers_Agroinsumos[[#This Row],[CODIGO ]],TABLACONSOLIDADA[Bodega]&amp;TABLACONSOLIDADA[Codigo],0)),"")</f>
        <v>0</v>
      </c>
      <c r="CQ278" s="157">
        <f t="array" ref="CQ27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7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78" s="134">
        <f>IFERROR(SUM(Tabla_Buffers_Agroinsumos[[#This Row],[AL-MP]:[AL-VL]]),"")</f>
        <v>0</v>
      </c>
      <c r="CT278" s="92">
        <f>IFERROR(Tabla_Buffers_Agroinsumos[[#This Row],[INV FIS AL]]-Tabla_Buffers_Agroinsumos[[#This Row],[BUFFER AL]],"")</f>
        <v>0</v>
      </c>
      <c r="CU27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78" s="134"/>
      <c r="CW278" s="134"/>
      <c r="CX278" s="134"/>
      <c r="CY278" s="134"/>
      <c r="CZ278" s="134"/>
      <c r="DA278" s="134"/>
      <c r="DB278" s="134"/>
      <c r="DC278" s="134"/>
      <c r="DD278" s="134"/>
      <c r="DE278" s="134">
        <f t="array" ref="DE278">IFERROR(INDEX(TABLACONSOLIDADA[Buff Act],MATCH("AGROINSUMOSAGRONUEVO"&amp;Tabla_Buffers_Agroinsumos[[#This Row],[CODIGO ]],TABLACONSOLIDADA[Bodega]&amp;TABLACONSOLIDADA[Codigo],0)),"")</f>
        <v>0</v>
      </c>
      <c r="DF278" s="157">
        <f t="array" ref="DF278">IFERROR(INDEX(TABLACONSOLIDADA[Inv Fís Act],MATCH("AGROINSUMOSAGRONUEVO"&amp;Tabla_Buffers_Agroinsumos[[#This Row],[CODIGO ]],TABLACONSOLIDADA[Bodega]&amp;TABLACONSOLIDADA[Codigo],0)),"")</f>
        <v>0</v>
      </c>
      <c r="DG278" s="157">
        <f t="array" ref="DG27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7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78" s="134">
        <f>IFERROR(SUM(Tabla_Buffers_Agroinsumos[[#This Row],[AN-MP]:[AN-VL]]),"")</f>
        <v>0</v>
      </c>
      <c r="DJ278" s="92">
        <f>IFERROR(Tabla_Buffers_Agroinsumos[[#This Row],[INV FIS AN]]-Tabla_Buffers_Agroinsumos[[#This Row],[BUFFER AN]],"")</f>
        <v>0</v>
      </c>
      <c r="DK27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78" s="134"/>
      <c r="DM278" s="134"/>
      <c r="DN278" s="134"/>
      <c r="DO278" s="134"/>
      <c r="DP278" s="134"/>
      <c r="DQ278" s="134"/>
      <c r="DR278" s="134"/>
      <c r="DS278" s="134"/>
      <c r="DT278" s="134"/>
      <c r="DU278" s="134">
        <f t="array" ref="DU278">IFERROR(INDEX(TABLACONSOLIDADA[Buff Act],MATCH("AGROINSUMOSAGROQUIMICOSSUR"&amp;Tabla_Buffers_Agroinsumos[[#This Row],[CODIGO ]],TABLACONSOLIDADA[Bodega]&amp;TABLACONSOLIDADA[Codigo],0)),"")</f>
        <v>0</v>
      </c>
      <c r="DV278" s="157">
        <f t="array" ref="DV278">IFERROR(INDEX(TABLACONSOLIDADA[Inv Fís Act],MATCH("AGROINSUMOSAGROQUIMICOSSUR"&amp;Tabla_Buffers_Agroinsumos[[#This Row],[CODIGO ]],TABLACONSOLIDADA[Bodega]&amp;TABLACONSOLIDADA[Codigo],0)),"")</f>
        <v>0</v>
      </c>
      <c r="DW278" s="157">
        <f t="array" ref="DW27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7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78" s="134">
        <f>IFERROR(SUM(Tabla_Buffers_Agroinsumos[[#This Row],[AS-MP]:[AS-VL]]),"")</f>
        <v>0</v>
      </c>
      <c r="DZ278" s="92">
        <f>IFERROR(Tabla_Buffers_Agroinsumos[[#This Row],[INV FIS AS]]-Tabla_Buffers_Agroinsumos[[#This Row],[BUFFER AS]],"")</f>
        <v>0</v>
      </c>
      <c r="EA27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78" s="134"/>
      <c r="EC278" s="134"/>
      <c r="ED278" s="134"/>
      <c r="EE278" s="134"/>
      <c r="EF278" s="134"/>
      <c r="EG278" s="134"/>
      <c r="EH278" s="134"/>
      <c r="EI278" s="134"/>
      <c r="EJ278" s="134"/>
      <c r="EK278" s="134">
        <f t="array" ref="EK278">IFERROR(INDEX(TABLACONSOLIDADA[Buff Act],MATCH("AGROINSUMOSLAFINCA"&amp;Tabla_Buffers_Agroinsumos[[#This Row],[CODIGO ]],TABLACONSOLIDADA[Bodega]&amp;TABLACONSOLIDADA[Codigo],0)),"")</f>
        <v>0</v>
      </c>
      <c r="EL278" s="157">
        <f t="array" ref="EL278">IFERROR(INDEX(TABLACONSOLIDADA[Inv Fís Act],MATCH("AGROINSUMOSLAFINCA"&amp;Tabla_Buffers_Agroinsumos[[#This Row],[CODIGO ]],TABLACONSOLIDADA[Bodega]&amp;TABLACONSOLIDADA[Codigo],0)),"")</f>
        <v>0</v>
      </c>
      <c r="EM278" s="157">
        <f t="array" ref="EM27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7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78" s="134">
        <f>IFERROR(SUM(Tabla_Buffers_Agroinsumos[[#This Row],[LF-MP]:[LF-VL]]),"")</f>
        <v>0</v>
      </c>
      <c r="EP278" s="92">
        <f>IFERROR(Tabla_Buffers_Agroinsumos[[#This Row],[INV FIS LF]]-Tabla_Buffers_Agroinsumos[[#This Row],[BUFFER LF]],"")</f>
        <v>0</v>
      </c>
      <c r="EQ27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78" s="134"/>
      <c r="ES278" s="134"/>
      <c r="ET278" s="134"/>
      <c r="EU278" s="134"/>
      <c r="EV278" s="134"/>
      <c r="EW278" s="134"/>
      <c r="EX278" s="134"/>
      <c r="EY278" s="134"/>
      <c r="EZ278" s="134"/>
      <c r="FA278" s="134">
        <f t="array" ref="FA278">IFERROR(INDEX(TABLACONSOLIDADA[Buff Act],MATCH("AGROINSUMOSVERONICALEDESMA"&amp;Tabla_Buffers_Agroinsumos[[#This Row],[CODIGO ]],TABLACONSOLIDADA[Bodega]&amp;TABLACONSOLIDADA[Codigo],0)),"")</f>
        <v>0</v>
      </c>
      <c r="FB278" s="157">
        <f t="array" ref="FB278">IFERROR(INDEX(TABLACONSOLIDADA[Inv Fís Act],MATCH("AGROINSUMOSVERONICALEDESMA"&amp;Tabla_Buffers_Agroinsumos[[#This Row],[CODIGO ]],TABLACONSOLIDADA[Bodega]&amp;TABLACONSOLIDADA[Codigo],0)),"")</f>
        <v>0</v>
      </c>
      <c r="FC278" s="157">
        <f t="array" ref="FC27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7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78" s="134">
        <f>IFERROR(SUM(Tabla_Buffers_Agroinsumos[[#This Row],[VL-MP]:[VL-LF]]),"")</f>
        <v>0</v>
      </c>
      <c r="FF278" s="92">
        <f>IFERROR(Tabla_Buffers_Agroinsumos[[#This Row],[INV FIS VL]]-Tabla_Buffers_Agroinsumos[[#This Row],[BUFFER VL]],"")</f>
        <v>0</v>
      </c>
      <c r="FG27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78" s="134"/>
      <c r="FI278" s="134"/>
      <c r="FJ278" s="134"/>
      <c r="FK278" s="134"/>
      <c r="FL278" s="134"/>
      <c r="FM278" s="134"/>
      <c r="FN278" s="134"/>
      <c r="FO278" s="134"/>
      <c r="FP278" s="134"/>
    </row>
    <row r="279" spans="1:172">
      <c r="A279" s="7" t="s">
        <v>481</v>
      </c>
      <c r="B279" s="7" t="s">
        <v>482</v>
      </c>
      <c r="C279" s="7" t="s">
        <v>708</v>
      </c>
      <c r="D279" s="7" t="s">
        <v>715</v>
      </c>
      <c r="E279" s="7" t="s">
        <v>975</v>
      </c>
      <c r="F279" s="19" t="s">
        <v>698</v>
      </c>
      <c r="G279" s="19" t="s">
        <v>698</v>
      </c>
      <c r="H279" s="19">
        <f>VLOOKUP(Tabla_Buffers_Agroinsumos[[#This Row],[CODIGO ]],TABLACONSOLIDADA[[Codigo]:[PV]],6,0)</f>
        <v>2235.4899999999998</v>
      </c>
      <c r="I279" s="19">
        <f>VLOOKUP(Tabla_Buffers_Agroinsumos[[#This Row],[CODIGO ]],TABLACONSOLIDADA[[Codigo]:[PV]],5,0)</f>
        <v>520</v>
      </c>
      <c r="J279" s="19" t="s">
        <v>698</v>
      </c>
      <c r="K279" s="19" t="s">
        <v>698</v>
      </c>
      <c r="L279" s="19">
        <f>IFERROR(Tabla_Buffers_Agroinsumos[[#This Row],[BUFFER CENTRAL]]/((Tabla_Buffers_Agroinsumos[[#This Row],[TIEMPO REPOSICION ]]/Tabla_Buffers_Agroinsumos[[#This Row],[FRECUENCIA]])+1),0)</f>
        <v>0</v>
      </c>
      <c r="M279" s="19" t="str">
        <f t="array" ref="M279">IFERROR(INDEX(TABLACONSOLIDADA[Buff Act],MATCH("AGROINSUMOSMATERIAPRIMA"&amp;Tabla_Buffers_Agroinsumos[[#This Row],[CODIGO ]],TABLACONSOLIDADA[Bodega]&amp;TABLACONSOLIDADA[Codigo],0)),"")</f>
        <v/>
      </c>
      <c r="N279" s="157" t="str">
        <f t="array" ref="N279">IFERROR(INDEX(TABLACONSOLIDADA[Inv Fís Act],MATCH("AGROINSUMOSMATERIAPRIMA"&amp;Tabla_Buffers_Agroinsumos[[#This Row],[CODIGO ]],TABLACONSOLIDADA[Bodega]&amp;TABLACONSOLIDADA[Codigo],0)),"")</f>
        <v/>
      </c>
      <c r="O279" s="157" t="str">
        <f t="array" ref="O27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7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79" s="19">
        <f>IFERROR(SUM(Tabla_Buffers_Agroinsumos[[#This Row],[MP-C]:[MP-VL]]),"")</f>
        <v>0</v>
      </c>
      <c r="R279" s="92" t="str">
        <f>IFERROR(Tabla_Buffers_Agroinsumos[[#This Row],[INV FIS MATERIA PRIMA]]-Tabla_Buffers_Agroinsumos[[#This Row],[BUFFER MATERIA PRIMA]],"")</f>
        <v/>
      </c>
      <c r="S27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79" s="19"/>
      <c r="U279" s="19"/>
      <c r="V279" s="19"/>
      <c r="W279" s="19"/>
      <c r="X279" s="19"/>
      <c r="Y279" s="19"/>
      <c r="Z279" s="19"/>
      <c r="AA279" s="19"/>
      <c r="AB279" s="19"/>
      <c r="AC279" s="152">
        <f t="array" ref="AC279">IFERROR(INDEX(TABLACONSOLIDADA[Buff Act],MATCH("AGROINSUMOSCENTRAL"&amp;Tabla_Buffers_Agroinsumos[[#This Row],[CODIGO ]],TABLACONSOLIDADA[Bodega]&amp;TABLACONSOLIDADA[Codigo],0)),"")</f>
        <v>0</v>
      </c>
      <c r="AD279" s="157">
        <f t="array" ref="AD279">IFERROR(INDEX(TABLACONSOLIDADA[Inv Fís Act],MATCH("AGROINSUMOSCENTRAL"&amp;Tabla_Buffers_Agroinsumos[[#This Row],[CODIGO ]],TABLACONSOLIDADA[Bodega]&amp;TABLACONSOLIDADA[Codigo],0)),"")</f>
        <v>0</v>
      </c>
      <c r="AE279" s="157">
        <f t="array" ref="AE27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7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79" s="91">
        <f>IFERROR(SUM(Tabla_Buffers_Agroinsumos[[#This Row],[C-MP]:[C-VL]]),"")</f>
        <v>0</v>
      </c>
      <c r="AH279" s="92">
        <f>IFERROR(Tabla_Buffers_Agroinsumos[[#This Row],[INV FIS CENTRAL]]-Tabla_Buffers_Agroinsumos[[#This Row],[BUFFER CENTRAL]],"")</f>
        <v>0</v>
      </c>
      <c r="AI27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79" s="134"/>
      <c r="AK279" s="134"/>
      <c r="AL279" s="134"/>
      <c r="AM279" s="134"/>
      <c r="AN279" s="134"/>
      <c r="AO279" s="134"/>
      <c r="AP279" s="134"/>
      <c r="AQ279" s="134"/>
      <c r="AR279" s="134"/>
      <c r="AS279" s="134">
        <f t="array" ref="AS279">IFERROR(INDEX(TABLACONSOLIDADA[Buff Act],MATCH("AGROINSUMOScentralPROPIA"&amp;Tabla_Buffers_Agroinsumos[[#This Row],[CODIGO ]],TABLACONSOLIDADA[Bodega]&amp;TABLACONSOLIDADA[Codigo],0)),"")</f>
        <v>0</v>
      </c>
      <c r="AT279" s="157">
        <f t="array" ref="AT279">IFERROR(INDEX(TABLACONSOLIDADA[Inv Fís Act],MATCH("AGROINSUMOScentralPROPIA"&amp;Tabla_Buffers_Agroinsumos[[#This Row],[CODIGO ]],TABLACONSOLIDADA[Bodega]&amp;TABLACONSOLIDADA[Codigo],0)),"")</f>
        <v>0</v>
      </c>
      <c r="AU279" s="157">
        <f t="array" ref="AU27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7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79" s="134">
        <f>IFERROR(SUM(Tabla_Buffers_Agroinsumos[[#This Row],[P-MP]:[P-VL]]),"")</f>
        <v>0</v>
      </c>
      <c r="AX279" s="92">
        <f>IFERROR(Tabla_Buffers_Agroinsumos[[#This Row],[INV FIS PROPIA]]-Tabla_Buffers_Agroinsumos[[#This Row],[BUFFER PROPIA]],"")</f>
        <v>0</v>
      </c>
      <c r="AY27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279" s="134"/>
      <c r="BA279" s="134"/>
      <c r="BB279" s="134"/>
      <c r="BC279" s="134"/>
      <c r="BD279" s="134"/>
      <c r="BE279" s="134"/>
      <c r="BF279" s="134"/>
      <c r="BG279" s="134"/>
      <c r="BH279" s="134"/>
      <c r="BI279" s="91">
        <f t="array" ref="BI279">IFERROR(INDEX(TABLACONSOLIDADA[Buff Act],MATCH("AGROINSUMOSSTODOMINGO"&amp;Tabla_Buffers_Agroinsumos[[#This Row],[CODIGO ]],TABLACONSOLIDADA[Bodega]&amp;TABLACONSOLIDADA[Codigo],0)),"")</f>
        <v>0</v>
      </c>
      <c r="BJ279" s="157">
        <f t="array" ref="BJ279">IFERROR(INDEX(TABLACONSOLIDADA[Inv Fís Act],MATCH("AGROINSUMOSSTODOMINGO"&amp;Tabla_Buffers_Agroinsumos[[#This Row],[CODIGO ]],TABLACONSOLIDADA[Bodega]&amp;TABLACONSOLIDADA[Codigo],0)),"")</f>
        <v>0</v>
      </c>
      <c r="BK279" s="157">
        <f t="array" ref="BK27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7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79" s="91">
        <f>IFERROR(SUM(Tabla_Buffers_Agroinsumos[[#This Row],[SD-MP]:[SD-VL]]),"")</f>
        <v>0</v>
      </c>
      <c r="BN279" s="92"/>
      <c r="BO279" s="92"/>
      <c r="BP279" s="134"/>
      <c r="BQ279" s="134"/>
      <c r="BR279" s="134"/>
      <c r="BS279" s="134"/>
      <c r="BT279" s="134"/>
      <c r="BU279" s="134"/>
      <c r="BV279" s="134"/>
      <c r="BW279" s="134"/>
      <c r="BX279" s="134"/>
      <c r="BY279" s="134">
        <f t="array" ref="BY279">IFERROR(INDEX(TABLACONSOLIDADA[Buff Act],MATCH("AGROINSUMOSMONCAYOLOPEZ"&amp;Tabla_Buffers_Agroinsumos[[#This Row],[CODIGO ]],TABLACONSOLIDADA[Bodega]&amp;TABLACONSOLIDADA[Codigo],0)),"")</f>
        <v>0</v>
      </c>
      <c r="BZ279" s="157">
        <f t="array" ref="BZ279">IFERROR(INDEX(TABLACONSOLIDADA[Inv Fís Act],MATCH("AGROINSUMOSMONCAYOLOPEZ"&amp;Tabla_Buffers_Agroinsumos[[#This Row],[CODIGO ]],TABLACONSOLIDADA[Bodega]&amp;TABLACONSOLIDADA[Codigo],0)),"")</f>
        <v>0</v>
      </c>
      <c r="CA279" s="157">
        <f t="array" ref="CA27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7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79" s="134">
        <f>IFERROR(SUM(Tabla_Buffers_Agroinsumos[[#This Row],[ML-MP]:[ML-VL]]),"")</f>
        <v>0</v>
      </c>
      <c r="CD279" s="92">
        <f>IFERROR(Tabla_Buffers_Agroinsumos[[#This Row],[INV FIS ML]]-Tabla_Buffers_Agroinsumos[[#This Row],[BUFFER ML]],"")</f>
        <v>0</v>
      </c>
      <c r="CE27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79" s="134"/>
      <c r="CG279" s="134"/>
      <c r="CH279" s="134"/>
      <c r="CI279" s="134"/>
      <c r="CJ279" s="134"/>
      <c r="CK279" s="134"/>
      <c r="CL279" s="134"/>
      <c r="CM279" s="134"/>
      <c r="CN279" s="134"/>
      <c r="CO279" s="134">
        <f t="array" ref="CO279">IFERROR(INDEX(TABLACONSOLIDADA[Buff Act],MATCH("AGROINSUMOSAGROHERMANOSLEON"&amp;Tabla_Buffers_Agroinsumos[[#This Row],[CODIGO ]],TABLACONSOLIDADA[Bodega]&amp;TABLACONSOLIDADA[Codigo],0)),"")</f>
        <v>0</v>
      </c>
      <c r="CP279" s="157">
        <f t="array" ref="CP279">IFERROR(INDEX(TABLACONSOLIDADA[Inv Fís Act],MATCH("AGROINSUMOSAGROHERMANOSLEON"&amp;Tabla_Buffers_Agroinsumos[[#This Row],[CODIGO ]],TABLACONSOLIDADA[Bodega]&amp;TABLACONSOLIDADA[Codigo],0)),"")</f>
        <v>0</v>
      </c>
      <c r="CQ279" s="157">
        <f t="array" ref="CQ27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7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79" s="134">
        <f>IFERROR(SUM(Tabla_Buffers_Agroinsumos[[#This Row],[AL-MP]:[AL-VL]]),"")</f>
        <v>0</v>
      </c>
      <c r="CT279" s="92">
        <f>IFERROR(Tabla_Buffers_Agroinsumos[[#This Row],[INV FIS AL]]-Tabla_Buffers_Agroinsumos[[#This Row],[BUFFER AL]],"")</f>
        <v>0</v>
      </c>
      <c r="CU279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79" s="134"/>
      <c r="CW279" s="134"/>
      <c r="CX279" s="134"/>
      <c r="CY279" s="134"/>
      <c r="CZ279" s="134"/>
      <c r="DA279" s="134"/>
      <c r="DB279" s="134"/>
      <c r="DC279" s="134"/>
      <c r="DD279" s="134"/>
      <c r="DE279" s="134">
        <f t="array" ref="DE279">IFERROR(INDEX(TABLACONSOLIDADA[Buff Act],MATCH("AGROINSUMOSAGRONUEVO"&amp;Tabla_Buffers_Agroinsumos[[#This Row],[CODIGO ]],TABLACONSOLIDADA[Bodega]&amp;TABLACONSOLIDADA[Codigo],0)),"")</f>
        <v>0</v>
      </c>
      <c r="DF279" s="157">
        <f t="array" ref="DF279">IFERROR(INDEX(TABLACONSOLIDADA[Inv Fís Act],MATCH("AGROINSUMOSAGRONUEVO"&amp;Tabla_Buffers_Agroinsumos[[#This Row],[CODIGO ]],TABLACONSOLIDADA[Bodega]&amp;TABLACONSOLIDADA[Codigo],0)),"")</f>
        <v>0</v>
      </c>
      <c r="DG279" s="157">
        <f t="array" ref="DG27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7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79" s="134">
        <f>IFERROR(SUM(Tabla_Buffers_Agroinsumos[[#This Row],[AN-MP]:[AN-VL]]),"")</f>
        <v>0</v>
      </c>
      <c r="DJ279" s="92">
        <f>IFERROR(Tabla_Buffers_Agroinsumos[[#This Row],[INV FIS AN]]-Tabla_Buffers_Agroinsumos[[#This Row],[BUFFER AN]],"")</f>
        <v>0</v>
      </c>
      <c r="DK27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79" s="134"/>
      <c r="DM279" s="134"/>
      <c r="DN279" s="134"/>
      <c r="DO279" s="134"/>
      <c r="DP279" s="134"/>
      <c r="DQ279" s="134"/>
      <c r="DR279" s="134"/>
      <c r="DS279" s="134"/>
      <c r="DT279" s="134"/>
      <c r="DU279" s="134">
        <f t="array" ref="DU279">IFERROR(INDEX(TABLACONSOLIDADA[Buff Act],MATCH("AGROINSUMOSAGROQUIMICOSSUR"&amp;Tabla_Buffers_Agroinsumos[[#This Row],[CODIGO ]],TABLACONSOLIDADA[Bodega]&amp;TABLACONSOLIDADA[Codigo],0)),"")</f>
        <v>0</v>
      </c>
      <c r="DV279" s="157">
        <f t="array" ref="DV279">IFERROR(INDEX(TABLACONSOLIDADA[Inv Fís Act],MATCH("AGROINSUMOSAGROQUIMICOSSUR"&amp;Tabla_Buffers_Agroinsumos[[#This Row],[CODIGO ]],TABLACONSOLIDADA[Bodega]&amp;TABLACONSOLIDADA[Codigo],0)),"")</f>
        <v>0</v>
      </c>
      <c r="DW279" s="157">
        <f t="array" ref="DW27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7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79" s="134">
        <f>IFERROR(SUM(Tabla_Buffers_Agroinsumos[[#This Row],[AS-MP]:[AS-VL]]),"")</f>
        <v>0</v>
      </c>
      <c r="DZ279" s="92">
        <f>IFERROR(Tabla_Buffers_Agroinsumos[[#This Row],[INV FIS AS]]-Tabla_Buffers_Agroinsumos[[#This Row],[BUFFER AS]],"")</f>
        <v>0</v>
      </c>
      <c r="EA27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79" s="134"/>
      <c r="EC279" s="134"/>
      <c r="ED279" s="134"/>
      <c r="EE279" s="134"/>
      <c r="EF279" s="134"/>
      <c r="EG279" s="134"/>
      <c r="EH279" s="134"/>
      <c r="EI279" s="134"/>
      <c r="EJ279" s="134"/>
      <c r="EK279" s="134">
        <f t="array" ref="EK279">IFERROR(INDEX(TABLACONSOLIDADA[Buff Act],MATCH("AGROINSUMOSLAFINCA"&amp;Tabla_Buffers_Agroinsumos[[#This Row],[CODIGO ]],TABLACONSOLIDADA[Bodega]&amp;TABLACONSOLIDADA[Codigo],0)),"")</f>
        <v>0</v>
      </c>
      <c r="EL279" s="157">
        <f t="array" ref="EL279">IFERROR(INDEX(TABLACONSOLIDADA[Inv Fís Act],MATCH("AGROINSUMOSLAFINCA"&amp;Tabla_Buffers_Agroinsumos[[#This Row],[CODIGO ]],TABLACONSOLIDADA[Bodega]&amp;TABLACONSOLIDADA[Codigo],0)),"")</f>
        <v>0</v>
      </c>
      <c r="EM279" s="157">
        <f t="array" ref="EM27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7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79" s="134">
        <f>IFERROR(SUM(Tabla_Buffers_Agroinsumos[[#This Row],[LF-MP]:[LF-VL]]),"")</f>
        <v>0</v>
      </c>
      <c r="EP279" s="92">
        <f>IFERROR(Tabla_Buffers_Agroinsumos[[#This Row],[INV FIS LF]]-Tabla_Buffers_Agroinsumos[[#This Row],[BUFFER LF]],"")</f>
        <v>0</v>
      </c>
      <c r="EQ27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79" s="134"/>
      <c r="ES279" s="134"/>
      <c r="ET279" s="134"/>
      <c r="EU279" s="134"/>
      <c r="EV279" s="134"/>
      <c r="EW279" s="134"/>
      <c r="EX279" s="134"/>
      <c r="EY279" s="134"/>
      <c r="EZ279" s="134"/>
      <c r="FA279" s="134">
        <f t="array" ref="FA279">IFERROR(INDEX(TABLACONSOLIDADA[Buff Act],MATCH("AGROINSUMOSVERONICALEDESMA"&amp;Tabla_Buffers_Agroinsumos[[#This Row],[CODIGO ]],TABLACONSOLIDADA[Bodega]&amp;TABLACONSOLIDADA[Codigo],0)),"")</f>
        <v>0</v>
      </c>
      <c r="FB279" s="157">
        <f t="array" ref="FB279">IFERROR(INDEX(TABLACONSOLIDADA[Inv Fís Act],MATCH("AGROINSUMOSVERONICALEDESMA"&amp;Tabla_Buffers_Agroinsumos[[#This Row],[CODIGO ]],TABLACONSOLIDADA[Bodega]&amp;TABLACONSOLIDADA[Codigo],0)),"")</f>
        <v>0</v>
      </c>
      <c r="FC279" s="157">
        <f t="array" ref="FC27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7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79" s="134">
        <f>IFERROR(SUM(Tabla_Buffers_Agroinsumos[[#This Row],[VL-MP]:[VL-LF]]),"")</f>
        <v>0</v>
      </c>
      <c r="FF279" s="92">
        <f>IFERROR(Tabla_Buffers_Agroinsumos[[#This Row],[INV FIS VL]]-Tabla_Buffers_Agroinsumos[[#This Row],[BUFFER VL]],"")</f>
        <v>0</v>
      </c>
      <c r="FG27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79" s="134"/>
      <c r="FI279" s="134"/>
      <c r="FJ279" s="134"/>
      <c r="FK279" s="134"/>
      <c r="FL279" s="134"/>
      <c r="FM279" s="134"/>
      <c r="FN279" s="134"/>
      <c r="FO279" s="134"/>
      <c r="FP279" s="134"/>
    </row>
    <row r="280" spans="1:172">
      <c r="A280" s="7" t="s">
        <v>483</v>
      </c>
      <c r="B280" s="7" t="s">
        <v>484</v>
      </c>
      <c r="C280" s="7" t="s">
        <v>708</v>
      </c>
      <c r="D280" s="7" t="s">
        <v>715</v>
      </c>
      <c r="E280" s="7" t="s">
        <v>975</v>
      </c>
      <c r="F280" s="19" t="s">
        <v>698</v>
      </c>
      <c r="G280" s="19" t="s">
        <v>698</v>
      </c>
      <c r="H280" s="19">
        <f>VLOOKUP(Tabla_Buffers_Agroinsumos[[#This Row],[CODIGO ]],TABLACONSOLIDADA[[Codigo]:[PV]],6,0)</f>
        <v>36.369999999999997</v>
      </c>
      <c r="I280" s="19">
        <f>VLOOKUP(Tabla_Buffers_Agroinsumos[[#This Row],[CODIGO ]],TABLACONSOLIDADA[[Codigo]:[PV]],5,0)</f>
        <v>10.9</v>
      </c>
      <c r="J280" s="19" t="s">
        <v>698</v>
      </c>
      <c r="K280" s="19" t="s">
        <v>698</v>
      </c>
      <c r="L280" s="19">
        <f>IFERROR(Tabla_Buffers_Agroinsumos[[#This Row],[BUFFER CENTRAL]]/((Tabla_Buffers_Agroinsumos[[#This Row],[TIEMPO REPOSICION ]]/Tabla_Buffers_Agroinsumos[[#This Row],[FRECUENCIA]])+1),0)</f>
        <v>0</v>
      </c>
      <c r="M280" s="19" t="str">
        <f t="array" ref="M280">IFERROR(INDEX(TABLACONSOLIDADA[Buff Act],MATCH("AGROINSUMOSMATERIAPRIMA"&amp;Tabla_Buffers_Agroinsumos[[#This Row],[CODIGO ]],TABLACONSOLIDADA[Bodega]&amp;TABLACONSOLIDADA[Codigo],0)),"")</f>
        <v/>
      </c>
      <c r="N280" s="157" t="str">
        <f t="array" ref="N280">IFERROR(INDEX(TABLACONSOLIDADA[Inv Fís Act],MATCH("AGROINSUMOSMATERIAPRIMA"&amp;Tabla_Buffers_Agroinsumos[[#This Row],[CODIGO ]],TABLACONSOLIDADA[Bodega]&amp;TABLACONSOLIDADA[Codigo],0)),"")</f>
        <v/>
      </c>
      <c r="O280" s="157" t="str">
        <f t="array" ref="O28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8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80" s="19">
        <f>IFERROR(SUM(Tabla_Buffers_Agroinsumos[[#This Row],[MP-C]:[MP-VL]]),"")</f>
        <v>0</v>
      </c>
      <c r="R280" s="92" t="str">
        <f>IFERROR(Tabla_Buffers_Agroinsumos[[#This Row],[INV FIS MATERIA PRIMA]]-Tabla_Buffers_Agroinsumos[[#This Row],[BUFFER MATERIA PRIMA]],"")</f>
        <v/>
      </c>
      <c r="S28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80" s="19"/>
      <c r="U280" s="19"/>
      <c r="V280" s="19"/>
      <c r="W280" s="19"/>
      <c r="X280" s="19"/>
      <c r="Y280" s="19"/>
      <c r="Z280" s="19"/>
      <c r="AA280" s="19"/>
      <c r="AB280" s="19"/>
      <c r="AC280" s="152">
        <f t="array" ref="AC280">IFERROR(INDEX(TABLACONSOLIDADA[Buff Act],MATCH("AGROINSUMOSCENTRAL"&amp;Tabla_Buffers_Agroinsumos[[#This Row],[CODIGO ]],TABLACONSOLIDADA[Bodega]&amp;TABLACONSOLIDADA[Codigo],0)),"")</f>
        <v>0</v>
      </c>
      <c r="AD280" s="157">
        <f t="array" ref="AD280">IFERROR(INDEX(TABLACONSOLIDADA[Inv Fís Act],MATCH("AGROINSUMOSCENTRAL"&amp;Tabla_Buffers_Agroinsumos[[#This Row],[CODIGO ]],TABLACONSOLIDADA[Bodega]&amp;TABLACONSOLIDADA[Codigo],0)),"")</f>
        <v>0</v>
      </c>
      <c r="AE280" s="157">
        <f t="array" ref="AE28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8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80" s="91">
        <f>IFERROR(SUM(Tabla_Buffers_Agroinsumos[[#This Row],[C-MP]:[C-VL]]),"")</f>
        <v>0</v>
      </c>
      <c r="AH280" s="92">
        <f>IFERROR(Tabla_Buffers_Agroinsumos[[#This Row],[INV FIS CENTRAL]]-Tabla_Buffers_Agroinsumos[[#This Row],[BUFFER CENTRAL]],"")</f>
        <v>0</v>
      </c>
      <c r="AI28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80" s="134"/>
      <c r="AK280" s="134"/>
      <c r="AL280" s="134"/>
      <c r="AM280" s="134"/>
      <c r="AN280" s="134"/>
      <c r="AO280" s="134"/>
      <c r="AP280" s="134"/>
      <c r="AQ280" s="134"/>
      <c r="AR280" s="134"/>
      <c r="AS280" s="134">
        <f t="array" ref="AS280">IFERROR(INDEX(TABLACONSOLIDADA[Buff Act],MATCH("AGROINSUMOScentralPROPIA"&amp;Tabla_Buffers_Agroinsumos[[#This Row],[CODIGO ]],TABLACONSOLIDADA[Bodega]&amp;TABLACONSOLIDADA[Codigo],0)),"")</f>
        <v>0</v>
      </c>
      <c r="AT280" s="157">
        <f t="array" ref="AT280">IFERROR(INDEX(TABLACONSOLIDADA[Inv Fís Act],MATCH("AGROINSUMOScentralPROPIA"&amp;Tabla_Buffers_Agroinsumos[[#This Row],[CODIGO ]],TABLACONSOLIDADA[Bodega]&amp;TABLACONSOLIDADA[Codigo],0)),"")</f>
        <v>0</v>
      </c>
      <c r="AU280" s="157">
        <f t="array" ref="AU28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8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80" s="134">
        <f>IFERROR(SUM(Tabla_Buffers_Agroinsumos[[#This Row],[P-MP]:[P-VL]]),"")</f>
        <v>0</v>
      </c>
      <c r="AX280" s="92">
        <f>IFERROR(Tabla_Buffers_Agroinsumos[[#This Row],[INV FIS PROPIA]]-Tabla_Buffers_Agroinsumos[[#This Row],[BUFFER PROPIA]],"")</f>
        <v>0</v>
      </c>
      <c r="AY28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280" s="134"/>
      <c r="BA280" s="134"/>
      <c r="BB280" s="134"/>
      <c r="BC280" s="134"/>
      <c r="BD280" s="134"/>
      <c r="BE280" s="134"/>
      <c r="BF280" s="134"/>
      <c r="BG280" s="134"/>
      <c r="BH280" s="134"/>
      <c r="BI280" s="91">
        <f t="array" ref="BI280">IFERROR(INDEX(TABLACONSOLIDADA[Buff Act],MATCH("AGROINSUMOSSTODOMINGO"&amp;Tabla_Buffers_Agroinsumos[[#This Row],[CODIGO ]],TABLACONSOLIDADA[Bodega]&amp;TABLACONSOLIDADA[Codigo],0)),"")</f>
        <v>0</v>
      </c>
      <c r="BJ280" s="157">
        <f t="array" ref="BJ280">IFERROR(INDEX(TABLACONSOLIDADA[Inv Fís Act],MATCH("AGROINSUMOSSTODOMINGO"&amp;Tabla_Buffers_Agroinsumos[[#This Row],[CODIGO ]],TABLACONSOLIDADA[Bodega]&amp;TABLACONSOLIDADA[Codigo],0)),"")</f>
        <v>0</v>
      </c>
      <c r="BK280" s="157">
        <f t="array" ref="BK28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8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80" s="91">
        <f>IFERROR(SUM(Tabla_Buffers_Agroinsumos[[#This Row],[SD-MP]:[SD-VL]]),"")</f>
        <v>0</v>
      </c>
      <c r="BN280" s="92"/>
      <c r="BO280" s="92"/>
      <c r="BP280" s="134"/>
      <c r="BQ280" s="134"/>
      <c r="BR280" s="134"/>
      <c r="BS280" s="134"/>
      <c r="BT280" s="134"/>
      <c r="BU280" s="134"/>
      <c r="BV280" s="134"/>
      <c r="BW280" s="134"/>
      <c r="BX280" s="134"/>
      <c r="BY280" s="134">
        <f t="array" ref="BY280">IFERROR(INDEX(TABLACONSOLIDADA[Buff Act],MATCH("AGROINSUMOSMONCAYOLOPEZ"&amp;Tabla_Buffers_Agroinsumos[[#This Row],[CODIGO ]],TABLACONSOLIDADA[Bodega]&amp;TABLACONSOLIDADA[Codigo],0)),"")</f>
        <v>0</v>
      </c>
      <c r="BZ280" s="157">
        <f t="array" ref="BZ280">IFERROR(INDEX(TABLACONSOLIDADA[Inv Fís Act],MATCH("AGROINSUMOSMONCAYOLOPEZ"&amp;Tabla_Buffers_Agroinsumos[[#This Row],[CODIGO ]],TABLACONSOLIDADA[Bodega]&amp;TABLACONSOLIDADA[Codigo],0)),"")</f>
        <v>0</v>
      </c>
      <c r="CA280" s="157">
        <f t="array" ref="CA28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8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80" s="134">
        <f>IFERROR(SUM(Tabla_Buffers_Agroinsumos[[#This Row],[ML-MP]:[ML-VL]]),"")</f>
        <v>0</v>
      </c>
      <c r="CD280" s="92">
        <f>IFERROR(Tabla_Buffers_Agroinsumos[[#This Row],[INV FIS ML]]-Tabla_Buffers_Agroinsumos[[#This Row],[BUFFER ML]],"")</f>
        <v>0</v>
      </c>
      <c r="CE28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80" s="134"/>
      <c r="CG280" s="134"/>
      <c r="CH280" s="134"/>
      <c r="CI280" s="134"/>
      <c r="CJ280" s="134"/>
      <c r="CK280" s="134"/>
      <c r="CL280" s="134"/>
      <c r="CM280" s="134"/>
      <c r="CN280" s="134"/>
      <c r="CO280" s="134">
        <f t="array" ref="CO280">IFERROR(INDEX(TABLACONSOLIDADA[Buff Act],MATCH("AGROINSUMOSAGROHERMANOSLEON"&amp;Tabla_Buffers_Agroinsumos[[#This Row],[CODIGO ]],TABLACONSOLIDADA[Bodega]&amp;TABLACONSOLIDADA[Codigo],0)),"")</f>
        <v>0</v>
      </c>
      <c r="CP280" s="157">
        <f t="array" ref="CP280">IFERROR(INDEX(TABLACONSOLIDADA[Inv Fís Act],MATCH("AGROINSUMOSAGROHERMANOSLEON"&amp;Tabla_Buffers_Agroinsumos[[#This Row],[CODIGO ]],TABLACONSOLIDADA[Bodega]&amp;TABLACONSOLIDADA[Codigo],0)),"")</f>
        <v>0</v>
      </c>
      <c r="CQ280" s="157">
        <f t="array" ref="CQ28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8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80" s="134">
        <f>IFERROR(SUM(Tabla_Buffers_Agroinsumos[[#This Row],[AL-MP]:[AL-VL]]),"")</f>
        <v>0</v>
      </c>
      <c r="CT280" s="92">
        <f>IFERROR(Tabla_Buffers_Agroinsumos[[#This Row],[INV FIS AL]]-Tabla_Buffers_Agroinsumos[[#This Row],[BUFFER AL]],"")</f>
        <v>0</v>
      </c>
      <c r="CU280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80" s="134"/>
      <c r="CW280" s="134"/>
      <c r="CX280" s="134"/>
      <c r="CY280" s="134"/>
      <c r="CZ280" s="134"/>
      <c r="DA280" s="134"/>
      <c r="DB280" s="134"/>
      <c r="DC280" s="134"/>
      <c r="DD280" s="134"/>
      <c r="DE280" s="134">
        <f t="array" ref="DE280">IFERROR(INDEX(TABLACONSOLIDADA[Buff Act],MATCH("AGROINSUMOSAGRONUEVO"&amp;Tabla_Buffers_Agroinsumos[[#This Row],[CODIGO ]],TABLACONSOLIDADA[Bodega]&amp;TABLACONSOLIDADA[Codigo],0)),"")</f>
        <v>0</v>
      </c>
      <c r="DF280" s="157">
        <f t="array" ref="DF280">IFERROR(INDEX(TABLACONSOLIDADA[Inv Fís Act],MATCH("AGROINSUMOSAGRONUEVO"&amp;Tabla_Buffers_Agroinsumos[[#This Row],[CODIGO ]],TABLACONSOLIDADA[Bodega]&amp;TABLACONSOLIDADA[Codigo],0)),"")</f>
        <v>0</v>
      </c>
      <c r="DG280" s="157">
        <f t="array" ref="DG28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8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80" s="134">
        <f>IFERROR(SUM(Tabla_Buffers_Agroinsumos[[#This Row],[AN-MP]:[AN-VL]]),"")</f>
        <v>0</v>
      </c>
      <c r="DJ280" s="92">
        <f>IFERROR(Tabla_Buffers_Agroinsumos[[#This Row],[INV FIS AN]]-Tabla_Buffers_Agroinsumos[[#This Row],[BUFFER AN]],"")</f>
        <v>0</v>
      </c>
      <c r="DK28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80" s="134"/>
      <c r="DM280" s="134"/>
      <c r="DN280" s="134"/>
      <c r="DO280" s="134"/>
      <c r="DP280" s="134"/>
      <c r="DQ280" s="134"/>
      <c r="DR280" s="134"/>
      <c r="DS280" s="134"/>
      <c r="DT280" s="134"/>
      <c r="DU280" s="134">
        <f t="array" ref="DU280">IFERROR(INDEX(TABLACONSOLIDADA[Buff Act],MATCH("AGROINSUMOSAGROQUIMICOSSUR"&amp;Tabla_Buffers_Agroinsumos[[#This Row],[CODIGO ]],TABLACONSOLIDADA[Bodega]&amp;TABLACONSOLIDADA[Codigo],0)),"")</f>
        <v>0</v>
      </c>
      <c r="DV280" s="157">
        <f t="array" ref="DV280">IFERROR(INDEX(TABLACONSOLIDADA[Inv Fís Act],MATCH("AGROINSUMOSAGROQUIMICOSSUR"&amp;Tabla_Buffers_Agroinsumos[[#This Row],[CODIGO ]],TABLACONSOLIDADA[Bodega]&amp;TABLACONSOLIDADA[Codigo],0)),"")</f>
        <v>0</v>
      </c>
      <c r="DW280" s="157">
        <f t="array" ref="DW28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8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80" s="134">
        <f>IFERROR(SUM(Tabla_Buffers_Agroinsumos[[#This Row],[AS-MP]:[AS-VL]]),"")</f>
        <v>0</v>
      </c>
      <c r="DZ280" s="92">
        <f>IFERROR(Tabla_Buffers_Agroinsumos[[#This Row],[INV FIS AS]]-Tabla_Buffers_Agroinsumos[[#This Row],[BUFFER AS]],"")</f>
        <v>0</v>
      </c>
      <c r="EA28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80" s="134"/>
      <c r="EC280" s="134"/>
      <c r="ED280" s="134"/>
      <c r="EE280" s="134"/>
      <c r="EF280" s="134"/>
      <c r="EG280" s="134"/>
      <c r="EH280" s="134"/>
      <c r="EI280" s="134"/>
      <c r="EJ280" s="134"/>
      <c r="EK280" s="134">
        <f t="array" ref="EK280">IFERROR(INDEX(TABLACONSOLIDADA[Buff Act],MATCH("AGROINSUMOSLAFINCA"&amp;Tabla_Buffers_Agroinsumos[[#This Row],[CODIGO ]],TABLACONSOLIDADA[Bodega]&amp;TABLACONSOLIDADA[Codigo],0)),"")</f>
        <v>0</v>
      </c>
      <c r="EL280" s="157">
        <f t="array" ref="EL280">IFERROR(INDEX(TABLACONSOLIDADA[Inv Fís Act],MATCH("AGROINSUMOSLAFINCA"&amp;Tabla_Buffers_Agroinsumos[[#This Row],[CODIGO ]],TABLACONSOLIDADA[Bodega]&amp;TABLACONSOLIDADA[Codigo],0)),"")</f>
        <v>0</v>
      </c>
      <c r="EM280" s="157">
        <f t="array" ref="EM28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8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80" s="134">
        <f>IFERROR(SUM(Tabla_Buffers_Agroinsumos[[#This Row],[LF-MP]:[LF-VL]]),"")</f>
        <v>0</v>
      </c>
      <c r="EP280" s="92">
        <f>IFERROR(Tabla_Buffers_Agroinsumos[[#This Row],[INV FIS LF]]-Tabla_Buffers_Agroinsumos[[#This Row],[BUFFER LF]],"")</f>
        <v>0</v>
      </c>
      <c r="EQ280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80" s="134"/>
      <c r="ES280" s="134"/>
      <c r="ET280" s="134"/>
      <c r="EU280" s="134"/>
      <c r="EV280" s="134"/>
      <c r="EW280" s="134"/>
      <c r="EX280" s="134"/>
      <c r="EY280" s="134"/>
      <c r="EZ280" s="134"/>
      <c r="FA280" s="134">
        <f t="array" ref="FA280">IFERROR(INDEX(TABLACONSOLIDADA[Buff Act],MATCH("AGROINSUMOSVERONICALEDESMA"&amp;Tabla_Buffers_Agroinsumos[[#This Row],[CODIGO ]],TABLACONSOLIDADA[Bodega]&amp;TABLACONSOLIDADA[Codigo],0)),"")</f>
        <v>0</v>
      </c>
      <c r="FB280" s="157">
        <f t="array" ref="FB280">IFERROR(INDEX(TABLACONSOLIDADA[Inv Fís Act],MATCH("AGROINSUMOSVERONICALEDESMA"&amp;Tabla_Buffers_Agroinsumos[[#This Row],[CODIGO ]],TABLACONSOLIDADA[Bodega]&amp;TABLACONSOLIDADA[Codigo],0)),"")</f>
        <v>0</v>
      </c>
      <c r="FC280" s="157">
        <f t="array" ref="FC28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8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80" s="134">
        <f>IFERROR(SUM(Tabla_Buffers_Agroinsumos[[#This Row],[VL-MP]:[VL-LF]]),"")</f>
        <v>0</v>
      </c>
      <c r="FF280" s="92">
        <f>IFERROR(Tabla_Buffers_Agroinsumos[[#This Row],[INV FIS VL]]-Tabla_Buffers_Agroinsumos[[#This Row],[BUFFER VL]],"")</f>
        <v>0</v>
      </c>
      <c r="FG28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80" s="134"/>
      <c r="FI280" s="134"/>
      <c r="FJ280" s="134"/>
      <c r="FK280" s="134"/>
      <c r="FL280" s="134"/>
      <c r="FM280" s="134"/>
      <c r="FN280" s="134"/>
      <c r="FO280" s="134"/>
      <c r="FP280" s="134"/>
    </row>
    <row r="281" spans="1:172">
      <c r="A281" s="7" t="s">
        <v>485</v>
      </c>
      <c r="B281" s="7" t="s">
        <v>486</v>
      </c>
      <c r="C281" s="7" t="s">
        <v>708</v>
      </c>
      <c r="D281" s="7" t="s">
        <v>715</v>
      </c>
      <c r="E281" s="7" t="s">
        <v>975</v>
      </c>
      <c r="F281" s="19" t="s">
        <v>698</v>
      </c>
      <c r="G281" s="19" t="s">
        <v>698</v>
      </c>
      <c r="H281" s="19">
        <f>VLOOKUP(Tabla_Buffers_Agroinsumos[[#This Row],[CODIGO ]],TABLACONSOLIDADA[[Codigo]:[PV]],6,0)</f>
        <v>9.58</v>
      </c>
      <c r="I281" s="19">
        <f>VLOOKUP(Tabla_Buffers_Agroinsumos[[#This Row],[CODIGO ]],TABLACONSOLIDADA[[Codigo]:[PV]],5,0)</f>
        <v>2.83</v>
      </c>
      <c r="J281" s="19" t="s">
        <v>698</v>
      </c>
      <c r="K281" s="19" t="s">
        <v>698</v>
      </c>
      <c r="L281" s="19">
        <f>IFERROR(Tabla_Buffers_Agroinsumos[[#This Row],[BUFFER CENTRAL]]/((Tabla_Buffers_Agroinsumos[[#This Row],[TIEMPO REPOSICION ]]/Tabla_Buffers_Agroinsumos[[#This Row],[FRECUENCIA]])+1),0)</f>
        <v>0</v>
      </c>
      <c r="M281" s="19" t="str">
        <f t="array" ref="M281">IFERROR(INDEX(TABLACONSOLIDADA[Buff Act],MATCH("AGROINSUMOSMATERIAPRIMA"&amp;Tabla_Buffers_Agroinsumos[[#This Row],[CODIGO ]],TABLACONSOLIDADA[Bodega]&amp;TABLACONSOLIDADA[Codigo],0)),"")</f>
        <v/>
      </c>
      <c r="N281" s="157" t="str">
        <f t="array" ref="N281">IFERROR(INDEX(TABLACONSOLIDADA[Inv Fís Act],MATCH("AGROINSUMOSMATERIAPRIMA"&amp;Tabla_Buffers_Agroinsumos[[#This Row],[CODIGO ]],TABLACONSOLIDADA[Bodega]&amp;TABLACONSOLIDADA[Codigo],0)),"")</f>
        <v/>
      </c>
      <c r="O281" s="157" t="str">
        <f t="array" ref="O28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8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81" s="19">
        <f>IFERROR(SUM(Tabla_Buffers_Agroinsumos[[#This Row],[MP-C]:[MP-VL]]),"")</f>
        <v>0</v>
      </c>
      <c r="R281" s="92" t="str">
        <f>IFERROR(Tabla_Buffers_Agroinsumos[[#This Row],[INV FIS MATERIA PRIMA]]-Tabla_Buffers_Agroinsumos[[#This Row],[BUFFER MATERIA PRIMA]],"")</f>
        <v/>
      </c>
      <c r="S28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81" s="19"/>
      <c r="U281" s="19"/>
      <c r="V281" s="19"/>
      <c r="W281" s="19"/>
      <c r="X281" s="19"/>
      <c r="Y281" s="19"/>
      <c r="Z281" s="19"/>
      <c r="AA281" s="19"/>
      <c r="AB281" s="19"/>
      <c r="AC281" s="152">
        <f t="array" ref="AC281">IFERROR(INDEX(TABLACONSOLIDADA[Buff Act],MATCH("AGROINSUMOSCENTRAL"&amp;Tabla_Buffers_Agroinsumos[[#This Row],[CODIGO ]],TABLACONSOLIDADA[Bodega]&amp;TABLACONSOLIDADA[Codigo],0)),"")</f>
        <v>0</v>
      </c>
      <c r="AD281" s="157">
        <f t="array" ref="AD281">IFERROR(INDEX(TABLACONSOLIDADA[Inv Fís Act],MATCH("AGROINSUMOSCENTRAL"&amp;Tabla_Buffers_Agroinsumos[[#This Row],[CODIGO ]],TABLACONSOLIDADA[Bodega]&amp;TABLACONSOLIDADA[Codigo],0)),"")</f>
        <v>0</v>
      </c>
      <c r="AE281" s="157">
        <f t="array" ref="AE28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8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81" s="91">
        <f>IFERROR(SUM(Tabla_Buffers_Agroinsumos[[#This Row],[C-MP]:[C-VL]]),"")</f>
        <v>0</v>
      </c>
      <c r="AH281" s="92">
        <f>IFERROR(Tabla_Buffers_Agroinsumos[[#This Row],[INV FIS CENTRAL]]-Tabla_Buffers_Agroinsumos[[#This Row],[BUFFER CENTRAL]],"")</f>
        <v>0</v>
      </c>
      <c r="AI28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81" s="134"/>
      <c r="AK281" s="134"/>
      <c r="AL281" s="134"/>
      <c r="AM281" s="134"/>
      <c r="AN281" s="134"/>
      <c r="AO281" s="134"/>
      <c r="AP281" s="134"/>
      <c r="AQ281" s="134"/>
      <c r="AR281" s="134"/>
      <c r="AS281" s="134">
        <f t="array" ref="AS281">IFERROR(INDEX(TABLACONSOLIDADA[Buff Act],MATCH("AGROINSUMOScentralPROPIA"&amp;Tabla_Buffers_Agroinsumos[[#This Row],[CODIGO ]],TABLACONSOLIDADA[Bodega]&amp;TABLACONSOLIDADA[Codigo],0)),"")</f>
        <v>0</v>
      </c>
      <c r="AT281" s="157">
        <f t="array" ref="AT281">IFERROR(INDEX(TABLACONSOLIDADA[Inv Fís Act],MATCH("AGROINSUMOScentralPROPIA"&amp;Tabla_Buffers_Agroinsumos[[#This Row],[CODIGO ]],TABLACONSOLIDADA[Bodega]&amp;TABLACONSOLIDADA[Codigo],0)),"")</f>
        <v>0</v>
      </c>
      <c r="AU281" s="157">
        <f t="array" ref="AU28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8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81" s="134">
        <f>IFERROR(SUM(Tabla_Buffers_Agroinsumos[[#This Row],[P-MP]:[P-VL]]),"")</f>
        <v>0</v>
      </c>
      <c r="AX281" s="92">
        <f>IFERROR(Tabla_Buffers_Agroinsumos[[#This Row],[INV FIS PROPIA]]-Tabla_Buffers_Agroinsumos[[#This Row],[BUFFER PROPIA]],"")</f>
        <v>0</v>
      </c>
      <c r="AY28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281" s="134"/>
      <c r="BA281" s="134"/>
      <c r="BB281" s="134"/>
      <c r="BC281" s="134"/>
      <c r="BD281" s="134"/>
      <c r="BE281" s="134"/>
      <c r="BF281" s="134"/>
      <c r="BG281" s="134"/>
      <c r="BH281" s="134"/>
      <c r="BI281" s="91">
        <f t="array" ref="BI281">IFERROR(INDEX(TABLACONSOLIDADA[Buff Act],MATCH("AGROINSUMOSSTODOMINGO"&amp;Tabla_Buffers_Agroinsumos[[#This Row],[CODIGO ]],TABLACONSOLIDADA[Bodega]&amp;TABLACONSOLIDADA[Codigo],0)),"")</f>
        <v>0</v>
      </c>
      <c r="BJ281" s="157">
        <f t="array" ref="BJ281">IFERROR(INDEX(TABLACONSOLIDADA[Inv Fís Act],MATCH("AGROINSUMOSSTODOMINGO"&amp;Tabla_Buffers_Agroinsumos[[#This Row],[CODIGO ]],TABLACONSOLIDADA[Bodega]&amp;TABLACONSOLIDADA[Codigo],0)),"")</f>
        <v>0</v>
      </c>
      <c r="BK281" s="157">
        <f t="array" ref="BK28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8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81" s="91">
        <f>IFERROR(SUM(Tabla_Buffers_Agroinsumos[[#This Row],[SD-MP]:[SD-VL]]),"")</f>
        <v>0</v>
      </c>
      <c r="BN281" s="92"/>
      <c r="BO281" s="92"/>
      <c r="BP281" s="134"/>
      <c r="BQ281" s="134"/>
      <c r="BR281" s="134"/>
      <c r="BS281" s="134"/>
      <c r="BT281" s="134"/>
      <c r="BU281" s="134"/>
      <c r="BV281" s="134"/>
      <c r="BW281" s="134"/>
      <c r="BX281" s="134"/>
      <c r="BY281" s="134">
        <f t="array" ref="BY281">IFERROR(INDEX(TABLACONSOLIDADA[Buff Act],MATCH("AGROINSUMOSMONCAYOLOPEZ"&amp;Tabla_Buffers_Agroinsumos[[#This Row],[CODIGO ]],TABLACONSOLIDADA[Bodega]&amp;TABLACONSOLIDADA[Codigo],0)),"")</f>
        <v>0</v>
      </c>
      <c r="BZ281" s="157">
        <f t="array" ref="BZ281">IFERROR(INDEX(TABLACONSOLIDADA[Inv Fís Act],MATCH("AGROINSUMOSMONCAYOLOPEZ"&amp;Tabla_Buffers_Agroinsumos[[#This Row],[CODIGO ]],TABLACONSOLIDADA[Bodega]&amp;TABLACONSOLIDADA[Codigo],0)),"")</f>
        <v>0</v>
      </c>
      <c r="CA281" s="157">
        <f t="array" ref="CA28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8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81" s="134">
        <f>IFERROR(SUM(Tabla_Buffers_Agroinsumos[[#This Row],[ML-MP]:[ML-VL]]),"")</f>
        <v>0</v>
      </c>
      <c r="CD281" s="92">
        <f>IFERROR(Tabla_Buffers_Agroinsumos[[#This Row],[INV FIS ML]]-Tabla_Buffers_Agroinsumos[[#This Row],[BUFFER ML]],"")</f>
        <v>0</v>
      </c>
      <c r="CE281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81" s="134"/>
      <c r="CG281" s="134"/>
      <c r="CH281" s="134"/>
      <c r="CI281" s="134"/>
      <c r="CJ281" s="134"/>
      <c r="CK281" s="134"/>
      <c r="CL281" s="134"/>
      <c r="CM281" s="134"/>
      <c r="CN281" s="134"/>
      <c r="CO281" s="134">
        <f t="array" ref="CO281">IFERROR(INDEX(TABLACONSOLIDADA[Buff Act],MATCH("AGROINSUMOSAGROHERMANOSLEON"&amp;Tabla_Buffers_Agroinsumos[[#This Row],[CODIGO ]],TABLACONSOLIDADA[Bodega]&amp;TABLACONSOLIDADA[Codigo],0)),"")</f>
        <v>0</v>
      </c>
      <c r="CP281" s="157">
        <f t="array" ref="CP281">IFERROR(INDEX(TABLACONSOLIDADA[Inv Fís Act],MATCH("AGROINSUMOSAGROHERMANOSLEON"&amp;Tabla_Buffers_Agroinsumos[[#This Row],[CODIGO ]],TABLACONSOLIDADA[Bodega]&amp;TABLACONSOLIDADA[Codigo],0)),"")</f>
        <v>0</v>
      </c>
      <c r="CQ281" s="157">
        <f t="array" ref="CQ28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8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81" s="134">
        <f>IFERROR(SUM(Tabla_Buffers_Agroinsumos[[#This Row],[AL-MP]:[AL-VL]]),"")</f>
        <v>0</v>
      </c>
      <c r="CT281" s="92">
        <f>IFERROR(Tabla_Buffers_Agroinsumos[[#This Row],[INV FIS AL]]-Tabla_Buffers_Agroinsumos[[#This Row],[BUFFER AL]],"")</f>
        <v>0</v>
      </c>
      <c r="CU281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81" s="134"/>
      <c r="CW281" s="134"/>
      <c r="CX281" s="134"/>
      <c r="CY281" s="134"/>
      <c r="CZ281" s="134"/>
      <c r="DA281" s="134"/>
      <c r="DB281" s="134"/>
      <c r="DC281" s="134"/>
      <c r="DD281" s="134"/>
      <c r="DE281" s="134">
        <f t="array" ref="DE281">IFERROR(INDEX(TABLACONSOLIDADA[Buff Act],MATCH("AGROINSUMOSAGRONUEVO"&amp;Tabla_Buffers_Agroinsumos[[#This Row],[CODIGO ]],TABLACONSOLIDADA[Bodega]&amp;TABLACONSOLIDADA[Codigo],0)),"")</f>
        <v>0</v>
      </c>
      <c r="DF281" s="157">
        <f t="array" ref="DF281">IFERROR(INDEX(TABLACONSOLIDADA[Inv Fís Act],MATCH("AGROINSUMOSAGRONUEVO"&amp;Tabla_Buffers_Agroinsumos[[#This Row],[CODIGO ]],TABLACONSOLIDADA[Bodega]&amp;TABLACONSOLIDADA[Codigo],0)),"")</f>
        <v>0</v>
      </c>
      <c r="DG281" s="157">
        <f t="array" ref="DG28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8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81" s="134">
        <f>IFERROR(SUM(Tabla_Buffers_Agroinsumos[[#This Row],[AN-MP]:[AN-VL]]),"")</f>
        <v>0</v>
      </c>
      <c r="DJ281" s="92">
        <f>IFERROR(Tabla_Buffers_Agroinsumos[[#This Row],[INV FIS AN]]-Tabla_Buffers_Agroinsumos[[#This Row],[BUFFER AN]],"")</f>
        <v>0</v>
      </c>
      <c r="DK281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81" s="134"/>
      <c r="DM281" s="134"/>
      <c r="DN281" s="134"/>
      <c r="DO281" s="134"/>
      <c r="DP281" s="134"/>
      <c r="DQ281" s="134"/>
      <c r="DR281" s="134"/>
      <c r="DS281" s="134"/>
      <c r="DT281" s="134"/>
      <c r="DU281" s="134">
        <f t="array" ref="DU281">IFERROR(INDEX(TABLACONSOLIDADA[Buff Act],MATCH("AGROINSUMOSAGROQUIMICOSSUR"&amp;Tabla_Buffers_Agroinsumos[[#This Row],[CODIGO ]],TABLACONSOLIDADA[Bodega]&amp;TABLACONSOLIDADA[Codigo],0)),"")</f>
        <v>0</v>
      </c>
      <c r="DV281" s="157">
        <f t="array" ref="DV281">IFERROR(INDEX(TABLACONSOLIDADA[Inv Fís Act],MATCH("AGROINSUMOSAGROQUIMICOSSUR"&amp;Tabla_Buffers_Agroinsumos[[#This Row],[CODIGO ]],TABLACONSOLIDADA[Bodega]&amp;TABLACONSOLIDADA[Codigo],0)),"")</f>
        <v>0</v>
      </c>
      <c r="DW281" s="157">
        <f t="array" ref="DW28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8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81" s="134">
        <f>IFERROR(SUM(Tabla_Buffers_Agroinsumos[[#This Row],[AS-MP]:[AS-VL]]),"")</f>
        <v>0</v>
      </c>
      <c r="DZ281" s="92">
        <f>IFERROR(Tabla_Buffers_Agroinsumos[[#This Row],[INV FIS AS]]-Tabla_Buffers_Agroinsumos[[#This Row],[BUFFER AS]],"")</f>
        <v>0</v>
      </c>
      <c r="EA281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81" s="134"/>
      <c r="EC281" s="134"/>
      <c r="ED281" s="134"/>
      <c r="EE281" s="134"/>
      <c r="EF281" s="134"/>
      <c r="EG281" s="134"/>
      <c r="EH281" s="134"/>
      <c r="EI281" s="134"/>
      <c r="EJ281" s="134"/>
      <c r="EK281" s="134">
        <f t="array" ref="EK281">IFERROR(INDEX(TABLACONSOLIDADA[Buff Act],MATCH("AGROINSUMOSLAFINCA"&amp;Tabla_Buffers_Agroinsumos[[#This Row],[CODIGO ]],TABLACONSOLIDADA[Bodega]&amp;TABLACONSOLIDADA[Codigo],0)),"")</f>
        <v>0</v>
      </c>
      <c r="EL281" s="157">
        <f t="array" ref="EL281">IFERROR(INDEX(TABLACONSOLIDADA[Inv Fís Act],MATCH("AGROINSUMOSLAFINCA"&amp;Tabla_Buffers_Agroinsumos[[#This Row],[CODIGO ]],TABLACONSOLIDADA[Bodega]&amp;TABLACONSOLIDADA[Codigo],0)),"")</f>
        <v>0</v>
      </c>
      <c r="EM281" s="157">
        <f t="array" ref="EM28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8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81" s="134">
        <f>IFERROR(SUM(Tabla_Buffers_Agroinsumos[[#This Row],[LF-MP]:[LF-VL]]),"")</f>
        <v>0</v>
      </c>
      <c r="EP281" s="92">
        <f>IFERROR(Tabla_Buffers_Agroinsumos[[#This Row],[INV FIS LF]]-Tabla_Buffers_Agroinsumos[[#This Row],[BUFFER LF]],"")</f>
        <v>0</v>
      </c>
      <c r="EQ281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81" s="134"/>
      <c r="ES281" s="134"/>
      <c r="ET281" s="134"/>
      <c r="EU281" s="134"/>
      <c r="EV281" s="134"/>
      <c r="EW281" s="134"/>
      <c r="EX281" s="134"/>
      <c r="EY281" s="134"/>
      <c r="EZ281" s="134"/>
      <c r="FA281" s="134">
        <f t="array" ref="FA281">IFERROR(INDEX(TABLACONSOLIDADA[Buff Act],MATCH("AGROINSUMOSVERONICALEDESMA"&amp;Tabla_Buffers_Agroinsumos[[#This Row],[CODIGO ]],TABLACONSOLIDADA[Bodega]&amp;TABLACONSOLIDADA[Codigo],0)),"")</f>
        <v>0</v>
      </c>
      <c r="FB281" s="157">
        <f t="array" ref="FB281">IFERROR(INDEX(TABLACONSOLIDADA[Inv Fís Act],MATCH("AGROINSUMOSVERONICALEDESMA"&amp;Tabla_Buffers_Agroinsumos[[#This Row],[CODIGO ]],TABLACONSOLIDADA[Bodega]&amp;TABLACONSOLIDADA[Codigo],0)),"")</f>
        <v>0</v>
      </c>
      <c r="FC281" s="157">
        <f t="array" ref="FC28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8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81" s="134">
        <f>IFERROR(SUM(Tabla_Buffers_Agroinsumos[[#This Row],[VL-MP]:[VL-LF]]),"")</f>
        <v>0</v>
      </c>
      <c r="FF281" s="92">
        <f>IFERROR(Tabla_Buffers_Agroinsumos[[#This Row],[INV FIS VL]]-Tabla_Buffers_Agroinsumos[[#This Row],[BUFFER VL]],"")</f>
        <v>0</v>
      </c>
      <c r="FG281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81" s="134"/>
      <c r="FI281" s="134"/>
      <c r="FJ281" s="134"/>
      <c r="FK281" s="134"/>
      <c r="FL281" s="134"/>
      <c r="FM281" s="134"/>
      <c r="FN281" s="134"/>
      <c r="FO281" s="134"/>
      <c r="FP281" s="134"/>
    </row>
    <row r="282" spans="1:172">
      <c r="A282" s="7" t="s">
        <v>487</v>
      </c>
      <c r="B282" s="7" t="s">
        <v>488</v>
      </c>
      <c r="C282" s="7" t="s">
        <v>709</v>
      </c>
      <c r="D282" s="7" t="s">
        <v>720</v>
      </c>
      <c r="E282" s="7" t="s">
        <v>863</v>
      </c>
      <c r="F282" s="19" t="s">
        <v>814</v>
      </c>
      <c r="G282" s="19" t="s">
        <v>873</v>
      </c>
      <c r="H282" s="19">
        <f>VLOOKUP(Tabla_Buffers_Agroinsumos[[#This Row],[CODIGO ]],TABLACONSOLIDADA[[Codigo]:[PV]],6,0)</f>
        <v>0</v>
      </c>
      <c r="I282" s="19">
        <f>VLOOKUP(Tabla_Buffers_Agroinsumos[[#This Row],[CODIGO ]],TABLACONSOLIDADA[[Codigo]:[PV]],5,0)</f>
        <v>3964.26</v>
      </c>
      <c r="J282" s="19">
        <v>12</v>
      </c>
      <c r="K282" s="19">
        <v>14</v>
      </c>
      <c r="L282" s="19">
        <f>IFERROR(Tabla_Buffers_Agroinsumos[[#This Row],[BUFFER CENTRAL]]/((Tabla_Buffers_Agroinsumos[[#This Row],[TIEMPO REPOSICION ]]/Tabla_Buffers_Agroinsumos[[#This Row],[FRECUENCIA]])+1),0)</f>
        <v>0</v>
      </c>
      <c r="M282" s="19">
        <f t="array" ref="M282">IFERROR(INDEX(TABLACONSOLIDADA[Buff Act],MATCH("AGROINSUMOSMATERIAPRIMA"&amp;Tabla_Buffers_Agroinsumos[[#This Row],[CODIGO ]],TABLACONSOLIDADA[Bodega]&amp;TABLACONSOLIDADA[Codigo],0)),"")</f>
        <v>11</v>
      </c>
      <c r="N282" s="157">
        <f t="array" ref="N282">IFERROR(INDEX(TABLACONSOLIDADA[Inv Fís Act],MATCH("AGROINSUMOSMATERIAPRIMA"&amp;Tabla_Buffers_Agroinsumos[[#This Row],[CODIGO ]],TABLACONSOLIDADA[Bodega]&amp;TABLACONSOLIDADA[Codigo],0)),"")</f>
        <v>3.048</v>
      </c>
      <c r="O282" s="157">
        <f t="array" ref="O28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6.048</v>
      </c>
      <c r="P28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82" s="19">
        <f>IFERROR(SUM(Tabla_Buffers_Agroinsumos[[#This Row],[MP-C]:[MP-VL]]),"")</f>
        <v>0</v>
      </c>
      <c r="R282" s="92">
        <f>IFERROR(Tabla_Buffers_Agroinsumos[[#This Row],[INV FIS MATERIA PRIMA]]-Tabla_Buffers_Agroinsumos[[#This Row],[BUFFER MATERIA PRIMA]],"")</f>
        <v>-7.952</v>
      </c>
      <c r="S28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-7.952</v>
      </c>
      <c r="T282" s="19"/>
      <c r="U282" s="19"/>
      <c r="V282" s="19"/>
      <c r="W282" s="19"/>
      <c r="X282" s="19"/>
      <c r="Y282" s="19"/>
      <c r="Z282" s="19"/>
      <c r="AA282" s="19"/>
      <c r="AB282" s="19"/>
      <c r="AC282" s="152" t="str">
        <f t="array" ref="AC282">IFERROR(INDEX(TABLACONSOLIDADA[Buff Act],MATCH("AGROINSUMOSCENTRAL"&amp;Tabla_Buffers_Agroinsumos[[#This Row],[CODIGO ]],TABLACONSOLIDADA[Bodega]&amp;TABLACONSOLIDADA[Codigo],0)),"")</f>
        <v/>
      </c>
      <c r="AD282" s="157" t="str">
        <f t="array" ref="AD282">IFERROR(INDEX(TABLACONSOLIDADA[Inv Fís Act],MATCH("AGROINSUMOSCENTRAL"&amp;Tabla_Buffers_Agroinsumos[[#This Row],[CODIGO ]],TABLACONSOLIDADA[Bodega]&amp;TABLACONSOLIDADA[Codigo],0)),"")</f>
        <v/>
      </c>
      <c r="AE282" s="157" t="str">
        <f t="array" ref="AE28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8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82" s="91">
        <f>IFERROR(SUM(Tabla_Buffers_Agroinsumos[[#This Row],[C-MP]:[C-VL]]),"")</f>
        <v>0</v>
      </c>
      <c r="AH282" s="92" t="str">
        <f>IFERROR(Tabla_Buffers_Agroinsumos[[#This Row],[INV FIS CENTRAL]]-Tabla_Buffers_Agroinsumos[[#This Row],[BUFFER CENTRAL]],"")</f>
        <v/>
      </c>
      <c r="AI28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82" s="134"/>
      <c r="AK282" s="134"/>
      <c r="AL282" s="134"/>
      <c r="AM282" s="134"/>
      <c r="AN282" s="134"/>
      <c r="AO282" s="134"/>
      <c r="AP282" s="134"/>
      <c r="AQ282" s="134"/>
      <c r="AR282" s="134"/>
      <c r="AS282" s="134" t="str">
        <f t="array" ref="AS282">IFERROR(INDEX(TABLACONSOLIDADA[Buff Act],MATCH("AGROINSUMOScentralPROPIA"&amp;Tabla_Buffers_Agroinsumos[[#This Row],[CODIGO ]],TABLACONSOLIDADA[Bodega]&amp;TABLACONSOLIDADA[Codigo],0)),"")</f>
        <v/>
      </c>
      <c r="AT282" s="157" t="str">
        <f t="array" ref="AT282">IFERROR(INDEX(TABLACONSOLIDADA[Inv Fís Act],MATCH("AGROINSUMOScentralPROPIA"&amp;Tabla_Buffers_Agroinsumos[[#This Row],[CODIGO ]],TABLACONSOLIDADA[Bodega]&amp;TABLACONSOLIDADA[Codigo],0)),"")</f>
        <v/>
      </c>
      <c r="AU282" s="157" t="str">
        <f t="array" ref="AU28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8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82" s="134">
        <f>IFERROR(SUM(Tabla_Buffers_Agroinsumos[[#This Row],[P-MP]:[P-VL]]),"")</f>
        <v>0</v>
      </c>
      <c r="AX282" s="92" t="str">
        <f>IFERROR(Tabla_Buffers_Agroinsumos[[#This Row],[INV FIS PROPIA]]-Tabla_Buffers_Agroinsumos[[#This Row],[BUFFER PROPIA]],"")</f>
        <v/>
      </c>
      <c r="AY28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82" s="134"/>
      <c r="BA282" s="134"/>
      <c r="BB282" s="134"/>
      <c r="BC282" s="134"/>
      <c r="BD282" s="134"/>
      <c r="BE282" s="134"/>
      <c r="BF282" s="134"/>
      <c r="BG282" s="134"/>
      <c r="BH282" s="134"/>
      <c r="BI282" s="91" t="str">
        <f t="array" ref="BI282">IFERROR(INDEX(TABLACONSOLIDADA[Buff Act],MATCH("AGROINSUMOSSTODOMINGO"&amp;Tabla_Buffers_Agroinsumos[[#This Row],[CODIGO ]],TABLACONSOLIDADA[Bodega]&amp;TABLACONSOLIDADA[Codigo],0)),"")</f>
        <v/>
      </c>
      <c r="BJ282" s="157" t="str">
        <f t="array" ref="BJ282">IFERROR(INDEX(TABLACONSOLIDADA[Inv Fís Act],MATCH("AGROINSUMOSSTODOMINGO"&amp;Tabla_Buffers_Agroinsumos[[#This Row],[CODIGO ]],TABLACONSOLIDADA[Bodega]&amp;TABLACONSOLIDADA[Codigo],0)),"")</f>
        <v/>
      </c>
      <c r="BK282" s="157" t="str">
        <f t="array" ref="BK28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8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82" s="91">
        <f>IFERROR(SUM(Tabla_Buffers_Agroinsumos[[#This Row],[SD-MP]:[SD-VL]]),"")</f>
        <v>0</v>
      </c>
      <c r="BN282" s="92"/>
      <c r="BO282" s="92"/>
      <c r="BP282" s="134"/>
      <c r="BQ282" s="134"/>
      <c r="BR282" s="134"/>
      <c r="BS282" s="134"/>
      <c r="BT282" s="134"/>
      <c r="BU282" s="134"/>
      <c r="BV282" s="134"/>
      <c r="BW282" s="134"/>
      <c r="BX282" s="134"/>
      <c r="BY282" s="134" t="str">
        <f t="array" ref="BY282">IFERROR(INDEX(TABLACONSOLIDADA[Buff Act],MATCH("AGROINSUMOSMONCAYOLOPEZ"&amp;Tabla_Buffers_Agroinsumos[[#This Row],[CODIGO ]],TABLACONSOLIDADA[Bodega]&amp;TABLACONSOLIDADA[Codigo],0)),"")</f>
        <v/>
      </c>
      <c r="BZ282" s="157" t="str">
        <f t="array" ref="BZ282">IFERROR(INDEX(TABLACONSOLIDADA[Inv Fís Act],MATCH("AGROINSUMOSMONCAYOLOPEZ"&amp;Tabla_Buffers_Agroinsumos[[#This Row],[CODIGO ]],TABLACONSOLIDADA[Bodega]&amp;TABLACONSOLIDADA[Codigo],0)),"")</f>
        <v/>
      </c>
      <c r="CA282" s="157" t="str">
        <f t="array" ref="CA28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8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82" s="134">
        <f>IFERROR(SUM(Tabla_Buffers_Agroinsumos[[#This Row],[ML-MP]:[ML-VL]]),"")</f>
        <v>0</v>
      </c>
      <c r="CD282" s="92" t="str">
        <f>IFERROR(Tabla_Buffers_Agroinsumos[[#This Row],[INV FIS ML]]-Tabla_Buffers_Agroinsumos[[#This Row],[BUFFER ML]],"")</f>
        <v/>
      </c>
      <c r="CE28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82" s="134"/>
      <c r="CG282" s="134"/>
      <c r="CH282" s="134"/>
      <c r="CI282" s="134"/>
      <c r="CJ282" s="134"/>
      <c r="CK282" s="134"/>
      <c r="CL282" s="134"/>
      <c r="CM282" s="134"/>
      <c r="CN282" s="134"/>
      <c r="CO282" s="134" t="str">
        <f t="array" ref="CO282">IFERROR(INDEX(TABLACONSOLIDADA[Buff Act],MATCH("AGROINSUMOSAGROHERMANOSLEON"&amp;Tabla_Buffers_Agroinsumos[[#This Row],[CODIGO ]],TABLACONSOLIDADA[Bodega]&amp;TABLACONSOLIDADA[Codigo],0)),"")</f>
        <v/>
      </c>
      <c r="CP282" s="157" t="str">
        <f t="array" ref="CP282">IFERROR(INDEX(TABLACONSOLIDADA[Inv Fís Act],MATCH("AGROINSUMOSAGROHERMANOSLEON"&amp;Tabla_Buffers_Agroinsumos[[#This Row],[CODIGO ]],TABLACONSOLIDADA[Bodega]&amp;TABLACONSOLIDADA[Codigo],0)),"")</f>
        <v/>
      </c>
      <c r="CQ282" s="157" t="str">
        <f t="array" ref="CQ28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8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82" s="134">
        <f>IFERROR(SUM(Tabla_Buffers_Agroinsumos[[#This Row],[AL-MP]:[AL-VL]]),"")</f>
        <v>0</v>
      </c>
      <c r="CT282" s="92" t="str">
        <f>IFERROR(Tabla_Buffers_Agroinsumos[[#This Row],[INV FIS AL]]-Tabla_Buffers_Agroinsumos[[#This Row],[BUFFER AL]],"")</f>
        <v/>
      </c>
      <c r="CU28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82" s="134"/>
      <c r="CW282" s="134"/>
      <c r="CX282" s="134"/>
      <c r="CY282" s="134"/>
      <c r="CZ282" s="134"/>
      <c r="DA282" s="134"/>
      <c r="DB282" s="134"/>
      <c r="DC282" s="134"/>
      <c r="DD282" s="134"/>
      <c r="DE282" s="134" t="str">
        <f t="array" ref="DE282">IFERROR(INDEX(TABLACONSOLIDADA[Buff Act],MATCH("AGROINSUMOSAGRONUEVO"&amp;Tabla_Buffers_Agroinsumos[[#This Row],[CODIGO ]],TABLACONSOLIDADA[Bodega]&amp;TABLACONSOLIDADA[Codigo],0)),"")</f>
        <v/>
      </c>
      <c r="DF282" s="157" t="str">
        <f t="array" ref="DF282">IFERROR(INDEX(TABLACONSOLIDADA[Inv Fís Act],MATCH("AGROINSUMOSAGRONUEVO"&amp;Tabla_Buffers_Agroinsumos[[#This Row],[CODIGO ]],TABLACONSOLIDADA[Bodega]&amp;TABLACONSOLIDADA[Codigo],0)),"")</f>
        <v/>
      </c>
      <c r="DG282" s="157" t="str">
        <f t="array" ref="DG28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8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82" s="134">
        <f>IFERROR(SUM(Tabla_Buffers_Agroinsumos[[#This Row],[AN-MP]:[AN-VL]]),"")</f>
        <v>0</v>
      </c>
      <c r="DJ282" s="92" t="str">
        <f>IFERROR(Tabla_Buffers_Agroinsumos[[#This Row],[INV FIS AN]]-Tabla_Buffers_Agroinsumos[[#This Row],[BUFFER AN]],"")</f>
        <v/>
      </c>
      <c r="DK28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82" s="134"/>
      <c r="DM282" s="134"/>
      <c r="DN282" s="134"/>
      <c r="DO282" s="134"/>
      <c r="DP282" s="134"/>
      <c r="DQ282" s="134"/>
      <c r="DR282" s="134"/>
      <c r="DS282" s="134"/>
      <c r="DT282" s="134"/>
      <c r="DU282" s="134" t="str">
        <f t="array" ref="DU282">IFERROR(INDEX(TABLACONSOLIDADA[Buff Act],MATCH("AGROINSUMOSAGROQUIMICOSSUR"&amp;Tabla_Buffers_Agroinsumos[[#This Row],[CODIGO ]],TABLACONSOLIDADA[Bodega]&amp;TABLACONSOLIDADA[Codigo],0)),"")</f>
        <v/>
      </c>
      <c r="DV282" s="157" t="str">
        <f t="array" ref="DV282">IFERROR(INDEX(TABLACONSOLIDADA[Inv Fís Act],MATCH("AGROINSUMOSAGROQUIMICOSSUR"&amp;Tabla_Buffers_Agroinsumos[[#This Row],[CODIGO ]],TABLACONSOLIDADA[Bodega]&amp;TABLACONSOLIDADA[Codigo],0)),"")</f>
        <v/>
      </c>
      <c r="DW282" s="157" t="str">
        <f t="array" ref="DW28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8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82" s="134">
        <f>IFERROR(SUM(Tabla_Buffers_Agroinsumos[[#This Row],[AS-MP]:[AS-VL]]),"")</f>
        <v>0</v>
      </c>
      <c r="DZ282" s="92" t="str">
        <f>IFERROR(Tabla_Buffers_Agroinsumos[[#This Row],[INV FIS AS]]-Tabla_Buffers_Agroinsumos[[#This Row],[BUFFER AS]],"")</f>
        <v/>
      </c>
      <c r="EA28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82" s="134"/>
      <c r="EC282" s="134"/>
      <c r="ED282" s="134"/>
      <c r="EE282" s="134"/>
      <c r="EF282" s="134"/>
      <c r="EG282" s="134"/>
      <c r="EH282" s="134"/>
      <c r="EI282" s="134"/>
      <c r="EJ282" s="134"/>
      <c r="EK282" s="134" t="str">
        <f t="array" ref="EK282">IFERROR(INDEX(TABLACONSOLIDADA[Buff Act],MATCH("AGROINSUMOSLAFINCA"&amp;Tabla_Buffers_Agroinsumos[[#This Row],[CODIGO ]],TABLACONSOLIDADA[Bodega]&amp;TABLACONSOLIDADA[Codigo],0)),"")</f>
        <v/>
      </c>
      <c r="EL282" s="157" t="str">
        <f t="array" ref="EL282">IFERROR(INDEX(TABLACONSOLIDADA[Inv Fís Act],MATCH("AGROINSUMOSLAFINCA"&amp;Tabla_Buffers_Agroinsumos[[#This Row],[CODIGO ]],TABLACONSOLIDADA[Bodega]&amp;TABLACONSOLIDADA[Codigo],0)),"")</f>
        <v/>
      </c>
      <c r="EM282" s="157" t="str">
        <f t="array" ref="EM28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8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82" s="134">
        <f>IFERROR(SUM(Tabla_Buffers_Agroinsumos[[#This Row],[LF-MP]:[LF-VL]]),"")</f>
        <v>0</v>
      </c>
      <c r="EP282" s="92" t="str">
        <f>IFERROR(Tabla_Buffers_Agroinsumos[[#This Row],[INV FIS LF]]-Tabla_Buffers_Agroinsumos[[#This Row],[BUFFER LF]],"")</f>
        <v/>
      </c>
      <c r="EQ28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82" s="134"/>
      <c r="ES282" s="134"/>
      <c r="ET282" s="134"/>
      <c r="EU282" s="134"/>
      <c r="EV282" s="134"/>
      <c r="EW282" s="134"/>
      <c r="EX282" s="134"/>
      <c r="EY282" s="134"/>
      <c r="EZ282" s="134"/>
      <c r="FA282" s="134" t="str">
        <f t="array" ref="FA282">IFERROR(INDEX(TABLACONSOLIDADA[Buff Act],MATCH("AGROINSUMOSVERONICALEDESMA"&amp;Tabla_Buffers_Agroinsumos[[#This Row],[CODIGO ]],TABLACONSOLIDADA[Bodega]&amp;TABLACONSOLIDADA[Codigo],0)),"")</f>
        <v/>
      </c>
      <c r="FB282" s="157" t="str">
        <f t="array" ref="FB282">IFERROR(INDEX(TABLACONSOLIDADA[Inv Fís Act],MATCH("AGROINSUMOSVERONICALEDESMA"&amp;Tabla_Buffers_Agroinsumos[[#This Row],[CODIGO ]],TABLACONSOLIDADA[Bodega]&amp;TABLACONSOLIDADA[Codigo],0)),"")</f>
        <v/>
      </c>
      <c r="FC282" s="157" t="str">
        <f t="array" ref="FC28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8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82" s="134">
        <f>IFERROR(SUM(Tabla_Buffers_Agroinsumos[[#This Row],[VL-MP]:[VL-LF]]),"")</f>
        <v>0</v>
      </c>
      <c r="FF282" s="92" t="str">
        <f>IFERROR(Tabla_Buffers_Agroinsumos[[#This Row],[INV FIS VL]]-Tabla_Buffers_Agroinsumos[[#This Row],[BUFFER VL]],"")</f>
        <v/>
      </c>
      <c r="FG28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82" s="134"/>
      <c r="FI282" s="134"/>
      <c r="FJ282" s="134"/>
      <c r="FK282" s="134"/>
      <c r="FL282" s="134"/>
      <c r="FM282" s="134"/>
      <c r="FN282" s="134"/>
      <c r="FO282" s="134"/>
      <c r="FP282" s="134"/>
    </row>
    <row r="283" spans="1:172">
      <c r="A283" s="7" t="s">
        <v>489</v>
      </c>
      <c r="B283" s="7" t="s">
        <v>490</v>
      </c>
      <c r="C283" s="7" t="s">
        <v>709</v>
      </c>
      <c r="D283" s="7" t="s">
        <v>720</v>
      </c>
      <c r="E283" s="7" t="s">
        <v>863</v>
      </c>
      <c r="F283" s="19" t="s">
        <v>814</v>
      </c>
      <c r="G283" s="19" t="s">
        <v>873</v>
      </c>
      <c r="H283" s="19">
        <f>VLOOKUP(Tabla_Buffers_Agroinsumos[[#This Row],[CODIGO ]],TABLACONSOLIDADA[[Codigo]:[PV]],6,0)</f>
        <v>0</v>
      </c>
      <c r="I283" s="19">
        <f>VLOOKUP(Tabla_Buffers_Agroinsumos[[#This Row],[CODIGO ]],TABLACONSOLIDADA[[Codigo]:[PV]],5,0)</f>
        <v>1.31</v>
      </c>
      <c r="J283" s="19">
        <v>12</v>
      </c>
      <c r="K283" s="19">
        <v>14</v>
      </c>
      <c r="L283" s="19">
        <f>IFERROR(Tabla_Buffers_Agroinsumos[[#This Row],[BUFFER CENTRAL]]/((Tabla_Buffers_Agroinsumos[[#This Row],[TIEMPO REPOSICION ]]/Tabla_Buffers_Agroinsumos[[#This Row],[FRECUENCIA]])+1),0)</f>
        <v>0</v>
      </c>
      <c r="M283" s="19">
        <f t="array" ref="M283">IFERROR(INDEX(TABLACONSOLIDADA[Buff Act],MATCH("AGROINSUMOSMATERIAPRIMA"&amp;Tabla_Buffers_Agroinsumos[[#This Row],[CODIGO ]],TABLACONSOLIDADA[Bodega]&amp;TABLACONSOLIDADA[Codigo],0)),"")</f>
        <v>6000</v>
      </c>
      <c r="N283" s="157">
        <f t="array" ref="N283">IFERROR(INDEX(TABLACONSOLIDADA[Inv Fís Act],MATCH("AGROINSUMOSMATERIAPRIMA"&amp;Tabla_Buffers_Agroinsumos[[#This Row],[CODIGO ]],TABLACONSOLIDADA[Bodega]&amp;TABLACONSOLIDADA[Codigo],0)),"")</f>
        <v>0</v>
      </c>
      <c r="O283" s="157">
        <f t="array" ref="O28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3500</v>
      </c>
      <c r="P28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83" s="19">
        <f>IFERROR(SUM(Tabla_Buffers_Agroinsumos[[#This Row],[MP-C]:[MP-VL]]),"")</f>
        <v>0</v>
      </c>
      <c r="R283" s="92">
        <f>IFERROR(Tabla_Buffers_Agroinsumos[[#This Row],[INV FIS MATERIA PRIMA]]-Tabla_Buffers_Agroinsumos[[#This Row],[BUFFER MATERIA PRIMA]],"")</f>
        <v>-6000</v>
      </c>
      <c r="S28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-6000</v>
      </c>
      <c r="T283" s="19"/>
      <c r="U283" s="19"/>
      <c r="V283" s="19"/>
      <c r="W283" s="19"/>
      <c r="X283" s="19"/>
      <c r="Y283" s="19"/>
      <c r="Z283" s="19"/>
      <c r="AA283" s="19"/>
      <c r="AB283" s="19"/>
      <c r="AC283" s="152" t="str">
        <f t="array" ref="AC283">IFERROR(INDEX(TABLACONSOLIDADA[Buff Act],MATCH("AGROINSUMOSCENTRAL"&amp;Tabla_Buffers_Agroinsumos[[#This Row],[CODIGO ]],TABLACONSOLIDADA[Bodega]&amp;TABLACONSOLIDADA[Codigo],0)),"")</f>
        <v/>
      </c>
      <c r="AD283" s="157" t="str">
        <f t="array" ref="AD283">IFERROR(INDEX(TABLACONSOLIDADA[Inv Fís Act],MATCH("AGROINSUMOSCENTRAL"&amp;Tabla_Buffers_Agroinsumos[[#This Row],[CODIGO ]],TABLACONSOLIDADA[Bodega]&amp;TABLACONSOLIDADA[Codigo],0)),"")</f>
        <v/>
      </c>
      <c r="AE283" s="157" t="str">
        <f t="array" ref="AE28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8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83" s="91">
        <f>IFERROR(SUM(Tabla_Buffers_Agroinsumos[[#This Row],[C-MP]:[C-VL]]),"")</f>
        <v>0</v>
      </c>
      <c r="AH283" s="92" t="str">
        <f>IFERROR(Tabla_Buffers_Agroinsumos[[#This Row],[INV FIS CENTRAL]]-Tabla_Buffers_Agroinsumos[[#This Row],[BUFFER CENTRAL]],"")</f>
        <v/>
      </c>
      <c r="AI28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83" s="134"/>
      <c r="AK283" s="134"/>
      <c r="AL283" s="134"/>
      <c r="AM283" s="134"/>
      <c r="AN283" s="134"/>
      <c r="AO283" s="134"/>
      <c r="AP283" s="134"/>
      <c r="AQ283" s="134"/>
      <c r="AR283" s="134"/>
      <c r="AS283" s="134" t="str">
        <f t="array" ref="AS283">IFERROR(INDEX(TABLACONSOLIDADA[Buff Act],MATCH("AGROINSUMOScentralPROPIA"&amp;Tabla_Buffers_Agroinsumos[[#This Row],[CODIGO ]],TABLACONSOLIDADA[Bodega]&amp;TABLACONSOLIDADA[Codigo],0)),"")</f>
        <v/>
      </c>
      <c r="AT283" s="157" t="str">
        <f t="array" ref="AT283">IFERROR(INDEX(TABLACONSOLIDADA[Inv Fís Act],MATCH("AGROINSUMOScentralPROPIA"&amp;Tabla_Buffers_Agroinsumos[[#This Row],[CODIGO ]],TABLACONSOLIDADA[Bodega]&amp;TABLACONSOLIDADA[Codigo],0)),"")</f>
        <v/>
      </c>
      <c r="AU283" s="157" t="str">
        <f t="array" ref="AU28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8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83" s="134">
        <f>IFERROR(SUM(Tabla_Buffers_Agroinsumos[[#This Row],[P-MP]:[P-VL]]),"")</f>
        <v>0</v>
      </c>
      <c r="AX283" s="92" t="str">
        <f>IFERROR(Tabla_Buffers_Agroinsumos[[#This Row],[INV FIS PROPIA]]-Tabla_Buffers_Agroinsumos[[#This Row],[BUFFER PROPIA]],"")</f>
        <v/>
      </c>
      <c r="AY28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83" s="134"/>
      <c r="BA283" s="134"/>
      <c r="BB283" s="134"/>
      <c r="BC283" s="134"/>
      <c r="BD283" s="134"/>
      <c r="BE283" s="134"/>
      <c r="BF283" s="134"/>
      <c r="BG283" s="134"/>
      <c r="BH283" s="134"/>
      <c r="BI283" s="91" t="str">
        <f t="array" ref="BI283">IFERROR(INDEX(TABLACONSOLIDADA[Buff Act],MATCH("AGROINSUMOSSTODOMINGO"&amp;Tabla_Buffers_Agroinsumos[[#This Row],[CODIGO ]],TABLACONSOLIDADA[Bodega]&amp;TABLACONSOLIDADA[Codigo],0)),"")</f>
        <v/>
      </c>
      <c r="BJ283" s="157" t="str">
        <f t="array" ref="BJ283">IFERROR(INDEX(TABLACONSOLIDADA[Inv Fís Act],MATCH("AGROINSUMOSSTODOMINGO"&amp;Tabla_Buffers_Agroinsumos[[#This Row],[CODIGO ]],TABLACONSOLIDADA[Bodega]&amp;TABLACONSOLIDADA[Codigo],0)),"")</f>
        <v/>
      </c>
      <c r="BK283" s="157" t="str">
        <f t="array" ref="BK28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8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83" s="91">
        <f>IFERROR(SUM(Tabla_Buffers_Agroinsumos[[#This Row],[SD-MP]:[SD-VL]]),"")</f>
        <v>0</v>
      </c>
      <c r="BN283" s="92"/>
      <c r="BO283" s="92"/>
      <c r="BP283" s="134"/>
      <c r="BQ283" s="134"/>
      <c r="BR283" s="134"/>
      <c r="BS283" s="134"/>
      <c r="BT283" s="134"/>
      <c r="BU283" s="134"/>
      <c r="BV283" s="134"/>
      <c r="BW283" s="134"/>
      <c r="BX283" s="134"/>
      <c r="BY283" s="134" t="str">
        <f t="array" ref="BY283">IFERROR(INDEX(TABLACONSOLIDADA[Buff Act],MATCH("AGROINSUMOSMONCAYOLOPEZ"&amp;Tabla_Buffers_Agroinsumos[[#This Row],[CODIGO ]],TABLACONSOLIDADA[Bodega]&amp;TABLACONSOLIDADA[Codigo],0)),"")</f>
        <v/>
      </c>
      <c r="BZ283" s="157" t="str">
        <f t="array" ref="BZ283">IFERROR(INDEX(TABLACONSOLIDADA[Inv Fís Act],MATCH("AGROINSUMOSMONCAYOLOPEZ"&amp;Tabla_Buffers_Agroinsumos[[#This Row],[CODIGO ]],TABLACONSOLIDADA[Bodega]&amp;TABLACONSOLIDADA[Codigo],0)),"")</f>
        <v/>
      </c>
      <c r="CA283" s="157" t="str">
        <f t="array" ref="CA28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8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83" s="134">
        <f>IFERROR(SUM(Tabla_Buffers_Agroinsumos[[#This Row],[ML-MP]:[ML-VL]]),"")</f>
        <v>0</v>
      </c>
      <c r="CD283" s="92" t="str">
        <f>IFERROR(Tabla_Buffers_Agroinsumos[[#This Row],[INV FIS ML]]-Tabla_Buffers_Agroinsumos[[#This Row],[BUFFER ML]],"")</f>
        <v/>
      </c>
      <c r="CE28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83" s="134"/>
      <c r="CG283" s="134"/>
      <c r="CH283" s="134"/>
      <c r="CI283" s="134"/>
      <c r="CJ283" s="134"/>
      <c r="CK283" s="134"/>
      <c r="CL283" s="134"/>
      <c r="CM283" s="134"/>
      <c r="CN283" s="134"/>
      <c r="CO283" s="134" t="str">
        <f t="array" ref="CO283">IFERROR(INDEX(TABLACONSOLIDADA[Buff Act],MATCH("AGROINSUMOSAGROHERMANOSLEON"&amp;Tabla_Buffers_Agroinsumos[[#This Row],[CODIGO ]],TABLACONSOLIDADA[Bodega]&amp;TABLACONSOLIDADA[Codigo],0)),"")</f>
        <v/>
      </c>
      <c r="CP283" s="157" t="str">
        <f t="array" ref="CP283">IFERROR(INDEX(TABLACONSOLIDADA[Inv Fís Act],MATCH("AGROINSUMOSAGROHERMANOSLEON"&amp;Tabla_Buffers_Agroinsumos[[#This Row],[CODIGO ]],TABLACONSOLIDADA[Bodega]&amp;TABLACONSOLIDADA[Codigo],0)),"")</f>
        <v/>
      </c>
      <c r="CQ283" s="157" t="str">
        <f t="array" ref="CQ28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8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83" s="134">
        <f>IFERROR(SUM(Tabla_Buffers_Agroinsumos[[#This Row],[AL-MP]:[AL-VL]]),"")</f>
        <v>0</v>
      </c>
      <c r="CT283" s="92" t="str">
        <f>IFERROR(Tabla_Buffers_Agroinsumos[[#This Row],[INV FIS AL]]-Tabla_Buffers_Agroinsumos[[#This Row],[BUFFER AL]],"")</f>
        <v/>
      </c>
      <c r="CU28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83" s="134"/>
      <c r="CW283" s="134"/>
      <c r="CX283" s="134"/>
      <c r="CY283" s="134"/>
      <c r="CZ283" s="134"/>
      <c r="DA283" s="134"/>
      <c r="DB283" s="134"/>
      <c r="DC283" s="134"/>
      <c r="DD283" s="134"/>
      <c r="DE283" s="134" t="str">
        <f t="array" ref="DE283">IFERROR(INDEX(TABLACONSOLIDADA[Buff Act],MATCH("AGROINSUMOSAGRONUEVO"&amp;Tabla_Buffers_Agroinsumos[[#This Row],[CODIGO ]],TABLACONSOLIDADA[Bodega]&amp;TABLACONSOLIDADA[Codigo],0)),"")</f>
        <v/>
      </c>
      <c r="DF283" s="157" t="str">
        <f t="array" ref="DF283">IFERROR(INDEX(TABLACONSOLIDADA[Inv Fís Act],MATCH("AGROINSUMOSAGRONUEVO"&amp;Tabla_Buffers_Agroinsumos[[#This Row],[CODIGO ]],TABLACONSOLIDADA[Bodega]&amp;TABLACONSOLIDADA[Codigo],0)),"")</f>
        <v/>
      </c>
      <c r="DG283" s="157" t="str">
        <f t="array" ref="DG28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8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83" s="134">
        <f>IFERROR(SUM(Tabla_Buffers_Agroinsumos[[#This Row],[AN-MP]:[AN-VL]]),"")</f>
        <v>0</v>
      </c>
      <c r="DJ283" s="92" t="str">
        <f>IFERROR(Tabla_Buffers_Agroinsumos[[#This Row],[INV FIS AN]]-Tabla_Buffers_Agroinsumos[[#This Row],[BUFFER AN]],"")</f>
        <v/>
      </c>
      <c r="DK28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83" s="134"/>
      <c r="DM283" s="134"/>
      <c r="DN283" s="134"/>
      <c r="DO283" s="134"/>
      <c r="DP283" s="134"/>
      <c r="DQ283" s="134"/>
      <c r="DR283" s="134"/>
      <c r="DS283" s="134"/>
      <c r="DT283" s="134"/>
      <c r="DU283" s="134" t="str">
        <f t="array" ref="DU283">IFERROR(INDEX(TABLACONSOLIDADA[Buff Act],MATCH("AGROINSUMOSAGROQUIMICOSSUR"&amp;Tabla_Buffers_Agroinsumos[[#This Row],[CODIGO ]],TABLACONSOLIDADA[Bodega]&amp;TABLACONSOLIDADA[Codigo],0)),"")</f>
        <v/>
      </c>
      <c r="DV283" s="157" t="str">
        <f t="array" ref="DV283">IFERROR(INDEX(TABLACONSOLIDADA[Inv Fís Act],MATCH("AGROINSUMOSAGROQUIMICOSSUR"&amp;Tabla_Buffers_Agroinsumos[[#This Row],[CODIGO ]],TABLACONSOLIDADA[Bodega]&amp;TABLACONSOLIDADA[Codigo],0)),"")</f>
        <v/>
      </c>
      <c r="DW283" s="157" t="str">
        <f t="array" ref="DW28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8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83" s="134">
        <f>IFERROR(SUM(Tabla_Buffers_Agroinsumos[[#This Row],[AS-MP]:[AS-VL]]),"")</f>
        <v>0</v>
      </c>
      <c r="DZ283" s="92" t="str">
        <f>IFERROR(Tabla_Buffers_Agroinsumos[[#This Row],[INV FIS AS]]-Tabla_Buffers_Agroinsumos[[#This Row],[BUFFER AS]],"")</f>
        <v/>
      </c>
      <c r="EA28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83" s="134"/>
      <c r="EC283" s="134"/>
      <c r="ED283" s="134"/>
      <c r="EE283" s="134"/>
      <c r="EF283" s="134"/>
      <c r="EG283" s="134"/>
      <c r="EH283" s="134"/>
      <c r="EI283" s="134"/>
      <c r="EJ283" s="134"/>
      <c r="EK283" s="134" t="str">
        <f t="array" ref="EK283">IFERROR(INDEX(TABLACONSOLIDADA[Buff Act],MATCH("AGROINSUMOSLAFINCA"&amp;Tabla_Buffers_Agroinsumos[[#This Row],[CODIGO ]],TABLACONSOLIDADA[Bodega]&amp;TABLACONSOLIDADA[Codigo],0)),"")</f>
        <v/>
      </c>
      <c r="EL283" s="157" t="str">
        <f t="array" ref="EL283">IFERROR(INDEX(TABLACONSOLIDADA[Inv Fís Act],MATCH("AGROINSUMOSLAFINCA"&amp;Tabla_Buffers_Agroinsumos[[#This Row],[CODIGO ]],TABLACONSOLIDADA[Bodega]&amp;TABLACONSOLIDADA[Codigo],0)),"")</f>
        <v/>
      </c>
      <c r="EM283" s="157" t="str">
        <f t="array" ref="EM28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8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83" s="134">
        <f>IFERROR(SUM(Tabla_Buffers_Agroinsumos[[#This Row],[LF-MP]:[LF-VL]]),"")</f>
        <v>0</v>
      </c>
      <c r="EP283" s="92" t="str">
        <f>IFERROR(Tabla_Buffers_Agroinsumos[[#This Row],[INV FIS LF]]-Tabla_Buffers_Agroinsumos[[#This Row],[BUFFER LF]],"")</f>
        <v/>
      </c>
      <c r="EQ28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83" s="134"/>
      <c r="ES283" s="134"/>
      <c r="ET283" s="134"/>
      <c r="EU283" s="134"/>
      <c r="EV283" s="134"/>
      <c r="EW283" s="134"/>
      <c r="EX283" s="134"/>
      <c r="EY283" s="134"/>
      <c r="EZ283" s="134"/>
      <c r="FA283" s="134" t="str">
        <f t="array" ref="FA283">IFERROR(INDEX(TABLACONSOLIDADA[Buff Act],MATCH("AGROINSUMOSVERONICALEDESMA"&amp;Tabla_Buffers_Agroinsumos[[#This Row],[CODIGO ]],TABLACONSOLIDADA[Bodega]&amp;TABLACONSOLIDADA[Codigo],0)),"")</f>
        <v/>
      </c>
      <c r="FB283" s="157" t="str">
        <f t="array" ref="FB283">IFERROR(INDEX(TABLACONSOLIDADA[Inv Fís Act],MATCH("AGROINSUMOSVERONICALEDESMA"&amp;Tabla_Buffers_Agroinsumos[[#This Row],[CODIGO ]],TABLACONSOLIDADA[Bodega]&amp;TABLACONSOLIDADA[Codigo],0)),"")</f>
        <v/>
      </c>
      <c r="FC283" s="157" t="str">
        <f t="array" ref="FC28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8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83" s="134">
        <f>IFERROR(SUM(Tabla_Buffers_Agroinsumos[[#This Row],[VL-MP]:[VL-LF]]),"")</f>
        <v>0</v>
      </c>
      <c r="FF283" s="92" t="str">
        <f>IFERROR(Tabla_Buffers_Agroinsumos[[#This Row],[INV FIS VL]]-Tabla_Buffers_Agroinsumos[[#This Row],[BUFFER VL]],"")</f>
        <v/>
      </c>
      <c r="FG28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83" s="134"/>
      <c r="FI283" s="134"/>
      <c r="FJ283" s="134"/>
      <c r="FK283" s="134"/>
      <c r="FL283" s="134"/>
      <c r="FM283" s="134"/>
      <c r="FN283" s="134"/>
      <c r="FO283" s="134"/>
      <c r="FP283" s="134"/>
    </row>
    <row r="284" spans="1:172">
      <c r="A284" s="7" t="s">
        <v>491</v>
      </c>
      <c r="B284" s="7" t="s">
        <v>492</v>
      </c>
      <c r="C284" s="7" t="s">
        <v>709</v>
      </c>
      <c r="D284" s="7" t="s">
        <v>720</v>
      </c>
      <c r="E284" s="7" t="s">
        <v>863</v>
      </c>
      <c r="F284" s="19" t="s">
        <v>814</v>
      </c>
      <c r="G284" s="19" t="s">
        <v>873</v>
      </c>
      <c r="H284" s="19">
        <f>VLOOKUP(Tabla_Buffers_Agroinsumos[[#This Row],[CODIGO ]],TABLACONSOLIDADA[[Codigo]:[PV]],6,0)</f>
        <v>0</v>
      </c>
      <c r="I284" s="19">
        <f>VLOOKUP(Tabla_Buffers_Agroinsumos[[#This Row],[CODIGO ]],TABLACONSOLIDADA[[Codigo]:[PV]],5,0)</f>
        <v>0.61</v>
      </c>
      <c r="J284" s="19">
        <v>12</v>
      </c>
      <c r="K284" s="19">
        <v>14</v>
      </c>
      <c r="L284" s="19">
        <f>IFERROR(Tabla_Buffers_Agroinsumos[[#This Row],[BUFFER CENTRAL]]/((Tabla_Buffers_Agroinsumos[[#This Row],[TIEMPO REPOSICION ]]/Tabla_Buffers_Agroinsumos[[#This Row],[FRECUENCIA]])+1),0)</f>
        <v>0</v>
      </c>
      <c r="M284" s="19">
        <f t="array" ref="M284">IFERROR(INDEX(TABLACONSOLIDADA[Buff Act],MATCH("AGROINSUMOSMATERIAPRIMA"&amp;Tabla_Buffers_Agroinsumos[[#This Row],[CODIGO ]],TABLACONSOLIDADA[Bodega]&amp;TABLACONSOLIDADA[Codigo],0)),"")</f>
        <v>0</v>
      </c>
      <c r="N284" s="157">
        <f t="array" ref="N284">IFERROR(INDEX(TABLACONSOLIDADA[Inv Fís Act],MATCH("AGROINSUMOSMATERIAPRIMA"&amp;Tabla_Buffers_Agroinsumos[[#This Row],[CODIGO ]],TABLACONSOLIDADA[Bodega]&amp;TABLACONSOLIDADA[Codigo],0)),"")</f>
        <v>18</v>
      </c>
      <c r="O284" s="157">
        <f t="array" ref="O28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18</v>
      </c>
      <c r="P28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84" s="19">
        <f>IFERROR(SUM(Tabla_Buffers_Agroinsumos[[#This Row],[MP-C]:[MP-VL]]),"")</f>
        <v>0</v>
      </c>
      <c r="R284" s="92">
        <f>IFERROR(Tabla_Buffers_Agroinsumos[[#This Row],[INV FIS MATERIA PRIMA]]-Tabla_Buffers_Agroinsumos[[#This Row],[BUFFER MATERIA PRIMA]],"")</f>
        <v>18</v>
      </c>
      <c r="S28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18</v>
      </c>
      <c r="T284" s="19"/>
      <c r="U284" s="19"/>
      <c r="V284" s="19"/>
      <c r="W284" s="19"/>
      <c r="X284" s="19"/>
      <c r="Y284" s="19"/>
      <c r="Z284" s="19"/>
      <c r="AA284" s="19"/>
      <c r="AB284" s="19"/>
      <c r="AC284" s="152" t="str">
        <f t="array" ref="AC284">IFERROR(INDEX(TABLACONSOLIDADA[Buff Act],MATCH("AGROINSUMOSCENTRAL"&amp;Tabla_Buffers_Agroinsumos[[#This Row],[CODIGO ]],TABLACONSOLIDADA[Bodega]&amp;TABLACONSOLIDADA[Codigo],0)),"")</f>
        <v/>
      </c>
      <c r="AD284" s="157" t="str">
        <f t="array" ref="AD284">IFERROR(INDEX(TABLACONSOLIDADA[Inv Fís Act],MATCH("AGROINSUMOSCENTRAL"&amp;Tabla_Buffers_Agroinsumos[[#This Row],[CODIGO ]],TABLACONSOLIDADA[Bodega]&amp;TABLACONSOLIDADA[Codigo],0)),"")</f>
        <v/>
      </c>
      <c r="AE284" s="157" t="str">
        <f t="array" ref="AE28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8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84" s="91">
        <f>IFERROR(SUM(Tabla_Buffers_Agroinsumos[[#This Row],[C-MP]:[C-VL]]),"")</f>
        <v>0</v>
      </c>
      <c r="AH284" s="92" t="str">
        <f>IFERROR(Tabla_Buffers_Agroinsumos[[#This Row],[INV FIS CENTRAL]]-Tabla_Buffers_Agroinsumos[[#This Row],[BUFFER CENTRAL]],"")</f>
        <v/>
      </c>
      <c r="AI28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84" s="134"/>
      <c r="AK284" s="134"/>
      <c r="AL284" s="134"/>
      <c r="AM284" s="134"/>
      <c r="AN284" s="134"/>
      <c r="AO284" s="134"/>
      <c r="AP284" s="134"/>
      <c r="AQ284" s="134"/>
      <c r="AR284" s="134"/>
      <c r="AS284" s="134" t="str">
        <f t="array" ref="AS284">IFERROR(INDEX(TABLACONSOLIDADA[Buff Act],MATCH("AGROINSUMOScentralPROPIA"&amp;Tabla_Buffers_Agroinsumos[[#This Row],[CODIGO ]],TABLACONSOLIDADA[Bodega]&amp;TABLACONSOLIDADA[Codigo],0)),"")</f>
        <v/>
      </c>
      <c r="AT284" s="157" t="str">
        <f t="array" ref="AT284">IFERROR(INDEX(TABLACONSOLIDADA[Inv Fís Act],MATCH("AGROINSUMOScentralPROPIA"&amp;Tabla_Buffers_Agroinsumos[[#This Row],[CODIGO ]],TABLACONSOLIDADA[Bodega]&amp;TABLACONSOLIDADA[Codigo],0)),"")</f>
        <v/>
      </c>
      <c r="AU284" s="157" t="str">
        <f t="array" ref="AU28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8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84" s="134">
        <f>IFERROR(SUM(Tabla_Buffers_Agroinsumos[[#This Row],[P-MP]:[P-VL]]),"")</f>
        <v>0</v>
      </c>
      <c r="AX284" s="92" t="str">
        <f>IFERROR(Tabla_Buffers_Agroinsumos[[#This Row],[INV FIS PROPIA]]-Tabla_Buffers_Agroinsumos[[#This Row],[BUFFER PROPIA]],"")</f>
        <v/>
      </c>
      <c r="AY28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84" s="134"/>
      <c r="BA284" s="134"/>
      <c r="BB284" s="134"/>
      <c r="BC284" s="134"/>
      <c r="BD284" s="134"/>
      <c r="BE284" s="134"/>
      <c r="BF284" s="134"/>
      <c r="BG284" s="134"/>
      <c r="BH284" s="134"/>
      <c r="BI284" s="91" t="str">
        <f t="array" ref="BI284">IFERROR(INDEX(TABLACONSOLIDADA[Buff Act],MATCH("AGROINSUMOSSTODOMINGO"&amp;Tabla_Buffers_Agroinsumos[[#This Row],[CODIGO ]],TABLACONSOLIDADA[Bodega]&amp;TABLACONSOLIDADA[Codigo],0)),"")</f>
        <v/>
      </c>
      <c r="BJ284" s="157" t="str">
        <f t="array" ref="BJ284">IFERROR(INDEX(TABLACONSOLIDADA[Inv Fís Act],MATCH("AGROINSUMOSSTODOMINGO"&amp;Tabla_Buffers_Agroinsumos[[#This Row],[CODIGO ]],TABLACONSOLIDADA[Bodega]&amp;TABLACONSOLIDADA[Codigo],0)),"")</f>
        <v/>
      </c>
      <c r="BK284" s="157" t="str">
        <f t="array" ref="BK28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8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84" s="91">
        <f>IFERROR(SUM(Tabla_Buffers_Agroinsumos[[#This Row],[SD-MP]:[SD-VL]]),"")</f>
        <v>0</v>
      </c>
      <c r="BN284" s="92"/>
      <c r="BO284" s="92"/>
      <c r="BP284" s="134"/>
      <c r="BQ284" s="134"/>
      <c r="BR284" s="134"/>
      <c r="BS284" s="134"/>
      <c r="BT284" s="134"/>
      <c r="BU284" s="134"/>
      <c r="BV284" s="134"/>
      <c r="BW284" s="134"/>
      <c r="BX284" s="134"/>
      <c r="BY284" s="134" t="str">
        <f t="array" ref="BY284">IFERROR(INDEX(TABLACONSOLIDADA[Buff Act],MATCH("AGROINSUMOSMONCAYOLOPEZ"&amp;Tabla_Buffers_Agroinsumos[[#This Row],[CODIGO ]],TABLACONSOLIDADA[Bodega]&amp;TABLACONSOLIDADA[Codigo],0)),"")</f>
        <v/>
      </c>
      <c r="BZ284" s="157" t="str">
        <f t="array" ref="BZ284">IFERROR(INDEX(TABLACONSOLIDADA[Inv Fís Act],MATCH("AGROINSUMOSMONCAYOLOPEZ"&amp;Tabla_Buffers_Agroinsumos[[#This Row],[CODIGO ]],TABLACONSOLIDADA[Bodega]&amp;TABLACONSOLIDADA[Codigo],0)),"")</f>
        <v/>
      </c>
      <c r="CA284" s="157" t="str">
        <f t="array" ref="CA28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8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84" s="134">
        <f>IFERROR(SUM(Tabla_Buffers_Agroinsumos[[#This Row],[ML-MP]:[ML-VL]]),"")</f>
        <v>0</v>
      </c>
      <c r="CD284" s="92" t="str">
        <f>IFERROR(Tabla_Buffers_Agroinsumos[[#This Row],[INV FIS ML]]-Tabla_Buffers_Agroinsumos[[#This Row],[BUFFER ML]],"")</f>
        <v/>
      </c>
      <c r="CE28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84" s="134"/>
      <c r="CG284" s="134"/>
      <c r="CH284" s="134"/>
      <c r="CI284" s="134"/>
      <c r="CJ284" s="134"/>
      <c r="CK284" s="134"/>
      <c r="CL284" s="134"/>
      <c r="CM284" s="134"/>
      <c r="CN284" s="134"/>
      <c r="CO284" s="134" t="str">
        <f t="array" ref="CO284">IFERROR(INDEX(TABLACONSOLIDADA[Buff Act],MATCH("AGROINSUMOSAGROHERMANOSLEON"&amp;Tabla_Buffers_Agroinsumos[[#This Row],[CODIGO ]],TABLACONSOLIDADA[Bodega]&amp;TABLACONSOLIDADA[Codigo],0)),"")</f>
        <v/>
      </c>
      <c r="CP284" s="157" t="str">
        <f t="array" ref="CP284">IFERROR(INDEX(TABLACONSOLIDADA[Inv Fís Act],MATCH("AGROINSUMOSAGROHERMANOSLEON"&amp;Tabla_Buffers_Agroinsumos[[#This Row],[CODIGO ]],TABLACONSOLIDADA[Bodega]&amp;TABLACONSOLIDADA[Codigo],0)),"")</f>
        <v/>
      </c>
      <c r="CQ284" s="157" t="str">
        <f t="array" ref="CQ28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8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84" s="134">
        <f>IFERROR(SUM(Tabla_Buffers_Agroinsumos[[#This Row],[AL-MP]:[AL-VL]]),"")</f>
        <v>0</v>
      </c>
      <c r="CT284" s="92" t="str">
        <f>IFERROR(Tabla_Buffers_Agroinsumos[[#This Row],[INV FIS AL]]-Tabla_Buffers_Agroinsumos[[#This Row],[BUFFER AL]],"")</f>
        <v/>
      </c>
      <c r="CU28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84" s="134"/>
      <c r="CW284" s="134"/>
      <c r="CX284" s="134"/>
      <c r="CY284" s="134"/>
      <c r="CZ284" s="134"/>
      <c r="DA284" s="134"/>
      <c r="DB284" s="134"/>
      <c r="DC284" s="134"/>
      <c r="DD284" s="134"/>
      <c r="DE284" s="134" t="str">
        <f t="array" ref="DE284">IFERROR(INDEX(TABLACONSOLIDADA[Buff Act],MATCH("AGROINSUMOSAGRONUEVO"&amp;Tabla_Buffers_Agroinsumos[[#This Row],[CODIGO ]],TABLACONSOLIDADA[Bodega]&amp;TABLACONSOLIDADA[Codigo],0)),"")</f>
        <v/>
      </c>
      <c r="DF284" s="157" t="str">
        <f t="array" ref="DF284">IFERROR(INDEX(TABLACONSOLIDADA[Inv Fís Act],MATCH("AGROINSUMOSAGRONUEVO"&amp;Tabla_Buffers_Agroinsumos[[#This Row],[CODIGO ]],TABLACONSOLIDADA[Bodega]&amp;TABLACONSOLIDADA[Codigo],0)),"")</f>
        <v/>
      </c>
      <c r="DG284" s="157" t="str">
        <f t="array" ref="DG28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8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84" s="134">
        <f>IFERROR(SUM(Tabla_Buffers_Agroinsumos[[#This Row],[AN-MP]:[AN-VL]]),"")</f>
        <v>0</v>
      </c>
      <c r="DJ284" s="92" t="str">
        <f>IFERROR(Tabla_Buffers_Agroinsumos[[#This Row],[INV FIS AN]]-Tabla_Buffers_Agroinsumos[[#This Row],[BUFFER AN]],"")</f>
        <v/>
      </c>
      <c r="DK28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84" s="134"/>
      <c r="DM284" s="134"/>
      <c r="DN284" s="134"/>
      <c r="DO284" s="134"/>
      <c r="DP284" s="134"/>
      <c r="DQ284" s="134"/>
      <c r="DR284" s="134"/>
      <c r="DS284" s="134"/>
      <c r="DT284" s="134"/>
      <c r="DU284" s="134" t="str">
        <f t="array" ref="DU284">IFERROR(INDEX(TABLACONSOLIDADA[Buff Act],MATCH("AGROINSUMOSAGROQUIMICOSSUR"&amp;Tabla_Buffers_Agroinsumos[[#This Row],[CODIGO ]],TABLACONSOLIDADA[Bodega]&amp;TABLACONSOLIDADA[Codigo],0)),"")</f>
        <v/>
      </c>
      <c r="DV284" s="157" t="str">
        <f t="array" ref="DV284">IFERROR(INDEX(TABLACONSOLIDADA[Inv Fís Act],MATCH("AGROINSUMOSAGROQUIMICOSSUR"&amp;Tabla_Buffers_Agroinsumos[[#This Row],[CODIGO ]],TABLACONSOLIDADA[Bodega]&amp;TABLACONSOLIDADA[Codigo],0)),"")</f>
        <v/>
      </c>
      <c r="DW284" s="157" t="str">
        <f t="array" ref="DW28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8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84" s="134">
        <f>IFERROR(SUM(Tabla_Buffers_Agroinsumos[[#This Row],[AS-MP]:[AS-VL]]),"")</f>
        <v>0</v>
      </c>
      <c r="DZ284" s="92" t="str">
        <f>IFERROR(Tabla_Buffers_Agroinsumos[[#This Row],[INV FIS AS]]-Tabla_Buffers_Agroinsumos[[#This Row],[BUFFER AS]],"")</f>
        <v/>
      </c>
      <c r="EA28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84" s="134"/>
      <c r="EC284" s="134"/>
      <c r="ED284" s="134"/>
      <c r="EE284" s="134"/>
      <c r="EF284" s="134"/>
      <c r="EG284" s="134"/>
      <c r="EH284" s="134"/>
      <c r="EI284" s="134"/>
      <c r="EJ284" s="134"/>
      <c r="EK284" s="134" t="str">
        <f t="array" ref="EK284">IFERROR(INDEX(TABLACONSOLIDADA[Buff Act],MATCH("AGROINSUMOSLAFINCA"&amp;Tabla_Buffers_Agroinsumos[[#This Row],[CODIGO ]],TABLACONSOLIDADA[Bodega]&amp;TABLACONSOLIDADA[Codigo],0)),"")</f>
        <v/>
      </c>
      <c r="EL284" s="157" t="str">
        <f t="array" ref="EL284">IFERROR(INDEX(TABLACONSOLIDADA[Inv Fís Act],MATCH("AGROINSUMOSLAFINCA"&amp;Tabla_Buffers_Agroinsumos[[#This Row],[CODIGO ]],TABLACONSOLIDADA[Bodega]&amp;TABLACONSOLIDADA[Codigo],0)),"")</f>
        <v/>
      </c>
      <c r="EM284" s="157" t="str">
        <f t="array" ref="EM28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8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84" s="134">
        <f>IFERROR(SUM(Tabla_Buffers_Agroinsumos[[#This Row],[LF-MP]:[LF-VL]]),"")</f>
        <v>0</v>
      </c>
      <c r="EP284" s="92" t="str">
        <f>IFERROR(Tabla_Buffers_Agroinsumos[[#This Row],[INV FIS LF]]-Tabla_Buffers_Agroinsumos[[#This Row],[BUFFER LF]],"")</f>
        <v/>
      </c>
      <c r="EQ28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84" s="134"/>
      <c r="ES284" s="134"/>
      <c r="ET284" s="134"/>
      <c r="EU284" s="134"/>
      <c r="EV284" s="134"/>
      <c r="EW284" s="134"/>
      <c r="EX284" s="134"/>
      <c r="EY284" s="134"/>
      <c r="EZ284" s="134"/>
      <c r="FA284" s="134" t="str">
        <f t="array" ref="FA284">IFERROR(INDEX(TABLACONSOLIDADA[Buff Act],MATCH("AGROINSUMOSVERONICALEDESMA"&amp;Tabla_Buffers_Agroinsumos[[#This Row],[CODIGO ]],TABLACONSOLIDADA[Bodega]&amp;TABLACONSOLIDADA[Codigo],0)),"")</f>
        <v/>
      </c>
      <c r="FB284" s="157" t="str">
        <f t="array" ref="FB284">IFERROR(INDEX(TABLACONSOLIDADA[Inv Fís Act],MATCH("AGROINSUMOSVERONICALEDESMA"&amp;Tabla_Buffers_Agroinsumos[[#This Row],[CODIGO ]],TABLACONSOLIDADA[Bodega]&amp;TABLACONSOLIDADA[Codigo],0)),"")</f>
        <v/>
      </c>
      <c r="FC284" s="157" t="str">
        <f t="array" ref="FC28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8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84" s="134">
        <f>IFERROR(SUM(Tabla_Buffers_Agroinsumos[[#This Row],[VL-MP]:[VL-LF]]),"")</f>
        <v>0</v>
      </c>
      <c r="FF284" s="92" t="str">
        <f>IFERROR(Tabla_Buffers_Agroinsumos[[#This Row],[INV FIS VL]]-Tabla_Buffers_Agroinsumos[[#This Row],[BUFFER VL]],"")</f>
        <v/>
      </c>
      <c r="FG28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84" s="134"/>
      <c r="FI284" s="134"/>
      <c r="FJ284" s="134"/>
      <c r="FK284" s="134"/>
      <c r="FL284" s="134"/>
      <c r="FM284" s="134"/>
      <c r="FN284" s="134"/>
      <c r="FO284" s="134"/>
      <c r="FP284" s="134"/>
    </row>
    <row r="285" spans="1:172">
      <c r="A285" s="7" t="s">
        <v>493</v>
      </c>
      <c r="B285" s="7" t="s">
        <v>494</v>
      </c>
      <c r="C285" s="7" t="s">
        <v>709</v>
      </c>
      <c r="D285" s="7" t="s">
        <v>720</v>
      </c>
      <c r="E285" s="7" t="s">
        <v>863</v>
      </c>
      <c r="F285" s="19" t="s">
        <v>814</v>
      </c>
      <c r="G285" s="19" t="s">
        <v>873</v>
      </c>
      <c r="H285" s="19">
        <f>VLOOKUP(Tabla_Buffers_Agroinsumos[[#This Row],[CODIGO ]],TABLACONSOLIDADA[[Codigo]:[PV]],6,0)</f>
        <v>0</v>
      </c>
      <c r="I285" s="19">
        <f>VLOOKUP(Tabla_Buffers_Agroinsumos[[#This Row],[CODIGO ]],TABLACONSOLIDADA[[Codigo]:[PV]],5,0)</f>
        <v>6.26</v>
      </c>
      <c r="J285" s="19">
        <v>12</v>
      </c>
      <c r="K285" s="19">
        <v>14</v>
      </c>
      <c r="L285" s="19">
        <f>IFERROR(Tabla_Buffers_Agroinsumos[[#This Row],[BUFFER CENTRAL]]/((Tabla_Buffers_Agroinsumos[[#This Row],[TIEMPO REPOSICION ]]/Tabla_Buffers_Agroinsumos[[#This Row],[FRECUENCIA]])+1),0)</f>
        <v>0</v>
      </c>
      <c r="M285" s="19">
        <f t="array" ref="M285">IFERROR(INDEX(TABLACONSOLIDADA[Buff Act],MATCH("AGROINSUMOSMATERIAPRIMA"&amp;Tabla_Buffers_Agroinsumos[[#This Row],[CODIGO ]],TABLACONSOLIDADA[Bodega]&amp;TABLACONSOLIDADA[Codigo],0)),"")</f>
        <v>0</v>
      </c>
      <c r="N285" s="157">
        <f t="array" ref="N285">IFERROR(INDEX(TABLACONSOLIDADA[Inv Fís Act],MATCH("AGROINSUMOSMATERIAPRIMA"&amp;Tabla_Buffers_Agroinsumos[[#This Row],[CODIGO ]],TABLACONSOLIDADA[Bodega]&amp;TABLACONSOLIDADA[Codigo],0)),"")</f>
        <v>64</v>
      </c>
      <c r="O285" s="157">
        <f t="array" ref="O28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64</v>
      </c>
      <c r="P28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85" s="19">
        <f>IFERROR(SUM(Tabla_Buffers_Agroinsumos[[#This Row],[MP-C]:[MP-VL]]),"")</f>
        <v>0</v>
      </c>
      <c r="R285" s="92">
        <f>IFERROR(Tabla_Buffers_Agroinsumos[[#This Row],[INV FIS MATERIA PRIMA]]-Tabla_Buffers_Agroinsumos[[#This Row],[BUFFER MATERIA PRIMA]],"")</f>
        <v>64</v>
      </c>
      <c r="S28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64</v>
      </c>
      <c r="T285" s="19"/>
      <c r="U285" s="19"/>
      <c r="V285" s="19"/>
      <c r="W285" s="19"/>
      <c r="X285" s="19"/>
      <c r="Y285" s="19"/>
      <c r="Z285" s="19"/>
      <c r="AA285" s="19"/>
      <c r="AB285" s="19"/>
      <c r="AC285" s="152" t="str">
        <f t="array" ref="AC285">IFERROR(INDEX(TABLACONSOLIDADA[Buff Act],MATCH("AGROINSUMOSCENTRAL"&amp;Tabla_Buffers_Agroinsumos[[#This Row],[CODIGO ]],TABLACONSOLIDADA[Bodega]&amp;TABLACONSOLIDADA[Codigo],0)),"")</f>
        <v/>
      </c>
      <c r="AD285" s="157" t="str">
        <f t="array" ref="AD285">IFERROR(INDEX(TABLACONSOLIDADA[Inv Fís Act],MATCH("AGROINSUMOSCENTRAL"&amp;Tabla_Buffers_Agroinsumos[[#This Row],[CODIGO ]],TABLACONSOLIDADA[Bodega]&amp;TABLACONSOLIDADA[Codigo],0)),"")</f>
        <v/>
      </c>
      <c r="AE285" s="157" t="str">
        <f t="array" ref="AE28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8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85" s="91">
        <f>IFERROR(SUM(Tabla_Buffers_Agroinsumos[[#This Row],[C-MP]:[C-VL]]),"")</f>
        <v>0</v>
      </c>
      <c r="AH285" s="92" t="str">
        <f>IFERROR(Tabla_Buffers_Agroinsumos[[#This Row],[INV FIS CENTRAL]]-Tabla_Buffers_Agroinsumos[[#This Row],[BUFFER CENTRAL]],"")</f>
        <v/>
      </c>
      <c r="AI28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85" s="134"/>
      <c r="AK285" s="134"/>
      <c r="AL285" s="134"/>
      <c r="AM285" s="134"/>
      <c r="AN285" s="134"/>
      <c r="AO285" s="134"/>
      <c r="AP285" s="134"/>
      <c r="AQ285" s="134"/>
      <c r="AR285" s="134"/>
      <c r="AS285" s="134" t="str">
        <f t="array" ref="AS285">IFERROR(INDEX(TABLACONSOLIDADA[Buff Act],MATCH("AGROINSUMOScentralPROPIA"&amp;Tabla_Buffers_Agroinsumos[[#This Row],[CODIGO ]],TABLACONSOLIDADA[Bodega]&amp;TABLACONSOLIDADA[Codigo],0)),"")</f>
        <v/>
      </c>
      <c r="AT285" s="157" t="str">
        <f t="array" ref="AT285">IFERROR(INDEX(TABLACONSOLIDADA[Inv Fís Act],MATCH("AGROINSUMOScentralPROPIA"&amp;Tabla_Buffers_Agroinsumos[[#This Row],[CODIGO ]],TABLACONSOLIDADA[Bodega]&amp;TABLACONSOLIDADA[Codigo],0)),"")</f>
        <v/>
      </c>
      <c r="AU285" s="157" t="str">
        <f t="array" ref="AU28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8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85" s="134">
        <f>IFERROR(SUM(Tabla_Buffers_Agroinsumos[[#This Row],[P-MP]:[P-VL]]),"")</f>
        <v>0</v>
      </c>
      <c r="AX285" s="92" t="str">
        <f>IFERROR(Tabla_Buffers_Agroinsumos[[#This Row],[INV FIS PROPIA]]-Tabla_Buffers_Agroinsumos[[#This Row],[BUFFER PROPIA]],"")</f>
        <v/>
      </c>
      <c r="AY28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85" s="134"/>
      <c r="BA285" s="134"/>
      <c r="BB285" s="134"/>
      <c r="BC285" s="134"/>
      <c r="BD285" s="134"/>
      <c r="BE285" s="134"/>
      <c r="BF285" s="134"/>
      <c r="BG285" s="134"/>
      <c r="BH285" s="134"/>
      <c r="BI285" s="91" t="str">
        <f t="array" ref="BI285">IFERROR(INDEX(TABLACONSOLIDADA[Buff Act],MATCH("AGROINSUMOSSTODOMINGO"&amp;Tabla_Buffers_Agroinsumos[[#This Row],[CODIGO ]],TABLACONSOLIDADA[Bodega]&amp;TABLACONSOLIDADA[Codigo],0)),"")</f>
        <v/>
      </c>
      <c r="BJ285" s="157" t="str">
        <f t="array" ref="BJ285">IFERROR(INDEX(TABLACONSOLIDADA[Inv Fís Act],MATCH("AGROINSUMOSSTODOMINGO"&amp;Tabla_Buffers_Agroinsumos[[#This Row],[CODIGO ]],TABLACONSOLIDADA[Bodega]&amp;TABLACONSOLIDADA[Codigo],0)),"")</f>
        <v/>
      </c>
      <c r="BK285" s="157" t="str">
        <f t="array" ref="BK28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8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85" s="91">
        <f>IFERROR(SUM(Tabla_Buffers_Agroinsumos[[#This Row],[SD-MP]:[SD-VL]]),"")</f>
        <v>0</v>
      </c>
      <c r="BN285" s="92"/>
      <c r="BO285" s="92"/>
      <c r="BP285" s="134"/>
      <c r="BQ285" s="134"/>
      <c r="BR285" s="134"/>
      <c r="BS285" s="134"/>
      <c r="BT285" s="134"/>
      <c r="BU285" s="134"/>
      <c r="BV285" s="134"/>
      <c r="BW285" s="134"/>
      <c r="BX285" s="134"/>
      <c r="BY285" s="134" t="str">
        <f t="array" ref="BY285">IFERROR(INDEX(TABLACONSOLIDADA[Buff Act],MATCH("AGROINSUMOSMONCAYOLOPEZ"&amp;Tabla_Buffers_Agroinsumos[[#This Row],[CODIGO ]],TABLACONSOLIDADA[Bodega]&amp;TABLACONSOLIDADA[Codigo],0)),"")</f>
        <v/>
      </c>
      <c r="BZ285" s="157" t="str">
        <f t="array" ref="BZ285">IFERROR(INDEX(TABLACONSOLIDADA[Inv Fís Act],MATCH("AGROINSUMOSMONCAYOLOPEZ"&amp;Tabla_Buffers_Agroinsumos[[#This Row],[CODIGO ]],TABLACONSOLIDADA[Bodega]&amp;TABLACONSOLIDADA[Codigo],0)),"")</f>
        <v/>
      </c>
      <c r="CA285" s="157" t="str">
        <f t="array" ref="CA28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8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85" s="134">
        <f>IFERROR(SUM(Tabla_Buffers_Agroinsumos[[#This Row],[ML-MP]:[ML-VL]]),"")</f>
        <v>0</v>
      </c>
      <c r="CD285" s="92" t="str">
        <f>IFERROR(Tabla_Buffers_Agroinsumos[[#This Row],[INV FIS ML]]-Tabla_Buffers_Agroinsumos[[#This Row],[BUFFER ML]],"")</f>
        <v/>
      </c>
      <c r="CE28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85" s="134"/>
      <c r="CG285" s="134"/>
      <c r="CH285" s="134"/>
      <c r="CI285" s="134"/>
      <c r="CJ285" s="134"/>
      <c r="CK285" s="134"/>
      <c r="CL285" s="134"/>
      <c r="CM285" s="134"/>
      <c r="CN285" s="134"/>
      <c r="CO285" s="134" t="str">
        <f t="array" ref="CO285">IFERROR(INDEX(TABLACONSOLIDADA[Buff Act],MATCH("AGROINSUMOSAGROHERMANOSLEON"&amp;Tabla_Buffers_Agroinsumos[[#This Row],[CODIGO ]],TABLACONSOLIDADA[Bodega]&amp;TABLACONSOLIDADA[Codigo],0)),"")</f>
        <v/>
      </c>
      <c r="CP285" s="157" t="str">
        <f t="array" ref="CP285">IFERROR(INDEX(TABLACONSOLIDADA[Inv Fís Act],MATCH("AGROINSUMOSAGROHERMANOSLEON"&amp;Tabla_Buffers_Agroinsumos[[#This Row],[CODIGO ]],TABLACONSOLIDADA[Bodega]&amp;TABLACONSOLIDADA[Codigo],0)),"")</f>
        <v/>
      </c>
      <c r="CQ285" s="157" t="str">
        <f t="array" ref="CQ28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8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85" s="134">
        <f>IFERROR(SUM(Tabla_Buffers_Agroinsumos[[#This Row],[AL-MP]:[AL-VL]]),"")</f>
        <v>0</v>
      </c>
      <c r="CT285" s="92" t="str">
        <f>IFERROR(Tabla_Buffers_Agroinsumos[[#This Row],[INV FIS AL]]-Tabla_Buffers_Agroinsumos[[#This Row],[BUFFER AL]],"")</f>
        <v/>
      </c>
      <c r="CU28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85" s="134"/>
      <c r="CW285" s="134"/>
      <c r="CX285" s="134"/>
      <c r="CY285" s="134"/>
      <c r="CZ285" s="134"/>
      <c r="DA285" s="134"/>
      <c r="DB285" s="134"/>
      <c r="DC285" s="134"/>
      <c r="DD285" s="134"/>
      <c r="DE285" s="134" t="str">
        <f t="array" ref="DE285">IFERROR(INDEX(TABLACONSOLIDADA[Buff Act],MATCH("AGROINSUMOSAGRONUEVO"&amp;Tabla_Buffers_Agroinsumos[[#This Row],[CODIGO ]],TABLACONSOLIDADA[Bodega]&amp;TABLACONSOLIDADA[Codigo],0)),"")</f>
        <v/>
      </c>
      <c r="DF285" s="157" t="str">
        <f t="array" ref="DF285">IFERROR(INDEX(TABLACONSOLIDADA[Inv Fís Act],MATCH("AGROINSUMOSAGRONUEVO"&amp;Tabla_Buffers_Agroinsumos[[#This Row],[CODIGO ]],TABLACONSOLIDADA[Bodega]&amp;TABLACONSOLIDADA[Codigo],0)),"")</f>
        <v/>
      </c>
      <c r="DG285" s="157" t="str">
        <f t="array" ref="DG28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8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85" s="134">
        <f>IFERROR(SUM(Tabla_Buffers_Agroinsumos[[#This Row],[AN-MP]:[AN-VL]]),"")</f>
        <v>0</v>
      </c>
      <c r="DJ285" s="92" t="str">
        <f>IFERROR(Tabla_Buffers_Agroinsumos[[#This Row],[INV FIS AN]]-Tabla_Buffers_Agroinsumos[[#This Row],[BUFFER AN]],"")</f>
        <v/>
      </c>
      <c r="DK28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85" s="134"/>
      <c r="DM285" s="134"/>
      <c r="DN285" s="134"/>
      <c r="DO285" s="134"/>
      <c r="DP285" s="134"/>
      <c r="DQ285" s="134"/>
      <c r="DR285" s="134"/>
      <c r="DS285" s="134"/>
      <c r="DT285" s="134"/>
      <c r="DU285" s="134" t="str">
        <f t="array" ref="DU285">IFERROR(INDEX(TABLACONSOLIDADA[Buff Act],MATCH("AGROINSUMOSAGROQUIMICOSSUR"&amp;Tabla_Buffers_Agroinsumos[[#This Row],[CODIGO ]],TABLACONSOLIDADA[Bodega]&amp;TABLACONSOLIDADA[Codigo],0)),"")</f>
        <v/>
      </c>
      <c r="DV285" s="157" t="str">
        <f t="array" ref="DV285">IFERROR(INDEX(TABLACONSOLIDADA[Inv Fís Act],MATCH("AGROINSUMOSAGROQUIMICOSSUR"&amp;Tabla_Buffers_Agroinsumos[[#This Row],[CODIGO ]],TABLACONSOLIDADA[Bodega]&amp;TABLACONSOLIDADA[Codigo],0)),"")</f>
        <v/>
      </c>
      <c r="DW285" s="157" t="str">
        <f t="array" ref="DW28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8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85" s="134">
        <f>IFERROR(SUM(Tabla_Buffers_Agroinsumos[[#This Row],[AS-MP]:[AS-VL]]),"")</f>
        <v>0</v>
      </c>
      <c r="DZ285" s="92" t="str">
        <f>IFERROR(Tabla_Buffers_Agroinsumos[[#This Row],[INV FIS AS]]-Tabla_Buffers_Agroinsumos[[#This Row],[BUFFER AS]],"")</f>
        <v/>
      </c>
      <c r="EA28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85" s="134"/>
      <c r="EC285" s="134"/>
      <c r="ED285" s="134"/>
      <c r="EE285" s="134"/>
      <c r="EF285" s="134"/>
      <c r="EG285" s="134"/>
      <c r="EH285" s="134"/>
      <c r="EI285" s="134"/>
      <c r="EJ285" s="134"/>
      <c r="EK285" s="134" t="str">
        <f t="array" ref="EK285">IFERROR(INDEX(TABLACONSOLIDADA[Buff Act],MATCH("AGROINSUMOSLAFINCA"&amp;Tabla_Buffers_Agroinsumos[[#This Row],[CODIGO ]],TABLACONSOLIDADA[Bodega]&amp;TABLACONSOLIDADA[Codigo],0)),"")</f>
        <v/>
      </c>
      <c r="EL285" s="157" t="str">
        <f t="array" ref="EL285">IFERROR(INDEX(TABLACONSOLIDADA[Inv Fís Act],MATCH("AGROINSUMOSLAFINCA"&amp;Tabla_Buffers_Agroinsumos[[#This Row],[CODIGO ]],TABLACONSOLIDADA[Bodega]&amp;TABLACONSOLIDADA[Codigo],0)),"")</f>
        <v/>
      </c>
      <c r="EM285" s="157" t="str">
        <f t="array" ref="EM28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8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85" s="134">
        <f>IFERROR(SUM(Tabla_Buffers_Agroinsumos[[#This Row],[LF-MP]:[LF-VL]]),"")</f>
        <v>0</v>
      </c>
      <c r="EP285" s="92" t="str">
        <f>IFERROR(Tabla_Buffers_Agroinsumos[[#This Row],[INV FIS LF]]-Tabla_Buffers_Agroinsumos[[#This Row],[BUFFER LF]],"")</f>
        <v/>
      </c>
      <c r="EQ28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85" s="134"/>
      <c r="ES285" s="134"/>
      <c r="ET285" s="134"/>
      <c r="EU285" s="134"/>
      <c r="EV285" s="134"/>
      <c r="EW285" s="134"/>
      <c r="EX285" s="134"/>
      <c r="EY285" s="134"/>
      <c r="EZ285" s="134"/>
      <c r="FA285" s="134" t="str">
        <f t="array" ref="FA285">IFERROR(INDEX(TABLACONSOLIDADA[Buff Act],MATCH("AGROINSUMOSVERONICALEDESMA"&amp;Tabla_Buffers_Agroinsumos[[#This Row],[CODIGO ]],TABLACONSOLIDADA[Bodega]&amp;TABLACONSOLIDADA[Codigo],0)),"")</f>
        <v/>
      </c>
      <c r="FB285" s="157" t="str">
        <f t="array" ref="FB285">IFERROR(INDEX(TABLACONSOLIDADA[Inv Fís Act],MATCH("AGROINSUMOSVERONICALEDESMA"&amp;Tabla_Buffers_Agroinsumos[[#This Row],[CODIGO ]],TABLACONSOLIDADA[Bodega]&amp;TABLACONSOLIDADA[Codigo],0)),"")</f>
        <v/>
      </c>
      <c r="FC285" s="157" t="str">
        <f t="array" ref="FC28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8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85" s="134">
        <f>IFERROR(SUM(Tabla_Buffers_Agroinsumos[[#This Row],[VL-MP]:[VL-LF]]),"")</f>
        <v>0</v>
      </c>
      <c r="FF285" s="92" t="str">
        <f>IFERROR(Tabla_Buffers_Agroinsumos[[#This Row],[INV FIS VL]]-Tabla_Buffers_Agroinsumos[[#This Row],[BUFFER VL]],"")</f>
        <v/>
      </c>
      <c r="FG28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85" s="134"/>
      <c r="FI285" s="134"/>
      <c r="FJ285" s="134"/>
      <c r="FK285" s="134"/>
      <c r="FL285" s="134"/>
      <c r="FM285" s="134"/>
      <c r="FN285" s="134"/>
      <c r="FO285" s="134"/>
      <c r="FP285" s="134"/>
    </row>
    <row r="286" spans="1:172">
      <c r="A286" s="7" t="s">
        <v>844</v>
      </c>
      <c r="B286" s="7" t="s">
        <v>845</v>
      </c>
      <c r="C286" s="7" t="s">
        <v>709</v>
      </c>
      <c r="D286" s="7" t="s">
        <v>720</v>
      </c>
      <c r="E286" s="7" t="s">
        <v>863</v>
      </c>
      <c r="F286" s="19" t="s">
        <v>814</v>
      </c>
      <c r="G286" s="19" t="s">
        <v>873</v>
      </c>
      <c r="H286" s="19">
        <f>VLOOKUP(Tabla_Buffers_Agroinsumos[[#This Row],[CODIGO ]],TABLACONSOLIDADA[[Codigo]:[PV]],6,0)</f>
        <v>0</v>
      </c>
      <c r="I286" s="19">
        <f>VLOOKUP(Tabla_Buffers_Agroinsumos[[#This Row],[CODIGO ]],TABLACONSOLIDADA[[Codigo]:[PV]],5,0)</f>
        <v>279.39999999999998</v>
      </c>
      <c r="J286" s="19">
        <v>12</v>
      </c>
      <c r="K286" s="19">
        <v>14</v>
      </c>
      <c r="L286" s="19">
        <f>IFERROR(Tabla_Buffers_Agroinsumos[[#This Row],[BUFFER CENTRAL]]/((Tabla_Buffers_Agroinsumos[[#This Row],[TIEMPO REPOSICION ]]/Tabla_Buffers_Agroinsumos[[#This Row],[FRECUENCIA]])+1),0)</f>
        <v>0</v>
      </c>
      <c r="M286" s="19">
        <f t="array" ref="M286">IFERROR(INDEX(TABLACONSOLIDADA[Buff Act],MATCH("AGROINSUMOSMATERIAPRIMA"&amp;Tabla_Buffers_Agroinsumos[[#This Row],[CODIGO ]],TABLACONSOLIDADA[Bodega]&amp;TABLACONSOLIDADA[Codigo],0)),"")</f>
        <v>13</v>
      </c>
      <c r="N286" s="157">
        <f t="array" ref="N286">IFERROR(INDEX(TABLACONSOLIDADA[Inv Fís Act],MATCH("AGROINSUMOSMATERIAPRIMA"&amp;Tabla_Buffers_Agroinsumos[[#This Row],[CODIGO ]],TABLACONSOLIDADA[Bodega]&amp;TABLACONSOLIDADA[Codigo],0)),"")</f>
        <v>2.016</v>
      </c>
      <c r="O286" s="157">
        <f t="array" ref="O28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10.016</v>
      </c>
      <c r="P28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86" s="19">
        <f>IFERROR(SUM(Tabla_Buffers_Agroinsumos[[#This Row],[MP-C]:[MP-VL]]),"")</f>
        <v>0</v>
      </c>
      <c r="R286" s="92">
        <f>IFERROR(Tabla_Buffers_Agroinsumos[[#This Row],[INV FIS MATERIA PRIMA]]-Tabla_Buffers_Agroinsumos[[#This Row],[BUFFER MATERIA PRIMA]],"")</f>
        <v>-10.984</v>
      </c>
      <c r="S28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-10.984</v>
      </c>
      <c r="T286" s="19"/>
      <c r="U286" s="19"/>
      <c r="V286" s="19"/>
      <c r="W286" s="19"/>
      <c r="X286" s="19"/>
      <c r="Y286" s="19"/>
      <c r="Z286" s="19"/>
      <c r="AA286" s="19"/>
      <c r="AB286" s="19"/>
      <c r="AC286" s="152" t="str">
        <f t="array" ref="AC286">IFERROR(INDEX(TABLACONSOLIDADA[Buff Act],MATCH("AGROINSUMOSCENTRAL"&amp;Tabla_Buffers_Agroinsumos[[#This Row],[CODIGO ]],TABLACONSOLIDADA[Bodega]&amp;TABLACONSOLIDADA[Codigo],0)),"")</f>
        <v/>
      </c>
      <c r="AD286" s="157" t="str">
        <f t="array" ref="AD286">IFERROR(INDEX(TABLACONSOLIDADA[Inv Fís Act],MATCH("AGROINSUMOSCENTRAL"&amp;Tabla_Buffers_Agroinsumos[[#This Row],[CODIGO ]],TABLACONSOLIDADA[Bodega]&amp;TABLACONSOLIDADA[Codigo],0)),"")</f>
        <v/>
      </c>
      <c r="AE286" s="157" t="str">
        <f t="array" ref="AE28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8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86" s="91">
        <f>IFERROR(SUM(Tabla_Buffers_Agroinsumos[[#This Row],[C-MP]:[C-VL]]),"")</f>
        <v>0</v>
      </c>
      <c r="AH286" s="92" t="str">
        <f>IFERROR(Tabla_Buffers_Agroinsumos[[#This Row],[INV FIS CENTRAL]]-Tabla_Buffers_Agroinsumos[[#This Row],[BUFFER CENTRAL]],"")</f>
        <v/>
      </c>
      <c r="AI28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86" s="134"/>
      <c r="AK286" s="134"/>
      <c r="AL286" s="134"/>
      <c r="AM286" s="134"/>
      <c r="AN286" s="134"/>
      <c r="AO286" s="134"/>
      <c r="AP286" s="134"/>
      <c r="AQ286" s="134"/>
      <c r="AR286" s="134"/>
      <c r="AS286" s="134" t="str">
        <f t="array" ref="AS286">IFERROR(INDEX(TABLACONSOLIDADA[Buff Act],MATCH("AGROINSUMOScentralPROPIA"&amp;Tabla_Buffers_Agroinsumos[[#This Row],[CODIGO ]],TABLACONSOLIDADA[Bodega]&amp;TABLACONSOLIDADA[Codigo],0)),"")</f>
        <v/>
      </c>
      <c r="AT286" s="157" t="str">
        <f t="array" ref="AT286">IFERROR(INDEX(TABLACONSOLIDADA[Inv Fís Act],MATCH("AGROINSUMOScentralPROPIA"&amp;Tabla_Buffers_Agroinsumos[[#This Row],[CODIGO ]],TABLACONSOLIDADA[Bodega]&amp;TABLACONSOLIDADA[Codigo],0)),"")</f>
        <v/>
      </c>
      <c r="AU286" s="157" t="str">
        <f t="array" ref="AU28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8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86" s="134">
        <f>IFERROR(SUM(Tabla_Buffers_Agroinsumos[[#This Row],[P-MP]:[P-VL]]),"")</f>
        <v>0</v>
      </c>
      <c r="AX286" s="92" t="str">
        <f>IFERROR(Tabla_Buffers_Agroinsumos[[#This Row],[INV FIS PROPIA]]-Tabla_Buffers_Agroinsumos[[#This Row],[BUFFER PROPIA]],"")</f>
        <v/>
      </c>
      <c r="AY28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86" s="134"/>
      <c r="BA286" s="134"/>
      <c r="BB286" s="134"/>
      <c r="BC286" s="134"/>
      <c r="BD286" s="134"/>
      <c r="BE286" s="134"/>
      <c r="BF286" s="134"/>
      <c r="BG286" s="134"/>
      <c r="BH286" s="134"/>
      <c r="BI286" s="91" t="str">
        <f t="array" ref="BI286">IFERROR(INDEX(TABLACONSOLIDADA[Buff Act],MATCH("AGROINSUMOSSTODOMINGO"&amp;Tabla_Buffers_Agroinsumos[[#This Row],[CODIGO ]],TABLACONSOLIDADA[Bodega]&amp;TABLACONSOLIDADA[Codigo],0)),"")</f>
        <v/>
      </c>
      <c r="BJ286" s="157" t="str">
        <f t="array" ref="BJ286">IFERROR(INDEX(TABLACONSOLIDADA[Inv Fís Act],MATCH("AGROINSUMOSSTODOMINGO"&amp;Tabla_Buffers_Agroinsumos[[#This Row],[CODIGO ]],TABLACONSOLIDADA[Bodega]&amp;TABLACONSOLIDADA[Codigo],0)),"")</f>
        <v/>
      </c>
      <c r="BK286" s="157" t="str">
        <f t="array" ref="BK28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8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86" s="91">
        <f>IFERROR(SUM(Tabla_Buffers_Agroinsumos[[#This Row],[SD-MP]:[SD-VL]]),"")</f>
        <v>0</v>
      </c>
      <c r="BN286" s="92"/>
      <c r="BO286" s="92"/>
      <c r="BP286" s="134"/>
      <c r="BQ286" s="134"/>
      <c r="BR286" s="134"/>
      <c r="BS286" s="134"/>
      <c r="BT286" s="134"/>
      <c r="BU286" s="134"/>
      <c r="BV286" s="134"/>
      <c r="BW286" s="134"/>
      <c r="BX286" s="134"/>
      <c r="BY286" s="134" t="str">
        <f t="array" ref="BY286">IFERROR(INDEX(TABLACONSOLIDADA[Buff Act],MATCH("AGROINSUMOSMONCAYOLOPEZ"&amp;Tabla_Buffers_Agroinsumos[[#This Row],[CODIGO ]],TABLACONSOLIDADA[Bodega]&amp;TABLACONSOLIDADA[Codigo],0)),"")</f>
        <v/>
      </c>
      <c r="BZ286" s="157" t="str">
        <f t="array" ref="BZ286">IFERROR(INDEX(TABLACONSOLIDADA[Inv Fís Act],MATCH("AGROINSUMOSMONCAYOLOPEZ"&amp;Tabla_Buffers_Agroinsumos[[#This Row],[CODIGO ]],TABLACONSOLIDADA[Bodega]&amp;TABLACONSOLIDADA[Codigo],0)),"")</f>
        <v/>
      </c>
      <c r="CA286" s="157" t="str">
        <f t="array" ref="CA28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8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86" s="134">
        <f>IFERROR(SUM(Tabla_Buffers_Agroinsumos[[#This Row],[ML-MP]:[ML-VL]]),"")</f>
        <v>0</v>
      </c>
      <c r="CD286" s="92" t="str">
        <f>IFERROR(Tabla_Buffers_Agroinsumos[[#This Row],[INV FIS ML]]-Tabla_Buffers_Agroinsumos[[#This Row],[BUFFER ML]],"")</f>
        <v/>
      </c>
      <c r="CE28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86" s="134"/>
      <c r="CG286" s="134"/>
      <c r="CH286" s="134"/>
      <c r="CI286" s="134"/>
      <c r="CJ286" s="134"/>
      <c r="CK286" s="134"/>
      <c r="CL286" s="134"/>
      <c r="CM286" s="134"/>
      <c r="CN286" s="134"/>
      <c r="CO286" s="134" t="str">
        <f t="array" ref="CO286">IFERROR(INDEX(TABLACONSOLIDADA[Buff Act],MATCH("AGROINSUMOSAGROHERMANOSLEON"&amp;Tabla_Buffers_Agroinsumos[[#This Row],[CODIGO ]],TABLACONSOLIDADA[Bodega]&amp;TABLACONSOLIDADA[Codigo],0)),"")</f>
        <v/>
      </c>
      <c r="CP286" s="157" t="str">
        <f t="array" ref="CP286">IFERROR(INDEX(TABLACONSOLIDADA[Inv Fís Act],MATCH("AGROINSUMOSAGROHERMANOSLEON"&amp;Tabla_Buffers_Agroinsumos[[#This Row],[CODIGO ]],TABLACONSOLIDADA[Bodega]&amp;TABLACONSOLIDADA[Codigo],0)),"")</f>
        <v/>
      </c>
      <c r="CQ286" s="157" t="str">
        <f t="array" ref="CQ28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8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86" s="134">
        <f>IFERROR(SUM(Tabla_Buffers_Agroinsumos[[#This Row],[AL-MP]:[AL-VL]]),"")</f>
        <v>0</v>
      </c>
      <c r="CT286" s="92" t="str">
        <f>IFERROR(Tabla_Buffers_Agroinsumos[[#This Row],[INV FIS AL]]-Tabla_Buffers_Agroinsumos[[#This Row],[BUFFER AL]],"")</f>
        <v/>
      </c>
      <c r="CU28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86" s="134"/>
      <c r="CW286" s="134"/>
      <c r="CX286" s="134"/>
      <c r="CY286" s="134"/>
      <c r="CZ286" s="134"/>
      <c r="DA286" s="134"/>
      <c r="DB286" s="134"/>
      <c r="DC286" s="134"/>
      <c r="DD286" s="134"/>
      <c r="DE286" s="134" t="str">
        <f t="array" ref="DE286">IFERROR(INDEX(TABLACONSOLIDADA[Buff Act],MATCH("AGROINSUMOSAGRONUEVO"&amp;Tabla_Buffers_Agroinsumos[[#This Row],[CODIGO ]],TABLACONSOLIDADA[Bodega]&amp;TABLACONSOLIDADA[Codigo],0)),"")</f>
        <v/>
      </c>
      <c r="DF286" s="157" t="str">
        <f t="array" ref="DF286">IFERROR(INDEX(TABLACONSOLIDADA[Inv Fís Act],MATCH("AGROINSUMOSAGRONUEVO"&amp;Tabla_Buffers_Agroinsumos[[#This Row],[CODIGO ]],TABLACONSOLIDADA[Bodega]&amp;TABLACONSOLIDADA[Codigo],0)),"")</f>
        <v/>
      </c>
      <c r="DG286" s="157" t="str">
        <f t="array" ref="DG28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8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86" s="134">
        <f>IFERROR(SUM(Tabla_Buffers_Agroinsumos[[#This Row],[AN-MP]:[AN-VL]]),"")</f>
        <v>0</v>
      </c>
      <c r="DJ286" s="92" t="str">
        <f>IFERROR(Tabla_Buffers_Agroinsumos[[#This Row],[INV FIS AN]]-Tabla_Buffers_Agroinsumos[[#This Row],[BUFFER AN]],"")</f>
        <v/>
      </c>
      <c r="DK28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86" s="134"/>
      <c r="DM286" s="134"/>
      <c r="DN286" s="134"/>
      <c r="DO286" s="134"/>
      <c r="DP286" s="134"/>
      <c r="DQ286" s="134"/>
      <c r="DR286" s="134"/>
      <c r="DS286" s="134"/>
      <c r="DT286" s="134"/>
      <c r="DU286" s="134" t="str">
        <f t="array" ref="DU286">IFERROR(INDEX(TABLACONSOLIDADA[Buff Act],MATCH("AGROINSUMOSAGROQUIMICOSSUR"&amp;Tabla_Buffers_Agroinsumos[[#This Row],[CODIGO ]],TABLACONSOLIDADA[Bodega]&amp;TABLACONSOLIDADA[Codigo],0)),"")</f>
        <v/>
      </c>
      <c r="DV286" s="157" t="str">
        <f t="array" ref="DV286">IFERROR(INDEX(TABLACONSOLIDADA[Inv Fís Act],MATCH("AGROINSUMOSAGROQUIMICOSSUR"&amp;Tabla_Buffers_Agroinsumos[[#This Row],[CODIGO ]],TABLACONSOLIDADA[Bodega]&amp;TABLACONSOLIDADA[Codigo],0)),"")</f>
        <v/>
      </c>
      <c r="DW286" s="157" t="str">
        <f t="array" ref="DW28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8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86" s="134">
        <f>IFERROR(SUM(Tabla_Buffers_Agroinsumos[[#This Row],[AS-MP]:[AS-VL]]),"")</f>
        <v>0</v>
      </c>
      <c r="DZ286" s="92" t="str">
        <f>IFERROR(Tabla_Buffers_Agroinsumos[[#This Row],[INV FIS AS]]-Tabla_Buffers_Agroinsumos[[#This Row],[BUFFER AS]],"")</f>
        <v/>
      </c>
      <c r="EA28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86" s="134"/>
      <c r="EC286" s="134"/>
      <c r="ED286" s="134"/>
      <c r="EE286" s="134"/>
      <c r="EF286" s="134"/>
      <c r="EG286" s="134"/>
      <c r="EH286" s="134"/>
      <c r="EI286" s="134"/>
      <c r="EJ286" s="134"/>
      <c r="EK286" s="134" t="str">
        <f t="array" ref="EK286">IFERROR(INDEX(TABLACONSOLIDADA[Buff Act],MATCH("AGROINSUMOSLAFINCA"&amp;Tabla_Buffers_Agroinsumos[[#This Row],[CODIGO ]],TABLACONSOLIDADA[Bodega]&amp;TABLACONSOLIDADA[Codigo],0)),"")</f>
        <v/>
      </c>
      <c r="EL286" s="157" t="str">
        <f t="array" ref="EL286">IFERROR(INDEX(TABLACONSOLIDADA[Inv Fís Act],MATCH("AGROINSUMOSLAFINCA"&amp;Tabla_Buffers_Agroinsumos[[#This Row],[CODIGO ]],TABLACONSOLIDADA[Bodega]&amp;TABLACONSOLIDADA[Codigo],0)),"")</f>
        <v/>
      </c>
      <c r="EM286" s="157" t="str">
        <f t="array" ref="EM28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8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86" s="134">
        <f>IFERROR(SUM(Tabla_Buffers_Agroinsumos[[#This Row],[LF-MP]:[LF-VL]]),"")</f>
        <v>0</v>
      </c>
      <c r="EP286" s="92" t="str">
        <f>IFERROR(Tabla_Buffers_Agroinsumos[[#This Row],[INV FIS LF]]-Tabla_Buffers_Agroinsumos[[#This Row],[BUFFER LF]],"")</f>
        <v/>
      </c>
      <c r="EQ28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86" s="134"/>
      <c r="ES286" s="134"/>
      <c r="ET286" s="134"/>
      <c r="EU286" s="134"/>
      <c r="EV286" s="134"/>
      <c r="EW286" s="134"/>
      <c r="EX286" s="134"/>
      <c r="EY286" s="134"/>
      <c r="EZ286" s="134"/>
      <c r="FA286" s="134" t="str">
        <f t="array" ref="FA286">IFERROR(INDEX(TABLACONSOLIDADA[Buff Act],MATCH("AGROINSUMOSVERONICALEDESMA"&amp;Tabla_Buffers_Agroinsumos[[#This Row],[CODIGO ]],TABLACONSOLIDADA[Bodega]&amp;TABLACONSOLIDADA[Codigo],0)),"")</f>
        <v/>
      </c>
      <c r="FB286" s="157" t="str">
        <f t="array" ref="FB286">IFERROR(INDEX(TABLACONSOLIDADA[Inv Fís Act],MATCH("AGROINSUMOSVERONICALEDESMA"&amp;Tabla_Buffers_Agroinsumos[[#This Row],[CODIGO ]],TABLACONSOLIDADA[Bodega]&amp;TABLACONSOLIDADA[Codigo],0)),"")</f>
        <v/>
      </c>
      <c r="FC286" s="157" t="str">
        <f t="array" ref="FC28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8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86" s="134">
        <f>IFERROR(SUM(Tabla_Buffers_Agroinsumos[[#This Row],[VL-MP]:[VL-LF]]),"")</f>
        <v>0</v>
      </c>
      <c r="FF286" s="92" t="str">
        <f>IFERROR(Tabla_Buffers_Agroinsumos[[#This Row],[INV FIS VL]]-Tabla_Buffers_Agroinsumos[[#This Row],[BUFFER VL]],"")</f>
        <v/>
      </c>
      <c r="FG28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86" s="134"/>
      <c r="FI286" s="134"/>
      <c r="FJ286" s="134"/>
      <c r="FK286" s="134"/>
      <c r="FL286" s="134"/>
      <c r="FM286" s="134"/>
      <c r="FN286" s="134"/>
      <c r="FO286" s="134"/>
      <c r="FP286" s="134"/>
    </row>
    <row r="287" spans="1:172">
      <c r="A287" s="7" t="s">
        <v>900</v>
      </c>
      <c r="B287" s="7" t="s">
        <v>958</v>
      </c>
      <c r="C287" s="7" t="s">
        <v>946</v>
      </c>
      <c r="D287" s="7" t="s">
        <v>719</v>
      </c>
      <c r="E287" s="7" t="s">
        <v>975</v>
      </c>
      <c r="F287" s="19" t="s">
        <v>698</v>
      </c>
      <c r="G287" s="19" t="s">
        <v>698</v>
      </c>
      <c r="H287" s="19">
        <f>VLOOKUP(Tabla_Buffers_Agroinsumos[[#This Row],[CODIGO ]],TABLACONSOLIDADA[[Codigo]:[PV]],6,0)</f>
        <v>0</v>
      </c>
      <c r="I287" s="19">
        <f>VLOOKUP(Tabla_Buffers_Agroinsumos[[#This Row],[CODIGO ]],TABLACONSOLIDADA[[Codigo]:[PV]],5,0)</f>
        <v>1.26</v>
      </c>
      <c r="J287" s="19" t="s">
        <v>698</v>
      </c>
      <c r="K287" s="19" t="s">
        <v>698</v>
      </c>
      <c r="L287" s="19">
        <f>IFERROR(Tabla_Buffers_Agroinsumos[[#This Row],[BUFFER CENTRAL]]/((Tabla_Buffers_Agroinsumos[[#This Row],[TIEMPO REPOSICION ]]/Tabla_Buffers_Agroinsumos[[#This Row],[FRECUENCIA]])+1),0)</f>
        <v>0</v>
      </c>
      <c r="M287" s="19" t="str">
        <f t="array" ref="M287">IFERROR(INDEX(TABLACONSOLIDADA[Buff Act],MATCH("AGROINSUMOSMATERIAPRIMA"&amp;Tabla_Buffers_Agroinsumos[[#This Row],[CODIGO ]],TABLACONSOLIDADA[Bodega]&amp;TABLACONSOLIDADA[Codigo],0)),"")</f>
        <v/>
      </c>
      <c r="N287" s="157" t="str">
        <f t="array" ref="N287">IFERROR(INDEX(TABLACONSOLIDADA[Inv Fís Act],MATCH("AGROINSUMOSMATERIAPRIMA"&amp;Tabla_Buffers_Agroinsumos[[#This Row],[CODIGO ]],TABLACONSOLIDADA[Bodega]&amp;TABLACONSOLIDADA[Codigo],0)),"")</f>
        <v/>
      </c>
      <c r="O287" s="157" t="str">
        <f t="array" ref="O28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8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87" s="19">
        <f>IFERROR(SUM(Tabla_Buffers_Agroinsumos[[#This Row],[MP-C]:[MP-VL]]),"")</f>
        <v>0</v>
      </c>
      <c r="R287" s="92" t="str">
        <f>IFERROR(Tabla_Buffers_Agroinsumos[[#This Row],[INV FIS MATERIA PRIMA]]-Tabla_Buffers_Agroinsumos[[#This Row],[BUFFER MATERIA PRIMA]],"")</f>
        <v/>
      </c>
      <c r="S28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87" s="19"/>
      <c r="U287" s="19"/>
      <c r="V287" s="19"/>
      <c r="W287" s="19"/>
      <c r="X287" s="19"/>
      <c r="Y287" s="19"/>
      <c r="Z287" s="19"/>
      <c r="AA287" s="19"/>
      <c r="AB287" s="19"/>
      <c r="AC287" s="152">
        <f t="array" ref="AC287">IFERROR(INDEX(TABLACONSOLIDADA[Buff Act],MATCH("AGROINSUMOSCENTRAL"&amp;Tabla_Buffers_Agroinsumos[[#This Row],[CODIGO ]],TABLACONSOLIDADA[Bodega]&amp;TABLACONSOLIDADA[Codigo],0)),"")</f>
        <v>0</v>
      </c>
      <c r="AD287" s="157">
        <f t="array" ref="AD287">IFERROR(INDEX(TABLACONSOLIDADA[Inv Fís Act],MATCH("AGROINSUMOSCENTRAL"&amp;Tabla_Buffers_Agroinsumos[[#This Row],[CODIGO ]],TABLACONSOLIDADA[Bodega]&amp;TABLACONSOLIDADA[Codigo],0)),"")</f>
        <v>0</v>
      </c>
      <c r="AE287" s="157">
        <f t="array" ref="AE28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8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87" s="91">
        <f>IFERROR(SUM(Tabla_Buffers_Agroinsumos[[#This Row],[C-MP]:[C-VL]]),"")</f>
        <v>0</v>
      </c>
      <c r="AH287" s="92">
        <f>IFERROR(Tabla_Buffers_Agroinsumos[[#This Row],[INV FIS CENTRAL]]-Tabla_Buffers_Agroinsumos[[#This Row],[BUFFER CENTRAL]],"")</f>
        <v>0</v>
      </c>
      <c r="AI28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87" s="134"/>
      <c r="AK287" s="134"/>
      <c r="AL287" s="134"/>
      <c r="AM287" s="134"/>
      <c r="AN287" s="134"/>
      <c r="AO287" s="134"/>
      <c r="AP287" s="134"/>
      <c r="AQ287" s="134"/>
      <c r="AR287" s="134"/>
      <c r="AS287" s="134">
        <f t="array" ref="AS287">IFERROR(INDEX(TABLACONSOLIDADA[Buff Act],MATCH("AGROINSUMOScentralPROPIA"&amp;Tabla_Buffers_Agroinsumos[[#This Row],[CODIGO ]],TABLACONSOLIDADA[Bodega]&amp;TABLACONSOLIDADA[Codigo],0)),"")</f>
        <v>60</v>
      </c>
      <c r="AT287" s="157">
        <f t="array" ref="AT287">IFERROR(INDEX(TABLACONSOLIDADA[Inv Fís Act],MATCH("AGROINSUMOScentralPROPIA"&amp;Tabla_Buffers_Agroinsumos[[#This Row],[CODIGO ]],TABLACONSOLIDADA[Bodega]&amp;TABLACONSOLIDADA[Codigo],0)),"")</f>
        <v>0</v>
      </c>
      <c r="AU287" s="157">
        <f t="array" ref="AU28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8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87" s="134">
        <f>IFERROR(SUM(Tabla_Buffers_Agroinsumos[[#This Row],[P-MP]:[P-VL]]),"")</f>
        <v>0</v>
      </c>
      <c r="AX287" s="92">
        <f>IFERROR(Tabla_Buffers_Agroinsumos[[#This Row],[INV FIS PROPIA]]-Tabla_Buffers_Agroinsumos[[#This Row],[BUFFER PROPIA]],"")</f>
        <v>-60</v>
      </c>
      <c r="AY28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-60</v>
      </c>
      <c r="AZ287" s="134"/>
      <c r="BA287" s="134"/>
      <c r="BB287" s="134"/>
      <c r="BC287" s="134"/>
      <c r="BD287" s="134"/>
      <c r="BE287" s="134"/>
      <c r="BF287" s="134"/>
      <c r="BG287" s="134"/>
      <c r="BH287" s="134"/>
      <c r="BI287" s="91" t="str">
        <f t="array" ref="BI287">IFERROR(INDEX(TABLACONSOLIDADA[Buff Act],MATCH("AGROINSUMOSSTODOMINGO"&amp;Tabla_Buffers_Agroinsumos[[#This Row],[CODIGO ]],TABLACONSOLIDADA[Bodega]&amp;TABLACONSOLIDADA[Codigo],0)),"")</f>
        <v/>
      </c>
      <c r="BJ287" s="157" t="str">
        <f t="array" ref="BJ287">IFERROR(INDEX(TABLACONSOLIDADA[Inv Fís Act],MATCH("AGROINSUMOSSTODOMINGO"&amp;Tabla_Buffers_Agroinsumos[[#This Row],[CODIGO ]],TABLACONSOLIDADA[Bodega]&amp;TABLACONSOLIDADA[Codigo],0)),"")</f>
        <v/>
      </c>
      <c r="BK287" s="157" t="str">
        <f t="array" ref="BK28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8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87" s="91">
        <f>IFERROR(SUM(Tabla_Buffers_Agroinsumos[[#This Row],[SD-MP]:[SD-VL]]),"")</f>
        <v>0</v>
      </c>
      <c r="BN287" s="92"/>
      <c r="BO287" s="92"/>
      <c r="BP287" s="134"/>
      <c r="BQ287" s="134"/>
      <c r="BR287" s="134"/>
      <c r="BS287" s="134"/>
      <c r="BT287" s="134"/>
      <c r="BU287" s="134"/>
      <c r="BV287" s="134"/>
      <c r="BW287" s="134"/>
      <c r="BX287" s="134"/>
      <c r="BY287" s="134">
        <f t="array" ref="BY287">IFERROR(INDEX(TABLACONSOLIDADA[Buff Act],MATCH("AGROINSUMOSMONCAYOLOPEZ"&amp;Tabla_Buffers_Agroinsumos[[#This Row],[CODIGO ]],TABLACONSOLIDADA[Bodega]&amp;TABLACONSOLIDADA[Codigo],0)),"")</f>
        <v>0</v>
      </c>
      <c r="BZ287" s="157">
        <f t="array" ref="BZ287">IFERROR(INDEX(TABLACONSOLIDADA[Inv Fís Act],MATCH("AGROINSUMOSMONCAYOLOPEZ"&amp;Tabla_Buffers_Agroinsumos[[#This Row],[CODIGO ]],TABLACONSOLIDADA[Bodega]&amp;TABLACONSOLIDADA[Codigo],0)),"")</f>
        <v>0</v>
      </c>
      <c r="CA287" s="157">
        <f t="array" ref="CA28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8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87" s="134">
        <f>IFERROR(SUM(Tabla_Buffers_Agroinsumos[[#This Row],[ML-MP]:[ML-VL]]),"")</f>
        <v>0</v>
      </c>
      <c r="CD287" s="92">
        <f>IFERROR(Tabla_Buffers_Agroinsumos[[#This Row],[INV FIS ML]]-Tabla_Buffers_Agroinsumos[[#This Row],[BUFFER ML]],"")</f>
        <v>0</v>
      </c>
      <c r="CE287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87" s="134"/>
      <c r="CG287" s="134"/>
      <c r="CH287" s="134"/>
      <c r="CI287" s="134"/>
      <c r="CJ287" s="134"/>
      <c r="CK287" s="134"/>
      <c r="CL287" s="134"/>
      <c r="CM287" s="134"/>
      <c r="CN287" s="134"/>
      <c r="CO287" s="134">
        <f t="array" ref="CO287">IFERROR(INDEX(TABLACONSOLIDADA[Buff Act],MATCH("AGROINSUMOSAGROHERMANOSLEON"&amp;Tabla_Buffers_Agroinsumos[[#This Row],[CODIGO ]],TABLACONSOLIDADA[Bodega]&amp;TABLACONSOLIDADA[Codigo],0)),"")</f>
        <v>0</v>
      </c>
      <c r="CP287" s="157">
        <f t="array" ref="CP287">IFERROR(INDEX(TABLACONSOLIDADA[Inv Fís Act],MATCH("AGROINSUMOSAGROHERMANOSLEON"&amp;Tabla_Buffers_Agroinsumos[[#This Row],[CODIGO ]],TABLACONSOLIDADA[Bodega]&amp;TABLACONSOLIDADA[Codigo],0)),"")</f>
        <v>0</v>
      </c>
      <c r="CQ287" s="157">
        <f t="array" ref="CQ28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8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87" s="134">
        <f>IFERROR(SUM(Tabla_Buffers_Agroinsumos[[#This Row],[AL-MP]:[AL-VL]]),"")</f>
        <v>0</v>
      </c>
      <c r="CT287" s="92">
        <f>IFERROR(Tabla_Buffers_Agroinsumos[[#This Row],[INV FIS AL]]-Tabla_Buffers_Agroinsumos[[#This Row],[BUFFER AL]],"")</f>
        <v>0</v>
      </c>
      <c r="CU28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87" s="134"/>
      <c r="CW287" s="134"/>
      <c r="CX287" s="134"/>
      <c r="CY287" s="134"/>
      <c r="CZ287" s="134"/>
      <c r="DA287" s="134"/>
      <c r="DB287" s="134"/>
      <c r="DC287" s="134"/>
      <c r="DD287" s="134"/>
      <c r="DE287" s="134">
        <f t="array" ref="DE287">IFERROR(INDEX(TABLACONSOLIDADA[Buff Act],MATCH("AGROINSUMOSAGRONUEVO"&amp;Tabla_Buffers_Agroinsumos[[#This Row],[CODIGO ]],TABLACONSOLIDADA[Bodega]&amp;TABLACONSOLIDADA[Codigo],0)),"")</f>
        <v>0</v>
      </c>
      <c r="DF287" s="157">
        <f t="array" ref="DF287">IFERROR(INDEX(TABLACONSOLIDADA[Inv Fís Act],MATCH("AGROINSUMOSAGRONUEVO"&amp;Tabla_Buffers_Agroinsumos[[#This Row],[CODIGO ]],TABLACONSOLIDADA[Bodega]&amp;TABLACONSOLIDADA[Codigo],0)),"")</f>
        <v>0</v>
      </c>
      <c r="DG287" s="157">
        <f t="array" ref="DG28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8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87" s="134">
        <f>IFERROR(SUM(Tabla_Buffers_Agroinsumos[[#This Row],[AN-MP]:[AN-VL]]),"")</f>
        <v>0</v>
      </c>
      <c r="DJ287" s="92">
        <f>IFERROR(Tabla_Buffers_Agroinsumos[[#This Row],[INV FIS AN]]-Tabla_Buffers_Agroinsumos[[#This Row],[BUFFER AN]],"")</f>
        <v>0</v>
      </c>
      <c r="DK28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87" s="134"/>
      <c r="DM287" s="134"/>
      <c r="DN287" s="134"/>
      <c r="DO287" s="134"/>
      <c r="DP287" s="134"/>
      <c r="DQ287" s="134"/>
      <c r="DR287" s="134"/>
      <c r="DS287" s="134"/>
      <c r="DT287" s="134"/>
      <c r="DU287" s="134">
        <f t="array" ref="DU287">IFERROR(INDEX(TABLACONSOLIDADA[Buff Act],MATCH("AGROINSUMOSAGROQUIMICOSSUR"&amp;Tabla_Buffers_Agroinsumos[[#This Row],[CODIGO ]],TABLACONSOLIDADA[Bodega]&amp;TABLACONSOLIDADA[Codigo],0)),"")</f>
        <v>0</v>
      </c>
      <c r="DV287" s="157">
        <f t="array" ref="DV287">IFERROR(INDEX(TABLACONSOLIDADA[Inv Fís Act],MATCH("AGROINSUMOSAGROQUIMICOSSUR"&amp;Tabla_Buffers_Agroinsumos[[#This Row],[CODIGO ]],TABLACONSOLIDADA[Bodega]&amp;TABLACONSOLIDADA[Codigo],0)),"")</f>
        <v>0</v>
      </c>
      <c r="DW287" s="157">
        <f t="array" ref="DW28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8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87" s="134">
        <f>IFERROR(SUM(Tabla_Buffers_Agroinsumos[[#This Row],[AS-MP]:[AS-VL]]),"")</f>
        <v>0</v>
      </c>
      <c r="DZ287" s="92">
        <f>IFERROR(Tabla_Buffers_Agroinsumos[[#This Row],[INV FIS AS]]-Tabla_Buffers_Agroinsumos[[#This Row],[BUFFER AS]],"")</f>
        <v>0</v>
      </c>
      <c r="EA28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87" s="134"/>
      <c r="EC287" s="134"/>
      <c r="ED287" s="134"/>
      <c r="EE287" s="134"/>
      <c r="EF287" s="134"/>
      <c r="EG287" s="134"/>
      <c r="EH287" s="134"/>
      <c r="EI287" s="134"/>
      <c r="EJ287" s="134"/>
      <c r="EK287" s="134">
        <f t="array" ref="EK287">IFERROR(INDEX(TABLACONSOLIDADA[Buff Act],MATCH("AGROINSUMOSLAFINCA"&amp;Tabla_Buffers_Agroinsumos[[#This Row],[CODIGO ]],TABLACONSOLIDADA[Bodega]&amp;TABLACONSOLIDADA[Codigo],0)),"")</f>
        <v>0</v>
      </c>
      <c r="EL287" s="157">
        <f t="array" ref="EL287">IFERROR(INDEX(TABLACONSOLIDADA[Inv Fís Act],MATCH("AGROINSUMOSLAFINCA"&amp;Tabla_Buffers_Agroinsumos[[#This Row],[CODIGO ]],TABLACONSOLIDADA[Bodega]&amp;TABLACONSOLIDADA[Codigo],0)),"")</f>
        <v>0</v>
      </c>
      <c r="EM287" s="157">
        <f t="array" ref="EM28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8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87" s="134">
        <f>IFERROR(SUM(Tabla_Buffers_Agroinsumos[[#This Row],[LF-MP]:[LF-VL]]),"")</f>
        <v>0</v>
      </c>
      <c r="EP287" s="92">
        <f>IFERROR(Tabla_Buffers_Agroinsumos[[#This Row],[INV FIS LF]]-Tabla_Buffers_Agroinsumos[[#This Row],[BUFFER LF]],"")</f>
        <v>0</v>
      </c>
      <c r="EQ28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87" s="134"/>
      <c r="ES287" s="134"/>
      <c r="ET287" s="134"/>
      <c r="EU287" s="134"/>
      <c r="EV287" s="134"/>
      <c r="EW287" s="134"/>
      <c r="EX287" s="134"/>
      <c r="EY287" s="134"/>
      <c r="EZ287" s="134"/>
      <c r="FA287" s="134">
        <f t="array" ref="FA287">IFERROR(INDEX(TABLACONSOLIDADA[Buff Act],MATCH("AGROINSUMOSVERONICALEDESMA"&amp;Tabla_Buffers_Agroinsumos[[#This Row],[CODIGO ]],TABLACONSOLIDADA[Bodega]&amp;TABLACONSOLIDADA[Codigo],0)),"")</f>
        <v>0</v>
      </c>
      <c r="FB287" s="157">
        <f t="array" ref="FB287">IFERROR(INDEX(TABLACONSOLIDADA[Inv Fís Act],MATCH("AGROINSUMOSVERONICALEDESMA"&amp;Tabla_Buffers_Agroinsumos[[#This Row],[CODIGO ]],TABLACONSOLIDADA[Bodega]&amp;TABLACONSOLIDADA[Codigo],0)),"")</f>
        <v>0</v>
      </c>
      <c r="FC287" s="157">
        <f t="array" ref="FC28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8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87" s="134">
        <f>IFERROR(SUM(Tabla_Buffers_Agroinsumos[[#This Row],[VL-MP]:[VL-LF]]),"")</f>
        <v>0</v>
      </c>
      <c r="FF287" s="92">
        <f>IFERROR(Tabla_Buffers_Agroinsumos[[#This Row],[INV FIS VL]]-Tabla_Buffers_Agroinsumos[[#This Row],[BUFFER VL]],"")</f>
        <v>0</v>
      </c>
      <c r="FG28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87" s="134"/>
      <c r="FI287" s="134"/>
      <c r="FJ287" s="134"/>
      <c r="FK287" s="134"/>
      <c r="FL287" s="134"/>
      <c r="FM287" s="134"/>
      <c r="FN287" s="134"/>
      <c r="FO287" s="134"/>
      <c r="FP287" s="134"/>
    </row>
    <row r="288" spans="1:172">
      <c r="A288" s="7" t="s">
        <v>495</v>
      </c>
      <c r="B288" s="7" t="s">
        <v>496</v>
      </c>
      <c r="C288" s="7" t="s">
        <v>707</v>
      </c>
      <c r="D288" s="7" t="s">
        <v>732</v>
      </c>
      <c r="E288" s="7" t="s">
        <v>975</v>
      </c>
      <c r="F288" s="19" t="s">
        <v>698</v>
      </c>
      <c r="G288" s="19" t="s">
        <v>698</v>
      </c>
      <c r="H288" s="19">
        <f>VLOOKUP(Tabla_Buffers_Agroinsumos[[#This Row],[CODIGO ]],TABLACONSOLIDADA[[Codigo]:[PV]],6,0)</f>
        <v>9.49</v>
      </c>
      <c r="I288" s="19">
        <f>VLOOKUP(Tabla_Buffers_Agroinsumos[[#This Row],[CODIGO ]],TABLACONSOLIDADA[[Codigo]:[PV]],5,0)</f>
        <v>6.05</v>
      </c>
      <c r="J288" s="19" t="s">
        <v>698</v>
      </c>
      <c r="K288" s="19" t="s">
        <v>698</v>
      </c>
      <c r="L288" s="19">
        <f>IFERROR(Tabla_Buffers_Agroinsumos[[#This Row],[BUFFER CENTRAL]]/((Tabla_Buffers_Agroinsumos[[#This Row],[TIEMPO REPOSICION ]]/Tabla_Buffers_Agroinsumos[[#This Row],[FRECUENCIA]])+1),0)</f>
        <v>0</v>
      </c>
      <c r="M288" s="19" t="str">
        <f t="array" ref="M288">IFERROR(INDEX(TABLACONSOLIDADA[Buff Act],MATCH("AGROINSUMOSMATERIAPRIMA"&amp;Tabla_Buffers_Agroinsumos[[#This Row],[CODIGO ]],TABLACONSOLIDADA[Bodega]&amp;TABLACONSOLIDADA[Codigo],0)),"")</f>
        <v/>
      </c>
      <c r="N288" s="157" t="str">
        <f t="array" ref="N288">IFERROR(INDEX(TABLACONSOLIDADA[Inv Fís Act],MATCH("AGROINSUMOSMATERIAPRIMA"&amp;Tabla_Buffers_Agroinsumos[[#This Row],[CODIGO ]],TABLACONSOLIDADA[Bodega]&amp;TABLACONSOLIDADA[Codigo],0)),"")</f>
        <v/>
      </c>
      <c r="O288" s="157" t="str">
        <f t="array" ref="O28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8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88" s="19">
        <f>IFERROR(SUM(Tabla_Buffers_Agroinsumos[[#This Row],[MP-C]:[MP-VL]]),"")</f>
        <v>0</v>
      </c>
      <c r="R288" s="92" t="str">
        <f>IFERROR(Tabla_Buffers_Agroinsumos[[#This Row],[INV FIS MATERIA PRIMA]]-Tabla_Buffers_Agroinsumos[[#This Row],[BUFFER MATERIA PRIMA]],"")</f>
        <v/>
      </c>
      <c r="S28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88" s="19"/>
      <c r="U288" s="19"/>
      <c r="V288" s="19"/>
      <c r="W288" s="19"/>
      <c r="X288" s="19"/>
      <c r="Y288" s="19"/>
      <c r="Z288" s="19"/>
      <c r="AA288" s="19"/>
      <c r="AB288" s="19"/>
      <c r="AC288" s="152">
        <f t="array" ref="AC288">IFERROR(INDEX(TABLACONSOLIDADA[Buff Act],MATCH("AGROINSUMOSCENTRAL"&amp;Tabla_Buffers_Agroinsumos[[#This Row],[CODIGO ]],TABLACONSOLIDADA[Bodega]&amp;TABLACONSOLIDADA[Codigo],0)),"")</f>
        <v>400</v>
      </c>
      <c r="AD288" s="157">
        <f t="array" ref="AD288">IFERROR(INDEX(TABLACONSOLIDADA[Inv Fís Act],MATCH("AGROINSUMOSCENTRAL"&amp;Tabla_Buffers_Agroinsumos[[#This Row],[CODIGO ]],TABLACONSOLIDADA[Bodega]&amp;TABLACONSOLIDADA[Codigo],0)),"")</f>
        <v>105</v>
      </c>
      <c r="AE288" s="157">
        <f t="array" ref="AE28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354</v>
      </c>
      <c r="AF28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88" s="91">
        <f>IFERROR(SUM(Tabla_Buffers_Agroinsumos[[#This Row],[C-MP]:[C-VL]]),"")</f>
        <v>0</v>
      </c>
      <c r="AH288" s="92">
        <f>IFERROR(Tabla_Buffers_Agroinsumos[[#This Row],[INV FIS CENTRAL]]-Tabla_Buffers_Agroinsumos[[#This Row],[BUFFER CENTRAL]],"")</f>
        <v>-295</v>
      </c>
      <c r="AI28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-295</v>
      </c>
      <c r="AJ288" s="134"/>
      <c r="AK288" s="134"/>
      <c r="AL288" s="134"/>
      <c r="AM288" s="134"/>
      <c r="AN288" s="134"/>
      <c r="AO288" s="134"/>
      <c r="AP288" s="134"/>
      <c r="AQ288" s="134"/>
      <c r="AR288" s="134"/>
      <c r="AS288" s="134">
        <f t="array" ref="AS288">IFERROR(INDEX(TABLACONSOLIDADA[Buff Act],MATCH("AGROINSUMOScentralPROPIA"&amp;Tabla_Buffers_Agroinsumos[[#This Row],[CODIGO ]],TABLACONSOLIDADA[Bodega]&amp;TABLACONSOLIDADA[Codigo],0)),"")</f>
        <v>27</v>
      </c>
      <c r="AT288" s="157">
        <f t="array" ref="AT288">IFERROR(INDEX(TABLACONSOLIDADA[Inv Fís Act],MATCH("AGROINSUMOScentralPROPIA"&amp;Tabla_Buffers_Agroinsumos[[#This Row],[CODIGO ]],TABLACONSOLIDADA[Bodega]&amp;TABLACONSOLIDADA[Codigo],0)),"")</f>
        <v>0</v>
      </c>
      <c r="AU288" s="157">
        <f t="array" ref="AU28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8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88" s="134">
        <f>IFERROR(SUM(Tabla_Buffers_Agroinsumos[[#This Row],[P-MP]:[P-VL]]),"")</f>
        <v>0</v>
      </c>
      <c r="AX288" s="92">
        <f>IFERROR(Tabla_Buffers_Agroinsumos[[#This Row],[INV FIS PROPIA]]-Tabla_Buffers_Agroinsumos[[#This Row],[BUFFER PROPIA]],"")</f>
        <v>-27</v>
      </c>
      <c r="AY28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-27</v>
      </c>
      <c r="AZ288" s="134"/>
      <c r="BA288" s="134"/>
      <c r="BB288" s="134"/>
      <c r="BC288" s="134"/>
      <c r="BD288" s="134"/>
      <c r="BE288" s="134"/>
      <c r="BF288" s="134"/>
      <c r="BG288" s="134"/>
      <c r="BH288" s="134"/>
      <c r="BI288" s="91">
        <f t="array" ref="BI288">IFERROR(INDEX(TABLACONSOLIDADA[Buff Act],MATCH("AGROINSUMOSSTODOMINGO"&amp;Tabla_Buffers_Agroinsumos[[#This Row],[CODIGO ]],TABLACONSOLIDADA[Bodega]&amp;TABLACONSOLIDADA[Codigo],0)),"")</f>
        <v>150</v>
      </c>
      <c r="BJ288" s="157">
        <f t="array" ref="BJ288">IFERROR(INDEX(TABLACONSOLIDADA[Inv Fís Act],MATCH("AGROINSUMOSSTODOMINGO"&amp;Tabla_Buffers_Agroinsumos[[#This Row],[CODIGO ]],TABLACONSOLIDADA[Bodega]&amp;TABLACONSOLIDADA[Codigo],0)),"")</f>
        <v>92</v>
      </c>
      <c r="BK288" s="157">
        <f t="array" ref="BK28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92</v>
      </c>
      <c r="BL28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88" s="91">
        <f>IFERROR(SUM(Tabla_Buffers_Agroinsumos[[#This Row],[SD-MP]:[SD-VL]]),"")</f>
        <v>0</v>
      </c>
      <c r="BN288" s="92"/>
      <c r="BO288" s="92"/>
      <c r="BP288" s="134"/>
      <c r="BQ288" s="134"/>
      <c r="BR288" s="134"/>
      <c r="BS288" s="134"/>
      <c r="BT288" s="134"/>
      <c r="BU288" s="134"/>
      <c r="BV288" s="134"/>
      <c r="BW288" s="134"/>
      <c r="BX288" s="134"/>
      <c r="BY288" s="134">
        <f t="array" ref="BY288">IFERROR(INDEX(TABLACONSOLIDADA[Buff Act],MATCH("AGROINSUMOSMONCAYOLOPEZ"&amp;Tabla_Buffers_Agroinsumos[[#This Row],[CODIGO ]],TABLACONSOLIDADA[Bodega]&amp;TABLACONSOLIDADA[Codigo],0)),"")</f>
        <v>0</v>
      </c>
      <c r="BZ288" s="157">
        <f t="array" ref="BZ288">IFERROR(INDEX(TABLACONSOLIDADA[Inv Fís Act],MATCH("AGROINSUMOSMONCAYOLOPEZ"&amp;Tabla_Buffers_Agroinsumos[[#This Row],[CODIGO ]],TABLACONSOLIDADA[Bodega]&amp;TABLACONSOLIDADA[Codigo],0)),"")</f>
        <v>0</v>
      </c>
      <c r="CA288" s="157">
        <f t="array" ref="CA28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8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88" s="134">
        <f>IFERROR(SUM(Tabla_Buffers_Agroinsumos[[#This Row],[ML-MP]:[ML-VL]]),"")</f>
        <v>0</v>
      </c>
      <c r="CD288" s="92">
        <f>IFERROR(Tabla_Buffers_Agroinsumos[[#This Row],[INV FIS ML]]-Tabla_Buffers_Agroinsumos[[#This Row],[BUFFER ML]],"")</f>
        <v>0</v>
      </c>
      <c r="CE28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88" s="134"/>
      <c r="CG288" s="134"/>
      <c r="CH288" s="134"/>
      <c r="CI288" s="134"/>
      <c r="CJ288" s="134"/>
      <c r="CK288" s="134"/>
      <c r="CL288" s="134"/>
      <c r="CM288" s="134"/>
      <c r="CN288" s="134"/>
      <c r="CO288" s="134">
        <f t="array" ref="CO288">IFERROR(INDEX(TABLACONSOLIDADA[Buff Act],MATCH("AGROINSUMOSAGROHERMANOSLEON"&amp;Tabla_Buffers_Agroinsumos[[#This Row],[CODIGO ]],TABLACONSOLIDADA[Bodega]&amp;TABLACONSOLIDADA[Codigo],0)),"")</f>
        <v>10</v>
      </c>
      <c r="CP288" s="157">
        <f t="array" ref="CP288">IFERROR(INDEX(TABLACONSOLIDADA[Inv Fís Act],MATCH("AGROINSUMOSAGROHERMANOSLEON"&amp;Tabla_Buffers_Agroinsumos[[#This Row],[CODIGO ]],TABLACONSOLIDADA[Bodega]&amp;TABLACONSOLIDADA[Codigo],0)),"")</f>
        <v>10</v>
      </c>
      <c r="CQ288" s="157">
        <f t="array" ref="CQ28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10</v>
      </c>
      <c r="CR28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88" s="134">
        <f>IFERROR(SUM(Tabla_Buffers_Agroinsumos[[#This Row],[AL-MP]:[AL-VL]]),"")</f>
        <v>0</v>
      </c>
      <c r="CT288" s="92">
        <f>IFERROR(Tabla_Buffers_Agroinsumos[[#This Row],[INV FIS AL]]-Tabla_Buffers_Agroinsumos[[#This Row],[BUFFER AL]],"")</f>
        <v>0</v>
      </c>
      <c r="CU28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88" s="134"/>
      <c r="CW288" s="134"/>
      <c r="CX288" s="134"/>
      <c r="CY288" s="134"/>
      <c r="CZ288" s="134"/>
      <c r="DA288" s="134"/>
      <c r="DB288" s="134"/>
      <c r="DC288" s="134"/>
      <c r="DD288" s="134"/>
      <c r="DE288" s="134">
        <f t="array" ref="DE288">IFERROR(INDEX(TABLACONSOLIDADA[Buff Act],MATCH("AGROINSUMOSAGRONUEVO"&amp;Tabla_Buffers_Agroinsumos[[#This Row],[CODIGO ]],TABLACONSOLIDADA[Bodega]&amp;TABLACONSOLIDADA[Codigo],0)),"")</f>
        <v>0</v>
      </c>
      <c r="DF288" s="157">
        <f t="array" ref="DF288">IFERROR(INDEX(TABLACONSOLIDADA[Inv Fís Act],MATCH("AGROINSUMOSAGRONUEVO"&amp;Tabla_Buffers_Agroinsumos[[#This Row],[CODIGO ]],TABLACONSOLIDADA[Bodega]&amp;TABLACONSOLIDADA[Codigo],0)),"")</f>
        <v>0</v>
      </c>
      <c r="DG288" s="157">
        <f t="array" ref="DG28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8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88" s="134">
        <f>IFERROR(SUM(Tabla_Buffers_Agroinsumos[[#This Row],[AN-MP]:[AN-VL]]),"")</f>
        <v>0</v>
      </c>
      <c r="DJ288" s="92">
        <f>IFERROR(Tabla_Buffers_Agroinsumos[[#This Row],[INV FIS AN]]-Tabla_Buffers_Agroinsumos[[#This Row],[BUFFER AN]],"")</f>
        <v>0</v>
      </c>
      <c r="DK28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88" s="134"/>
      <c r="DM288" s="134"/>
      <c r="DN288" s="134"/>
      <c r="DO288" s="134"/>
      <c r="DP288" s="134"/>
      <c r="DQ288" s="134"/>
      <c r="DR288" s="134"/>
      <c r="DS288" s="134"/>
      <c r="DT288" s="134"/>
      <c r="DU288" s="134">
        <f t="array" ref="DU288">IFERROR(INDEX(TABLACONSOLIDADA[Buff Act],MATCH("AGROINSUMOSAGROQUIMICOSSUR"&amp;Tabla_Buffers_Agroinsumos[[#This Row],[CODIGO ]],TABLACONSOLIDADA[Bodega]&amp;TABLACONSOLIDADA[Codigo],0)),"")</f>
        <v>0</v>
      </c>
      <c r="DV288" s="157">
        <f t="array" ref="DV288">IFERROR(INDEX(TABLACONSOLIDADA[Inv Fís Act],MATCH("AGROINSUMOSAGROQUIMICOSSUR"&amp;Tabla_Buffers_Agroinsumos[[#This Row],[CODIGO ]],TABLACONSOLIDADA[Bodega]&amp;TABLACONSOLIDADA[Codigo],0)),"")</f>
        <v>0</v>
      </c>
      <c r="DW288" s="157">
        <f t="array" ref="DW28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8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88" s="134">
        <f>IFERROR(SUM(Tabla_Buffers_Agroinsumos[[#This Row],[AS-MP]:[AS-VL]]),"")</f>
        <v>0</v>
      </c>
      <c r="DZ288" s="92">
        <f>IFERROR(Tabla_Buffers_Agroinsumos[[#This Row],[INV FIS AS]]-Tabla_Buffers_Agroinsumos[[#This Row],[BUFFER AS]],"")</f>
        <v>0</v>
      </c>
      <c r="EA28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88" s="134"/>
      <c r="EC288" s="134"/>
      <c r="ED288" s="134"/>
      <c r="EE288" s="134"/>
      <c r="EF288" s="134"/>
      <c r="EG288" s="134"/>
      <c r="EH288" s="134"/>
      <c r="EI288" s="134"/>
      <c r="EJ288" s="134"/>
      <c r="EK288" s="134">
        <f t="array" ref="EK288">IFERROR(INDEX(TABLACONSOLIDADA[Buff Act],MATCH("AGROINSUMOSLAFINCA"&amp;Tabla_Buffers_Agroinsumos[[#This Row],[CODIGO ]],TABLACONSOLIDADA[Bodega]&amp;TABLACONSOLIDADA[Codigo],0)),"")</f>
        <v>0</v>
      </c>
      <c r="EL288" s="157">
        <f t="array" ref="EL288">IFERROR(INDEX(TABLACONSOLIDADA[Inv Fís Act],MATCH("AGROINSUMOSLAFINCA"&amp;Tabla_Buffers_Agroinsumos[[#This Row],[CODIGO ]],TABLACONSOLIDADA[Bodega]&amp;TABLACONSOLIDADA[Codigo],0)),"")</f>
        <v>0</v>
      </c>
      <c r="EM288" s="157">
        <f t="array" ref="EM28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8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88" s="134">
        <f>IFERROR(SUM(Tabla_Buffers_Agroinsumos[[#This Row],[LF-MP]:[LF-VL]]),"")</f>
        <v>0</v>
      </c>
      <c r="EP288" s="92">
        <f>IFERROR(Tabla_Buffers_Agroinsumos[[#This Row],[INV FIS LF]]-Tabla_Buffers_Agroinsumos[[#This Row],[BUFFER LF]],"")</f>
        <v>0</v>
      </c>
      <c r="EQ28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88" s="134"/>
      <c r="ES288" s="134"/>
      <c r="ET288" s="134"/>
      <c r="EU288" s="134"/>
      <c r="EV288" s="134"/>
      <c r="EW288" s="134"/>
      <c r="EX288" s="134"/>
      <c r="EY288" s="134"/>
      <c r="EZ288" s="134"/>
      <c r="FA288" s="134">
        <f t="array" ref="FA288">IFERROR(INDEX(TABLACONSOLIDADA[Buff Act],MATCH("AGROINSUMOSVERONICALEDESMA"&amp;Tabla_Buffers_Agroinsumos[[#This Row],[CODIGO ]],TABLACONSOLIDADA[Bodega]&amp;TABLACONSOLIDADA[Codigo],0)),"")</f>
        <v>0</v>
      </c>
      <c r="FB288" s="157">
        <f t="array" ref="FB288">IFERROR(INDEX(TABLACONSOLIDADA[Inv Fís Act],MATCH("AGROINSUMOSVERONICALEDESMA"&amp;Tabla_Buffers_Agroinsumos[[#This Row],[CODIGO ]],TABLACONSOLIDADA[Bodega]&amp;TABLACONSOLIDADA[Codigo],0)),"")</f>
        <v>0</v>
      </c>
      <c r="FC288" s="157">
        <f t="array" ref="FC28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8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88" s="134">
        <f>IFERROR(SUM(Tabla_Buffers_Agroinsumos[[#This Row],[VL-MP]:[VL-LF]]),"")</f>
        <v>0</v>
      </c>
      <c r="FF288" s="92">
        <f>IFERROR(Tabla_Buffers_Agroinsumos[[#This Row],[INV FIS VL]]-Tabla_Buffers_Agroinsumos[[#This Row],[BUFFER VL]],"")</f>
        <v>0</v>
      </c>
      <c r="FG28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88" s="134"/>
      <c r="FI288" s="134"/>
      <c r="FJ288" s="134"/>
      <c r="FK288" s="134"/>
      <c r="FL288" s="134"/>
      <c r="FM288" s="134"/>
      <c r="FN288" s="134"/>
      <c r="FO288" s="134"/>
      <c r="FP288" s="134"/>
    </row>
    <row r="289" spans="1:172">
      <c r="A289" s="7" t="s">
        <v>497</v>
      </c>
      <c r="B289" s="7" t="s">
        <v>498</v>
      </c>
      <c r="C289" s="7" t="s">
        <v>707</v>
      </c>
      <c r="D289" s="7" t="s">
        <v>732</v>
      </c>
      <c r="E289" s="7" t="s">
        <v>975</v>
      </c>
      <c r="F289" s="19" t="s">
        <v>698</v>
      </c>
      <c r="G289" s="19" t="s">
        <v>698</v>
      </c>
      <c r="H289" s="19">
        <f>VLOOKUP(Tabla_Buffers_Agroinsumos[[#This Row],[CODIGO ]],TABLACONSOLIDADA[[Codigo]:[PV]],6,0)</f>
        <v>28.9</v>
      </c>
      <c r="I289" s="19">
        <f>VLOOKUP(Tabla_Buffers_Agroinsumos[[#This Row],[CODIGO ]],TABLACONSOLIDADA[[Codigo]:[PV]],5,0)</f>
        <v>23.46</v>
      </c>
      <c r="J289" s="19" t="s">
        <v>698</v>
      </c>
      <c r="K289" s="19" t="s">
        <v>698</v>
      </c>
      <c r="L289" s="19">
        <f>IFERROR(Tabla_Buffers_Agroinsumos[[#This Row],[BUFFER CENTRAL]]/((Tabla_Buffers_Agroinsumos[[#This Row],[TIEMPO REPOSICION ]]/Tabla_Buffers_Agroinsumos[[#This Row],[FRECUENCIA]])+1),0)</f>
        <v>0</v>
      </c>
      <c r="M289" s="19" t="str">
        <f t="array" ref="M289">IFERROR(INDEX(TABLACONSOLIDADA[Buff Act],MATCH("AGROINSUMOSMATERIAPRIMA"&amp;Tabla_Buffers_Agroinsumos[[#This Row],[CODIGO ]],TABLACONSOLIDADA[Bodega]&amp;TABLACONSOLIDADA[Codigo],0)),"")</f>
        <v/>
      </c>
      <c r="N289" s="157" t="str">
        <f t="array" ref="N289">IFERROR(INDEX(TABLACONSOLIDADA[Inv Fís Act],MATCH("AGROINSUMOSMATERIAPRIMA"&amp;Tabla_Buffers_Agroinsumos[[#This Row],[CODIGO ]],TABLACONSOLIDADA[Bodega]&amp;TABLACONSOLIDADA[Codigo],0)),"")</f>
        <v/>
      </c>
      <c r="O289" s="157" t="str">
        <f t="array" ref="O28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8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89" s="19">
        <f>IFERROR(SUM(Tabla_Buffers_Agroinsumos[[#This Row],[MP-C]:[MP-VL]]),"")</f>
        <v>0</v>
      </c>
      <c r="R289" s="92" t="str">
        <f>IFERROR(Tabla_Buffers_Agroinsumos[[#This Row],[INV FIS MATERIA PRIMA]]-Tabla_Buffers_Agroinsumos[[#This Row],[BUFFER MATERIA PRIMA]],"")</f>
        <v/>
      </c>
      <c r="S28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89" s="19"/>
      <c r="U289" s="19"/>
      <c r="V289" s="19"/>
      <c r="W289" s="19"/>
      <c r="X289" s="19"/>
      <c r="Y289" s="19"/>
      <c r="Z289" s="19"/>
      <c r="AA289" s="19"/>
      <c r="AB289" s="19"/>
      <c r="AC289" s="152">
        <f t="array" ref="AC289">IFERROR(INDEX(TABLACONSOLIDADA[Buff Act],MATCH("AGROINSUMOSCENTRAL"&amp;Tabla_Buffers_Agroinsumos[[#This Row],[CODIGO ]],TABLACONSOLIDADA[Bodega]&amp;TABLACONSOLIDADA[Codigo],0)),"")</f>
        <v>60</v>
      </c>
      <c r="AD289" s="157">
        <f t="array" ref="AD289">IFERROR(INDEX(TABLACONSOLIDADA[Inv Fís Act],MATCH("AGROINSUMOSCENTRAL"&amp;Tabla_Buffers_Agroinsumos[[#This Row],[CODIGO ]],TABLACONSOLIDADA[Bodega]&amp;TABLACONSOLIDADA[Codigo],0)),"")</f>
        <v>52</v>
      </c>
      <c r="AE289" s="157">
        <f t="array" ref="AE28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52</v>
      </c>
      <c r="AF28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89" s="91">
        <f>IFERROR(SUM(Tabla_Buffers_Agroinsumos[[#This Row],[C-MP]:[C-VL]]),"")</f>
        <v>0</v>
      </c>
      <c r="AH289" s="92">
        <f>IFERROR(Tabla_Buffers_Agroinsumos[[#This Row],[INV FIS CENTRAL]]-Tabla_Buffers_Agroinsumos[[#This Row],[BUFFER CENTRAL]],"")</f>
        <v>-8</v>
      </c>
      <c r="AI28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-8</v>
      </c>
      <c r="AJ289" s="134"/>
      <c r="AK289" s="134"/>
      <c r="AL289" s="134"/>
      <c r="AM289" s="134"/>
      <c r="AN289" s="134"/>
      <c r="AO289" s="134"/>
      <c r="AP289" s="134"/>
      <c r="AQ289" s="134"/>
      <c r="AR289" s="134"/>
      <c r="AS289" s="134">
        <f t="array" ref="AS289">IFERROR(INDEX(TABLACONSOLIDADA[Buff Act],MATCH("AGROINSUMOScentralPROPIA"&amp;Tabla_Buffers_Agroinsumos[[#This Row],[CODIGO ]],TABLACONSOLIDADA[Bodega]&amp;TABLACONSOLIDADA[Codigo],0)),"")</f>
        <v>18</v>
      </c>
      <c r="AT289" s="157">
        <f t="array" ref="AT289">IFERROR(INDEX(TABLACONSOLIDADA[Inv Fís Act],MATCH("AGROINSUMOScentralPROPIA"&amp;Tabla_Buffers_Agroinsumos[[#This Row],[CODIGO ]],TABLACONSOLIDADA[Bodega]&amp;TABLACONSOLIDADA[Codigo],0)),"")</f>
        <v>0</v>
      </c>
      <c r="AU289" s="157">
        <f t="array" ref="AU28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8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89" s="134">
        <f>IFERROR(SUM(Tabla_Buffers_Agroinsumos[[#This Row],[P-MP]:[P-VL]]),"")</f>
        <v>0</v>
      </c>
      <c r="AX289" s="92">
        <f>IFERROR(Tabla_Buffers_Agroinsumos[[#This Row],[INV FIS PROPIA]]-Tabla_Buffers_Agroinsumos[[#This Row],[BUFFER PROPIA]],"")</f>
        <v>-18</v>
      </c>
      <c r="AY28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-18</v>
      </c>
      <c r="AZ289" s="134"/>
      <c r="BA289" s="134"/>
      <c r="BB289" s="134"/>
      <c r="BC289" s="134"/>
      <c r="BD289" s="134"/>
      <c r="BE289" s="134"/>
      <c r="BF289" s="134"/>
      <c r="BG289" s="134"/>
      <c r="BH289" s="134"/>
      <c r="BI289" s="91">
        <f t="array" ref="BI289">IFERROR(INDEX(TABLACONSOLIDADA[Buff Act],MATCH("AGROINSUMOSSTODOMINGO"&amp;Tabla_Buffers_Agroinsumos[[#This Row],[CODIGO ]],TABLACONSOLIDADA[Bodega]&amp;TABLACONSOLIDADA[Codigo],0)),"")</f>
        <v>0</v>
      </c>
      <c r="BJ289" s="157">
        <f t="array" ref="BJ289">IFERROR(INDEX(TABLACONSOLIDADA[Inv Fís Act],MATCH("AGROINSUMOSSTODOMINGO"&amp;Tabla_Buffers_Agroinsumos[[#This Row],[CODIGO ]],TABLACONSOLIDADA[Bodega]&amp;TABLACONSOLIDADA[Codigo],0)),"")</f>
        <v>0</v>
      </c>
      <c r="BK289" s="157">
        <f t="array" ref="BK28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28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89" s="91">
        <f>IFERROR(SUM(Tabla_Buffers_Agroinsumos[[#This Row],[SD-MP]:[SD-VL]]),"")</f>
        <v>0</v>
      </c>
      <c r="BN289" s="92"/>
      <c r="BO289" s="92"/>
      <c r="BP289" s="134"/>
      <c r="BQ289" s="134"/>
      <c r="BR289" s="134"/>
      <c r="BS289" s="134"/>
      <c r="BT289" s="134"/>
      <c r="BU289" s="134"/>
      <c r="BV289" s="134"/>
      <c r="BW289" s="134"/>
      <c r="BX289" s="134"/>
      <c r="BY289" s="134">
        <f t="array" ref="BY289">IFERROR(INDEX(TABLACONSOLIDADA[Buff Act],MATCH("AGROINSUMOSMONCAYOLOPEZ"&amp;Tabla_Buffers_Agroinsumos[[#This Row],[CODIGO ]],TABLACONSOLIDADA[Bodega]&amp;TABLACONSOLIDADA[Codigo],0)),"")</f>
        <v>0</v>
      </c>
      <c r="BZ289" s="157">
        <f t="array" ref="BZ289">IFERROR(INDEX(TABLACONSOLIDADA[Inv Fís Act],MATCH("AGROINSUMOSMONCAYOLOPEZ"&amp;Tabla_Buffers_Agroinsumos[[#This Row],[CODIGO ]],TABLACONSOLIDADA[Bodega]&amp;TABLACONSOLIDADA[Codigo],0)),"")</f>
        <v>0</v>
      </c>
      <c r="CA289" s="157">
        <f t="array" ref="CA28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8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89" s="134">
        <f>IFERROR(SUM(Tabla_Buffers_Agroinsumos[[#This Row],[ML-MP]:[ML-VL]]),"")</f>
        <v>0</v>
      </c>
      <c r="CD289" s="92">
        <f>IFERROR(Tabla_Buffers_Agroinsumos[[#This Row],[INV FIS ML]]-Tabla_Buffers_Agroinsumos[[#This Row],[BUFFER ML]],"")</f>
        <v>0</v>
      </c>
      <c r="CE28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89" s="134"/>
      <c r="CG289" s="134"/>
      <c r="CH289" s="134"/>
      <c r="CI289" s="134"/>
      <c r="CJ289" s="134"/>
      <c r="CK289" s="134"/>
      <c r="CL289" s="134"/>
      <c r="CM289" s="134"/>
      <c r="CN289" s="134"/>
      <c r="CO289" s="134">
        <f t="array" ref="CO289">IFERROR(INDEX(TABLACONSOLIDADA[Buff Act],MATCH("AGROINSUMOSAGROHERMANOSLEON"&amp;Tabla_Buffers_Agroinsumos[[#This Row],[CODIGO ]],TABLACONSOLIDADA[Bodega]&amp;TABLACONSOLIDADA[Codigo],0)),"")</f>
        <v>30</v>
      </c>
      <c r="CP289" s="157">
        <f t="array" ref="CP289">IFERROR(INDEX(TABLACONSOLIDADA[Inv Fís Act],MATCH("AGROINSUMOSAGROHERMANOSLEON"&amp;Tabla_Buffers_Agroinsumos[[#This Row],[CODIGO ]],TABLACONSOLIDADA[Bodega]&amp;TABLACONSOLIDADA[Codigo],0)),"")</f>
        <v>31</v>
      </c>
      <c r="CQ289" s="157">
        <f t="array" ref="CQ28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31</v>
      </c>
      <c r="CR28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89" s="134">
        <f>IFERROR(SUM(Tabla_Buffers_Agroinsumos[[#This Row],[AL-MP]:[AL-VL]]),"")</f>
        <v>0</v>
      </c>
      <c r="CT289" s="92">
        <f>IFERROR(Tabla_Buffers_Agroinsumos[[#This Row],[INV FIS AL]]-Tabla_Buffers_Agroinsumos[[#This Row],[BUFFER AL]],"")</f>
        <v>1</v>
      </c>
      <c r="CU289" s="92">
        <f>IFERROR(Tabla_Buffers_Agroinsumos[[#This Row],[INV FIS AL]]+Tabla_Buffers_Agroinsumos[[#This Row],[TRANSFERENCIAS A AL]]-Tabla_Buffers_Agroinsumos[[#This Row],[BUFFER AL]]-Tabla_Buffers_Agroinsumos[[#This Row],[TRANSFERENCIAS DE AL]],"")</f>
        <v>1</v>
      </c>
      <c r="CV289" s="134"/>
      <c r="CW289" s="134"/>
      <c r="CX289" s="134"/>
      <c r="CY289" s="134"/>
      <c r="CZ289" s="134"/>
      <c r="DA289" s="134"/>
      <c r="DB289" s="134"/>
      <c r="DC289" s="134"/>
      <c r="DD289" s="134"/>
      <c r="DE289" s="134">
        <f t="array" ref="DE289">IFERROR(INDEX(TABLACONSOLIDADA[Buff Act],MATCH("AGROINSUMOSAGRONUEVO"&amp;Tabla_Buffers_Agroinsumos[[#This Row],[CODIGO ]],TABLACONSOLIDADA[Bodega]&amp;TABLACONSOLIDADA[Codigo],0)),"")</f>
        <v>0</v>
      </c>
      <c r="DF289" s="157">
        <f t="array" ref="DF289">IFERROR(INDEX(TABLACONSOLIDADA[Inv Fís Act],MATCH("AGROINSUMOSAGRONUEVO"&amp;Tabla_Buffers_Agroinsumos[[#This Row],[CODIGO ]],TABLACONSOLIDADA[Bodega]&amp;TABLACONSOLIDADA[Codigo],0)),"")</f>
        <v>20</v>
      </c>
      <c r="DG289" s="157">
        <f t="array" ref="DG28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20</v>
      </c>
      <c r="DH28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89" s="134">
        <f>IFERROR(SUM(Tabla_Buffers_Agroinsumos[[#This Row],[AN-MP]:[AN-VL]]),"")</f>
        <v>0</v>
      </c>
      <c r="DJ289" s="92">
        <f>IFERROR(Tabla_Buffers_Agroinsumos[[#This Row],[INV FIS AN]]-Tabla_Buffers_Agroinsumos[[#This Row],[BUFFER AN]],"")</f>
        <v>20</v>
      </c>
      <c r="DK289" s="92">
        <f>IFERROR(Tabla_Buffers_Agroinsumos[[#This Row],[INV FIS AN]]+Tabla_Buffers_Agroinsumos[[#This Row],[TRANSFERENCIAS A AN]]-Tabla_Buffers_Agroinsumos[[#This Row],[BUFFER AN]]-Tabla_Buffers_Agroinsumos[[#This Row],[TRANSFERENCIAS DE AN]],"")</f>
        <v>20</v>
      </c>
      <c r="DL289" s="134"/>
      <c r="DM289" s="134"/>
      <c r="DN289" s="134"/>
      <c r="DO289" s="134"/>
      <c r="DP289" s="134"/>
      <c r="DQ289" s="134"/>
      <c r="DR289" s="134"/>
      <c r="DS289" s="134"/>
      <c r="DT289" s="134"/>
      <c r="DU289" s="134">
        <f t="array" ref="DU289">IFERROR(INDEX(TABLACONSOLIDADA[Buff Act],MATCH("AGROINSUMOSAGROQUIMICOSSUR"&amp;Tabla_Buffers_Agroinsumos[[#This Row],[CODIGO ]],TABLACONSOLIDADA[Bodega]&amp;TABLACONSOLIDADA[Codigo],0)),"")</f>
        <v>0</v>
      </c>
      <c r="DV289" s="157">
        <f t="array" ref="DV289">IFERROR(INDEX(TABLACONSOLIDADA[Inv Fís Act],MATCH("AGROINSUMOSAGROQUIMICOSSUR"&amp;Tabla_Buffers_Agroinsumos[[#This Row],[CODIGO ]],TABLACONSOLIDADA[Bodega]&amp;TABLACONSOLIDADA[Codigo],0)),"")</f>
        <v>0</v>
      </c>
      <c r="DW289" s="157">
        <f t="array" ref="DW28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8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89" s="134">
        <f>IFERROR(SUM(Tabla_Buffers_Agroinsumos[[#This Row],[AS-MP]:[AS-VL]]),"")</f>
        <v>0</v>
      </c>
      <c r="DZ289" s="92">
        <f>IFERROR(Tabla_Buffers_Agroinsumos[[#This Row],[INV FIS AS]]-Tabla_Buffers_Agroinsumos[[#This Row],[BUFFER AS]],"")</f>
        <v>0</v>
      </c>
      <c r="EA28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89" s="134"/>
      <c r="EC289" s="134"/>
      <c r="ED289" s="134"/>
      <c r="EE289" s="134"/>
      <c r="EF289" s="134"/>
      <c r="EG289" s="134"/>
      <c r="EH289" s="134"/>
      <c r="EI289" s="134"/>
      <c r="EJ289" s="134"/>
      <c r="EK289" s="134">
        <f t="array" ref="EK289">IFERROR(INDEX(TABLACONSOLIDADA[Buff Act],MATCH("AGROINSUMOSLAFINCA"&amp;Tabla_Buffers_Agroinsumos[[#This Row],[CODIGO ]],TABLACONSOLIDADA[Bodega]&amp;TABLACONSOLIDADA[Codigo],0)),"")</f>
        <v>0</v>
      </c>
      <c r="EL289" s="157">
        <f t="array" ref="EL289">IFERROR(INDEX(TABLACONSOLIDADA[Inv Fís Act],MATCH("AGROINSUMOSLAFINCA"&amp;Tabla_Buffers_Agroinsumos[[#This Row],[CODIGO ]],TABLACONSOLIDADA[Bodega]&amp;TABLACONSOLIDADA[Codigo],0)),"")</f>
        <v>0</v>
      </c>
      <c r="EM289" s="157">
        <f t="array" ref="EM28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8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89" s="134">
        <f>IFERROR(SUM(Tabla_Buffers_Agroinsumos[[#This Row],[LF-MP]:[LF-VL]]),"")</f>
        <v>0</v>
      </c>
      <c r="EP289" s="92">
        <f>IFERROR(Tabla_Buffers_Agroinsumos[[#This Row],[INV FIS LF]]-Tabla_Buffers_Agroinsumos[[#This Row],[BUFFER LF]],"")</f>
        <v>0</v>
      </c>
      <c r="EQ28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89" s="134"/>
      <c r="ES289" s="134"/>
      <c r="ET289" s="134"/>
      <c r="EU289" s="134"/>
      <c r="EV289" s="134"/>
      <c r="EW289" s="134"/>
      <c r="EX289" s="134"/>
      <c r="EY289" s="134"/>
      <c r="EZ289" s="134"/>
      <c r="FA289" s="134">
        <f t="array" ref="FA289">IFERROR(INDEX(TABLACONSOLIDADA[Buff Act],MATCH("AGROINSUMOSVERONICALEDESMA"&amp;Tabla_Buffers_Agroinsumos[[#This Row],[CODIGO ]],TABLACONSOLIDADA[Bodega]&amp;TABLACONSOLIDADA[Codigo],0)),"")</f>
        <v>0</v>
      </c>
      <c r="FB289" s="157">
        <f t="array" ref="FB289">IFERROR(INDEX(TABLACONSOLIDADA[Inv Fís Act],MATCH("AGROINSUMOSVERONICALEDESMA"&amp;Tabla_Buffers_Agroinsumos[[#This Row],[CODIGO ]],TABLACONSOLIDADA[Bodega]&amp;TABLACONSOLIDADA[Codigo],0)),"")</f>
        <v>0</v>
      </c>
      <c r="FC289" s="157">
        <f t="array" ref="FC28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8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89" s="134">
        <f>IFERROR(SUM(Tabla_Buffers_Agroinsumos[[#This Row],[VL-MP]:[VL-LF]]),"")</f>
        <v>0</v>
      </c>
      <c r="FF289" s="92">
        <f>IFERROR(Tabla_Buffers_Agroinsumos[[#This Row],[INV FIS VL]]-Tabla_Buffers_Agroinsumos[[#This Row],[BUFFER VL]],"")</f>
        <v>0</v>
      </c>
      <c r="FG28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89" s="134"/>
      <c r="FI289" s="134"/>
      <c r="FJ289" s="134"/>
      <c r="FK289" s="134"/>
      <c r="FL289" s="134"/>
      <c r="FM289" s="134"/>
      <c r="FN289" s="134"/>
      <c r="FO289" s="134"/>
      <c r="FP289" s="134"/>
    </row>
    <row r="290" spans="1:172">
      <c r="A290" s="7" t="s">
        <v>499</v>
      </c>
      <c r="B290" s="7" t="s">
        <v>500</v>
      </c>
      <c r="C290" s="7" t="s">
        <v>708</v>
      </c>
      <c r="D290" s="7" t="s">
        <v>715</v>
      </c>
      <c r="E290" s="7" t="s">
        <v>975</v>
      </c>
      <c r="F290" s="19" t="s">
        <v>698</v>
      </c>
      <c r="G290" s="19" t="s">
        <v>698</v>
      </c>
      <c r="H290" s="19">
        <f>VLOOKUP(Tabla_Buffers_Agroinsumos[[#This Row],[CODIGO ]],TABLACONSOLIDADA[[Codigo]:[PV]],6,0)</f>
        <v>127.72</v>
      </c>
      <c r="I290" s="19">
        <f>VLOOKUP(Tabla_Buffers_Agroinsumos[[#This Row],[CODIGO ]],TABLACONSOLIDADA[[Codigo]:[PV]],5,0)</f>
        <v>56.08</v>
      </c>
      <c r="J290" s="19" t="s">
        <v>698</v>
      </c>
      <c r="K290" s="19" t="s">
        <v>698</v>
      </c>
      <c r="L290" s="19">
        <f>IFERROR(Tabla_Buffers_Agroinsumos[[#This Row],[BUFFER CENTRAL]]/((Tabla_Buffers_Agroinsumos[[#This Row],[TIEMPO REPOSICION ]]/Tabla_Buffers_Agroinsumos[[#This Row],[FRECUENCIA]])+1),0)</f>
        <v>0</v>
      </c>
      <c r="M290" s="19" t="str">
        <f t="array" ref="M290">IFERROR(INDEX(TABLACONSOLIDADA[Buff Act],MATCH("AGROINSUMOSMATERIAPRIMA"&amp;Tabla_Buffers_Agroinsumos[[#This Row],[CODIGO ]],TABLACONSOLIDADA[Bodega]&amp;TABLACONSOLIDADA[Codigo],0)),"")</f>
        <v/>
      </c>
      <c r="N290" s="157" t="str">
        <f t="array" ref="N290">IFERROR(INDEX(TABLACONSOLIDADA[Inv Fís Act],MATCH("AGROINSUMOSMATERIAPRIMA"&amp;Tabla_Buffers_Agroinsumos[[#This Row],[CODIGO ]],TABLACONSOLIDADA[Bodega]&amp;TABLACONSOLIDADA[Codigo],0)),"")</f>
        <v/>
      </c>
      <c r="O290" s="157" t="str">
        <f t="array" ref="O29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9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90" s="19">
        <f>IFERROR(SUM(Tabla_Buffers_Agroinsumos[[#This Row],[MP-C]:[MP-VL]]),"")</f>
        <v>0</v>
      </c>
      <c r="R290" s="92" t="str">
        <f>IFERROR(Tabla_Buffers_Agroinsumos[[#This Row],[INV FIS MATERIA PRIMA]]-Tabla_Buffers_Agroinsumos[[#This Row],[BUFFER MATERIA PRIMA]],"")</f>
        <v/>
      </c>
      <c r="S29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90" s="19"/>
      <c r="U290" s="19"/>
      <c r="V290" s="19"/>
      <c r="W290" s="19"/>
      <c r="X290" s="19"/>
      <c r="Y290" s="19"/>
      <c r="Z290" s="19"/>
      <c r="AA290" s="19"/>
      <c r="AB290" s="19"/>
      <c r="AC290" s="152">
        <f t="array" ref="AC290">IFERROR(INDEX(TABLACONSOLIDADA[Buff Act],MATCH("AGROINSUMOSCENTRAL"&amp;Tabla_Buffers_Agroinsumos[[#This Row],[CODIGO ]],TABLACONSOLIDADA[Bodega]&amp;TABLACONSOLIDADA[Codigo],0)),"")</f>
        <v>8</v>
      </c>
      <c r="AD290" s="157">
        <f t="array" ref="AD290">IFERROR(INDEX(TABLACONSOLIDADA[Inv Fís Act],MATCH("AGROINSUMOSCENTRAL"&amp;Tabla_Buffers_Agroinsumos[[#This Row],[CODIGO ]],TABLACONSOLIDADA[Bodega]&amp;TABLACONSOLIDADA[Codigo],0)),"")</f>
        <v>2</v>
      </c>
      <c r="AE290" s="157">
        <f t="array" ref="AE29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10</v>
      </c>
      <c r="AF29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90" s="91">
        <f>IFERROR(SUM(Tabla_Buffers_Agroinsumos[[#This Row],[C-MP]:[C-VL]]),"")</f>
        <v>0</v>
      </c>
      <c r="AH290" s="92">
        <f>IFERROR(Tabla_Buffers_Agroinsumos[[#This Row],[INV FIS CENTRAL]]-Tabla_Buffers_Agroinsumos[[#This Row],[BUFFER CENTRAL]],"")</f>
        <v>-6</v>
      </c>
      <c r="AI29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-6</v>
      </c>
      <c r="AJ290" s="134"/>
      <c r="AK290" s="134"/>
      <c r="AL290" s="134"/>
      <c r="AM290" s="134"/>
      <c r="AN290" s="134"/>
      <c r="AO290" s="134"/>
      <c r="AP290" s="134"/>
      <c r="AQ290" s="134"/>
      <c r="AR290" s="134"/>
      <c r="AS290" s="134">
        <f t="array" ref="AS290">IFERROR(INDEX(TABLACONSOLIDADA[Buff Act],MATCH("AGROINSUMOScentralPROPIA"&amp;Tabla_Buffers_Agroinsumos[[#This Row],[CODIGO ]],TABLACONSOLIDADA[Bodega]&amp;TABLACONSOLIDADA[Codigo],0)),"")</f>
        <v>3</v>
      </c>
      <c r="AT290" s="157">
        <f t="array" ref="AT290">IFERROR(INDEX(TABLACONSOLIDADA[Inv Fís Act],MATCH("AGROINSUMOScentralPROPIA"&amp;Tabla_Buffers_Agroinsumos[[#This Row],[CODIGO ]],TABLACONSOLIDADA[Bodega]&amp;TABLACONSOLIDADA[Codigo],0)),"")</f>
        <v>0</v>
      </c>
      <c r="AU290" s="157">
        <f t="array" ref="AU29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9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90" s="134">
        <f>IFERROR(SUM(Tabla_Buffers_Agroinsumos[[#This Row],[P-MP]:[P-VL]]),"")</f>
        <v>0</v>
      </c>
      <c r="AX290" s="92">
        <f>IFERROR(Tabla_Buffers_Agroinsumos[[#This Row],[INV FIS PROPIA]]-Tabla_Buffers_Agroinsumos[[#This Row],[BUFFER PROPIA]],"")</f>
        <v>-3</v>
      </c>
      <c r="AY29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</v>
      </c>
      <c r="AZ290" s="134"/>
      <c r="BA290" s="134"/>
      <c r="BB290" s="134"/>
      <c r="BC290" s="134"/>
      <c r="BD290" s="134"/>
      <c r="BE290" s="134"/>
      <c r="BF290" s="134"/>
      <c r="BG290" s="134"/>
      <c r="BH290" s="134"/>
      <c r="BI290" s="91">
        <f t="array" ref="BI290">IFERROR(INDEX(TABLACONSOLIDADA[Buff Act],MATCH("AGROINSUMOSSTODOMINGO"&amp;Tabla_Buffers_Agroinsumos[[#This Row],[CODIGO ]],TABLACONSOLIDADA[Bodega]&amp;TABLACONSOLIDADA[Codigo],0)),"")</f>
        <v>0</v>
      </c>
      <c r="BJ290" s="157">
        <f t="array" ref="BJ290">IFERROR(INDEX(TABLACONSOLIDADA[Inv Fís Act],MATCH("AGROINSUMOSSTODOMINGO"&amp;Tabla_Buffers_Agroinsumos[[#This Row],[CODIGO ]],TABLACONSOLIDADA[Bodega]&amp;TABLACONSOLIDADA[Codigo],0)),"")</f>
        <v>2</v>
      </c>
      <c r="BK290" s="157">
        <f t="array" ref="BK29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2</v>
      </c>
      <c r="BL29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90" s="91">
        <f>IFERROR(SUM(Tabla_Buffers_Agroinsumos[[#This Row],[SD-MP]:[SD-VL]]),"")</f>
        <v>0</v>
      </c>
      <c r="BN290" s="92"/>
      <c r="BO290" s="92"/>
      <c r="BP290" s="134"/>
      <c r="BQ290" s="134"/>
      <c r="BR290" s="134"/>
      <c r="BS290" s="134"/>
      <c r="BT290" s="134"/>
      <c r="BU290" s="134"/>
      <c r="BV290" s="134"/>
      <c r="BW290" s="134"/>
      <c r="BX290" s="134"/>
      <c r="BY290" s="134">
        <f t="array" ref="BY290">IFERROR(INDEX(TABLACONSOLIDADA[Buff Act],MATCH("AGROINSUMOSMONCAYOLOPEZ"&amp;Tabla_Buffers_Agroinsumos[[#This Row],[CODIGO ]],TABLACONSOLIDADA[Bodega]&amp;TABLACONSOLIDADA[Codigo],0)),"")</f>
        <v>0</v>
      </c>
      <c r="BZ290" s="157">
        <f t="array" ref="BZ290">IFERROR(INDEX(TABLACONSOLIDADA[Inv Fís Act],MATCH("AGROINSUMOSMONCAYOLOPEZ"&amp;Tabla_Buffers_Agroinsumos[[#This Row],[CODIGO ]],TABLACONSOLIDADA[Bodega]&amp;TABLACONSOLIDADA[Codigo],0)),"")</f>
        <v>0</v>
      </c>
      <c r="CA290" s="157">
        <f t="array" ref="CA29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9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90" s="134">
        <f>IFERROR(SUM(Tabla_Buffers_Agroinsumos[[#This Row],[ML-MP]:[ML-VL]]),"")</f>
        <v>0</v>
      </c>
      <c r="CD290" s="92">
        <f>IFERROR(Tabla_Buffers_Agroinsumos[[#This Row],[INV FIS ML]]-Tabla_Buffers_Agroinsumos[[#This Row],[BUFFER ML]],"")</f>
        <v>0</v>
      </c>
      <c r="CE29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90" s="134"/>
      <c r="CG290" s="134"/>
      <c r="CH290" s="134"/>
      <c r="CI290" s="134"/>
      <c r="CJ290" s="134"/>
      <c r="CK290" s="134"/>
      <c r="CL290" s="134"/>
      <c r="CM290" s="134"/>
      <c r="CN290" s="134"/>
      <c r="CO290" s="134">
        <f t="array" ref="CO290">IFERROR(INDEX(TABLACONSOLIDADA[Buff Act],MATCH("AGROINSUMOSAGROHERMANOSLEON"&amp;Tabla_Buffers_Agroinsumos[[#This Row],[CODIGO ]],TABLACONSOLIDADA[Bodega]&amp;TABLACONSOLIDADA[Codigo],0)),"")</f>
        <v>0</v>
      </c>
      <c r="CP290" s="157">
        <f t="array" ref="CP290">IFERROR(INDEX(TABLACONSOLIDADA[Inv Fís Act],MATCH("AGROINSUMOSAGROHERMANOSLEON"&amp;Tabla_Buffers_Agroinsumos[[#This Row],[CODIGO ]],TABLACONSOLIDADA[Bodega]&amp;TABLACONSOLIDADA[Codigo],0)),"")</f>
        <v>0</v>
      </c>
      <c r="CQ290" s="157">
        <f t="array" ref="CQ29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9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90" s="134">
        <f>IFERROR(SUM(Tabla_Buffers_Agroinsumos[[#This Row],[AL-MP]:[AL-VL]]),"")</f>
        <v>0</v>
      </c>
      <c r="CT290" s="92">
        <f>IFERROR(Tabla_Buffers_Agroinsumos[[#This Row],[INV FIS AL]]-Tabla_Buffers_Agroinsumos[[#This Row],[BUFFER AL]],"")</f>
        <v>0</v>
      </c>
      <c r="CU290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90" s="134"/>
      <c r="CW290" s="134"/>
      <c r="CX290" s="134"/>
      <c r="CY290" s="134"/>
      <c r="CZ290" s="134"/>
      <c r="DA290" s="134"/>
      <c r="DB290" s="134"/>
      <c r="DC290" s="134"/>
      <c r="DD290" s="134"/>
      <c r="DE290" s="134">
        <f t="array" ref="DE290">IFERROR(INDEX(TABLACONSOLIDADA[Buff Act],MATCH("AGROINSUMOSAGRONUEVO"&amp;Tabla_Buffers_Agroinsumos[[#This Row],[CODIGO ]],TABLACONSOLIDADA[Bodega]&amp;TABLACONSOLIDADA[Codigo],0)),"")</f>
        <v>0</v>
      </c>
      <c r="DF290" s="157">
        <f t="array" ref="DF290">IFERROR(INDEX(TABLACONSOLIDADA[Inv Fís Act],MATCH("AGROINSUMOSAGRONUEVO"&amp;Tabla_Buffers_Agroinsumos[[#This Row],[CODIGO ]],TABLACONSOLIDADA[Bodega]&amp;TABLACONSOLIDADA[Codigo],0)),"")</f>
        <v>0</v>
      </c>
      <c r="DG290" s="157">
        <f t="array" ref="DG29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9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90" s="134">
        <f>IFERROR(SUM(Tabla_Buffers_Agroinsumos[[#This Row],[AN-MP]:[AN-VL]]),"")</f>
        <v>0</v>
      </c>
      <c r="DJ290" s="92">
        <f>IFERROR(Tabla_Buffers_Agroinsumos[[#This Row],[INV FIS AN]]-Tabla_Buffers_Agroinsumos[[#This Row],[BUFFER AN]],"")</f>
        <v>0</v>
      </c>
      <c r="DK29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90" s="134"/>
      <c r="DM290" s="134"/>
      <c r="DN290" s="134"/>
      <c r="DO290" s="134"/>
      <c r="DP290" s="134"/>
      <c r="DQ290" s="134"/>
      <c r="DR290" s="134"/>
      <c r="DS290" s="134"/>
      <c r="DT290" s="134"/>
      <c r="DU290" s="134">
        <f t="array" ref="DU290">IFERROR(INDEX(TABLACONSOLIDADA[Buff Act],MATCH("AGROINSUMOSAGROQUIMICOSSUR"&amp;Tabla_Buffers_Agroinsumos[[#This Row],[CODIGO ]],TABLACONSOLIDADA[Bodega]&amp;TABLACONSOLIDADA[Codigo],0)),"")</f>
        <v>0</v>
      </c>
      <c r="DV290" s="157">
        <f t="array" ref="DV290">IFERROR(INDEX(TABLACONSOLIDADA[Inv Fís Act],MATCH("AGROINSUMOSAGROQUIMICOSSUR"&amp;Tabla_Buffers_Agroinsumos[[#This Row],[CODIGO ]],TABLACONSOLIDADA[Bodega]&amp;TABLACONSOLIDADA[Codigo],0)),"")</f>
        <v>0</v>
      </c>
      <c r="DW290" s="157">
        <f t="array" ref="DW29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9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90" s="134">
        <f>IFERROR(SUM(Tabla_Buffers_Agroinsumos[[#This Row],[AS-MP]:[AS-VL]]),"")</f>
        <v>0</v>
      </c>
      <c r="DZ290" s="92">
        <f>IFERROR(Tabla_Buffers_Agroinsumos[[#This Row],[INV FIS AS]]-Tabla_Buffers_Agroinsumos[[#This Row],[BUFFER AS]],"")</f>
        <v>0</v>
      </c>
      <c r="EA29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90" s="134"/>
      <c r="EC290" s="134"/>
      <c r="ED290" s="134"/>
      <c r="EE290" s="134"/>
      <c r="EF290" s="134"/>
      <c r="EG290" s="134"/>
      <c r="EH290" s="134"/>
      <c r="EI290" s="134"/>
      <c r="EJ290" s="134"/>
      <c r="EK290" s="134">
        <f t="array" ref="EK290">IFERROR(INDEX(TABLACONSOLIDADA[Buff Act],MATCH("AGROINSUMOSLAFINCA"&amp;Tabla_Buffers_Agroinsumos[[#This Row],[CODIGO ]],TABLACONSOLIDADA[Bodega]&amp;TABLACONSOLIDADA[Codigo],0)),"")</f>
        <v>0</v>
      </c>
      <c r="EL290" s="157">
        <f t="array" ref="EL290">IFERROR(INDEX(TABLACONSOLIDADA[Inv Fís Act],MATCH("AGROINSUMOSLAFINCA"&amp;Tabla_Buffers_Agroinsumos[[#This Row],[CODIGO ]],TABLACONSOLIDADA[Bodega]&amp;TABLACONSOLIDADA[Codigo],0)),"")</f>
        <v>0</v>
      </c>
      <c r="EM290" s="157">
        <f t="array" ref="EM29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9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90" s="134">
        <f>IFERROR(SUM(Tabla_Buffers_Agroinsumos[[#This Row],[LF-MP]:[LF-VL]]),"")</f>
        <v>0</v>
      </c>
      <c r="EP290" s="92">
        <f>IFERROR(Tabla_Buffers_Agroinsumos[[#This Row],[INV FIS LF]]-Tabla_Buffers_Agroinsumos[[#This Row],[BUFFER LF]],"")</f>
        <v>0</v>
      </c>
      <c r="EQ290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90" s="134"/>
      <c r="ES290" s="134"/>
      <c r="ET290" s="134"/>
      <c r="EU290" s="134"/>
      <c r="EV290" s="134"/>
      <c r="EW290" s="134"/>
      <c r="EX290" s="134"/>
      <c r="EY290" s="134"/>
      <c r="EZ290" s="134"/>
      <c r="FA290" s="134">
        <f t="array" ref="FA290">IFERROR(INDEX(TABLACONSOLIDADA[Buff Act],MATCH("AGROINSUMOSVERONICALEDESMA"&amp;Tabla_Buffers_Agroinsumos[[#This Row],[CODIGO ]],TABLACONSOLIDADA[Bodega]&amp;TABLACONSOLIDADA[Codigo],0)),"")</f>
        <v>0</v>
      </c>
      <c r="FB290" s="157">
        <f t="array" ref="FB290">IFERROR(INDEX(TABLACONSOLIDADA[Inv Fís Act],MATCH("AGROINSUMOSVERONICALEDESMA"&amp;Tabla_Buffers_Agroinsumos[[#This Row],[CODIGO ]],TABLACONSOLIDADA[Bodega]&amp;TABLACONSOLIDADA[Codigo],0)),"")</f>
        <v>0</v>
      </c>
      <c r="FC290" s="157">
        <f t="array" ref="FC29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9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90" s="134">
        <f>IFERROR(SUM(Tabla_Buffers_Agroinsumos[[#This Row],[VL-MP]:[VL-LF]]),"")</f>
        <v>0</v>
      </c>
      <c r="FF290" s="92">
        <f>IFERROR(Tabla_Buffers_Agroinsumos[[#This Row],[INV FIS VL]]-Tabla_Buffers_Agroinsumos[[#This Row],[BUFFER VL]],"")</f>
        <v>0</v>
      </c>
      <c r="FG29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90" s="134"/>
      <c r="FI290" s="134"/>
      <c r="FJ290" s="134"/>
      <c r="FK290" s="134"/>
      <c r="FL290" s="134"/>
      <c r="FM290" s="134"/>
      <c r="FN290" s="134"/>
      <c r="FO290" s="134"/>
      <c r="FP290" s="134"/>
    </row>
    <row r="291" spans="1:172">
      <c r="A291" s="7" t="s">
        <v>501</v>
      </c>
      <c r="B291" s="7" t="s">
        <v>502</v>
      </c>
      <c r="C291" s="7" t="s">
        <v>708</v>
      </c>
      <c r="D291" s="7" t="s">
        <v>715</v>
      </c>
      <c r="E291" s="7" t="s">
        <v>975</v>
      </c>
      <c r="F291" s="19" t="s">
        <v>698</v>
      </c>
      <c r="G291" s="19" t="s">
        <v>698</v>
      </c>
      <c r="H291" s="19">
        <f>VLOOKUP(Tabla_Buffers_Agroinsumos[[#This Row],[CODIGO ]],TABLACONSOLIDADA[[Codigo]:[PV]],6,0)</f>
        <v>25.91</v>
      </c>
      <c r="I291" s="19">
        <f>VLOOKUP(Tabla_Buffers_Agroinsumos[[#This Row],[CODIGO ]],TABLACONSOLIDADA[[Codigo]:[PV]],5,0)</f>
        <v>11.48</v>
      </c>
      <c r="J291" s="19" t="s">
        <v>698</v>
      </c>
      <c r="K291" s="19" t="s">
        <v>698</v>
      </c>
      <c r="L291" s="19">
        <f>IFERROR(Tabla_Buffers_Agroinsumos[[#This Row],[BUFFER CENTRAL]]/((Tabla_Buffers_Agroinsumos[[#This Row],[TIEMPO REPOSICION ]]/Tabla_Buffers_Agroinsumos[[#This Row],[FRECUENCIA]])+1),0)</f>
        <v>0</v>
      </c>
      <c r="M291" s="19" t="str">
        <f t="array" ref="M291">IFERROR(INDEX(TABLACONSOLIDADA[Buff Act],MATCH("AGROINSUMOSMATERIAPRIMA"&amp;Tabla_Buffers_Agroinsumos[[#This Row],[CODIGO ]],TABLACONSOLIDADA[Bodega]&amp;TABLACONSOLIDADA[Codigo],0)),"")</f>
        <v/>
      </c>
      <c r="N291" s="157" t="str">
        <f t="array" ref="N291">IFERROR(INDEX(TABLACONSOLIDADA[Inv Fís Act],MATCH("AGROINSUMOSMATERIAPRIMA"&amp;Tabla_Buffers_Agroinsumos[[#This Row],[CODIGO ]],TABLACONSOLIDADA[Bodega]&amp;TABLACONSOLIDADA[Codigo],0)),"")</f>
        <v/>
      </c>
      <c r="O291" s="157" t="str">
        <f t="array" ref="O29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9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91" s="19">
        <f>IFERROR(SUM(Tabla_Buffers_Agroinsumos[[#This Row],[MP-C]:[MP-VL]]),"")</f>
        <v>0</v>
      </c>
      <c r="R291" s="92" t="str">
        <f>IFERROR(Tabla_Buffers_Agroinsumos[[#This Row],[INV FIS MATERIA PRIMA]]-Tabla_Buffers_Agroinsumos[[#This Row],[BUFFER MATERIA PRIMA]],"")</f>
        <v/>
      </c>
      <c r="S29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91" s="19"/>
      <c r="U291" s="19"/>
      <c r="V291" s="19"/>
      <c r="W291" s="19"/>
      <c r="X291" s="19"/>
      <c r="Y291" s="19"/>
      <c r="Z291" s="19"/>
      <c r="AA291" s="19"/>
      <c r="AB291" s="19"/>
      <c r="AC291" s="152">
        <f t="array" ref="AC291">IFERROR(INDEX(TABLACONSOLIDADA[Buff Act],MATCH("AGROINSUMOSCENTRAL"&amp;Tabla_Buffers_Agroinsumos[[#This Row],[CODIGO ]],TABLACONSOLIDADA[Bodega]&amp;TABLACONSOLIDADA[Codigo],0)),"")</f>
        <v>45</v>
      </c>
      <c r="AD291" s="157">
        <f t="array" ref="AD291">IFERROR(INDEX(TABLACONSOLIDADA[Inv Fís Act],MATCH("AGROINSUMOSCENTRAL"&amp;Tabla_Buffers_Agroinsumos[[#This Row],[CODIGO ]],TABLACONSOLIDADA[Bodega]&amp;TABLACONSOLIDADA[Codigo],0)),"")</f>
        <v>47</v>
      </c>
      <c r="AE291" s="157">
        <f t="array" ref="AE29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47</v>
      </c>
      <c r="AF29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91" s="91">
        <f>IFERROR(SUM(Tabla_Buffers_Agroinsumos[[#This Row],[C-MP]:[C-VL]]),"")</f>
        <v>0</v>
      </c>
      <c r="AH291" s="92">
        <f>IFERROR(Tabla_Buffers_Agroinsumos[[#This Row],[INV FIS CENTRAL]]-Tabla_Buffers_Agroinsumos[[#This Row],[BUFFER CENTRAL]],"")</f>
        <v>2</v>
      </c>
      <c r="AI29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</v>
      </c>
      <c r="AJ291" s="134"/>
      <c r="AK291" s="134"/>
      <c r="AL291" s="134"/>
      <c r="AM291" s="134"/>
      <c r="AN291" s="134"/>
      <c r="AO291" s="134"/>
      <c r="AP291" s="134"/>
      <c r="AQ291" s="134"/>
      <c r="AR291" s="134"/>
      <c r="AS291" s="134">
        <f t="array" ref="AS291">IFERROR(INDEX(TABLACONSOLIDADA[Buff Act],MATCH("AGROINSUMOScentralPROPIA"&amp;Tabla_Buffers_Agroinsumos[[#This Row],[CODIGO ]],TABLACONSOLIDADA[Bodega]&amp;TABLACONSOLIDADA[Codigo],0)),"")</f>
        <v>15</v>
      </c>
      <c r="AT291" s="157">
        <f t="array" ref="AT291">IFERROR(INDEX(TABLACONSOLIDADA[Inv Fís Act],MATCH("AGROINSUMOScentralPROPIA"&amp;Tabla_Buffers_Agroinsumos[[#This Row],[CODIGO ]],TABLACONSOLIDADA[Bodega]&amp;TABLACONSOLIDADA[Codigo],0)),"")</f>
        <v>0</v>
      </c>
      <c r="AU291" s="157">
        <f t="array" ref="AU29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9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91" s="134">
        <f>IFERROR(SUM(Tabla_Buffers_Agroinsumos[[#This Row],[P-MP]:[P-VL]]),"")</f>
        <v>0</v>
      </c>
      <c r="AX291" s="92">
        <f>IFERROR(Tabla_Buffers_Agroinsumos[[#This Row],[INV FIS PROPIA]]-Tabla_Buffers_Agroinsumos[[#This Row],[BUFFER PROPIA]],"")</f>
        <v>-15</v>
      </c>
      <c r="AY29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-15</v>
      </c>
      <c r="AZ291" s="134"/>
      <c r="BA291" s="134"/>
      <c r="BB291" s="134"/>
      <c r="BC291" s="134"/>
      <c r="BD291" s="134"/>
      <c r="BE291" s="134"/>
      <c r="BF291" s="134"/>
      <c r="BG291" s="134"/>
      <c r="BH291" s="134"/>
      <c r="BI291" s="91">
        <f t="array" ref="BI291">IFERROR(INDEX(TABLACONSOLIDADA[Buff Act],MATCH("AGROINSUMOSSTODOMINGO"&amp;Tabla_Buffers_Agroinsumos[[#This Row],[CODIGO ]],TABLACONSOLIDADA[Bodega]&amp;TABLACONSOLIDADA[Codigo],0)),"")</f>
        <v>8</v>
      </c>
      <c r="BJ291" s="157">
        <f t="array" ref="BJ291">IFERROR(INDEX(TABLACONSOLIDADA[Inv Fís Act],MATCH("AGROINSUMOSSTODOMINGO"&amp;Tabla_Buffers_Agroinsumos[[#This Row],[CODIGO ]],TABLACONSOLIDADA[Bodega]&amp;TABLACONSOLIDADA[Codigo],0)),"")</f>
        <v>4</v>
      </c>
      <c r="BK291" s="157">
        <f t="array" ref="BK29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4</v>
      </c>
      <c r="BL29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91" s="91">
        <f>IFERROR(SUM(Tabla_Buffers_Agroinsumos[[#This Row],[SD-MP]:[SD-VL]]),"")</f>
        <v>0</v>
      </c>
      <c r="BN291" s="92"/>
      <c r="BO291" s="92"/>
      <c r="BP291" s="134"/>
      <c r="BQ291" s="134"/>
      <c r="BR291" s="134"/>
      <c r="BS291" s="134"/>
      <c r="BT291" s="134"/>
      <c r="BU291" s="134"/>
      <c r="BV291" s="134"/>
      <c r="BW291" s="134"/>
      <c r="BX291" s="134"/>
      <c r="BY291" s="134">
        <f t="array" ref="BY291">IFERROR(INDEX(TABLACONSOLIDADA[Buff Act],MATCH("AGROINSUMOSMONCAYOLOPEZ"&amp;Tabla_Buffers_Agroinsumos[[#This Row],[CODIGO ]],TABLACONSOLIDADA[Bodega]&amp;TABLACONSOLIDADA[Codigo],0)),"")</f>
        <v>0</v>
      </c>
      <c r="BZ291" s="157">
        <f t="array" ref="BZ291">IFERROR(INDEX(TABLACONSOLIDADA[Inv Fís Act],MATCH("AGROINSUMOSMONCAYOLOPEZ"&amp;Tabla_Buffers_Agroinsumos[[#This Row],[CODIGO ]],TABLACONSOLIDADA[Bodega]&amp;TABLACONSOLIDADA[Codigo],0)),"")</f>
        <v>0</v>
      </c>
      <c r="CA291" s="157">
        <f t="array" ref="CA29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9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91" s="134">
        <f>IFERROR(SUM(Tabla_Buffers_Agroinsumos[[#This Row],[ML-MP]:[ML-VL]]),"")</f>
        <v>0</v>
      </c>
      <c r="CD291" s="92">
        <f>IFERROR(Tabla_Buffers_Agroinsumos[[#This Row],[INV FIS ML]]-Tabla_Buffers_Agroinsumos[[#This Row],[BUFFER ML]],"")</f>
        <v>0</v>
      </c>
      <c r="CE291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91" s="134"/>
      <c r="CG291" s="134"/>
      <c r="CH291" s="134"/>
      <c r="CI291" s="134"/>
      <c r="CJ291" s="134"/>
      <c r="CK291" s="134"/>
      <c r="CL291" s="134"/>
      <c r="CM291" s="134"/>
      <c r="CN291" s="134"/>
      <c r="CO291" s="134">
        <f t="array" ref="CO291">IFERROR(INDEX(TABLACONSOLIDADA[Buff Act],MATCH("AGROINSUMOSAGROHERMANOSLEON"&amp;Tabla_Buffers_Agroinsumos[[#This Row],[CODIGO ]],TABLACONSOLIDADA[Bodega]&amp;TABLACONSOLIDADA[Codigo],0)),"")</f>
        <v>0</v>
      </c>
      <c r="CP291" s="157">
        <f t="array" ref="CP291">IFERROR(INDEX(TABLACONSOLIDADA[Inv Fís Act],MATCH("AGROINSUMOSAGROHERMANOSLEON"&amp;Tabla_Buffers_Agroinsumos[[#This Row],[CODIGO ]],TABLACONSOLIDADA[Bodega]&amp;TABLACONSOLIDADA[Codigo],0)),"")</f>
        <v>10</v>
      </c>
      <c r="CQ291" s="157">
        <f t="array" ref="CQ29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10</v>
      </c>
      <c r="CR29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91" s="134">
        <f>IFERROR(SUM(Tabla_Buffers_Agroinsumos[[#This Row],[AL-MP]:[AL-VL]]),"")</f>
        <v>0</v>
      </c>
      <c r="CT291" s="92">
        <f>IFERROR(Tabla_Buffers_Agroinsumos[[#This Row],[INV FIS AL]]-Tabla_Buffers_Agroinsumos[[#This Row],[BUFFER AL]],"")</f>
        <v>10</v>
      </c>
      <c r="CU291" s="92">
        <f>IFERROR(Tabla_Buffers_Agroinsumos[[#This Row],[INV FIS AL]]+Tabla_Buffers_Agroinsumos[[#This Row],[TRANSFERENCIAS A AL]]-Tabla_Buffers_Agroinsumos[[#This Row],[BUFFER AL]]-Tabla_Buffers_Agroinsumos[[#This Row],[TRANSFERENCIAS DE AL]],"")</f>
        <v>10</v>
      </c>
      <c r="CV291" s="134"/>
      <c r="CW291" s="134"/>
      <c r="CX291" s="134"/>
      <c r="CY291" s="134"/>
      <c r="CZ291" s="134"/>
      <c r="DA291" s="134"/>
      <c r="DB291" s="134"/>
      <c r="DC291" s="134"/>
      <c r="DD291" s="134"/>
      <c r="DE291" s="134">
        <f t="array" ref="DE291">IFERROR(INDEX(TABLACONSOLIDADA[Buff Act],MATCH("AGROINSUMOSAGRONUEVO"&amp;Tabla_Buffers_Agroinsumos[[#This Row],[CODIGO ]],TABLACONSOLIDADA[Bodega]&amp;TABLACONSOLIDADA[Codigo],0)),"")</f>
        <v>8</v>
      </c>
      <c r="DF291" s="157">
        <f t="array" ref="DF291">IFERROR(INDEX(TABLACONSOLIDADA[Inv Fís Act],MATCH("AGROINSUMOSAGRONUEVO"&amp;Tabla_Buffers_Agroinsumos[[#This Row],[CODIGO ]],TABLACONSOLIDADA[Bodega]&amp;TABLACONSOLIDADA[Codigo],0)),"")</f>
        <v>8</v>
      </c>
      <c r="DG291" s="157">
        <f t="array" ref="DG29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8</v>
      </c>
      <c r="DH29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91" s="134">
        <f>IFERROR(SUM(Tabla_Buffers_Agroinsumos[[#This Row],[AN-MP]:[AN-VL]]),"")</f>
        <v>0</v>
      </c>
      <c r="DJ291" s="92">
        <f>IFERROR(Tabla_Buffers_Agroinsumos[[#This Row],[INV FIS AN]]-Tabla_Buffers_Agroinsumos[[#This Row],[BUFFER AN]],"")</f>
        <v>0</v>
      </c>
      <c r="DK291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91" s="134"/>
      <c r="DM291" s="134"/>
      <c r="DN291" s="134"/>
      <c r="DO291" s="134"/>
      <c r="DP291" s="134"/>
      <c r="DQ291" s="134"/>
      <c r="DR291" s="134"/>
      <c r="DS291" s="134"/>
      <c r="DT291" s="134"/>
      <c r="DU291" s="134">
        <f t="array" ref="DU291">IFERROR(INDEX(TABLACONSOLIDADA[Buff Act],MATCH("AGROINSUMOSAGROQUIMICOSSUR"&amp;Tabla_Buffers_Agroinsumos[[#This Row],[CODIGO ]],TABLACONSOLIDADA[Bodega]&amp;TABLACONSOLIDADA[Codigo],0)),"")</f>
        <v>0</v>
      </c>
      <c r="DV291" s="157">
        <f t="array" ref="DV291">IFERROR(INDEX(TABLACONSOLIDADA[Inv Fís Act],MATCH("AGROINSUMOSAGROQUIMICOSSUR"&amp;Tabla_Buffers_Agroinsumos[[#This Row],[CODIGO ]],TABLACONSOLIDADA[Bodega]&amp;TABLACONSOLIDADA[Codigo],0)),"")</f>
        <v>0</v>
      </c>
      <c r="DW291" s="157">
        <f t="array" ref="DW29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9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91" s="134">
        <f>IFERROR(SUM(Tabla_Buffers_Agroinsumos[[#This Row],[AS-MP]:[AS-VL]]),"")</f>
        <v>0</v>
      </c>
      <c r="DZ291" s="92">
        <f>IFERROR(Tabla_Buffers_Agroinsumos[[#This Row],[INV FIS AS]]-Tabla_Buffers_Agroinsumos[[#This Row],[BUFFER AS]],"")</f>
        <v>0</v>
      </c>
      <c r="EA291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91" s="134"/>
      <c r="EC291" s="134"/>
      <c r="ED291" s="134"/>
      <c r="EE291" s="134"/>
      <c r="EF291" s="134"/>
      <c r="EG291" s="134"/>
      <c r="EH291" s="134"/>
      <c r="EI291" s="134"/>
      <c r="EJ291" s="134"/>
      <c r="EK291" s="134">
        <f t="array" ref="EK291">IFERROR(INDEX(TABLACONSOLIDADA[Buff Act],MATCH("AGROINSUMOSLAFINCA"&amp;Tabla_Buffers_Agroinsumos[[#This Row],[CODIGO ]],TABLACONSOLIDADA[Bodega]&amp;TABLACONSOLIDADA[Codigo],0)),"")</f>
        <v>0</v>
      </c>
      <c r="EL291" s="157">
        <f t="array" ref="EL291">IFERROR(INDEX(TABLACONSOLIDADA[Inv Fís Act],MATCH("AGROINSUMOSLAFINCA"&amp;Tabla_Buffers_Agroinsumos[[#This Row],[CODIGO ]],TABLACONSOLIDADA[Bodega]&amp;TABLACONSOLIDADA[Codigo],0)),"")</f>
        <v>6</v>
      </c>
      <c r="EM291" s="157">
        <f t="array" ref="EM29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6</v>
      </c>
      <c r="EN29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91" s="134">
        <f>IFERROR(SUM(Tabla_Buffers_Agroinsumos[[#This Row],[LF-MP]:[LF-VL]]),"")</f>
        <v>0</v>
      </c>
      <c r="EP291" s="92">
        <f>IFERROR(Tabla_Buffers_Agroinsumos[[#This Row],[INV FIS LF]]-Tabla_Buffers_Agroinsumos[[#This Row],[BUFFER LF]],"")</f>
        <v>6</v>
      </c>
      <c r="EQ291" s="92">
        <f>IFERROR(Tabla_Buffers_Agroinsumos[[#This Row],[INV FIS LF]]+Tabla_Buffers_Agroinsumos[[#This Row],[TRANSFERENCIAS A LF]]-Tabla_Buffers_Agroinsumos[[#This Row],[BUFFER LF]]-Tabla_Buffers_Agroinsumos[[#This Row],[TRANSFERENCIAS DE LF]],"")</f>
        <v>6</v>
      </c>
      <c r="ER291" s="134"/>
      <c r="ES291" s="134"/>
      <c r="ET291" s="134"/>
      <c r="EU291" s="134"/>
      <c r="EV291" s="134"/>
      <c r="EW291" s="134"/>
      <c r="EX291" s="134"/>
      <c r="EY291" s="134"/>
      <c r="EZ291" s="134"/>
      <c r="FA291" s="134">
        <f t="array" ref="FA291">IFERROR(INDEX(TABLACONSOLIDADA[Buff Act],MATCH("AGROINSUMOSVERONICALEDESMA"&amp;Tabla_Buffers_Agroinsumos[[#This Row],[CODIGO ]],TABLACONSOLIDADA[Bodega]&amp;TABLACONSOLIDADA[Codigo],0)),"")</f>
        <v>0</v>
      </c>
      <c r="FB291" s="157">
        <f t="array" ref="FB291">IFERROR(INDEX(TABLACONSOLIDADA[Inv Fís Act],MATCH("AGROINSUMOSVERONICALEDESMA"&amp;Tabla_Buffers_Agroinsumos[[#This Row],[CODIGO ]],TABLACONSOLIDADA[Bodega]&amp;TABLACONSOLIDADA[Codigo],0)),"")</f>
        <v>0</v>
      </c>
      <c r="FC291" s="157">
        <f t="array" ref="FC29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9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91" s="134">
        <f>IFERROR(SUM(Tabla_Buffers_Agroinsumos[[#This Row],[VL-MP]:[VL-LF]]),"")</f>
        <v>0</v>
      </c>
      <c r="FF291" s="92">
        <f>IFERROR(Tabla_Buffers_Agroinsumos[[#This Row],[INV FIS VL]]-Tabla_Buffers_Agroinsumos[[#This Row],[BUFFER VL]],"")</f>
        <v>0</v>
      </c>
      <c r="FG291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91" s="134"/>
      <c r="FI291" s="134"/>
      <c r="FJ291" s="134"/>
      <c r="FK291" s="134"/>
      <c r="FL291" s="134"/>
      <c r="FM291" s="134"/>
      <c r="FN291" s="134"/>
      <c r="FO291" s="134"/>
      <c r="FP291" s="134"/>
    </row>
    <row r="292" spans="1:172">
      <c r="A292" s="7" t="s">
        <v>503</v>
      </c>
      <c r="B292" s="7" t="s">
        <v>504</v>
      </c>
      <c r="C292" s="7" t="s">
        <v>708</v>
      </c>
      <c r="D292" s="7" t="s">
        <v>715</v>
      </c>
      <c r="E292" s="7" t="s">
        <v>975</v>
      </c>
      <c r="F292" s="19" t="s">
        <v>698</v>
      </c>
      <c r="G292" s="19" t="s">
        <v>698</v>
      </c>
      <c r="H292" s="19">
        <f>VLOOKUP(Tabla_Buffers_Agroinsumos[[#This Row],[CODIGO ]],TABLACONSOLIDADA[[Codigo]:[PV]],6,0)</f>
        <v>7.22</v>
      </c>
      <c r="I292" s="19">
        <f>VLOOKUP(Tabla_Buffers_Agroinsumos[[#This Row],[CODIGO ]],TABLACONSOLIDADA[[Codigo]:[PV]],5,0)</f>
        <v>3.38</v>
      </c>
      <c r="J292" s="19" t="s">
        <v>698</v>
      </c>
      <c r="K292" s="19" t="s">
        <v>698</v>
      </c>
      <c r="L292" s="19">
        <f>IFERROR(Tabla_Buffers_Agroinsumos[[#This Row],[BUFFER CENTRAL]]/((Tabla_Buffers_Agroinsumos[[#This Row],[TIEMPO REPOSICION ]]/Tabla_Buffers_Agroinsumos[[#This Row],[FRECUENCIA]])+1),0)</f>
        <v>0</v>
      </c>
      <c r="M292" s="19" t="str">
        <f t="array" ref="M292">IFERROR(INDEX(TABLACONSOLIDADA[Buff Act],MATCH("AGROINSUMOSMATERIAPRIMA"&amp;Tabla_Buffers_Agroinsumos[[#This Row],[CODIGO ]],TABLACONSOLIDADA[Bodega]&amp;TABLACONSOLIDADA[Codigo],0)),"")</f>
        <v/>
      </c>
      <c r="N292" s="157" t="str">
        <f t="array" ref="N292">IFERROR(INDEX(TABLACONSOLIDADA[Inv Fís Act],MATCH("AGROINSUMOSMATERIAPRIMA"&amp;Tabla_Buffers_Agroinsumos[[#This Row],[CODIGO ]],TABLACONSOLIDADA[Bodega]&amp;TABLACONSOLIDADA[Codigo],0)),"")</f>
        <v/>
      </c>
      <c r="O292" s="157" t="str">
        <f t="array" ref="O29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9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92" s="19">
        <f>IFERROR(SUM(Tabla_Buffers_Agroinsumos[[#This Row],[MP-C]:[MP-VL]]),"")</f>
        <v>0</v>
      </c>
      <c r="R292" s="92" t="str">
        <f>IFERROR(Tabla_Buffers_Agroinsumos[[#This Row],[INV FIS MATERIA PRIMA]]-Tabla_Buffers_Agroinsumos[[#This Row],[BUFFER MATERIA PRIMA]],"")</f>
        <v/>
      </c>
      <c r="S292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92" s="19"/>
      <c r="U292" s="19"/>
      <c r="V292" s="19"/>
      <c r="W292" s="19"/>
      <c r="X292" s="19"/>
      <c r="Y292" s="19"/>
      <c r="Z292" s="19"/>
      <c r="AA292" s="19"/>
      <c r="AB292" s="19"/>
      <c r="AC292" s="152">
        <f t="array" ref="AC292">IFERROR(INDEX(TABLACONSOLIDADA[Buff Act],MATCH("AGROINSUMOSCENTRAL"&amp;Tabla_Buffers_Agroinsumos[[#This Row],[CODIGO ]],TABLACONSOLIDADA[Bodega]&amp;TABLACONSOLIDADA[Codigo],0)),"")</f>
        <v>200</v>
      </c>
      <c r="AD292" s="157">
        <f t="array" ref="AD292">IFERROR(INDEX(TABLACONSOLIDADA[Inv Fís Act],MATCH("AGROINSUMOSCENTRAL"&amp;Tabla_Buffers_Agroinsumos[[#This Row],[CODIGO ]],TABLACONSOLIDADA[Bodega]&amp;TABLACONSOLIDADA[Codigo],0)),"")</f>
        <v>294</v>
      </c>
      <c r="AE292" s="157">
        <f t="array" ref="AE29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315</v>
      </c>
      <c r="AF29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92" s="91">
        <f>IFERROR(SUM(Tabla_Buffers_Agroinsumos[[#This Row],[C-MP]:[C-VL]]),"")</f>
        <v>0</v>
      </c>
      <c r="AH292" s="92">
        <f>IFERROR(Tabla_Buffers_Agroinsumos[[#This Row],[INV FIS CENTRAL]]-Tabla_Buffers_Agroinsumos[[#This Row],[BUFFER CENTRAL]],"")</f>
        <v>94</v>
      </c>
      <c r="AI292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94</v>
      </c>
      <c r="AJ292" s="134"/>
      <c r="AK292" s="134"/>
      <c r="AL292" s="134"/>
      <c r="AM292" s="134"/>
      <c r="AN292" s="134"/>
      <c r="AO292" s="134"/>
      <c r="AP292" s="134"/>
      <c r="AQ292" s="134"/>
      <c r="AR292" s="134"/>
      <c r="AS292" s="134">
        <f t="array" ref="AS292">IFERROR(INDEX(TABLACONSOLIDADA[Buff Act],MATCH("AGROINSUMOScentralPROPIA"&amp;Tabla_Buffers_Agroinsumos[[#This Row],[CODIGO ]],TABLACONSOLIDADA[Bodega]&amp;TABLACONSOLIDADA[Codigo],0)),"")</f>
        <v>90</v>
      </c>
      <c r="AT292" s="157">
        <f t="array" ref="AT292">IFERROR(INDEX(TABLACONSOLIDADA[Inv Fís Act],MATCH("AGROINSUMOScentralPROPIA"&amp;Tabla_Buffers_Agroinsumos[[#This Row],[CODIGO ]],TABLACONSOLIDADA[Bodega]&amp;TABLACONSOLIDADA[Codigo],0)),"")</f>
        <v>0</v>
      </c>
      <c r="AU292" s="157">
        <f t="array" ref="AU29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9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92" s="134">
        <f>IFERROR(SUM(Tabla_Buffers_Agroinsumos[[#This Row],[P-MP]:[P-VL]]),"")</f>
        <v>0</v>
      </c>
      <c r="AX292" s="92">
        <f>IFERROR(Tabla_Buffers_Agroinsumos[[#This Row],[INV FIS PROPIA]]-Tabla_Buffers_Agroinsumos[[#This Row],[BUFFER PROPIA]],"")</f>
        <v>-90</v>
      </c>
      <c r="AY292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-90</v>
      </c>
      <c r="AZ292" s="134"/>
      <c r="BA292" s="134"/>
      <c r="BB292" s="134"/>
      <c r="BC292" s="134"/>
      <c r="BD292" s="134"/>
      <c r="BE292" s="134"/>
      <c r="BF292" s="134"/>
      <c r="BG292" s="134"/>
      <c r="BH292" s="134"/>
      <c r="BI292" s="91">
        <f t="array" ref="BI292">IFERROR(INDEX(TABLACONSOLIDADA[Buff Act],MATCH("AGROINSUMOSSTODOMINGO"&amp;Tabla_Buffers_Agroinsumos[[#This Row],[CODIGO ]],TABLACONSOLIDADA[Bodega]&amp;TABLACONSOLIDADA[Codigo],0)),"")</f>
        <v>0</v>
      </c>
      <c r="BJ292" s="157">
        <f t="array" ref="BJ292">IFERROR(INDEX(TABLACONSOLIDADA[Inv Fís Act],MATCH("AGROINSUMOSSTODOMINGO"&amp;Tabla_Buffers_Agroinsumos[[#This Row],[CODIGO ]],TABLACONSOLIDADA[Bodega]&amp;TABLACONSOLIDADA[Codigo],0)),"")</f>
        <v>21</v>
      </c>
      <c r="BK292" s="157">
        <f t="array" ref="BK29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21</v>
      </c>
      <c r="BL29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92" s="91">
        <f>IFERROR(SUM(Tabla_Buffers_Agroinsumos[[#This Row],[SD-MP]:[SD-VL]]),"")</f>
        <v>0</v>
      </c>
      <c r="BN292" s="92"/>
      <c r="BO292" s="92"/>
      <c r="BP292" s="134"/>
      <c r="BQ292" s="134"/>
      <c r="BR292" s="134"/>
      <c r="BS292" s="134"/>
      <c r="BT292" s="134"/>
      <c r="BU292" s="134"/>
      <c r="BV292" s="134"/>
      <c r="BW292" s="134"/>
      <c r="BX292" s="134"/>
      <c r="BY292" s="134">
        <f t="array" ref="BY292">IFERROR(INDEX(TABLACONSOLIDADA[Buff Act],MATCH("AGROINSUMOSMONCAYOLOPEZ"&amp;Tabla_Buffers_Agroinsumos[[#This Row],[CODIGO ]],TABLACONSOLIDADA[Bodega]&amp;TABLACONSOLIDADA[Codigo],0)),"")</f>
        <v>0</v>
      </c>
      <c r="BZ292" s="157">
        <f t="array" ref="BZ292">IFERROR(INDEX(TABLACONSOLIDADA[Inv Fís Act],MATCH("AGROINSUMOSMONCAYOLOPEZ"&amp;Tabla_Buffers_Agroinsumos[[#This Row],[CODIGO ]],TABLACONSOLIDADA[Bodega]&amp;TABLACONSOLIDADA[Codigo],0)),"")</f>
        <v>0</v>
      </c>
      <c r="CA292" s="157">
        <f t="array" ref="CA29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9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92" s="134">
        <f>IFERROR(SUM(Tabla_Buffers_Agroinsumos[[#This Row],[ML-MP]:[ML-VL]]),"")</f>
        <v>0</v>
      </c>
      <c r="CD292" s="92">
        <f>IFERROR(Tabla_Buffers_Agroinsumos[[#This Row],[INV FIS ML]]-Tabla_Buffers_Agroinsumos[[#This Row],[BUFFER ML]],"")</f>
        <v>0</v>
      </c>
      <c r="CE292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92" s="134"/>
      <c r="CG292" s="134"/>
      <c r="CH292" s="134"/>
      <c r="CI292" s="134"/>
      <c r="CJ292" s="134"/>
      <c r="CK292" s="134"/>
      <c r="CL292" s="134"/>
      <c r="CM292" s="134"/>
      <c r="CN292" s="134"/>
      <c r="CO292" s="134">
        <f t="array" ref="CO292">IFERROR(INDEX(TABLACONSOLIDADA[Buff Act],MATCH("AGROINSUMOSAGROHERMANOSLEON"&amp;Tabla_Buffers_Agroinsumos[[#This Row],[CODIGO ]],TABLACONSOLIDADA[Bodega]&amp;TABLACONSOLIDADA[Codigo],0)),"")</f>
        <v>40</v>
      </c>
      <c r="CP292" s="157">
        <f t="array" ref="CP292">IFERROR(INDEX(TABLACONSOLIDADA[Inv Fís Act],MATCH("AGROINSUMOSAGROHERMANOSLEON"&amp;Tabla_Buffers_Agroinsumos[[#This Row],[CODIGO ]],TABLACONSOLIDADA[Bodega]&amp;TABLACONSOLIDADA[Codigo],0)),"")</f>
        <v>70</v>
      </c>
      <c r="CQ292" s="157">
        <f t="array" ref="CQ29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70</v>
      </c>
      <c r="CR29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92" s="134">
        <f>IFERROR(SUM(Tabla_Buffers_Agroinsumos[[#This Row],[AL-MP]:[AL-VL]]),"")</f>
        <v>0</v>
      </c>
      <c r="CT292" s="92">
        <f>IFERROR(Tabla_Buffers_Agroinsumos[[#This Row],[INV FIS AL]]-Tabla_Buffers_Agroinsumos[[#This Row],[BUFFER AL]],"")</f>
        <v>30</v>
      </c>
      <c r="CU292" s="92">
        <f>IFERROR(Tabla_Buffers_Agroinsumos[[#This Row],[INV FIS AL]]+Tabla_Buffers_Agroinsumos[[#This Row],[TRANSFERENCIAS A AL]]-Tabla_Buffers_Agroinsumos[[#This Row],[BUFFER AL]]-Tabla_Buffers_Agroinsumos[[#This Row],[TRANSFERENCIAS DE AL]],"")</f>
        <v>30</v>
      </c>
      <c r="CV292" s="134"/>
      <c r="CW292" s="134"/>
      <c r="CX292" s="134"/>
      <c r="CY292" s="134"/>
      <c r="CZ292" s="134"/>
      <c r="DA292" s="134"/>
      <c r="DB292" s="134"/>
      <c r="DC292" s="134"/>
      <c r="DD292" s="134"/>
      <c r="DE292" s="134">
        <f t="array" ref="DE292">IFERROR(INDEX(TABLACONSOLIDADA[Buff Act],MATCH("AGROINSUMOSAGRONUEVO"&amp;Tabla_Buffers_Agroinsumos[[#This Row],[CODIGO ]],TABLACONSOLIDADA[Bodega]&amp;TABLACONSOLIDADA[Codigo],0)),"")</f>
        <v>25</v>
      </c>
      <c r="DF292" s="157">
        <f t="array" ref="DF292">IFERROR(INDEX(TABLACONSOLIDADA[Inv Fís Act],MATCH("AGROINSUMOSAGRONUEVO"&amp;Tabla_Buffers_Agroinsumos[[#This Row],[CODIGO ]],TABLACONSOLIDADA[Bodega]&amp;TABLACONSOLIDADA[Codigo],0)),"")</f>
        <v>25</v>
      </c>
      <c r="DG292" s="157">
        <f t="array" ref="DG29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25</v>
      </c>
      <c r="DH29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92" s="134">
        <f>IFERROR(SUM(Tabla_Buffers_Agroinsumos[[#This Row],[AN-MP]:[AN-VL]]),"")</f>
        <v>0</v>
      </c>
      <c r="DJ292" s="92">
        <f>IFERROR(Tabla_Buffers_Agroinsumos[[#This Row],[INV FIS AN]]-Tabla_Buffers_Agroinsumos[[#This Row],[BUFFER AN]],"")</f>
        <v>0</v>
      </c>
      <c r="DK292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92" s="134"/>
      <c r="DM292" s="134"/>
      <c r="DN292" s="134"/>
      <c r="DO292" s="134"/>
      <c r="DP292" s="134"/>
      <c r="DQ292" s="134"/>
      <c r="DR292" s="134"/>
      <c r="DS292" s="134"/>
      <c r="DT292" s="134"/>
      <c r="DU292" s="134">
        <f t="array" ref="DU292">IFERROR(INDEX(TABLACONSOLIDADA[Buff Act],MATCH("AGROINSUMOSAGROQUIMICOSSUR"&amp;Tabla_Buffers_Agroinsumos[[#This Row],[CODIGO ]],TABLACONSOLIDADA[Bodega]&amp;TABLACONSOLIDADA[Codigo],0)),"")</f>
        <v>0</v>
      </c>
      <c r="DV292" s="157">
        <f t="array" ref="DV292">IFERROR(INDEX(TABLACONSOLIDADA[Inv Fís Act],MATCH("AGROINSUMOSAGROQUIMICOSSUR"&amp;Tabla_Buffers_Agroinsumos[[#This Row],[CODIGO ]],TABLACONSOLIDADA[Bodega]&amp;TABLACONSOLIDADA[Codigo],0)),"")</f>
        <v>0</v>
      </c>
      <c r="DW292" s="157">
        <f t="array" ref="DW29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9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92" s="134">
        <f>IFERROR(SUM(Tabla_Buffers_Agroinsumos[[#This Row],[AS-MP]:[AS-VL]]),"")</f>
        <v>0</v>
      </c>
      <c r="DZ292" s="92">
        <f>IFERROR(Tabla_Buffers_Agroinsumos[[#This Row],[INV FIS AS]]-Tabla_Buffers_Agroinsumos[[#This Row],[BUFFER AS]],"")</f>
        <v>0</v>
      </c>
      <c r="EA292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92" s="134"/>
      <c r="EC292" s="134"/>
      <c r="ED292" s="134"/>
      <c r="EE292" s="134"/>
      <c r="EF292" s="134"/>
      <c r="EG292" s="134"/>
      <c r="EH292" s="134"/>
      <c r="EI292" s="134"/>
      <c r="EJ292" s="134"/>
      <c r="EK292" s="134">
        <f t="array" ref="EK292">IFERROR(INDEX(TABLACONSOLIDADA[Buff Act],MATCH("AGROINSUMOSLAFINCA"&amp;Tabla_Buffers_Agroinsumos[[#This Row],[CODIGO ]],TABLACONSOLIDADA[Bodega]&amp;TABLACONSOLIDADA[Codigo],0)),"")</f>
        <v>0</v>
      </c>
      <c r="EL292" s="157">
        <f t="array" ref="EL292">IFERROR(INDEX(TABLACONSOLIDADA[Inv Fís Act],MATCH("AGROINSUMOSLAFINCA"&amp;Tabla_Buffers_Agroinsumos[[#This Row],[CODIGO ]],TABLACONSOLIDADA[Bodega]&amp;TABLACONSOLIDADA[Codigo],0)),"")</f>
        <v>12</v>
      </c>
      <c r="EM292" s="157">
        <f t="array" ref="EM29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12</v>
      </c>
      <c r="EN29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92" s="134">
        <f>IFERROR(SUM(Tabla_Buffers_Agroinsumos[[#This Row],[LF-MP]:[LF-VL]]),"")</f>
        <v>0</v>
      </c>
      <c r="EP292" s="92">
        <f>IFERROR(Tabla_Buffers_Agroinsumos[[#This Row],[INV FIS LF]]-Tabla_Buffers_Agroinsumos[[#This Row],[BUFFER LF]],"")</f>
        <v>12</v>
      </c>
      <c r="EQ292" s="92">
        <f>IFERROR(Tabla_Buffers_Agroinsumos[[#This Row],[INV FIS LF]]+Tabla_Buffers_Agroinsumos[[#This Row],[TRANSFERENCIAS A LF]]-Tabla_Buffers_Agroinsumos[[#This Row],[BUFFER LF]]-Tabla_Buffers_Agroinsumos[[#This Row],[TRANSFERENCIAS DE LF]],"")</f>
        <v>12</v>
      </c>
      <c r="ER292" s="134"/>
      <c r="ES292" s="134"/>
      <c r="ET292" s="134"/>
      <c r="EU292" s="134"/>
      <c r="EV292" s="134"/>
      <c r="EW292" s="134"/>
      <c r="EX292" s="134"/>
      <c r="EY292" s="134"/>
      <c r="EZ292" s="134"/>
      <c r="FA292" s="134">
        <f t="array" ref="FA292">IFERROR(INDEX(TABLACONSOLIDADA[Buff Act],MATCH("AGROINSUMOSVERONICALEDESMA"&amp;Tabla_Buffers_Agroinsumos[[#This Row],[CODIGO ]],TABLACONSOLIDADA[Bodega]&amp;TABLACONSOLIDADA[Codigo],0)),"")</f>
        <v>0</v>
      </c>
      <c r="FB292" s="157">
        <f t="array" ref="FB292">IFERROR(INDEX(TABLACONSOLIDADA[Inv Fís Act],MATCH("AGROINSUMOSVERONICALEDESMA"&amp;Tabla_Buffers_Agroinsumos[[#This Row],[CODIGO ]],TABLACONSOLIDADA[Bodega]&amp;TABLACONSOLIDADA[Codigo],0)),"")</f>
        <v>0</v>
      </c>
      <c r="FC292" s="157">
        <f t="array" ref="FC29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9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92" s="134">
        <f>IFERROR(SUM(Tabla_Buffers_Agroinsumos[[#This Row],[VL-MP]:[VL-LF]]),"")</f>
        <v>0</v>
      </c>
      <c r="FF292" s="92">
        <f>IFERROR(Tabla_Buffers_Agroinsumos[[#This Row],[INV FIS VL]]-Tabla_Buffers_Agroinsumos[[#This Row],[BUFFER VL]],"")</f>
        <v>0</v>
      </c>
      <c r="FG292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92" s="134"/>
      <c r="FI292" s="134"/>
      <c r="FJ292" s="134"/>
      <c r="FK292" s="134"/>
      <c r="FL292" s="134"/>
      <c r="FM292" s="134"/>
      <c r="FN292" s="134"/>
      <c r="FO292" s="134"/>
      <c r="FP292" s="134"/>
    </row>
    <row r="293" spans="1:172">
      <c r="A293" s="7" t="s">
        <v>505</v>
      </c>
      <c r="B293" s="7" t="s">
        <v>959</v>
      </c>
      <c r="C293" s="7" t="s">
        <v>712</v>
      </c>
      <c r="D293" s="7" t="s">
        <v>715</v>
      </c>
      <c r="E293" s="7" t="s">
        <v>975</v>
      </c>
      <c r="F293" s="19" t="s">
        <v>698</v>
      </c>
      <c r="G293" s="19" t="s">
        <v>698</v>
      </c>
      <c r="H293" s="19">
        <f>VLOOKUP(Tabla_Buffers_Agroinsumos[[#This Row],[CODIGO ]],TABLACONSOLIDADA[[Codigo]:[PV]],6,0)</f>
        <v>4.12</v>
      </c>
      <c r="I293" s="19">
        <f>VLOOKUP(Tabla_Buffers_Agroinsumos[[#This Row],[CODIGO ]],TABLACONSOLIDADA[[Codigo]:[PV]],5,0)</f>
        <v>1.94</v>
      </c>
      <c r="J293" s="19" t="s">
        <v>698</v>
      </c>
      <c r="K293" s="19" t="s">
        <v>698</v>
      </c>
      <c r="L293" s="19">
        <f>IFERROR(Tabla_Buffers_Agroinsumos[[#This Row],[BUFFER CENTRAL]]/((Tabla_Buffers_Agroinsumos[[#This Row],[TIEMPO REPOSICION ]]/Tabla_Buffers_Agroinsumos[[#This Row],[FRECUENCIA]])+1),0)</f>
        <v>0</v>
      </c>
      <c r="M293" s="19" t="str">
        <f t="array" ref="M293">IFERROR(INDEX(TABLACONSOLIDADA[Buff Act],MATCH("AGROINSUMOSMATERIAPRIMA"&amp;Tabla_Buffers_Agroinsumos[[#This Row],[CODIGO ]],TABLACONSOLIDADA[Bodega]&amp;TABLACONSOLIDADA[Codigo],0)),"")</f>
        <v/>
      </c>
      <c r="N293" s="157" t="str">
        <f t="array" ref="N293">IFERROR(INDEX(TABLACONSOLIDADA[Inv Fís Act],MATCH("AGROINSUMOSMATERIAPRIMA"&amp;Tabla_Buffers_Agroinsumos[[#This Row],[CODIGO ]],TABLACONSOLIDADA[Bodega]&amp;TABLACONSOLIDADA[Codigo],0)),"")</f>
        <v/>
      </c>
      <c r="O293" s="157" t="str">
        <f t="array" ref="O29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9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93" s="19">
        <f>IFERROR(SUM(Tabla_Buffers_Agroinsumos[[#This Row],[MP-C]:[MP-VL]]),"")</f>
        <v>0</v>
      </c>
      <c r="R293" s="92" t="str">
        <f>IFERROR(Tabla_Buffers_Agroinsumos[[#This Row],[INV FIS MATERIA PRIMA]]-Tabla_Buffers_Agroinsumos[[#This Row],[BUFFER MATERIA PRIMA]],"")</f>
        <v/>
      </c>
      <c r="S29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93" s="19"/>
      <c r="U293" s="19"/>
      <c r="V293" s="19"/>
      <c r="W293" s="19"/>
      <c r="X293" s="19"/>
      <c r="Y293" s="19"/>
      <c r="Z293" s="19"/>
      <c r="AA293" s="19"/>
      <c r="AB293" s="19"/>
      <c r="AC293" s="152">
        <f t="array" ref="AC293">IFERROR(INDEX(TABLACONSOLIDADA[Buff Act],MATCH("AGROINSUMOSCENTRAL"&amp;Tabla_Buffers_Agroinsumos[[#This Row],[CODIGO ]],TABLACONSOLIDADA[Bodega]&amp;TABLACONSOLIDADA[Codigo],0)),"")</f>
        <v>0</v>
      </c>
      <c r="AD293" s="157">
        <f t="array" ref="AD293">IFERROR(INDEX(TABLACONSOLIDADA[Inv Fís Act],MATCH("AGROINSUMOSCENTRAL"&amp;Tabla_Buffers_Agroinsumos[[#This Row],[CODIGO ]],TABLACONSOLIDADA[Bodega]&amp;TABLACONSOLIDADA[Codigo],0)),"")</f>
        <v>0</v>
      </c>
      <c r="AE293" s="157">
        <f t="array" ref="AE29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9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93" s="91">
        <f>IFERROR(SUM(Tabla_Buffers_Agroinsumos[[#This Row],[C-MP]:[C-VL]]),"")</f>
        <v>0</v>
      </c>
      <c r="AH293" s="92">
        <f>IFERROR(Tabla_Buffers_Agroinsumos[[#This Row],[INV FIS CENTRAL]]-Tabla_Buffers_Agroinsumos[[#This Row],[BUFFER CENTRAL]],"")</f>
        <v>0</v>
      </c>
      <c r="AI29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93" s="134"/>
      <c r="AK293" s="134"/>
      <c r="AL293" s="134"/>
      <c r="AM293" s="134"/>
      <c r="AN293" s="134"/>
      <c r="AO293" s="134"/>
      <c r="AP293" s="134"/>
      <c r="AQ293" s="134"/>
      <c r="AR293" s="134"/>
      <c r="AS293" s="134">
        <f t="array" ref="AS293">IFERROR(INDEX(TABLACONSOLIDADA[Buff Act],MATCH("AGROINSUMOScentralPROPIA"&amp;Tabla_Buffers_Agroinsumos[[#This Row],[CODIGO ]],TABLACONSOLIDADA[Bodega]&amp;TABLACONSOLIDADA[Codigo],0)),"")</f>
        <v>0</v>
      </c>
      <c r="AT293" s="157">
        <f t="array" ref="AT293">IFERROR(INDEX(TABLACONSOLIDADA[Inv Fís Act],MATCH("AGROINSUMOScentralPROPIA"&amp;Tabla_Buffers_Agroinsumos[[#This Row],[CODIGO ]],TABLACONSOLIDADA[Bodega]&amp;TABLACONSOLIDADA[Codigo],0)),"")</f>
        <v>0</v>
      </c>
      <c r="AU293" s="157">
        <f t="array" ref="AU29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9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93" s="134">
        <f>IFERROR(SUM(Tabla_Buffers_Agroinsumos[[#This Row],[P-MP]:[P-VL]]),"")</f>
        <v>0</v>
      </c>
      <c r="AX293" s="92">
        <f>IFERROR(Tabla_Buffers_Agroinsumos[[#This Row],[INV FIS PROPIA]]-Tabla_Buffers_Agroinsumos[[#This Row],[BUFFER PROPIA]],"")</f>
        <v>0</v>
      </c>
      <c r="AY29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293" s="134"/>
      <c r="BA293" s="134"/>
      <c r="BB293" s="134"/>
      <c r="BC293" s="134"/>
      <c r="BD293" s="134"/>
      <c r="BE293" s="134"/>
      <c r="BF293" s="134"/>
      <c r="BG293" s="134"/>
      <c r="BH293" s="134"/>
      <c r="BI293" s="91" t="str">
        <f t="array" ref="BI293">IFERROR(INDEX(TABLACONSOLIDADA[Buff Act],MATCH("AGROINSUMOSSTODOMINGO"&amp;Tabla_Buffers_Agroinsumos[[#This Row],[CODIGO ]],TABLACONSOLIDADA[Bodega]&amp;TABLACONSOLIDADA[Codigo],0)),"")</f>
        <v/>
      </c>
      <c r="BJ293" s="157" t="str">
        <f t="array" ref="BJ293">IFERROR(INDEX(TABLACONSOLIDADA[Inv Fís Act],MATCH("AGROINSUMOSSTODOMINGO"&amp;Tabla_Buffers_Agroinsumos[[#This Row],[CODIGO ]],TABLACONSOLIDADA[Bodega]&amp;TABLACONSOLIDADA[Codigo],0)),"")</f>
        <v/>
      </c>
      <c r="BK293" s="157" t="str">
        <f t="array" ref="BK29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9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93" s="91">
        <f>IFERROR(SUM(Tabla_Buffers_Agroinsumos[[#This Row],[SD-MP]:[SD-VL]]),"")</f>
        <v>0</v>
      </c>
      <c r="BN293" s="92"/>
      <c r="BO293" s="92"/>
      <c r="BP293" s="134"/>
      <c r="BQ293" s="134"/>
      <c r="BR293" s="134"/>
      <c r="BS293" s="134"/>
      <c r="BT293" s="134"/>
      <c r="BU293" s="134"/>
      <c r="BV293" s="134"/>
      <c r="BW293" s="134"/>
      <c r="BX293" s="134"/>
      <c r="BY293" s="134">
        <f t="array" ref="BY293">IFERROR(INDEX(TABLACONSOLIDADA[Buff Act],MATCH("AGROINSUMOSMONCAYOLOPEZ"&amp;Tabla_Buffers_Agroinsumos[[#This Row],[CODIGO ]],TABLACONSOLIDADA[Bodega]&amp;TABLACONSOLIDADA[Codigo],0)),"")</f>
        <v>0</v>
      </c>
      <c r="BZ293" s="157">
        <f t="array" ref="BZ293">IFERROR(INDEX(TABLACONSOLIDADA[Inv Fís Act],MATCH("AGROINSUMOSMONCAYOLOPEZ"&amp;Tabla_Buffers_Agroinsumos[[#This Row],[CODIGO ]],TABLACONSOLIDADA[Bodega]&amp;TABLACONSOLIDADA[Codigo],0)),"")</f>
        <v>0</v>
      </c>
      <c r="CA293" s="157">
        <f t="array" ref="CA29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9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93" s="134">
        <f>IFERROR(SUM(Tabla_Buffers_Agroinsumos[[#This Row],[ML-MP]:[ML-VL]]),"")</f>
        <v>0</v>
      </c>
      <c r="CD293" s="92">
        <f>IFERROR(Tabla_Buffers_Agroinsumos[[#This Row],[INV FIS ML]]-Tabla_Buffers_Agroinsumos[[#This Row],[BUFFER ML]],"")</f>
        <v>0</v>
      </c>
      <c r="CE293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93" s="134"/>
      <c r="CG293" s="134"/>
      <c r="CH293" s="134"/>
      <c r="CI293" s="134"/>
      <c r="CJ293" s="134"/>
      <c r="CK293" s="134"/>
      <c r="CL293" s="134"/>
      <c r="CM293" s="134"/>
      <c r="CN293" s="134"/>
      <c r="CO293" s="134">
        <f t="array" ref="CO293">IFERROR(INDEX(TABLACONSOLIDADA[Buff Act],MATCH("AGROINSUMOSAGROHERMANOSLEON"&amp;Tabla_Buffers_Agroinsumos[[#This Row],[CODIGO ]],TABLACONSOLIDADA[Bodega]&amp;TABLACONSOLIDADA[Codigo],0)),"")</f>
        <v>0</v>
      </c>
      <c r="CP293" s="157">
        <f t="array" ref="CP293">IFERROR(INDEX(TABLACONSOLIDADA[Inv Fís Act],MATCH("AGROINSUMOSAGROHERMANOSLEON"&amp;Tabla_Buffers_Agroinsumos[[#This Row],[CODIGO ]],TABLACONSOLIDADA[Bodega]&amp;TABLACONSOLIDADA[Codigo],0)),"")</f>
        <v>0</v>
      </c>
      <c r="CQ293" s="157">
        <f t="array" ref="CQ29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9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93" s="134">
        <f>IFERROR(SUM(Tabla_Buffers_Agroinsumos[[#This Row],[AL-MP]:[AL-VL]]),"")</f>
        <v>0</v>
      </c>
      <c r="CT293" s="92">
        <f>IFERROR(Tabla_Buffers_Agroinsumos[[#This Row],[INV FIS AL]]-Tabla_Buffers_Agroinsumos[[#This Row],[BUFFER AL]],"")</f>
        <v>0</v>
      </c>
      <c r="CU293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93" s="134"/>
      <c r="CW293" s="134"/>
      <c r="CX293" s="134"/>
      <c r="CY293" s="134"/>
      <c r="CZ293" s="134"/>
      <c r="DA293" s="134"/>
      <c r="DB293" s="134"/>
      <c r="DC293" s="134"/>
      <c r="DD293" s="134"/>
      <c r="DE293" s="134">
        <f t="array" ref="DE293">IFERROR(INDEX(TABLACONSOLIDADA[Buff Act],MATCH("AGROINSUMOSAGRONUEVO"&amp;Tabla_Buffers_Agroinsumos[[#This Row],[CODIGO ]],TABLACONSOLIDADA[Bodega]&amp;TABLACONSOLIDADA[Codigo],0)),"")</f>
        <v>0</v>
      </c>
      <c r="DF293" s="157">
        <f t="array" ref="DF293">IFERROR(INDEX(TABLACONSOLIDADA[Inv Fís Act],MATCH("AGROINSUMOSAGRONUEVO"&amp;Tabla_Buffers_Agroinsumos[[#This Row],[CODIGO ]],TABLACONSOLIDADA[Bodega]&amp;TABLACONSOLIDADA[Codigo],0)),"")</f>
        <v>0</v>
      </c>
      <c r="DG293" s="157">
        <f t="array" ref="DG29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9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93" s="134">
        <f>IFERROR(SUM(Tabla_Buffers_Agroinsumos[[#This Row],[AN-MP]:[AN-VL]]),"")</f>
        <v>0</v>
      </c>
      <c r="DJ293" s="92">
        <f>IFERROR(Tabla_Buffers_Agroinsumos[[#This Row],[INV FIS AN]]-Tabla_Buffers_Agroinsumos[[#This Row],[BUFFER AN]],"")</f>
        <v>0</v>
      </c>
      <c r="DK293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93" s="134"/>
      <c r="DM293" s="134"/>
      <c r="DN293" s="134"/>
      <c r="DO293" s="134"/>
      <c r="DP293" s="134"/>
      <c r="DQ293" s="134"/>
      <c r="DR293" s="134"/>
      <c r="DS293" s="134"/>
      <c r="DT293" s="134"/>
      <c r="DU293" s="134">
        <f t="array" ref="DU293">IFERROR(INDEX(TABLACONSOLIDADA[Buff Act],MATCH("AGROINSUMOSAGROQUIMICOSSUR"&amp;Tabla_Buffers_Agroinsumos[[#This Row],[CODIGO ]],TABLACONSOLIDADA[Bodega]&amp;TABLACONSOLIDADA[Codigo],0)),"")</f>
        <v>0</v>
      </c>
      <c r="DV293" s="157">
        <f t="array" ref="DV293">IFERROR(INDEX(TABLACONSOLIDADA[Inv Fís Act],MATCH("AGROINSUMOSAGROQUIMICOSSUR"&amp;Tabla_Buffers_Agroinsumos[[#This Row],[CODIGO ]],TABLACONSOLIDADA[Bodega]&amp;TABLACONSOLIDADA[Codigo],0)),"")</f>
        <v>0</v>
      </c>
      <c r="DW293" s="157">
        <f t="array" ref="DW29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9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93" s="134">
        <f>IFERROR(SUM(Tabla_Buffers_Agroinsumos[[#This Row],[AS-MP]:[AS-VL]]),"")</f>
        <v>0</v>
      </c>
      <c r="DZ293" s="92">
        <f>IFERROR(Tabla_Buffers_Agroinsumos[[#This Row],[INV FIS AS]]-Tabla_Buffers_Agroinsumos[[#This Row],[BUFFER AS]],"")</f>
        <v>0</v>
      </c>
      <c r="EA293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93" s="134"/>
      <c r="EC293" s="134"/>
      <c r="ED293" s="134"/>
      <c r="EE293" s="134"/>
      <c r="EF293" s="134"/>
      <c r="EG293" s="134"/>
      <c r="EH293" s="134"/>
      <c r="EI293" s="134"/>
      <c r="EJ293" s="134"/>
      <c r="EK293" s="134">
        <f t="array" ref="EK293">IFERROR(INDEX(TABLACONSOLIDADA[Buff Act],MATCH("AGROINSUMOSLAFINCA"&amp;Tabla_Buffers_Agroinsumos[[#This Row],[CODIGO ]],TABLACONSOLIDADA[Bodega]&amp;TABLACONSOLIDADA[Codigo],0)),"")</f>
        <v>0</v>
      </c>
      <c r="EL293" s="157">
        <f t="array" ref="EL293">IFERROR(INDEX(TABLACONSOLIDADA[Inv Fís Act],MATCH("AGROINSUMOSLAFINCA"&amp;Tabla_Buffers_Agroinsumos[[#This Row],[CODIGO ]],TABLACONSOLIDADA[Bodega]&amp;TABLACONSOLIDADA[Codigo],0)),"")</f>
        <v>0</v>
      </c>
      <c r="EM293" s="157">
        <f t="array" ref="EM29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9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93" s="134">
        <f>IFERROR(SUM(Tabla_Buffers_Agroinsumos[[#This Row],[LF-MP]:[LF-VL]]),"")</f>
        <v>0</v>
      </c>
      <c r="EP293" s="92">
        <f>IFERROR(Tabla_Buffers_Agroinsumos[[#This Row],[INV FIS LF]]-Tabla_Buffers_Agroinsumos[[#This Row],[BUFFER LF]],"")</f>
        <v>0</v>
      </c>
      <c r="EQ29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93" s="134"/>
      <c r="ES293" s="134"/>
      <c r="ET293" s="134"/>
      <c r="EU293" s="134"/>
      <c r="EV293" s="134"/>
      <c r="EW293" s="134"/>
      <c r="EX293" s="134"/>
      <c r="EY293" s="134"/>
      <c r="EZ293" s="134"/>
      <c r="FA293" s="134">
        <f t="array" ref="FA293">IFERROR(INDEX(TABLACONSOLIDADA[Buff Act],MATCH("AGROINSUMOSVERONICALEDESMA"&amp;Tabla_Buffers_Agroinsumos[[#This Row],[CODIGO ]],TABLACONSOLIDADA[Bodega]&amp;TABLACONSOLIDADA[Codigo],0)),"")</f>
        <v>0</v>
      </c>
      <c r="FB293" s="157">
        <f t="array" ref="FB293">IFERROR(INDEX(TABLACONSOLIDADA[Inv Fís Act],MATCH("AGROINSUMOSVERONICALEDESMA"&amp;Tabla_Buffers_Agroinsumos[[#This Row],[CODIGO ]],TABLACONSOLIDADA[Bodega]&amp;TABLACONSOLIDADA[Codigo],0)),"")</f>
        <v>0</v>
      </c>
      <c r="FC293" s="157">
        <f t="array" ref="FC29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9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93" s="134">
        <f>IFERROR(SUM(Tabla_Buffers_Agroinsumos[[#This Row],[VL-MP]:[VL-LF]]),"")</f>
        <v>0</v>
      </c>
      <c r="FF293" s="92">
        <f>IFERROR(Tabla_Buffers_Agroinsumos[[#This Row],[INV FIS VL]]-Tabla_Buffers_Agroinsumos[[#This Row],[BUFFER VL]],"")</f>
        <v>0</v>
      </c>
      <c r="FG293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93" s="134"/>
      <c r="FI293" s="134"/>
      <c r="FJ293" s="134"/>
      <c r="FK293" s="134"/>
      <c r="FL293" s="134"/>
      <c r="FM293" s="134"/>
      <c r="FN293" s="134"/>
      <c r="FO293" s="134"/>
      <c r="FP293" s="134"/>
    </row>
    <row r="294" spans="1:172">
      <c r="A294" s="7" t="s">
        <v>506</v>
      </c>
      <c r="B294" s="7" t="s">
        <v>507</v>
      </c>
      <c r="C294" s="7" t="s">
        <v>712</v>
      </c>
      <c r="D294" s="7" t="s">
        <v>715</v>
      </c>
      <c r="E294" s="7" t="s">
        <v>975</v>
      </c>
      <c r="F294" s="19" t="s">
        <v>698</v>
      </c>
      <c r="G294" s="19" t="s">
        <v>698</v>
      </c>
      <c r="H294" s="19">
        <f>VLOOKUP(Tabla_Buffers_Agroinsumos[[#This Row],[CODIGO ]],TABLACONSOLIDADA[[Codigo]:[PV]],6,0)</f>
        <v>7.39</v>
      </c>
      <c r="I294" s="19">
        <f>VLOOKUP(Tabla_Buffers_Agroinsumos[[#This Row],[CODIGO ]],TABLACONSOLIDADA[[Codigo]:[PV]],5,0)</f>
        <v>3.49</v>
      </c>
      <c r="J294" s="19" t="s">
        <v>698</v>
      </c>
      <c r="K294" s="19" t="s">
        <v>698</v>
      </c>
      <c r="L294" s="19">
        <f>IFERROR(Tabla_Buffers_Agroinsumos[[#This Row],[BUFFER CENTRAL]]/((Tabla_Buffers_Agroinsumos[[#This Row],[TIEMPO REPOSICION ]]/Tabla_Buffers_Agroinsumos[[#This Row],[FRECUENCIA]])+1),0)</f>
        <v>0</v>
      </c>
      <c r="M294" s="19" t="str">
        <f t="array" ref="M294">IFERROR(INDEX(TABLACONSOLIDADA[Buff Act],MATCH("AGROINSUMOSMATERIAPRIMA"&amp;Tabla_Buffers_Agroinsumos[[#This Row],[CODIGO ]],TABLACONSOLIDADA[Bodega]&amp;TABLACONSOLIDADA[Codigo],0)),"")</f>
        <v/>
      </c>
      <c r="N294" s="157" t="str">
        <f t="array" ref="N294">IFERROR(INDEX(TABLACONSOLIDADA[Inv Fís Act],MATCH("AGROINSUMOSMATERIAPRIMA"&amp;Tabla_Buffers_Agroinsumos[[#This Row],[CODIGO ]],TABLACONSOLIDADA[Bodega]&amp;TABLACONSOLIDADA[Codigo],0)),"")</f>
        <v/>
      </c>
      <c r="O294" s="157" t="str">
        <f t="array" ref="O29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9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94" s="19">
        <f>IFERROR(SUM(Tabla_Buffers_Agroinsumos[[#This Row],[MP-C]:[MP-VL]]),"")</f>
        <v>0</v>
      </c>
      <c r="R294" s="92" t="str">
        <f>IFERROR(Tabla_Buffers_Agroinsumos[[#This Row],[INV FIS MATERIA PRIMA]]-Tabla_Buffers_Agroinsumos[[#This Row],[BUFFER MATERIA PRIMA]],"")</f>
        <v/>
      </c>
      <c r="S29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94" s="19"/>
      <c r="U294" s="19"/>
      <c r="V294" s="19"/>
      <c r="W294" s="19"/>
      <c r="X294" s="19"/>
      <c r="Y294" s="19"/>
      <c r="Z294" s="19"/>
      <c r="AA294" s="19"/>
      <c r="AB294" s="19"/>
      <c r="AC294" s="152">
        <f t="array" ref="AC294">IFERROR(INDEX(TABLACONSOLIDADA[Buff Act],MATCH("AGROINSUMOSCENTRAL"&amp;Tabla_Buffers_Agroinsumos[[#This Row],[CODIGO ]],TABLACONSOLIDADA[Bodega]&amp;TABLACONSOLIDADA[Codigo],0)),"")</f>
        <v>0</v>
      </c>
      <c r="AD294" s="157">
        <f t="array" ref="AD294">IFERROR(INDEX(TABLACONSOLIDADA[Inv Fís Act],MATCH("AGROINSUMOSCENTRAL"&amp;Tabla_Buffers_Agroinsumos[[#This Row],[CODIGO ]],TABLACONSOLIDADA[Bodega]&amp;TABLACONSOLIDADA[Codigo],0)),"")</f>
        <v>0</v>
      </c>
      <c r="AE294" s="157">
        <f t="array" ref="AE29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9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94" s="91">
        <f>IFERROR(SUM(Tabla_Buffers_Agroinsumos[[#This Row],[C-MP]:[C-VL]]),"")</f>
        <v>0</v>
      </c>
      <c r="AH294" s="92">
        <f>IFERROR(Tabla_Buffers_Agroinsumos[[#This Row],[INV FIS CENTRAL]]-Tabla_Buffers_Agroinsumos[[#This Row],[BUFFER CENTRAL]],"")</f>
        <v>0</v>
      </c>
      <c r="AI29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94" s="134"/>
      <c r="AK294" s="134"/>
      <c r="AL294" s="134"/>
      <c r="AM294" s="134"/>
      <c r="AN294" s="134"/>
      <c r="AO294" s="134"/>
      <c r="AP294" s="134"/>
      <c r="AQ294" s="134"/>
      <c r="AR294" s="134"/>
      <c r="AS294" s="134">
        <f t="array" ref="AS294">IFERROR(INDEX(TABLACONSOLIDADA[Buff Act],MATCH("AGROINSUMOScentralPROPIA"&amp;Tabla_Buffers_Agroinsumos[[#This Row],[CODIGO ]],TABLACONSOLIDADA[Bodega]&amp;TABLACONSOLIDADA[Codigo],0)),"")</f>
        <v>0</v>
      </c>
      <c r="AT294" s="157">
        <f t="array" ref="AT294">IFERROR(INDEX(TABLACONSOLIDADA[Inv Fís Act],MATCH("AGROINSUMOScentralPROPIA"&amp;Tabla_Buffers_Agroinsumos[[#This Row],[CODIGO ]],TABLACONSOLIDADA[Bodega]&amp;TABLACONSOLIDADA[Codigo],0)),"")</f>
        <v>0</v>
      </c>
      <c r="AU294" s="157">
        <f t="array" ref="AU29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9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94" s="134">
        <f>IFERROR(SUM(Tabla_Buffers_Agroinsumos[[#This Row],[P-MP]:[P-VL]]),"")</f>
        <v>0</v>
      </c>
      <c r="AX294" s="92">
        <f>IFERROR(Tabla_Buffers_Agroinsumos[[#This Row],[INV FIS PROPIA]]-Tabla_Buffers_Agroinsumos[[#This Row],[BUFFER PROPIA]],"")</f>
        <v>0</v>
      </c>
      <c r="AY29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294" s="134"/>
      <c r="BA294" s="134"/>
      <c r="BB294" s="134"/>
      <c r="BC294" s="134"/>
      <c r="BD294" s="134"/>
      <c r="BE294" s="134"/>
      <c r="BF294" s="134"/>
      <c r="BG294" s="134"/>
      <c r="BH294" s="134"/>
      <c r="BI294" s="91" t="str">
        <f t="array" ref="BI294">IFERROR(INDEX(TABLACONSOLIDADA[Buff Act],MATCH("AGROINSUMOSSTODOMINGO"&amp;Tabla_Buffers_Agroinsumos[[#This Row],[CODIGO ]],TABLACONSOLIDADA[Bodega]&amp;TABLACONSOLIDADA[Codigo],0)),"")</f>
        <v/>
      </c>
      <c r="BJ294" s="157" t="str">
        <f t="array" ref="BJ294">IFERROR(INDEX(TABLACONSOLIDADA[Inv Fís Act],MATCH("AGROINSUMOSSTODOMINGO"&amp;Tabla_Buffers_Agroinsumos[[#This Row],[CODIGO ]],TABLACONSOLIDADA[Bodega]&amp;TABLACONSOLIDADA[Codigo],0)),"")</f>
        <v/>
      </c>
      <c r="BK294" s="157" t="str">
        <f t="array" ref="BK29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9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94" s="91">
        <f>IFERROR(SUM(Tabla_Buffers_Agroinsumos[[#This Row],[SD-MP]:[SD-VL]]),"")</f>
        <v>0</v>
      </c>
      <c r="BN294" s="92"/>
      <c r="BO294" s="92"/>
      <c r="BP294" s="134"/>
      <c r="BQ294" s="134"/>
      <c r="BR294" s="134"/>
      <c r="BS294" s="134"/>
      <c r="BT294" s="134"/>
      <c r="BU294" s="134"/>
      <c r="BV294" s="134"/>
      <c r="BW294" s="134"/>
      <c r="BX294" s="134"/>
      <c r="BY294" s="134">
        <f t="array" ref="BY294">IFERROR(INDEX(TABLACONSOLIDADA[Buff Act],MATCH("AGROINSUMOSMONCAYOLOPEZ"&amp;Tabla_Buffers_Agroinsumos[[#This Row],[CODIGO ]],TABLACONSOLIDADA[Bodega]&amp;TABLACONSOLIDADA[Codigo],0)),"")</f>
        <v>0</v>
      </c>
      <c r="BZ294" s="157">
        <f t="array" ref="BZ294">IFERROR(INDEX(TABLACONSOLIDADA[Inv Fís Act],MATCH("AGROINSUMOSMONCAYOLOPEZ"&amp;Tabla_Buffers_Agroinsumos[[#This Row],[CODIGO ]],TABLACONSOLIDADA[Bodega]&amp;TABLACONSOLIDADA[Codigo],0)),"")</f>
        <v>0</v>
      </c>
      <c r="CA294" s="157">
        <f t="array" ref="CA29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9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94" s="134">
        <f>IFERROR(SUM(Tabla_Buffers_Agroinsumos[[#This Row],[ML-MP]:[ML-VL]]),"")</f>
        <v>0</v>
      </c>
      <c r="CD294" s="92">
        <f>IFERROR(Tabla_Buffers_Agroinsumos[[#This Row],[INV FIS ML]]-Tabla_Buffers_Agroinsumos[[#This Row],[BUFFER ML]],"")</f>
        <v>0</v>
      </c>
      <c r="CE294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94" s="134"/>
      <c r="CG294" s="134"/>
      <c r="CH294" s="134"/>
      <c r="CI294" s="134"/>
      <c r="CJ294" s="134"/>
      <c r="CK294" s="134"/>
      <c r="CL294" s="134"/>
      <c r="CM294" s="134"/>
      <c r="CN294" s="134"/>
      <c r="CO294" s="134">
        <f t="array" ref="CO294">IFERROR(INDEX(TABLACONSOLIDADA[Buff Act],MATCH("AGROINSUMOSAGROHERMANOSLEON"&amp;Tabla_Buffers_Agroinsumos[[#This Row],[CODIGO ]],TABLACONSOLIDADA[Bodega]&amp;TABLACONSOLIDADA[Codigo],0)),"")</f>
        <v>0</v>
      </c>
      <c r="CP294" s="157">
        <f t="array" ref="CP294">IFERROR(INDEX(TABLACONSOLIDADA[Inv Fís Act],MATCH("AGROINSUMOSAGROHERMANOSLEON"&amp;Tabla_Buffers_Agroinsumos[[#This Row],[CODIGO ]],TABLACONSOLIDADA[Bodega]&amp;TABLACONSOLIDADA[Codigo],0)),"")</f>
        <v>0</v>
      </c>
      <c r="CQ294" s="157">
        <f t="array" ref="CQ29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9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94" s="134">
        <f>IFERROR(SUM(Tabla_Buffers_Agroinsumos[[#This Row],[AL-MP]:[AL-VL]]),"")</f>
        <v>0</v>
      </c>
      <c r="CT294" s="92">
        <f>IFERROR(Tabla_Buffers_Agroinsumos[[#This Row],[INV FIS AL]]-Tabla_Buffers_Agroinsumos[[#This Row],[BUFFER AL]],"")</f>
        <v>0</v>
      </c>
      <c r="CU294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94" s="134"/>
      <c r="CW294" s="134"/>
      <c r="CX294" s="134"/>
      <c r="CY294" s="134"/>
      <c r="CZ294" s="134"/>
      <c r="DA294" s="134"/>
      <c r="DB294" s="134"/>
      <c r="DC294" s="134"/>
      <c r="DD294" s="134"/>
      <c r="DE294" s="134">
        <f t="array" ref="DE294">IFERROR(INDEX(TABLACONSOLIDADA[Buff Act],MATCH("AGROINSUMOSAGRONUEVO"&amp;Tabla_Buffers_Agroinsumos[[#This Row],[CODIGO ]],TABLACONSOLIDADA[Bodega]&amp;TABLACONSOLIDADA[Codigo],0)),"")</f>
        <v>0</v>
      </c>
      <c r="DF294" s="157">
        <f t="array" ref="DF294">IFERROR(INDEX(TABLACONSOLIDADA[Inv Fís Act],MATCH("AGROINSUMOSAGRONUEVO"&amp;Tabla_Buffers_Agroinsumos[[#This Row],[CODIGO ]],TABLACONSOLIDADA[Bodega]&amp;TABLACONSOLIDADA[Codigo],0)),"")</f>
        <v>0</v>
      </c>
      <c r="DG294" s="157">
        <f t="array" ref="DG29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9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94" s="134">
        <f>IFERROR(SUM(Tabla_Buffers_Agroinsumos[[#This Row],[AN-MP]:[AN-VL]]),"")</f>
        <v>0</v>
      </c>
      <c r="DJ294" s="92">
        <f>IFERROR(Tabla_Buffers_Agroinsumos[[#This Row],[INV FIS AN]]-Tabla_Buffers_Agroinsumos[[#This Row],[BUFFER AN]],"")</f>
        <v>0</v>
      </c>
      <c r="DK294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94" s="134"/>
      <c r="DM294" s="134"/>
      <c r="DN294" s="134"/>
      <c r="DO294" s="134"/>
      <c r="DP294" s="134"/>
      <c r="DQ294" s="134"/>
      <c r="DR294" s="134"/>
      <c r="DS294" s="134"/>
      <c r="DT294" s="134"/>
      <c r="DU294" s="134">
        <f t="array" ref="DU294">IFERROR(INDEX(TABLACONSOLIDADA[Buff Act],MATCH("AGROINSUMOSAGROQUIMICOSSUR"&amp;Tabla_Buffers_Agroinsumos[[#This Row],[CODIGO ]],TABLACONSOLIDADA[Bodega]&amp;TABLACONSOLIDADA[Codigo],0)),"")</f>
        <v>0</v>
      </c>
      <c r="DV294" s="157">
        <f t="array" ref="DV294">IFERROR(INDEX(TABLACONSOLIDADA[Inv Fís Act],MATCH("AGROINSUMOSAGROQUIMICOSSUR"&amp;Tabla_Buffers_Agroinsumos[[#This Row],[CODIGO ]],TABLACONSOLIDADA[Bodega]&amp;TABLACONSOLIDADA[Codigo],0)),"")</f>
        <v>0</v>
      </c>
      <c r="DW294" s="157">
        <f t="array" ref="DW29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9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94" s="134">
        <f>IFERROR(SUM(Tabla_Buffers_Agroinsumos[[#This Row],[AS-MP]:[AS-VL]]),"")</f>
        <v>0</v>
      </c>
      <c r="DZ294" s="92">
        <f>IFERROR(Tabla_Buffers_Agroinsumos[[#This Row],[INV FIS AS]]-Tabla_Buffers_Agroinsumos[[#This Row],[BUFFER AS]],"")</f>
        <v>0</v>
      </c>
      <c r="EA294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94" s="134"/>
      <c r="EC294" s="134"/>
      <c r="ED294" s="134"/>
      <c r="EE294" s="134"/>
      <c r="EF294" s="134"/>
      <c r="EG294" s="134"/>
      <c r="EH294" s="134"/>
      <c r="EI294" s="134"/>
      <c r="EJ294" s="134"/>
      <c r="EK294" s="134">
        <f t="array" ref="EK294">IFERROR(INDEX(TABLACONSOLIDADA[Buff Act],MATCH("AGROINSUMOSLAFINCA"&amp;Tabla_Buffers_Agroinsumos[[#This Row],[CODIGO ]],TABLACONSOLIDADA[Bodega]&amp;TABLACONSOLIDADA[Codigo],0)),"")</f>
        <v>0</v>
      </c>
      <c r="EL294" s="157">
        <f t="array" ref="EL294">IFERROR(INDEX(TABLACONSOLIDADA[Inv Fís Act],MATCH("AGROINSUMOSLAFINCA"&amp;Tabla_Buffers_Agroinsumos[[#This Row],[CODIGO ]],TABLACONSOLIDADA[Bodega]&amp;TABLACONSOLIDADA[Codigo],0)),"")</f>
        <v>0</v>
      </c>
      <c r="EM294" s="157">
        <f t="array" ref="EM29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9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94" s="134">
        <f>IFERROR(SUM(Tabla_Buffers_Agroinsumos[[#This Row],[LF-MP]:[LF-VL]]),"")</f>
        <v>0</v>
      </c>
      <c r="EP294" s="92">
        <f>IFERROR(Tabla_Buffers_Agroinsumos[[#This Row],[INV FIS LF]]-Tabla_Buffers_Agroinsumos[[#This Row],[BUFFER LF]],"")</f>
        <v>0</v>
      </c>
      <c r="EQ294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94" s="134"/>
      <c r="ES294" s="134"/>
      <c r="ET294" s="134"/>
      <c r="EU294" s="134"/>
      <c r="EV294" s="134"/>
      <c r="EW294" s="134"/>
      <c r="EX294" s="134"/>
      <c r="EY294" s="134"/>
      <c r="EZ294" s="134"/>
      <c r="FA294" s="134">
        <f t="array" ref="FA294">IFERROR(INDEX(TABLACONSOLIDADA[Buff Act],MATCH("AGROINSUMOSVERONICALEDESMA"&amp;Tabla_Buffers_Agroinsumos[[#This Row],[CODIGO ]],TABLACONSOLIDADA[Bodega]&amp;TABLACONSOLIDADA[Codigo],0)),"")</f>
        <v>0</v>
      </c>
      <c r="FB294" s="157">
        <f t="array" ref="FB294">IFERROR(INDEX(TABLACONSOLIDADA[Inv Fís Act],MATCH("AGROINSUMOSVERONICALEDESMA"&amp;Tabla_Buffers_Agroinsumos[[#This Row],[CODIGO ]],TABLACONSOLIDADA[Bodega]&amp;TABLACONSOLIDADA[Codigo],0)),"")</f>
        <v>0</v>
      </c>
      <c r="FC294" s="157">
        <f t="array" ref="FC29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9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94" s="134">
        <f>IFERROR(SUM(Tabla_Buffers_Agroinsumos[[#This Row],[VL-MP]:[VL-LF]]),"")</f>
        <v>0</v>
      </c>
      <c r="FF294" s="92">
        <f>IFERROR(Tabla_Buffers_Agroinsumos[[#This Row],[INV FIS VL]]-Tabla_Buffers_Agroinsumos[[#This Row],[BUFFER VL]],"")</f>
        <v>0</v>
      </c>
      <c r="FG294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94" s="134"/>
      <c r="FI294" s="134"/>
      <c r="FJ294" s="134"/>
      <c r="FK294" s="134"/>
      <c r="FL294" s="134"/>
      <c r="FM294" s="134"/>
      <c r="FN294" s="134"/>
      <c r="FO294" s="134"/>
      <c r="FP294" s="134"/>
    </row>
    <row r="295" spans="1:172">
      <c r="A295" s="7" t="s">
        <v>508</v>
      </c>
      <c r="B295" s="7" t="s">
        <v>960</v>
      </c>
      <c r="C295" s="7" t="s">
        <v>712</v>
      </c>
      <c r="D295" s="7" t="s">
        <v>715</v>
      </c>
      <c r="E295" s="7" t="s">
        <v>975</v>
      </c>
      <c r="F295" s="19" t="s">
        <v>698</v>
      </c>
      <c r="G295" s="19" t="s">
        <v>698</v>
      </c>
      <c r="H295" s="19">
        <f>VLOOKUP(Tabla_Buffers_Agroinsumos[[#This Row],[CODIGO ]],TABLACONSOLIDADA[[Codigo]:[PV]],6,0)</f>
        <v>13.76</v>
      </c>
      <c r="I295" s="19">
        <f>VLOOKUP(Tabla_Buffers_Agroinsumos[[#This Row],[CODIGO ]],TABLACONSOLIDADA[[Codigo]:[PV]],5,0)</f>
        <v>6.94</v>
      </c>
      <c r="J295" s="19" t="s">
        <v>698</v>
      </c>
      <c r="K295" s="19" t="s">
        <v>698</v>
      </c>
      <c r="L295" s="19">
        <f>IFERROR(Tabla_Buffers_Agroinsumos[[#This Row],[BUFFER CENTRAL]]/((Tabla_Buffers_Agroinsumos[[#This Row],[TIEMPO REPOSICION ]]/Tabla_Buffers_Agroinsumos[[#This Row],[FRECUENCIA]])+1),0)</f>
        <v>0</v>
      </c>
      <c r="M295" s="19" t="str">
        <f t="array" ref="M295">IFERROR(INDEX(TABLACONSOLIDADA[Buff Act],MATCH("AGROINSUMOSMATERIAPRIMA"&amp;Tabla_Buffers_Agroinsumos[[#This Row],[CODIGO ]],TABLACONSOLIDADA[Bodega]&amp;TABLACONSOLIDADA[Codigo],0)),"")</f>
        <v/>
      </c>
      <c r="N295" s="157" t="str">
        <f t="array" ref="N295">IFERROR(INDEX(TABLACONSOLIDADA[Inv Fís Act],MATCH("AGROINSUMOSMATERIAPRIMA"&amp;Tabla_Buffers_Agroinsumos[[#This Row],[CODIGO ]],TABLACONSOLIDADA[Bodega]&amp;TABLACONSOLIDADA[Codigo],0)),"")</f>
        <v/>
      </c>
      <c r="O295" s="157" t="str">
        <f t="array" ref="O29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9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95" s="19">
        <f>IFERROR(SUM(Tabla_Buffers_Agroinsumos[[#This Row],[MP-C]:[MP-VL]]),"")</f>
        <v>0</v>
      </c>
      <c r="R295" s="92" t="str">
        <f>IFERROR(Tabla_Buffers_Agroinsumos[[#This Row],[INV FIS MATERIA PRIMA]]-Tabla_Buffers_Agroinsumos[[#This Row],[BUFFER MATERIA PRIMA]],"")</f>
        <v/>
      </c>
      <c r="S29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95" s="19"/>
      <c r="U295" s="19"/>
      <c r="V295" s="19"/>
      <c r="W295" s="19"/>
      <c r="X295" s="19"/>
      <c r="Y295" s="19"/>
      <c r="Z295" s="19"/>
      <c r="AA295" s="19"/>
      <c r="AB295" s="19"/>
      <c r="AC295" s="152">
        <f t="array" ref="AC295">IFERROR(INDEX(TABLACONSOLIDADA[Buff Act],MATCH("AGROINSUMOSCENTRAL"&amp;Tabla_Buffers_Agroinsumos[[#This Row],[CODIGO ]],TABLACONSOLIDADA[Bodega]&amp;TABLACONSOLIDADA[Codigo],0)),"")</f>
        <v>0</v>
      </c>
      <c r="AD295" s="157">
        <f t="array" ref="AD295">IFERROR(INDEX(TABLACONSOLIDADA[Inv Fís Act],MATCH("AGROINSUMOSCENTRAL"&amp;Tabla_Buffers_Agroinsumos[[#This Row],[CODIGO ]],TABLACONSOLIDADA[Bodega]&amp;TABLACONSOLIDADA[Codigo],0)),"")</f>
        <v>0</v>
      </c>
      <c r="AE295" s="157">
        <f t="array" ref="AE29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9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95" s="91">
        <f>IFERROR(SUM(Tabla_Buffers_Agroinsumos[[#This Row],[C-MP]:[C-VL]]),"")</f>
        <v>0</v>
      </c>
      <c r="AH295" s="92">
        <f>IFERROR(Tabla_Buffers_Agroinsumos[[#This Row],[INV FIS CENTRAL]]-Tabla_Buffers_Agroinsumos[[#This Row],[BUFFER CENTRAL]],"")</f>
        <v>0</v>
      </c>
      <c r="AI29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95" s="134"/>
      <c r="AK295" s="134"/>
      <c r="AL295" s="134"/>
      <c r="AM295" s="134"/>
      <c r="AN295" s="134"/>
      <c r="AO295" s="134"/>
      <c r="AP295" s="134"/>
      <c r="AQ295" s="134"/>
      <c r="AR295" s="134"/>
      <c r="AS295" s="134">
        <f t="array" ref="AS295">IFERROR(INDEX(TABLACONSOLIDADA[Buff Act],MATCH("AGROINSUMOScentralPROPIA"&amp;Tabla_Buffers_Agroinsumos[[#This Row],[CODIGO ]],TABLACONSOLIDADA[Bodega]&amp;TABLACONSOLIDADA[Codigo],0)),"")</f>
        <v>0</v>
      </c>
      <c r="AT295" s="157">
        <f t="array" ref="AT295">IFERROR(INDEX(TABLACONSOLIDADA[Inv Fís Act],MATCH("AGROINSUMOScentralPROPIA"&amp;Tabla_Buffers_Agroinsumos[[#This Row],[CODIGO ]],TABLACONSOLIDADA[Bodega]&amp;TABLACONSOLIDADA[Codigo],0)),"")</f>
        <v>0</v>
      </c>
      <c r="AU295" s="157">
        <f t="array" ref="AU29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9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95" s="134">
        <f>IFERROR(SUM(Tabla_Buffers_Agroinsumos[[#This Row],[P-MP]:[P-VL]]),"")</f>
        <v>0</v>
      </c>
      <c r="AX295" s="92">
        <f>IFERROR(Tabla_Buffers_Agroinsumos[[#This Row],[INV FIS PROPIA]]-Tabla_Buffers_Agroinsumos[[#This Row],[BUFFER PROPIA]],"")</f>
        <v>0</v>
      </c>
      <c r="AY29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295" s="134"/>
      <c r="BA295" s="134"/>
      <c r="BB295" s="134"/>
      <c r="BC295" s="134"/>
      <c r="BD295" s="134"/>
      <c r="BE295" s="134"/>
      <c r="BF295" s="134"/>
      <c r="BG295" s="134"/>
      <c r="BH295" s="134"/>
      <c r="BI295" s="91" t="str">
        <f t="array" ref="BI295">IFERROR(INDEX(TABLACONSOLIDADA[Buff Act],MATCH("AGROINSUMOSSTODOMINGO"&amp;Tabla_Buffers_Agroinsumos[[#This Row],[CODIGO ]],TABLACONSOLIDADA[Bodega]&amp;TABLACONSOLIDADA[Codigo],0)),"")</f>
        <v/>
      </c>
      <c r="BJ295" s="157" t="str">
        <f t="array" ref="BJ295">IFERROR(INDEX(TABLACONSOLIDADA[Inv Fís Act],MATCH("AGROINSUMOSSTODOMINGO"&amp;Tabla_Buffers_Agroinsumos[[#This Row],[CODIGO ]],TABLACONSOLIDADA[Bodega]&amp;TABLACONSOLIDADA[Codigo],0)),"")</f>
        <v/>
      </c>
      <c r="BK295" s="157" t="str">
        <f t="array" ref="BK29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9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95" s="91">
        <f>IFERROR(SUM(Tabla_Buffers_Agroinsumos[[#This Row],[SD-MP]:[SD-VL]]),"")</f>
        <v>0</v>
      </c>
      <c r="BN295" s="92"/>
      <c r="BO295" s="92"/>
      <c r="BP295" s="134"/>
      <c r="BQ295" s="134"/>
      <c r="BR295" s="134"/>
      <c r="BS295" s="134"/>
      <c r="BT295" s="134"/>
      <c r="BU295" s="134"/>
      <c r="BV295" s="134"/>
      <c r="BW295" s="134"/>
      <c r="BX295" s="134"/>
      <c r="BY295" s="134">
        <f t="array" ref="BY295">IFERROR(INDEX(TABLACONSOLIDADA[Buff Act],MATCH("AGROINSUMOSMONCAYOLOPEZ"&amp;Tabla_Buffers_Agroinsumos[[#This Row],[CODIGO ]],TABLACONSOLIDADA[Bodega]&amp;TABLACONSOLIDADA[Codigo],0)),"")</f>
        <v>0</v>
      </c>
      <c r="BZ295" s="157">
        <f t="array" ref="BZ295">IFERROR(INDEX(TABLACONSOLIDADA[Inv Fís Act],MATCH("AGROINSUMOSMONCAYOLOPEZ"&amp;Tabla_Buffers_Agroinsumos[[#This Row],[CODIGO ]],TABLACONSOLIDADA[Bodega]&amp;TABLACONSOLIDADA[Codigo],0)),"")</f>
        <v>0</v>
      </c>
      <c r="CA295" s="157">
        <f t="array" ref="CA29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9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95" s="134">
        <f>IFERROR(SUM(Tabla_Buffers_Agroinsumos[[#This Row],[ML-MP]:[ML-VL]]),"")</f>
        <v>0</v>
      </c>
      <c r="CD295" s="92">
        <f>IFERROR(Tabla_Buffers_Agroinsumos[[#This Row],[INV FIS ML]]-Tabla_Buffers_Agroinsumos[[#This Row],[BUFFER ML]],"")</f>
        <v>0</v>
      </c>
      <c r="CE29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95" s="134"/>
      <c r="CG295" s="134"/>
      <c r="CH295" s="134"/>
      <c r="CI295" s="134"/>
      <c r="CJ295" s="134"/>
      <c r="CK295" s="134"/>
      <c r="CL295" s="134"/>
      <c r="CM295" s="134"/>
      <c r="CN295" s="134"/>
      <c r="CO295" s="134">
        <f t="array" ref="CO295">IFERROR(INDEX(TABLACONSOLIDADA[Buff Act],MATCH("AGROINSUMOSAGROHERMANOSLEON"&amp;Tabla_Buffers_Agroinsumos[[#This Row],[CODIGO ]],TABLACONSOLIDADA[Bodega]&amp;TABLACONSOLIDADA[Codigo],0)),"")</f>
        <v>0</v>
      </c>
      <c r="CP295" s="157">
        <f t="array" ref="CP295">IFERROR(INDEX(TABLACONSOLIDADA[Inv Fís Act],MATCH("AGROINSUMOSAGROHERMANOSLEON"&amp;Tabla_Buffers_Agroinsumos[[#This Row],[CODIGO ]],TABLACONSOLIDADA[Bodega]&amp;TABLACONSOLIDADA[Codigo],0)),"")</f>
        <v>16</v>
      </c>
      <c r="CQ295" s="157">
        <f t="array" ref="CQ29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16</v>
      </c>
      <c r="CR29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95" s="134">
        <f>IFERROR(SUM(Tabla_Buffers_Agroinsumos[[#This Row],[AL-MP]:[AL-VL]]),"")</f>
        <v>0</v>
      </c>
      <c r="CT295" s="92">
        <f>IFERROR(Tabla_Buffers_Agroinsumos[[#This Row],[INV FIS AL]]-Tabla_Buffers_Agroinsumos[[#This Row],[BUFFER AL]],"")</f>
        <v>16</v>
      </c>
      <c r="CU295" s="92">
        <f>IFERROR(Tabla_Buffers_Agroinsumos[[#This Row],[INV FIS AL]]+Tabla_Buffers_Agroinsumos[[#This Row],[TRANSFERENCIAS A AL]]-Tabla_Buffers_Agroinsumos[[#This Row],[BUFFER AL]]-Tabla_Buffers_Agroinsumos[[#This Row],[TRANSFERENCIAS DE AL]],"")</f>
        <v>16</v>
      </c>
      <c r="CV295" s="134"/>
      <c r="CW295" s="134"/>
      <c r="CX295" s="134"/>
      <c r="CY295" s="134"/>
      <c r="CZ295" s="134"/>
      <c r="DA295" s="134"/>
      <c r="DB295" s="134"/>
      <c r="DC295" s="134"/>
      <c r="DD295" s="134"/>
      <c r="DE295" s="134">
        <f t="array" ref="DE295">IFERROR(INDEX(TABLACONSOLIDADA[Buff Act],MATCH("AGROINSUMOSAGRONUEVO"&amp;Tabla_Buffers_Agroinsumos[[#This Row],[CODIGO ]],TABLACONSOLIDADA[Bodega]&amp;TABLACONSOLIDADA[Codigo],0)),"")</f>
        <v>0</v>
      </c>
      <c r="DF295" s="157">
        <f t="array" ref="DF295">IFERROR(INDEX(TABLACONSOLIDADA[Inv Fís Act],MATCH("AGROINSUMOSAGRONUEVO"&amp;Tabla_Buffers_Agroinsumos[[#This Row],[CODIGO ]],TABLACONSOLIDADA[Bodega]&amp;TABLACONSOLIDADA[Codigo],0)),"")</f>
        <v>0</v>
      </c>
      <c r="DG295" s="157">
        <f t="array" ref="DG29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9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95" s="134">
        <f>IFERROR(SUM(Tabla_Buffers_Agroinsumos[[#This Row],[AN-MP]:[AN-VL]]),"")</f>
        <v>0</v>
      </c>
      <c r="DJ295" s="92">
        <f>IFERROR(Tabla_Buffers_Agroinsumos[[#This Row],[INV FIS AN]]-Tabla_Buffers_Agroinsumos[[#This Row],[BUFFER AN]],"")</f>
        <v>0</v>
      </c>
      <c r="DK29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95" s="134"/>
      <c r="DM295" s="134"/>
      <c r="DN295" s="134"/>
      <c r="DO295" s="134"/>
      <c r="DP295" s="134"/>
      <c r="DQ295" s="134"/>
      <c r="DR295" s="134"/>
      <c r="DS295" s="134"/>
      <c r="DT295" s="134"/>
      <c r="DU295" s="134">
        <f t="array" ref="DU295">IFERROR(INDEX(TABLACONSOLIDADA[Buff Act],MATCH("AGROINSUMOSAGROQUIMICOSSUR"&amp;Tabla_Buffers_Agroinsumos[[#This Row],[CODIGO ]],TABLACONSOLIDADA[Bodega]&amp;TABLACONSOLIDADA[Codigo],0)),"")</f>
        <v>0</v>
      </c>
      <c r="DV295" s="157">
        <f t="array" ref="DV295">IFERROR(INDEX(TABLACONSOLIDADA[Inv Fís Act],MATCH("AGROINSUMOSAGROQUIMICOSSUR"&amp;Tabla_Buffers_Agroinsumos[[#This Row],[CODIGO ]],TABLACONSOLIDADA[Bodega]&amp;TABLACONSOLIDADA[Codigo],0)),"")</f>
        <v>0</v>
      </c>
      <c r="DW295" s="157">
        <f t="array" ref="DW29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9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95" s="134">
        <f>IFERROR(SUM(Tabla_Buffers_Agroinsumos[[#This Row],[AS-MP]:[AS-VL]]),"")</f>
        <v>0</v>
      </c>
      <c r="DZ295" s="92">
        <f>IFERROR(Tabla_Buffers_Agroinsumos[[#This Row],[INV FIS AS]]-Tabla_Buffers_Agroinsumos[[#This Row],[BUFFER AS]],"")</f>
        <v>0</v>
      </c>
      <c r="EA29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95" s="134"/>
      <c r="EC295" s="134"/>
      <c r="ED295" s="134"/>
      <c r="EE295" s="134"/>
      <c r="EF295" s="134"/>
      <c r="EG295" s="134"/>
      <c r="EH295" s="134"/>
      <c r="EI295" s="134"/>
      <c r="EJ295" s="134"/>
      <c r="EK295" s="134">
        <f t="array" ref="EK295">IFERROR(INDEX(TABLACONSOLIDADA[Buff Act],MATCH("AGROINSUMOSLAFINCA"&amp;Tabla_Buffers_Agroinsumos[[#This Row],[CODIGO ]],TABLACONSOLIDADA[Bodega]&amp;TABLACONSOLIDADA[Codigo],0)),"")</f>
        <v>0</v>
      </c>
      <c r="EL295" s="157">
        <f t="array" ref="EL295">IFERROR(INDEX(TABLACONSOLIDADA[Inv Fís Act],MATCH("AGROINSUMOSLAFINCA"&amp;Tabla_Buffers_Agroinsumos[[#This Row],[CODIGO ]],TABLACONSOLIDADA[Bodega]&amp;TABLACONSOLIDADA[Codigo],0)),"")</f>
        <v>0</v>
      </c>
      <c r="EM295" s="157">
        <f t="array" ref="EM29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9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95" s="134">
        <f>IFERROR(SUM(Tabla_Buffers_Agroinsumos[[#This Row],[LF-MP]:[LF-VL]]),"")</f>
        <v>0</v>
      </c>
      <c r="EP295" s="92">
        <f>IFERROR(Tabla_Buffers_Agroinsumos[[#This Row],[INV FIS LF]]-Tabla_Buffers_Agroinsumos[[#This Row],[BUFFER LF]],"")</f>
        <v>0</v>
      </c>
      <c r="EQ29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95" s="134"/>
      <c r="ES295" s="134"/>
      <c r="ET295" s="134"/>
      <c r="EU295" s="134"/>
      <c r="EV295" s="134"/>
      <c r="EW295" s="134"/>
      <c r="EX295" s="134"/>
      <c r="EY295" s="134"/>
      <c r="EZ295" s="134"/>
      <c r="FA295" s="134">
        <f t="array" ref="FA295">IFERROR(INDEX(TABLACONSOLIDADA[Buff Act],MATCH("AGROINSUMOSVERONICALEDESMA"&amp;Tabla_Buffers_Agroinsumos[[#This Row],[CODIGO ]],TABLACONSOLIDADA[Bodega]&amp;TABLACONSOLIDADA[Codigo],0)),"")</f>
        <v>0</v>
      </c>
      <c r="FB295" s="157">
        <f t="array" ref="FB295">IFERROR(INDEX(TABLACONSOLIDADA[Inv Fís Act],MATCH("AGROINSUMOSVERONICALEDESMA"&amp;Tabla_Buffers_Agroinsumos[[#This Row],[CODIGO ]],TABLACONSOLIDADA[Bodega]&amp;TABLACONSOLIDADA[Codigo],0)),"")</f>
        <v>0</v>
      </c>
      <c r="FC295" s="157">
        <f t="array" ref="FC29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9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95" s="134">
        <f>IFERROR(SUM(Tabla_Buffers_Agroinsumos[[#This Row],[VL-MP]:[VL-LF]]),"")</f>
        <v>0</v>
      </c>
      <c r="FF295" s="92">
        <f>IFERROR(Tabla_Buffers_Agroinsumos[[#This Row],[INV FIS VL]]-Tabla_Buffers_Agroinsumos[[#This Row],[BUFFER VL]],"")</f>
        <v>0</v>
      </c>
      <c r="FG295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95" s="134"/>
      <c r="FI295" s="134"/>
      <c r="FJ295" s="134"/>
      <c r="FK295" s="134"/>
      <c r="FL295" s="134"/>
      <c r="FM295" s="134"/>
      <c r="FN295" s="134"/>
      <c r="FO295" s="134"/>
      <c r="FP295" s="134"/>
    </row>
    <row r="296" spans="1:172">
      <c r="A296" s="7" t="s">
        <v>510</v>
      </c>
      <c r="B296" s="7" t="s">
        <v>511</v>
      </c>
      <c r="C296" s="7" t="s">
        <v>709</v>
      </c>
      <c r="D296" s="7" t="s">
        <v>720</v>
      </c>
      <c r="E296" s="7" t="s">
        <v>863</v>
      </c>
      <c r="F296" s="19" t="s">
        <v>814</v>
      </c>
      <c r="G296" s="19" t="s">
        <v>873</v>
      </c>
      <c r="H296" s="19">
        <f>VLOOKUP(Tabla_Buffers_Agroinsumos[[#This Row],[CODIGO ]],TABLACONSOLIDADA[[Codigo]:[PV]],6,0)</f>
        <v>0</v>
      </c>
      <c r="I296" s="19">
        <f>VLOOKUP(Tabla_Buffers_Agroinsumos[[#This Row],[CODIGO ]],TABLACONSOLIDADA[[Codigo]:[PV]],5,0)</f>
        <v>744.22</v>
      </c>
      <c r="J296" s="19">
        <v>12</v>
      </c>
      <c r="K296" s="19">
        <v>14</v>
      </c>
      <c r="L296" s="19">
        <f>IFERROR(Tabla_Buffers_Agroinsumos[[#This Row],[BUFFER CENTRAL]]/((Tabla_Buffers_Agroinsumos[[#This Row],[TIEMPO REPOSICION ]]/Tabla_Buffers_Agroinsumos[[#This Row],[FRECUENCIA]])+1),0)</f>
        <v>0</v>
      </c>
      <c r="M296" s="19">
        <f t="array" ref="M296">IFERROR(INDEX(TABLACONSOLIDADA[Buff Act],MATCH("AGROINSUMOSMATERIAPRIMA"&amp;Tabla_Buffers_Agroinsumos[[#This Row],[CODIGO ]],TABLACONSOLIDADA[Bodega]&amp;TABLACONSOLIDADA[Codigo],0)),"")</f>
        <v>65</v>
      </c>
      <c r="N296" s="157">
        <f t="array" ref="N296">IFERROR(INDEX(TABLACONSOLIDADA[Inv Fís Act],MATCH("AGROINSUMOSMATERIAPRIMA"&amp;Tabla_Buffers_Agroinsumos[[#This Row],[CODIGO ]],TABLACONSOLIDADA[Bodega]&amp;TABLACONSOLIDADA[Codigo],0)),"")</f>
        <v>17.808900000000001</v>
      </c>
      <c r="O296" s="157">
        <f t="array" ref="O29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32.808900000000001</v>
      </c>
      <c r="P29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96" s="19">
        <f>IFERROR(SUM(Tabla_Buffers_Agroinsumos[[#This Row],[MP-C]:[MP-VL]]),"")</f>
        <v>0</v>
      </c>
      <c r="R296" s="92">
        <f>IFERROR(Tabla_Buffers_Agroinsumos[[#This Row],[INV FIS MATERIA PRIMA]]-Tabla_Buffers_Agroinsumos[[#This Row],[BUFFER MATERIA PRIMA]],"")</f>
        <v>-47.191099999999999</v>
      </c>
      <c r="S29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-47.191099999999999</v>
      </c>
      <c r="T296" s="19"/>
      <c r="U296" s="19"/>
      <c r="V296" s="19"/>
      <c r="W296" s="19"/>
      <c r="X296" s="19"/>
      <c r="Y296" s="19"/>
      <c r="Z296" s="19"/>
      <c r="AA296" s="19"/>
      <c r="AB296" s="19"/>
      <c r="AC296" s="152" t="str">
        <f t="array" ref="AC296">IFERROR(INDEX(TABLACONSOLIDADA[Buff Act],MATCH("AGROINSUMOSCENTRAL"&amp;Tabla_Buffers_Agroinsumos[[#This Row],[CODIGO ]],TABLACONSOLIDADA[Bodega]&amp;TABLACONSOLIDADA[Codigo],0)),"")</f>
        <v/>
      </c>
      <c r="AD296" s="157" t="str">
        <f t="array" ref="AD296">IFERROR(INDEX(TABLACONSOLIDADA[Inv Fís Act],MATCH("AGROINSUMOSCENTRAL"&amp;Tabla_Buffers_Agroinsumos[[#This Row],[CODIGO ]],TABLACONSOLIDADA[Bodega]&amp;TABLACONSOLIDADA[Codigo],0)),"")</f>
        <v/>
      </c>
      <c r="AE296" s="157" t="str">
        <f t="array" ref="AE29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29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96" s="91">
        <f>IFERROR(SUM(Tabla_Buffers_Agroinsumos[[#This Row],[C-MP]:[C-VL]]),"")</f>
        <v>0</v>
      </c>
      <c r="AH296" s="92" t="str">
        <f>IFERROR(Tabla_Buffers_Agroinsumos[[#This Row],[INV FIS CENTRAL]]-Tabla_Buffers_Agroinsumos[[#This Row],[BUFFER CENTRAL]],"")</f>
        <v/>
      </c>
      <c r="AI29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296" s="134"/>
      <c r="AK296" s="134"/>
      <c r="AL296" s="134"/>
      <c r="AM296" s="134"/>
      <c r="AN296" s="134"/>
      <c r="AO296" s="134"/>
      <c r="AP296" s="134"/>
      <c r="AQ296" s="134"/>
      <c r="AR296" s="134"/>
      <c r="AS296" s="134" t="str">
        <f t="array" ref="AS296">IFERROR(INDEX(TABLACONSOLIDADA[Buff Act],MATCH("AGROINSUMOScentralPROPIA"&amp;Tabla_Buffers_Agroinsumos[[#This Row],[CODIGO ]],TABLACONSOLIDADA[Bodega]&amp;TABLACONSOLIDADA[Codigo],0)),"")</f>
        <v/>
      </c>
      <c r="AT296" s="157" t="str">
        <f t="array" ref="AT296">IFERROR(INDEX(TABLACONSOLIDADA[Inv Fís Act],MATCH("AGROINSUMOScentralPROPIA"&amp;Tabla_Buffers_Agroinsumos[[#This Row],[CODIGO ]],TABLACONSOLIDADA[Bodega]&amp;TABLACONSOLIDADA[Codigo],0)),"")</f>
        <v/>
      </c>
      <c r="AU296" s="157" t="str">
        <f t="array" ref="AU29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29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96" s="134">
        <f>IFERROR(SUM(Tabla_Buffers_Agroinsumos[[#This Row],[P-MP]:[P-VL]]),"")</f>
        <v>0</v>
      </c>
      <c r="AX296" s="92" t="str">
        <f>IFERROR(Tabla_Buffers_Agroinsumos[[#This Row],[INV FIS PROPIA]]-Tabla_Buffers_Agroinsumos[[#This Row],[BUFFER PROPIA]],"")</f>
        <v/>
      </c>
      <c r="AY29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296" s="134"/>
      <c r="BA296" s="134"/>
      <c r="BB296" s="134"/>
      <c r="BC296" s="134"/>
      <c r="BD296" s="134"/>
      <c r="BE296" s="134"/>
      <c r="BF296" s="134"/>
      <c r="BG296" s="134"/>
      <c r="BH296" s="134"/>
      <c r="BI296" s="91" t="str">
        <f t="array" ref="BI296">IFERROR(INDEX(TABLACONSOLIDADA[Buff Act],MATCH("AGROINSUMOSSTODOMINGO"&amp;Tabla_Buffers_Agroinsumos[[#This Row],[CODIGO ]],TABLACONSOLIDADA[Bodega]&amp;TABLACONSOLIDADA[Codigo],0)),"")</f>
        <v/>
      </c>
      <c r="BJ296" s="157" t="str">
        <f t="array" ref="BJ296">IFERROR(INDEX(TABLACONSOLIDADA[Inv Fís Act],MATCH("AGROINSUMOSSTODOMINGO"&amp;Tabla_Buffers_Agroinsumos[[#This Row],[CODIGO ]],TABLACONSOLIDADA[Bodega]&amp;TABLACONSOLIDADA[Codigo],0)),"")</f>
        <v/>
      </c>
      <c r="BK296" s="157" t="str">
        <f t="array" ref="BK29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9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96" s="91">
        <f>IFERROR(SUM(Tabla_Buffers_Agroinsumos[[#This Row],[SD-MP]:[SD-VL]]),"")</f>
        <v>0</v>
      </c>
      <c r="BN296" s="92"/>
      <c r="BO296" s="92"/>
      <c r="BP296" s="134"/>
      <c r="BQ296" s="134"/>
      <c r="BR296" s="134"/>
      <c r="BS296" s="134"/>
      <c r="BT296" s="134"/>
      <c r="BU296" s="134"/>
      <c r="BV296" s="134"/>
      <c r="BW296" s="134"/>
      <c r="BX296" s="134"/>
      <c r="BY296" s="134" t="str">
        <f t="array" ref="BY296">IFERROR(INDEX(TABLACONSOLIDADA[Buff Act],MATCH("AGROINSUMOSMONCAYOLOPEZ"&amp;Tabla_Buffers_Agroinsumos[[#This Row],[CODIGO ]],TABLACONSOLIDADA[Bodega]&amp;TABLACONSOLIDADA[Codigo],0)),"")</f>
        <v/>
      </c>
      <c r="BZ296" s="157" t="str">
        <f t="array" ref="BZ296">IFERROR(INDEX(TABLACONSOLIDADA[Inv Fís Act],MATCH("AGROINSUMOSMONCAYOLOPEZ"&amp;Tabla_Buffers_Agroinsumos[[#This Row],[CODIGO ]],TABLACONSOLIDADA[Bodega]&amp;TABLACONSOLIDADA[Codigo],0)),"")</f>
        <v/>
      </c>
      <c r="CA296" s="157" t="str">
        <f t="array" ref="CA29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29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96" s="134">
        <f>IFERROR(SUM(Tabla_Buffers_Agroinsumos[[#This Row],[ML-MP]:[ML-VL]]),"")</f>
        <v>0</v>
      </c>
      <c r="CD296" s="92" t="str">
        <f>IFERROR(Tabla_Buffers_Agroinsumos[[#This Row],[INV FIS ML]]-Tabla_Buffers_Agroinsumos[[#This Row],[BUFFER ML]],"")</f>
        <v/>
      </c>
      <c r="CE29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296" s="134"/>
      <c r="CG296" s="134"/>
      <c r="CH296" s="134"/>
      <c r="CI296" s="134"/>
      <c r="CJ296" s="134"/>
      <c r="CK296" s="134"/>
      <c r="CL296" s="134"/>
      <c r="CM296" s="134"/>
      <c r="CN296" s="134"/>
      <c r="CO296" s="134" t="str">
        <f t="array" ref="CO296">IFERROR(INDEX(TABLACONSOLIDADA[Buff Act],MATCH("AGROINSUMOSAGROHERMANOSLEON"&amp;Tabla_Buffers_Agroinsumos[[#This Row],[CODIGO ]],TABLACONSOLIDADA[Bodega]&amp;TABLACONSOLIDADA[Codigo],0)),"")</f>
        <v/>
      </c>
      <c r="CP296" s="157" t="str">
        <f t="array" ref="CP296">IFERROR(INDEX(TABLACONSOLIDADA[Inv Fís Act],MATCH("AGROINSUMOSAGROHERMANOSLEON"&amp;Tabla_Buffers_Agroinsumos[[#This Row],[CODIGO ]],TABLACONSOLIDADA[Bodega]&amp;TABLACONSOLIDADA[Codigo],0)),"")</f>
        <v/>
      </c>
      <c r="CQ296" s="157" t="str">
        <f t="array" ref="CQ29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29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96" s="134">
        <f>IFERROR(SUM(Tabla_Buffers_Agroinsumos[[#This Row],[AL-MP]:[AL-VL]]),"")</f>
        <v>0</v>
      </c>
      <c r="CT296" s="92" t="str">
        <f>IFERROR(Tabla_Buffers_Agroinsumos[[#This Row],[INV FIS AL]]-Tabla_Buffers_Agroinsumos[[#This Row],[BUFFER AL]],"")</f>
        <v/>
      </c>
      <c r="CU29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296" s="134"/>
      <c r="CW296" s="134"/>
      <c r="CX296" s="134"/>
      <c r="CY296" s="134"/>
      <c r="CZ296" s="134"/>
      <c r="DA296" s="134"/>
      <c r="DB296" s="134"/>
      <c r="DC296" s="134"/>
      <c r="DD296" s="134"/>
      <c r="DE296" s="134" t="str">
        <f t="array" ref="DE296">IFERROR(INDEX(TABLACONSOLIDADA[Buff Act],MATCH("AGROINSUMOSAGRONUEVO"&amp;Tabla_Buffers_Agroinsumos[[#This Row],[CODIGO ]],TABLACONSOLIDADA[Bodega]&amp;TABLACONSOLIDADA[Codigo],0)),"")</f>
        <v/>
      </c>
      <c r="DF296" s="157" t="str">
        <f t="array" ref="DF296">IFERROR(INDEX(TABLACONSOLIDADA[Inv Fís Act],MATCH("AGROINSUMOSAGRONUEVO"&amp;Tabla_Buffers_Agroinsumos[[#This Row],[CODIGO ]],TABLACONSOLIDADA[Bodega]&amp;TABLACONSOLIDADA[Codigo],0)),"")</f>
        <v/>
      </c>
      <c r="DG296" s="157" t="str">
        <f t="array" ref="DG29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29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96" s="134">
        <f>IFERROR(SUM(Tabla_Buffers_Agroinsumos[[#This Row],[AN-MP]:[AN-VL]]),"")</f>
        <v>0</v>
      </c>
      <c r="DJ296" s="92" t="str">
        <f>IFERROR(Tabla_Buffers_Agroinsumos[[#This Row],[INV FIS AN]]-Tabla_Buffers_Agroinsumos[[#This Row],[BUFFER AN]],"")</f>
        <v/>
      </c>
      <c r="DK29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296" s="134"/>
      <c r="DM296" s="134"/>
      <c r="DN296" s="134"/>
      <c r="DO296" s="134"/>
      <c r="DP296" s="134"/>
      <c r="DQ296" s="134"/>
      <c r="DR296" s="134"/>
      <c r="DS296" s="134"/>
      <c r="DT296" s="134"/>
      <c r="DU296" s="134" t="str">
        <f t="array" ref="DU296">IFERROR(INDEX(TABLACONSOLIDADA[Buff Act],MATCH("AGROINSUMOSAGROQUIMICOSSUR"&amp;Tabla_Buffers_Agroinsumos[[#This Row],[CODIGO ]],TABLACONSOLIDADA[Bodega]&amp;TABLACONSOLIDADA[Codigo],0)),"")</f>
        <v/>
      </c>
      <c r="DV296" s="157" t="str">
        <f t="array" ref="DV296">IFERROR(INDEX(TABLACONSOLIDADA[Inv Fís Act],MATCH("AGROINSUMOSAGROQUIMICOSSUR"&amp;Tabla_Buffers_Agroinsumos[[#This Row],[CODIGO ]],TABLACONSOLIDADA[Bodega]&amp;TABLACONSOLIDADA[Codigo],0)),"")</f>
        <v/>
      </c>
      <c r="DW296" s="157" t="str">
        <f t="array" ref="DW29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29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96" s="134">
        <f>IFERROR(SUM(Tabla_Buffers_Agroinsumos[[#This Row],[AS-MP]:[AS-VL]]),"")</f>
        <v>0</v>
      </c>
      <c r="DZ296" s="92" t="str">
        <f>IFERROR(Tabla_Buffers_Agroinsumos[[#This Row],[INV FIS AS]]-Tabla_Buffers_Agroinsumos[[#This Row],[BUFFER AS]],"")</f>
        <v/>
      </c>
      <c r="EA29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296" s="134"/>
      <c r="EC296" s="134"/>
      <c r="ED296" s="134"/>
      <c r="EE296" s="134"/>
      <c r="EF296" s="134"/>
      <c r="EG296" s="134"/>
      <c r="EH296" s="134"/>
      <c r="EI296" s="134"/>
      <c r="EJ296" s="134"/>
      <c r="EK296" s="134" t="str">
        <f t="array" ref="EK296">IFERROR(INDEX(TABLACONSOLIDADA[Buff Act],MATCH("AGROINSUMOSLAFINCA"&amp;Tabla_Buffers_Agroinsumos[[#This Row],[CODIGO ]],TABLACONSOLIDADA[Bodega]&amp;TABLACONSOLIDADA[Codigo],0)),"")</f>
        <v/>
      </c>
      <c r="EL296" s="157" t="str">
        <f t="array" ref="EL296">IFERROR(INDEX(TABLACONSOLIDADA[Inv Fís Act],MATCH("AGROINSUMOSLAFINCA"&amp;Tabla_Buffers_Agroinsumos[[#This Row],[CODIGO ]],TABLACONSOLIDADA[Bodega]&amp;TABLACONSOLIDADA[Codigo],0)),"")</f>
        <v/>
      </c>
      <c r="EM296" s="157" t="str">
        <f t="array" ref="EM29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29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96" s="134">
        <f>IFERROR(SUM(Tabla_Buffers_Agroinsumos[[#This Row],[LF-MP]:[LF-VL]]),"")</f>
        <v>0</v>
      </c>
      <c r="EP296" s="92" t="str">
        <f>IFERROR(Tabla_Buffers_Agroinsumos[[#This Row],[INV FIS LF]]-Tabla_Buffers_Agroinsumos[[#This Row],[BUFFER LF]],"")</f>
        <v/>
      </c>
      <c r="EQ29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296" s="134"/>
      <c r="ES296" s="134"/>
      <c r="ET296" s="134"/>
      <c r="EU296" s="134"/>
      <c r="EV296" s="134"/>
      <c r="EW296" s="134"/>
      <c r="EX296" s="134"/>
      <c r="EY296" s="134"/>
      <c r="EZ296" s="134"/>
      <c r="FA296" s="134" t="str">
        <f t="array" ref="FA296">IFERROR(INDEX(TABLACONSOLIDADA[Buff Act],MATCH("AGROINSUMOSVERONICALEDESMA"&amp;Tabla_Buffers_Agroinsumos[[#This Row],[CODIGO ]],TABLACONSOLIDADA[Bodega]&amp;TABLACONSOLIDADA[Codigo],0)),"")</f>
        <v/>
      </c>
      <c r="FB296" s="157" t="str">
        <f t="array" ref="FB296">IFERROR(INDEX(TABLACONSOLIDADA[Inv Fís Act],MATCH("AGROINSUMOSVERONICALEDESMA"&amp;Tabla_Buffers_Agroinsumos[[#This Row],[CODIGO ]],TABLACONSOLIDADA[Bodega]&amp;TABLACONSOLIDADA[Codigo],0)),"")</f>
        <v/>
      </c>
      <c r="FC296" s="157" t="str">
        <f t="array" ref="FC29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29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96" s="134">
        <f>IFERROR(SUM(Tabla_Buffers_Agroinsumos[[#This Row],[VL-MP]:[VL-LF]]),"")</f>
        <v>0</v>
      </c>
      <c r="FF296" s="92" t="str">
        <f>IFERROR(Tabla_Buffers_Agroinsumos[[#This Row],[INV FIS VL]]-Tabla_Buffers_Agroinsumos[[#This Row],[BUFFER VL]],"")</f>
        <v/>
      </c>
      <c r="FG29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296" s="134"/>
      <c r="FI296" s="134"/>
      <c r="FJ296" s="134"/>
      <c r="FK296" s="134"/>
      <c r="FL296" s="134"/>
      <c r="FM296" s="134"/>
      <c r="FN296" s="134"/>
      <c r="FO296" s="134"/>
      <c r="FP296" s="134"/>
    </row>
    <row r="297" spans="1:172">
      <c r="A297" s="7" t="s">
        <v>901</v>
      </c>
      <c r="B297" s="7" t="s">
        <v>961</v>
      </c>
      <c r="C297" s="7" t="s">
        <v>946</v>
      </c>
      <c r="D297" s="7" t="s">
        <v>719</v>
      </c>
      <c r="E297" s="7" t="s">
        <v>975</v>
      </c>
      <c r="F297" s="19" t="s">
        <v>698</v>
      </c>
      <c r="G297" s="19" t="s">
        <v>698</v>
      </c>
      <c r="H297" s="19">
        <f>VLOOKUP(Tabla_Buffers_Agroinsumos[[#This Row],[CODIGO ]],TABLACONSOLIDADA[[Codigo]:[PV]],6,0)</f>
        <v>0</v>
      </c>
      <c r="I297" s="19">
        <f>VLOOKUP(Tabla_Buffers_Agroinsumos[[#This Row],[CODIGO ]],TABLACONSOLIDADA[[Codigo]:[PV]],5,0)</f>
        <v>0.93</v>
      </c>
      <c r="J297" s="19" t="s">
        <v>698</v>
      </c>
      <c r="K297" s="19" t="s">
        <v>698</v>
      </c>
      <c r="L297" s="19">
        <f>IFERROR(Tabla_Buffers_Agroinsumos[[#This Row],[BUFFER CENTRAL]]/((Tabla_Buffers_Agroinsumos[[#This Row],[TIEMPO REPOSICION ]]/Tabla_Buffers_Agroinsumos[[#This Row],[FRECUENCIA]])+1),0)</f>
        <v>0</v>
      </c>
      <c r="M297" s="19" t="str">
        <f t="array" ref="M297">IFERROR(INDEX(TABLACONSOLIDADA[Buff Act],MATCH("AGROINSUMOSMATERIAPRIMA"&amp;Tabla_Buffers_Agroinsumos[[#This Row],[CODIGO ]],TABLACONSOLIDADA[Bodega]&amp;TABLACONSOLIDADA[Codigo],0)),"")</f>
        <v/>
      </c>
      <c r="N297" s="157" t="str">
        <f t="array" ref="N297">IFERROR(INDEX(TABLACONSOLIDADA[Inv Fís Act],MATCH("AGROINSUMOSMATERIAPRIMA"&amp;Tabla_Buffers_Agroinsumos[[#This Row],[CODIGO ]],TABLACONSOLIDADA[Bodega]&amp;TABLACONSOLIDADA[Codigo],0)),"")</f>
        <v/>
      </c>
      <c r="O297" s="157" t="str">
        <f t="array" ref="O29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9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97" s="19">
        <f>IFERROR(SUM(Tabla_Buffers_Agroinsumos[[#This Row],[MP-C]:[MP-VL]]),"")</f>
        <v>0</v>
      </c>
      <c r="R297" s="92" t="str">
        <f>IFERROR(Tabla_Buffers_Agroinsumos[[#This Row],[INV FIS MATERIA PRIMA]]-Tabla_Buffers_Agroinsumos[[#This Row],[BUFFER MATERIA PRIMA]],"")</f>
        <v/>
      </c>
      <c r="S29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97" s="19"/>
      <c r="U297" s="19"/>
      <c r="V297" s="19"/>
      <c r="W297" s="19"/>
      <c r="X297" s="19"/>
      <c r="Y297" s="19"/>
      <c r="Z297" s="19"/>
      <c r="AA297" s="19"/>
      <c r="AB297" s="19"/>
      <c r="AC297" s="152">
        <f t="array" ref="AC297">IFERROR(INDEX(TABLACONSOLIDADA[Buff Act],MATCH("AGROINSUMOSCENTRAL"&amp;Tabla_Buffers_Agroinsumos[[#This Row],[CODIGO ]],TABLACONSOLIDADA[Bodega]&amp;TABLACONSOLIDADA[Codigo],0)),"")</f>
        <v>0</v>
      </c>
      <c r="AD297" s="157">
        <f t="array" ref="AD297">IFERROR(INDEX(TABLACONSOLIDADA[Inv Fís Act],MATCH("AGROINSUMOSCENTRAL"&amp;Tabla_Buffers_Agroinsumos[[#This Row],[CODIGO ]],TABLACONSOLIDADA[Bodega]&amp;TABLACONSOLIDADA[Codigo],0)),"")</f>
        <v>0</v>
      </c>
      <c r="AE297" s="157">
        <f t="array" ref="AE29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9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97" s="91">
        <f>IFERROR(SUM(Tabla_Buffers_Agroinsumos[[#This Row],[C-MP]:[C-VL]]),"")</f>
        <v>0</v>
      </c>
      <c r="AH297" s="92">
        <f>IFERROR(Tabla_Buffers_Agroinsumos[[#This Row],[INV FIS CENTRAL]]-Tabla_Buffers_Agroinsumos[[#This Row],[BUFFER CENTRAL]],"")</f>
        <v>0</v>
      </c>
      <c r="AI29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97" s="134"/>
      <c r="AK297" s="134"/>
      <c r="AL297" s="134"/>
      <c r="AM297" s="134"/>
      <c r="AN297" s="134"/>
      <c r="AO297" s="134"/>
      <c r="AP297" s="134"/>
      <c r="AQ297" s="134"/>
      <c r="AR297" s="134"/>
      <c r="AS297" s="134">
        <f t="array" ref="AS297">IFERROR(INDEX(TABLACONSOLIDADA[Buff Act],MATCH("AGROINSUMOScentralPROPIA"&amp;Tabla_Buffers_Agroinsumos[[#This Row],[CODIGO ]],TABLACONSOLIDADA[Bodega]&amp;TABLACONSOLIDADA[Codigo],0)),"")</f>
        <v>30</v>
      </c>
      <c r="AT297" s="157">
        <f t="array" ref="AT297">IFERROR(INDEX(TABLACONSOLIDADA[Inv Fís Act],MATCH("AGROINSUMOScentralPROPIA"&amp;Tabla_Buffers_Agroinsumos[[#This Row],[CODIGO ]],TABLACONSOLIDADA[Bodega]&amp;TABLACONSOLIDADA[Codigo],0)),"")</f>
        <v>0</v>
      </c>
      <c r="AU297" s="157">
        <f t="array" ref="AU29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9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97" s="134">
        <f>IFERROR(SUM(Tabla_Buffers_Agroinsumos[[#This Row],[P-MP]:[P-VL]]),"")</f>
        <v>0</v>
      </c>
      <c r="AX297" s="92">
        <f>IFERROR(Tabla_Buffers_Agroinsumos[[#This Row],[INV FIS PROPIA]]-Tabla_Buffers_Agroinsumos[[#This Row],[BUFFER PROPIA]],"")</f>
        <v>-30</v>
      </c>
      <c r="AY29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</v>
      </c>
      <c r="AZ297" s="134"/>
      <c r="BA297" s="134"/>
      <c r="BB297" s="134"/>
      <c r="BC297" s="134"/>
      <c r="BD297" s="134"/>
      <c r="BE297" s="134"/>
      <c r="BF297" s="134"/>
      <c r="BG297" s="134"/>
      <c r="BH297" s="134"/>
      <c r="BI297" s="91" t="str">
        <f t="array" ref="BI297">IFERROR(INDEX(TABLACONSOLIDADA[Buff Act],MATCH("AGROINSUMOSSTODOMINGO"&amp;Tabla_Buffers_Agroinsumos[[#This Row],[CODIGO ]],TABLACONSOLIDADA[Bodega]&amp;TABLACONSOLIDADA[Codigo],0)),"")</f>
        <v/>
      </c>
      <c r="BJ297" s="157" t="str">
        <f t="array" ref="BJ297">IFERROR(INDEX(TABLACONSOLIDADA[Inv Fís Act],MATCH("AGROINSUMOSSTODOMINGO"&amp;Tabla_Buffers_Agroinsumos[[#This Row],[CODIGO ]],TABLACONSOLIDADA[Bodega]&amp;TABLACONSOLIDADA[Codigo],0)),"")</f>
        <v/>
      </c>
      <c r="BK297" s="157" t="str">
        <f t="array" ref="BK29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9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97" s="91">
        <f>IFERROR(SUM(Tabla_Buffers_Agroinsumos[[#This Row],[SD-MP]:[SD-VL]]),"")</f>
        <v>0</v>
      </c>
      <c r="BN297" s="92"/>
      <c r="BO297" s="92"/>
      <c r="BP297" s="134"/>
      <c r="BQ297" s="134"/>
      <c r="BR297" s="134"/>
      <c r="BS297" s="134"/>
      <c r="BT297" s="134"/>
      <c r="BU297" s="134"/>
      <c r="BV297" s="134"/>
      <c r="BW297" s="134"/>
      <c r="BX297" s="134"/>
      <c r="BY297" s="134">
        <f t="array" ref="BY297">IFERROR(INDEX(TABLACONSOLIDADA[Buff Act],MATCH("AGROINSUMOSMONCAYOLOPEZ"&amp;Tabla_Buffers_Agroinsumos[[#This Row],[CODIGO ]],TABLACONSOLIDADA[Bodega]&amp;TABLACONSOLIDADA[Codigo],0)),"")</f>
        <v>0</v>
      </c>
      <c r="BZ297" s="157">
        <f t="array" ref="BZ297">IFERROR(INDEX(TABLACONSOLIDADA[Inv Fís Act],MATCH("AGROINSUMOSMONCAYOLOPEZ"&amp;Tabla_Buffers_Agroinsumos[[#This Row],[CODIGO ]],TABLACONSOLIDADA[Bodega]&amp;TABLACONSOLIDADA[Codigo],0)),"")</f>
        <v>0</v>
      </c>
      <c r="CA297" s="157">
        <f t="array" ref="CA29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9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97" s="134">
        <f>IFERROR(SUM(Tabla_Buffers_Agroinsumos[[#This Row],[ML-MP]:[ML-VL]]),"")</f>
        <v>0</v>
      </c>
      <c r="CD297" s="92">
        <f>IFERROR(Tabla_Buffers_Agroinsumos[[#This Row],[INV FIS ML]]-Tabla_Buffers_Agroinsumos[[#This Row],[BUFFER ML]],"")</f>
        <v>0</v>
      </c>
      <c r="CE297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97" s="134"/>
      <c r="CG297" s="134"/>
      <c r="CH297" s="134"/>
      <c r="CI297" s="134"/>
      <c r="CJ297" s="134"/>
      <c r="CK297" s="134"/>
      <c r="CL297" s="134"/>
      <c r="CM297" s="134"/>
      <c r="CN297" s="134"/>
      <c r="CO297" s="134">
        <f t="array" ref="CO297">IFERROR(INDEX(TABLACONSOLIDADA[Buff Act],MATCH("AGROINSUMOSAGROHERMANOSLEON"&amp;Tabla_Buffers_Agroinsumos[[#This Row],[CODIGO ]],TABLACONSOLIDADA[Bodega]&amp;TABLACONSOLIDADA[Codigo],0)),"")</f>
        <v>0</v>
      </c>
      <c r="CP297" s="157">
        <f t="array" ref="CP297">IFERROR(INDEX(TABLACONSOLIDADA[Inv Fís Act],MATCH("AGROINSUMOSAGROHERMANOSLEON"&amp;Tabla_Buffers_Agroinsumos[[#This Row],[CODIGO ]],TABLACONSOLIDADA[Bodega]&amp;TABLACONSOLIDADA[Codigo],0)),"")</f>
        <v>0</v>
      </c>
      <c r="CQ297" s="157">
        <f t="array" ref="CQ29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9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97" s="134">
        <f>IFERROR(SUM(Tabla_Buffers_Agroinsumos[[#This Row],[AL-MP]:[AL-VL]]),"")</f>
        <v>0</v>
      </c>
      <c r="CT297" s="92">
        <f>IFERROR(Tabla_Buffers_Agroinsumos[[#This Row],[INV FIS AL]]-Tabla_Buffers_Agroinsumos[[#This Row],[BUFFER AL]],"")</f>
        <v>0</v>
      </c>
      <c r="CU29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97" s="134"/>
      <c r="CW297" s="134"/>
      <c r="CX297" s="134"/>
      <c r="CY297" s="134"/>
      <c r="CZ297" s="134"/>
      <c r="DA297" s="134"/>
      <c r="DB297" s="134"/>
      <c r="DC297" s="134"/>
      <c r="DD297" s="134"/>
      <c r="DE297" s="134">
        <f t="array" ref="DE297">IFERROR(INDEX(TABLACONSOLIDADA[Buff Act],MATCH("AGROINSUMOSAGRONUEVO"&amp;Tabla_Buffers_Agroinsumos[[#This Row],[CODIGO ]],TABLACONSOLIDADA[Bodega]&amp;TABLACONSOLIDADA[Codigo],0)),"")</f>
        <v>0</v>
      </c>
      <c r="DF297" s="157">
        <f t="array" ref="DF297">IFERROR(INDEX(TABLACONSOLIDADA[Inv Fís Act],MATCH("AGROINSUMOSAGRONUEVO"&amp;Tabla_Buffers_Agroinsumos[[#This Row],[CODIGO ]],TABLACONSOLIDADA[Bodega]&amp;TABLACONSOLIDADA[Codigo],0)),"")</f>
        <v>0</v>
      </c>
      <c r="DG297" s="157">
        <f t="array" ref="DG29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9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97" s="134">
        <f>IFERROR(SUM(Tabla_Buffers_Agroinsumos[[#This Row],[AN-MP]:[AN-VL]]),"")</f>
        <v>0</v>
      </c>
      <c r="DJ297" s="92">
        <f>IFERROR(Tabla_Buffers_Agroinsumos[[#This Row],[INV FIS AN]]-Tabla_Buffers_Agroinsumos[[#This Row],[BUFFER AN]],"")</f>
        <v>0</v>
      </c>
      <c r="DK29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97" s="134"/>
      <c r="DM297" s="134"/>
      <c r="DN297" s="134"/>
      <c r="DO297" s="134"/>
      <c r="DP297" s="134"/>
      <c r="DQ297" s="134"/>
      <c r="DR297" s="134"/>
      <c r="DS297" s="134"/>
      <c r="DT297" s="134"/>
      <c r="DU297" s="134">
        <f t="array" ref="DU297">IFERROR(INDEX(TABLACONSOLIDADA[Buff Act],MATCH("AGROINSUMOSAGROQUIMICOSSUR"&amp;Tabla_Buffers_Agroinsumos[[#This Row],[CODIGO ]],TABLACONSOLIDADA[Bodega]&amp;TABLACONSOLIDADA[Codigo],0)),"")</f>
        <v>0</v>
      </c>
      <c r="DV297" s="157">
        <f t="array" ref="DV297">IFERROR(INDEX(TABLACONSOLIDADA[Inv Fís Act],MATCH("AGROINSUMOSAGROQUIMICOSSUR"&amp;Tabla_Buffers_Agroinsumos[[#This Row],[CODIGO ]],TABLACONSOLIDADA[Bodega]&amp;TABLACONSOLIDADA[Codigo],0)),"")</f>
        <v>0</v>
      </c>
      <c r="DW297" s="157">
        <f t="array" ref="DW29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9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97" s="134">
        <f>IFERROR(SUM(Tabla_Buffers_Agroinsumos[[#This Row],[AS-MP]:[AS-VL]]),"")</f>
        <v>0</v>
      </c>
      <c r="DZ297" s="92">
        <f>IFERROR(Tabla_Buffers_Agroinsumos[[#This Row],[INV FIS AS]]-Tabla_Buffers_Agroinsumos[[#This Row],[BUFFER AS]],"")</f>
        <v>0</v>
      </c>
      <c r="EA29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97" s="134"/>
      <c r="EC297" s="134"/>
      <c r="ED297" s="134"/>
      <c r="EE297" s="134"/>
      <c r="EF297" s="134"/>
      <c r="EG297" s="134"/>
      <c r="EH297" s="134"/>
      <c r="EI297" s="134"/>
      <c r="EJ297" s="134"/>
      <c r="EK297" s="134">
        <f t="array" ref="EK297">IFERROR(INDEX(TABLACONSOLIDADA[Buff Act],MATCH("AGROINSUMOSLAFINCA"&amp;Tabla_Buffers_Agroinsumos[[#This Row],[CODIGO ]],TABLACONSOLIDADA[Bodega]&amp;TABLACONSOLIDADA[Codigo],0)),"")</f>
        <v>0</v>
      </c>
      <c r="EL297" s="157">
        <f t="array" ref="EL297">IFERROR(INDEX(TABLACONSOLIDADA[Inv Fís Act],MATCH("AGROINSUMOSLAFINCA"&amp;Tabla_Buffers_Agroinsumos[[#This Row],[CODIGO ]],TABLACONSOLIDADA[Bodega]&amp;TABLACONSOLIDADA[Codigo],0)),"")</f>
        <v>0</v>
      </c>
      <c r="EM297" s="157">
        <f t="array" ref="EM29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9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97" s="134">
        <f>IFERROR(SUM(Tabla_Buffers_Agroinsumos[[#This Row],[LF-MP]:[LF-VL]]),"")</f>
        <v>0</v>
      </c>
      <c r="EP297" s="92">
        <f>IFERROR(Tabla_Buffers_Agroinsumos[[#This Row],[INV FIS LF]]-Tabla_Buffers_Agroinsumos[[#This Row],[BUFFER LF]],"")</f>
        <v>0</v>
      </c>
      <c r="EQ29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97" s="134"/>
      <c r="ES297" s="134"/>
      <c r="ET297" s="134"/>
      <c r="EU297" s="134"/>
      <c r="EV297" s="134"/>
      <c r="EW297" s="134"/>
      <c r="EX297" s="134"/>
      <c r="EY297" s="134"/>
      <c r="EZ297" s="134"/>
      <c r="FA297" s="134">
        <f t="array" ref="FA297">IFERROR(INDEX(TABLACONSOLIDADA[Buff Act],MATCH("AGROINSUMOSVERONICALEDESMA"&amp;Tabla_Buffers_Agroinsumos[[#This Row],[CODIGO ]],TABLACONSOLIDADA[Bodega]&amp;TABLACONSOLIDADA[Codigo],0)),"")</f>
        <v>0</v>
      </c>
      <c r="FB297" s="157">
        <f t="array" ref="FB297">IFERROR(INDEX(TABLACONSOLIDADA[Inv Fís Act],MATCH("AGROINSUMOSVERONICALEDESMA"&amp;Tabla_Buffers_Agroinsumos[[#This Row],[CODIGO ]],TABLACONSOLIDADA[Bodega]&amp;TABLACONSOLIDADA[Codigo],0)),"")</f>
        <v>0</v>
      </c>
      <c r="FC297" s="157">
        <f t="array" ref="FC29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9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97" s="134">
        <f>IFERROR(SUM(Tabla_Buffers_Agroinsumos[[#This Row],[VL-MP]:[VL-LF]]),"")</f>
        <v>0</v>
      </c>
      <c r="FF297" s="92">
        <f>IFERROR(Tabla_Buffers_Agroinsumos[[#This Row],[INV FIS VL]]-Tabla_Buffers_Agroinsumos[[#This Row],[BUFFER VL]],"")</f>
        <v>0</v>
      </c>
      <c r="FG29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97" s="134"/>
      <c r="FI297" s="134"/>
      <c r="FJ297" s="134"/>
      <c r="FK297" s="134"/>
      <c r="FL297" s="134"/>
      <c r="FM297" s="134"/>
      <c r="FN297" s="134"/>
      <c r="FO297" s="134"/>
      <c r="FP297" s="134"/>
    </row>
    <row r="298" spans="1:172">
      <c r="A298" s="7" t="s">
        <v>902</v>
      </c>
      <c r="B298" s="7" t="s">
        <v>962</v>
      </c>
      <c r="C298" s="7" t="s">
        <v>946</v>
      </c>
      <c r="D298" s="7" t="s">
        <v>719</v>
      </c>
      <c r="E298" s="7" t="s">
        <v>975</v>
      </c>
      <c r="F298" s="19" t="s">
        <v>698</v>
      </c>
      <c r="G298" s="19" t="s">
        <v>698</v>
      </c>
      <c r="H298" s="19">
        <f>VLOOKUP(Tabla_Buffers_Agroinsumos[[#This Row],[CODIGO ]],TABLACONSOLIDADA[[Codigo]:[PV]],6,0)</f>
        <v>0</v>
      </c>
      <c r="I298" s="19">
        <f>VLOOKUP(Tabla_Buffers_Agroinsumos[[#This Row],[CODIGO ]],TABLACONSOLIDADA[[Codigo]:[PV]],5,0)</f>
        <v>0.54</v>
      </c>
      <c r="J298" s="19" t="s">
        <v>698</v>
      </c>
      <c r="K298" s="19" t="s">
        <v>698</v>
      </c>
      <c r="L298" s="19">
        <f>IFERROR(Tabla_Buffers_Agroinsumos[[#This Row],[BUFFER CENTRAL]]/((Tabla_Buffers_Agroinsumos[[#This Row],[TIEMPO REPOSICION ]]/Tabla_Buffers_Agroinsumos[[#This Row],[FRECUENCIA]])+1),0)</f>
        <v>0</v>
      </c>
      <c r="M298" s="19" t="str">
        <f t="array" ref="M298">IFERROR(INDEX(TABLACONSOLIDADA[Buff Act],MATCH("AGROINSUMOSMATERIAPRIMA"&amp;Tabla_Buffers_Agroinsumos[[#This Row],[CODIGO ]],TABLACONSOLIDADA[Bodega]&amp;TABLACONSOLIDADA[Codigo],0)),"")</f>
        <v/>
      </c>
      <c r="N298" s="157" t="str">
        <f t="array" ref="N298">IFERROR(INDEX(TABLACONSOLIDADA[Inv Fís Act],MATCH("AGROINSUMOSMATERIAPRIMA"&amp;Tabla_Buffers_Agroinsumos[[#This Row],[CODIGO ]],TABLACONSOLIDADA[Bodega]&amp;TABLACONSOLIDADA[Codigo],0)),"")</f>
        <v/>
      </c>
      <c r="O298" s="157" t="str">
        <f t="array" ref="O29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9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98" s="19">
        <f>IFERROR(SUM(Tabla_Buffers_Agroinsumos[[#This Row],[MP-C]:[MP-VL]]),"")</f>
        <v>0</v>
      </c>
      <c r="R298" s="92" t="str">
        <f>IFERROR(Tabla_Buffers_Agroinsumos[[#This Row],[INV FIS MATERIA PRIMA]]-Tabla_Buffers_Agroinsumos[[#This Row],[BUFFER MATERIA PRIMA]],"")</f>
        <v/>
      </c>
      <c r="S29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98" s="19"/>
      <c r="U298" s="19"/>
      <c r="V298" s="19"/>
      <c r="W298" s="19"/>
      <c r="X298" s="19"/>
      <c r="Y298" s="19"/>
      <c r="Z298" s="19"/>
      <c r="AA298" s="19"/>
      <c r="AB298" s="19"/>
      <c r="AC298" s="152">
        <f t="array" ref="AC298">IFERROR(INDEX(TABLACONSOLIDADA[Buff Act],MATCH("AGROINSUMOSCENTRAL"&amp;Tabla_Buffers_Agroinsumos[[#This Row],[CODIGO ]],TABLACONSOLIDADA[Bodega]&amp;TABLACONSOLIDADA[Codigo],0)),"")</f>
        <v>0</v>
      </c>
      <c r="AD298" s="157">
        <f t="array" ref="AD298">IFERROR(INDEX(TABLACONSOLIDADA[Inv Fís Act],MATCH("AGROINSUMOSCENTRAL"&amp;Tabla_Buffers_Agroinsumos[[#This Row],[CODIGO ]],TABLACONSOLIDADA[Bodega]&amp;TABLACONSOLIDADA[Codigo],0)),"")</f>
        <v>0</v>
      </c>
      <c r="AE298" s="157">
        <f t="array" ref="AE29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9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98" s="91">
        <f>IFERROR(SUM(Tabla_Buffers_Agroinsumos[[#This Row],[C-MP]:[C-VL]]),"")</f>
        <v>0</v>
      </c>
      <c r="AH298" s="92">
        <f>IFERROR(Tabla_Buffers_Agroinsumos[[#This Row],[INV FIS CENTRAL]]-Tabla_Buffers_Agroinsumos[[#This Row],[BUFFER CENTRAL]],"")</f>
        <v>0</v>
      </c>
      <c r="AI29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98" s="134"/>
      <c r="AK298" s="134"/>
      <c r="AL298" s="134"/>
      <c r="AM298" s="134"/>
      <c r="AN298" s="134"/>
      <c r="AO298" s="134"/>
      <c r="AP298" s="134"/>
      <c r="AQ298" s="134"/>
      <c r="AR298" s="134"/>
      <c r="AS298" s="134">
        <f t="array" ref="AS298">IFERROR(INDEX(TABLACONSOLIDADA[Buff Act],MATCH("AGROINSUMOScentralPROPIA"&amp;Tabla_Buffers_Agroinsumos[[#This Row],[CODIGO ]],TABLACONSOLIDADA[Bodega]&amp;TABLACONSOLIDADA[Codigo],0)),"")</f>
        <v>30</v>
      </c>
      <c r="AT298" s="157">
        <f t="array" ref="AT298">IFERROR(INDEX(TABLACONSOLIDADA[Inv Fís Act],MATCH("AGROINSUMOScentralPROPIA"&amp;Tabla_Buffers_Agroinsumos[[#This Row],[CODIGO ]],TABLACONSOLIDADA[Bodega]&amp;TABLACONSOLIDADA[Codigo],0)),"")</f>
        <v>0</v>
      </c>
      <c r="AU298" s="157">
        <f t="array" ref="AU29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9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98" s="134">
        <f>IFERROR(SUM(Tabla_Buffers_Agroinsumos[[#This Row],[P-MP]:[P-VL]]),"")</f>
        <v>0</v>
      </c>
      <c r="AX298" s="92">
        <f>IFERROR(Tabla_Buffers_Agroinsumos[[#This Row],[INV FIS PROPIA]]-Tabla_Buffers_Agroinsumos[[#This Row],[BUFFER PROPIA]],"")</f>
        <v>-30</v>
      </c>
      <c r="AY29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</v>
      </c>
      <c r="AZ298" s="134"/>
      <c r="BA298" s="134"/>
      <c r="BB298" s="134"/>
      <c r="BC298" s="134"/>
      <c r="BD298" s="134"/>
      <c r="BE298" s="134"/>
      <c r="BF298" s="134"/>
      <c r="BG298" s="134"/>
      <c r="BH298" s="134"/>
      <c r="BI298" s="91" t="str">
        <f t="array" ref="BI298">IFERROR(INDEX(TABLACONSOLIDADA[Buff Act],MATCH("AGROINSUMOSSTODOMINGO"&amp;Tabla_Buffers_Agroinsumos[[#This Row],[CODIGO ]],TABLACONSOLIDADA[Bodega]&amp;TABLACONSOLIDADA[Codigo],0)),"")</f>
        <v/>
      </c>
      <c r="BJ298" s="157" t="str">
        <f t="array" ref="BJ298">IFERROR(INDEX(TABLACONSOLIDADA[Inv Fís Act],MATCH("AGROINSUMOSSTODOMINGO"&amp;Tabla_Buffers_Agroinsumos[[#This Row],[CODIGO ]],TABLACONSOLIDADA[Bodega]&amp;TABLACONSOLIDADA[Codigo],0)),"")</f>
        <v/>
      </c>
      <c r="BK298" s="157" t="str">
        <f t="array" ref="BK29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9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98" s="91">
        <f>IFERROR(SUM(Tabla_Buffers_Agroinsumos[[#This Row],[SD-MP]:[SD-VL]]),"")</f>
        <v>0</v>
      </c>
      <c r="BN298" s="92"/>
      <c r="BO298" s="92"/>
      <c r="BP298" s="134"/>
      <c r="BQ298" s="134"/>
      <c r="BR298" s="134"/>
      <c r="BS298" s="134"/>
      <c r="BT298" s="134"/>
      <c r="BU298" s="134"/>
      <c r="BV298" s="134"/>
      <c r="BW298" s="134"/>
      <c r="BX298" s="134"/>
      <c r="BY298" s="134">
        <f t="array" ref="BY298">IFERROR(INDEX(TABLACONSOLIDADA[Buff Act],MATCH("AGROINSUMOSMONCAYOLOPEZ"&amp;Tabla_Buffers_Agroinsumos[[#This Row],[CODIGO ]],TABLACONSOLIDADA[Bodega]&amp;TABLACONSOLIDADA[Codigo],0)),"")</f>
        <v>0</v>
      </c>
      <c r="BZ298" s="157">
        <f t="array" ref="BZ298">IFERROR(INDEX(TABLACONSOLIDADA[Inv Fís Act],MATCH("AGROINSUMOSMONCAYOLOPEZ"&amp;Tabla_Buffers_Agroinsumos[[#This Row],[CODIGO ]],TABLACONSOLIDADA[Bodega]&amp;TABLACONSOLIDADA[Codigo],0)),"")</f>
        <v>0</v>
      </c>
      <c r="CA298" s="157">
        <f t="array" ref="CA29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9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98" s="134">
        <f>IFERROR(SUM(Tabla_Buffers_Agroinsumos[[#This Row],[ML-MP]:[ML-VL]]),"")</f>
        <v>0</v>
      </c>
      <c r="CD298" s="92">
        <f>IFERROR(Tabla_Buffers_Agroinsumos[[#This Row],[INV FIS ML]]-Tabla_Buffers_Agroinsumos[[#This Row],[BUFFER ML]],"")</f>
        <v>0</v>
      </c>
      <c r="CE29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98" s="134"/>
      <c r="CG298" s="134"/>
      <c r="CH298" s="134"/>
      <c r="CI298" s="134"/>
      <c r="CJ298" s="134"/>
      <c r="CK298" s="134"/>
      <c r="CL298" s="134"/>
      <c r="CM298" s="134"/>
      <c r="CN298" s="134"/>
      <c r="CO298" s="134">
        <f t="array" ref="CO298">IFERROR(INDEX(TABLACONSOLIDADA[Buff Act],MATCH("AGROINSUMOSAGROHERMANOSLEON"&amp;Tabla_Buffers_Agroinsumos[[#This Row],[CODIGO ]],TABLACONSOLIDADA[Bodega]&amp;TABLACONSOLIDADA[Codigo],0)),"")</f>
        <v>0</v>
      </c>
      <c r="CP298" s="157">
        <f t="array" ref="CP298">IFERROR(INDEX(TABLACONSOLIDADA[Inv Fís Act],MATCH("AGROINSUMOSAGROHERMANOSLEON"&amp;Tabla_Buffers_Agroinsumos[[#This Row],[CODIGO ]],TABLACONSOLIDADA[Bodega]&amp;TABLACONSOLIDADA[Codigo],0)),"")</f>
        <v>0</v>
      </c>
      <c r="CQ298" s="157">
        <f t="array" ref="CQ29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9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98" s="134">
        <f>IFERROR(SUM(Tabla_Buffers_Agroinsumos[[#This Row],[AL-MP]:[AL-VL]]),"")</f>
        <v>0</v>
      </c>
      <c r="CT298" s="92">
        <f>IFERROR(Tabla_Buffers_Agroinsumos[[#This Row],[INV FIS AL]]-Tabla_Buffers_Agroinsumos[[#This Row],[BUFFER AL]],"")</f>
        <v>0</v>
      </c>
      <c r="CU29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98" s="134"/>
      <c r="CW298" s="134"/>
      <c r="CX298" s="134"/>
      <c r="CY298" s="134"/>
      <c r="CZ298" s="134"/>
      <c r="DA298" s="134"/>
      <c r="DB298" s="134"/>
      <c r="DC298" s="134"/>
      <c r="DD298" s="134"/>
      <c r="DE298" s="134">
        <f t="array" ref="DE298">IFERROR(INDEX(TABLACONSOLIDADA[Buff Act],MATCH("AGROINSUMOSAGRONUEVO"&amp;Tabla_Buffers_Agroinsumos[[#This Row],[CODIGO ]],TABLACONSOLIDADA[Bodega]&amp;TABLACONSOLIDADA[Codigo],0)),"")</f>
        <v>0</v>
      </c>
      <c r="DF298" s="157">
        <f t="array" ref="DF298">IFERROR(INDEX(TABLACONSOLIDADA[Inv Fís Act],MATCH("AGROINSUMOSAGRONUEVO"&amp;Tabla_Buffers_Agroinsumos[[#This Row],[CODIGO ]],TABLACONSOLIDADA[Bodega]&amp;TABLACONSOLIDADA[Codigo],0)),"")</f>
        <v>0</v>
      </c>
      <c r="DG298" s="157">
        <f t="array" ref="DG29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9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98" s="134">
        <f>IFERROR(SUM(Tabla_Buffers_Agroinsumos[[#This Row],[AN-MP]:[AN-VL]]),"")</f>
        <v>0</v>
      </c>
      <c r="DJ298" s="92">
        <f>IFERROR(Tabla_Buffers_Agroinsumos[[#This Row],[INV FIS AN]]-Tabla_Buffers_Agroinsumos[[#This Row],[BUFFER AN]],"")</f>
        <v>0</v>
      </c>
      <c r="DK29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98" s="134"/>
      <c r="DM298" s="134"/>
      <c r="DN298" s="134"/>
      <c r="DO298" s="134"/>
      <c r="DP298" s="134"/>
      <c r="DQ298" s="134"/>
      <c r="DR298" s="134"/>
      <c r="DS298" s="134"/>
      <c r="DT298" s="134"/>
      <c r="DU298" s="134">
        <f t="array" ref="DU298">IFERROR(INDEX(TABLACONSOLIDADA[Buff Act],MATCH("AGROINSUMOSAGROQUIMICOSSUR"&amp;Tabla_Buffers_Agroinsumos[[#This Row],[CODIGO ]],TABLACONSOLIDADA[Bodega]&amp;TABLACONSOLIDADA[Codigo],0)),"")</f>
        <v>0</v>
      </c>
      <c r="DV298" s="157">
        <f t="array" ref="DV298">IFERROR(INDEX(TABLACONSOLIDADA[Inv Fís Act],MATCH("AGROINSUMOSAGROQUIMICOSSUR"&amp;Tabla_Buffers_Agroinsumos[[#This Row],[CODIGO ]],TABLACONSOLIDADA[Bodega]&amp;TABLACONSOLIDADA[Codigo],0)),"")</f>
        <v>0</v>
      </c>
      <c r="DW298" s="157">
        <f t="array" ref="DW29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9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98" s="134">
        <f>IFERROR(SUM(Tabla_Buffers_Agroinsumos[[#This Row],[AS-MP]:[AS-VL]]),"")</f>
        <v>0</v>
      </c>
      <c r="DZ298" s="92">
        <f>IFERROR(Tabla_Buffers_Agroinsumos[[#This Row],[INV FIS AS]]-Tabla_Buffers_Agroinsumos[[#This Row],[BUFFER AS]],"")</f>
        <v>0</v>
      </c>
      <c r="EA29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98" s="134"/>
      <c r="EC298" s="134"/>
      <c r="ED298" s="134"/>
      <c r="EE298" s="134"/>
      <c r="EF298" s="134"/>
      <c r="EG298" s="134"/>
      <c r="EH298" s="134"/>
      <c r="EI298" s="134"/>
      <c r="EJ298" s="134"/>
      <c r="EK298" s="134">
        <f t="array" ref="EK298">IFERROR(INDEX(TABLACONSOLIDADA[Buff Act],MATCH("AGROINSUMOSLAFINCA"&amp;Tabla_Buffers_Agroinsumos[[#This Row],[CODIGO ]],TABLACONSOLIDADA[Bodega]&amp;TABLACONSOLIDADA[Codigo],0)),"")</f>
        <v>0</v>
      </c>
      <c r="EL298" s="157">
        <f t="array" ref="EL298">IFERROR(INDEX(TABLACONSOLIDADA[Inv Fís Act],MATCH("AGROINSUMOSLAFINCA"&amp;Tabla_Buffers_Agroinsumos[[#This Row],[CODIGO ]],TABLACONSOLIDADA[Bodega]&amp;TABLACONSOLIDADA[Codigo],0)),"")</f>
        <v>0</v>
      </c>
      <c r="EM298" s="157">
        <f t="array" ref="EM29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9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98" s="134">
        <f>IFERROR(SUM(Tabla_Buffers_Agroinsumos[[#This Row],[LF-MP]:[LF-VL]]),"")</f>
        <v>0</v>
      </c>
      <c r="EP298" s="92">
        <f>IFERROR(Tabla_Buffers_Agroinsumos[[#This Row],[INV FIS LF]]-Tabla_Buffers_Agroinsumos[[#This Row],[BUFFER LF]],"")</f>
        <v>0</v>
      </c>
      <c r="EQ29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98" s="134"/>
      <c r="ES298" s="134"/>
      <c r="ET298" s="134"/>
      <c r="EU298" s="134"/>
      <c r="EV298" s="134"/>
      <c r="EW298" s="134"/>
      <c r="EX298" s="134"/>
      <c r="EY298" s="134"/>
      <c r="EZ298" s="134"/>
      <c r="FA298" s="134">
        <f t="array" ref="FA298">IFERROR(INDEX(TABLACONSOLIDADA[Buff Act],MATCH("AGROINSUMOSVERONICALEDESMA"&amp;Tabla_Buffers_Agroinsumos[[#This Row],[CODIGO ]],TABLACONSOLIDADA[Bodega]&amp;TABLACONSOLIDADA[Codigo],0)),"")</f>
        <v>0</v>
      </c>
      <c r="FB298" s="157">
        <f t="array" ref="FB298">IFERROR(INDEX(TABLACONSOLIDADA[Inv Fís Act],MATCH("AGROINSUMOSVERONICALEDESMA"&amp;Tabla_Buffers_Agroinsumos[[#This Row],[CODIGO ]],TABLACONSOLIDADA[Bodega]&amp;TABLACONSOLIDADA[Codigo],0)),"")</f>
        <v>0</v>
      </c>
      <c r="FC298" s="157">
        <f t="array" ref="FC29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9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98" s="134">
        <f>IFERROR(SUM(Tabla_Buffers_Agroinsumos[[#This Row],[VL-MP]:[VL-LF]]),"")</f>
        <v>0</v>
      </c>
      <c r="FF298" s="92">
        <f>IFERROR(Tabla_Buffers_Agroinsumos[[#This Row],[INV FIS VL]]-Tabla_Buffers_Agroinsumos[[#This Row],[BUFFER VL]],"")</f>
        <v>0</v>
      </c>
      <c r="FG29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98" s="134"/>
      <c r="FI298" s="134"/>
      <c r="FJ298" s="134"/>
      <c r="FK298" s="134"/>
      <c r="FL298" s="134"/>
      <c r="FM298" s="134"/>
      <c r="FN298" s="134"/>
      <c r="FO298" s="134"/>
      <c r="FP298" s="134"/>
    </row>
    <row r="299" spans="1:172">
      <c r="A299" s="7" t="s">
        <v>903</v>
      </c>
      <c r="B299" s="7" t="s">
        <v>963</v>
      </c>
      <c r="C299" s="7" t="s">
        <v>946</v>
      </c>
      <c r="D299" s="7" t="s">
        <v>719</v>
      </c>
      <c r="E299" s="7" t="s">
        <v>975</v>
      </c>
      <c r="F299" s="19" t="s">
        <v>698</v>
      </c>
      <c r="G299" s="19" t="s">
        <v>698</v>
      </c>
      <c r="H299" s="19">
        <f>VLOOKUP(Tabla_Buffers_Agroinsumos[[#This Row],[CODIGO ]],TABLACONSOLIDADA[[Codigo]:[PV]],6,0)</f>
        <v>0</v>
      </c>
      <c r="I299" s="19">
        <f>VLOOKUP(Tabla_Buffers_Agroinsumos[[#This Row],[CODIGO ]],TABLACONSOLIDADA[[Codigo]:[PV]],5,0)</f>
        <v>2.13</v>
      </c>
      <c r="J299" s="19" t="s">
        <v>698</v>
      </c>
      <c r="K299" s="19" t="s">
        <v>698</v>
      </c>
      <c r="L299" s="19">
        <f>IFERROR(Tabla_Buffers_Agroinsumos[[#This Row],[BUFFER CENTRAL]]/((Tabla_Buffers_Agroinsumos[[#This Row],[TIEMPO REPOSICION ]]/Tabla_Buffers_Agroinsumos[[#This Row],[FRECUENCIA]])+1),0)</f>
        <v>0</v>
      </c>
      <c r="M299" s="19" t="str">
        <f t="array" ref="M299">IFERROR(INDEX(TABLACONSOLIDADA[Buff Act],MATCH("AGROINSUMOSMATERIAPRIMA"&amp;Tabla_Buffers_Agroinsumos[[#This Row],[CODIGO ]],TABLACONSOLIDADA[Bodega]&amp;TABLACONSOLIDADA[Codigo],0)),"")</f>
        <v/>
      </c>
      <c r="N299" s="157" t="str">
        <f t="array" ref="N299">IFERROR(INDEX(TABLACONSOLIDADA[Inv Fís Act],MATCH("AGROINSUMOSMATERIAPRIMA"&amp;Tabla_Buffers_Agroinsumos[[#This Row],[CODIGO ]],TABLACONSOLIDADA[Bodega]&amp;TABLACONSOLIDADA[Codigo],0)),"")</f>
        <v/>
      </c>
      <c r="O299" s="157" t="str">
        <f t="array" ref="O29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29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299" s="19">
        <f>IFERROR(SUM(Tabla_Buffers_Agroinsumos[[#This Row],[MP-C]:[MP-VL]]),"")</f>
        <v>0</v>
      </c>
      <c r="R299" s="92" t="str">
        <f>IFERROR(Tabla_Buffers_Agroinsumos[[#This Row],[INV FIS MATERIA PRIMA]]-Tabla_Buffers_Agroinsumos[[#This Row],[BUFFER MATERIA PRIMA]],"")</f>
        <v/>
      </c>
      <c r="S29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299" s="19"/>
      <c r="U299" s="19"/>
      <c r="V299" s="19"/>
      <c r="W299" s="19"/>
      <c r="X299" s="19"/>
      <c r="Y299" s="19"/>
      <c r="Z299" s="19"/>
      <c r="AA299" s="19"/>
      <c r="AB299" s="19"/>
      <c r="AC299" s="152">
        <f t="array" ref="AC299">IFERROR(INDEX(TABLACONSOLIDADA[Buff Act],MATCH("AGROINSUMOSCENTRAL"&amp;Tabla_Buffers_Agroinsumos[[#This Row],[CODIGO ]],TABLACONSOLIDADA[Bodega]&amp;TABLACONSOLIDADA[Codigo],0)),"")</f>
        <v>0</v>
      </c>
      <c r="AD299" s="157">
        <f t="array" ref="AD299">IFERROR(INDEX(TABLACONSOLIDADA[Inv Fís Act],MATCH("AGROINSUMOSCENTRAL"&amp;Tabla_Buffers_Agroinsumos[[#This Row],[CODIGO ]],TABLACONSOLIDADA[Bodega]&amp;TABLACONSOLIDADA[Codigo],0)),"")</f>
        <v>0</v>
      </c>
      <c r="AE299" s="157">
        <f t="array" ref="AE29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29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299" s="91">
        <f>IFERROR(SUM(Tabla_Buffers_Agroinsumos[[#This Row],[C-MP]:[C-VL]]),"")</f>
        <v>0</v>
      </c>
      <c r="AH299" s="92">
        <f>IFERROR(Tabla_Buffers_Agroinsumos[[#This Row],[INV FIS CENTRAL]]-Tabla_Buffers_Agroinsumos[[#This Row],[BUFFER CENTRAL]],"")</f>
        <v>0</v>
      </c>
      <c r="AI29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299" s="134"/>
      <c r="AK299" s="134"/>
      <c r="AL299" s="134"/>
      <c r="AM299" s="134"/>
      <c r="AN299" s="134"/>
      <c r="AO299" s="134"/>
      <c r="AP299" s="134"/>
      <c r="AQ299" s="134"/>
      <c r="AR299" s="134"/>
      <c r="AS299" s="134">
        <f t="array" ref="AS299">IFERROR(INDEX(TABLACONSOLIDADA[Buff Act],MATCH("AGROINSUMOScentralPROPIA"&amp;Tabla_Buffers_Agroinsumos[[#This Row],[CODIGO ]],TABLACONSOLIDADA[Bodega]&amp;TABLACONSOLIDADA[Codigo],0)),"")</f>
        <v>12</v>
      </c>
      <c r="AT299" s="157">
        <f t="array" ref="AT299">IFERROR(INDEX(TABLACONSOLIDADA[Inv Fís Act],MATCH("AGROINSUMOScentralPROPIA"&amp;Tabla_Buffers_Agroinsumos[[#This Row],[CODIGO ]],TABLACONSOLIDADA[Bodega]&amp;TABLACONSOLIDADA[Codigo],0)),"")</f>
        <v>0</v>
      </c>
      <c r="AU299" s="157">
        <f t="array" ref="AU29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29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299" s="134">
        <f>IFERROR(SUM(Tabla_Buffers_Agroinsumos[[#This Row],[P-MP]:[P-VL]]),"")</f>
        <v>0</v>
      </c>
      <c r="AX299" s="92">
        <f>IFERROR(Tabla_Buffers_Agroinsumos[[#This Row],[INV FIS PROPIA]]-Tabla_Buffers_Agroinsumos[[#This Row],[BUFFER PROPIA]],"")</f>
        <v>-12</v>
      </c>
      <c r="AY29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</v>
      </c>
      <c r="AZ299" s="134"/>
      <c r="BA299" s="134"/>
      <c r="BB299" s="134"/>
      <c r="BC299" s="134"/>
      <c r="BD299" s="134"/>
      <c r="BE299" s="134"/>
      <c r="BF299" s="134"/>
      <c r="BG299" s="134"/>
      <c r="BH299" s="134"/>
      <c r="BI299" s="91" t="str">
        <f t="array" ref="BI299">IFERROR(INDEX(TABLACONSOLIDADA[Buff Act],MATCH("AGROINSUMOSSTODOMINGO"&amp;Tabla_Buffers_Agroinsumos[[#This Row],[CODIGO ]],TABLACONSOLIDADA[Bodega]&amp;TABLACONSOLIDADA[Codigo],0)),"")</f>
        <v/>
      </c>
      <c r="BJ299" s="157" t="str">
        <f t="array" ref="BJ299">IFERROR(INDEX(TABLACONSOLIDADA[Inv Fís Act],MATCH("AGROINSUMOSSTODOMINGO"&amp;Tabla_Buffers_Agroinsumos[[#This Row],[CODIGO ]],TABLACONSOLIDADA[Bodega]&amp;TABLACONSOLIDADA[Codigo],0)),"")</f>
        <v/>
      </c>
      <c r="BK299" s="157" t="str">
        <f t="array" ref="BK29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29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299" s="91">
        <f>IFERROR(SUM(Tabla_Buffers_Agroinsumos[[#This Row],[SD-MP]:[SD-VL]]),"")</f>
        <v>0</v>
      </c>
      <c r="BN299" s="92"/>
      <c r="BO299" s="92"/>
      <c r="BP299" s="134"/>
      <c r="BQ299" s="134"/>
      <c r="BR299" s="134"/>
      <c r="BS299" s="134"/>
      <c r="BT299" s="134"/>
      <c r="BU299" s="134"/>
      <c r="BV299" s="134"/>
      <c r="BW299" s="134"/>
      <c r="BX299" s="134"/>
      <c r="BY299" s="134">
        <f t="array" ref="BY299">IFERROR(INDEX(TABLACONSOLIDADA[Buff Act],MATCH("AGROINSUMOSMONCAYOLOPEZ"&amp;Tabla_Buffers_Agroinsumos[[#This Row],[CODIGO ]],TABLACONSOLIDADA[Bodega]&amp;TABLACONSOLIDADA[Codigo],0)),"")</f>
        <v>0</v>
      </c>
      <c r="BZ299" s="157">
        <f t="array" ref="BZ299">IFERROR(INDEX(TABLACONSOLIDADA[Inv Fís Act],MATCH("AGROINSUMOSMONCAYOLOPEZ"&amp;Tabla_Buffers_Agroinsumos[[#This Row],[CODIGO ]],TABLACONSOLIDADA[Bodega]&amp;TABLACONSOLIDADA[Codigo],0)),"")</f>
        <v>0</v>
      </c>
      <c r="CA299" s="157">
        <f t="array" ref="CA29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29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299" s="134">
        <f>IFERROR(SUM(Tabla_Buffers_Agroinsumos[[#This Row],[ML-MP]:[ML-VL]]),"")</f>
        <v>0</v>
      </c>
      <c r="CD299" s="92">
        <f>IFERROR(Tabla_Buffers_Agroinsumos[[#This Row],[INV FIS ML]]-Tabla_Buffers_Agroinsumos[[#This Row],[BUFFER ML]],"")</f>
        <v>0</v>
      </c>
      <c r="CE29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299" s="134"/>
      <c r="CG299" s="134"/>
      <c r="CH299" s="134"/>
      <c r="CI299" s="134"/>
      <c r="CJ299" s="134"/>
      <c r="CK299" s="134"/>
      <c r="CL299" s="134"/>
      <c r="CM299" s="134"/>
      <c r="CN299" s="134"/>
      <c r="CO299" s="134">
        <f t="array" ref="CO299">IFERROR(INDEX(TABLACONSOLIDADA[Buff Act],MATCH("AGROINSUMOSAGROHERMANOSLEON"&amp;Tabla_Buffers_Agroinsumos[[#This Row],[CODIGO ]],TABLACONSOLIDADA[Bodega]&amp;TABLACONSOLIDADA[Codigo],0)),"")</f>
        <v>0</v>
      </c>
      <c r="CP299" s="157">
        <f t="array" ref="CP299">IFERROR(INDEX(TABLACONSOLIDADA[Inv Fís Act],MATCH("AGROINSUMOSAGROHERMANOSLEON"&amp;Tabla_Buffers_Agroinsumos[[#This Row],[CODIGO ]],TABLACONSOLIDADA[Bodega]&amp;TABLACONSOLIDADA[Codigo],0)),"")</f>
        <v>0</v>
      </c>
      <c r="CQ299" s="157">
        <f t="array" ref="CQ29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29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299" s="134">
        <f>IFERROR(SUM(Tabla_Buffers_Agroinsumos[[#This Row],[AL-MP]:[AL-VL]]),"")</f>
        <v>0</v>
      </c>
      <c r="CT299" s="92">
        <f>IFERROR(Tabla_Buffers_Agroinsumos[[#This Row],[INV FIS AL]]-Tabla_Buffers_Agroinsumos[[#This Row],[BUFFER AL]],"")</f>
        <v>0</v>
      </c>
      <c r="CU299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299" s="134"/>
      <c r="CW299" s="134"/>
      <c r="CX299" s="134"/>
      <c r="CY299" s="134"/>
      <c r="CZ299" s="134"/>
      <c r="DA299" s="134"/>
      <c r="DB299" s="134"/>
      <c r="DC299" s="134"/>
      <c r="DD299" s="134"/>
      <c r="DE299" s="134">
        <f t="array" ref="DE299">IFERROR(INDEX(TABLACONSOLIDADA[Buff Act],MATCH("AGROINSUMOSAGRONUEVO"&amp;Tabla_Buffers_Agroinsumos[[#This Row],[CODIGO ]],TABLACONSOLIDADA[Bodega]&amp;TABLACONSOLIDADA[Codigo],0)),"")</f>
        <v>0</v>
      </c>
      <c r="DF299" s="157">
        <f t="array" ref="DF299">IFERROR(INDEX(TABLACONSOLIDADA[Inv Fís Act],MATCH("AGROINSUMOSAGRONUEVO"&amp;Tabla_Buffers_Agroinsumos[[#This Row],[CODIGO ]],TABLACONSOLIDADA[Bodega]&amp;TABLACONSOLIDADA[Codigo],0)),"")</f>
        <v>0</v>
      </c>
      <c r="DG299" s="157">
        <f t="array" ref="DG29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29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299" s="134">
        <f>IFERROR(SUM(Tabla_Buffers_Agroinsumos[[#This Row],[AN-MP]:[AN-VL]]),"")</f>
        <v>0</v>
      </c>
      <c r="DJ299" s="92">
        <f>IFERROR(Tabla_Buffers_Agroinsumos[[#This Row],[INV FIS AN]]-Tabla_Buffers_Agroinsumos[[#This Row],[BUFFER AN]],"")</f>
        <v>0</v>
      </c>
      <c r="DK29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299" s="134"/>
      <c r="DM299" s="134"/>
      <c r="DN299" s="134"/>
      <c r="DO299" s="134"/>
      <c r="DP299" s="134"/>
      <c r="DQ299" s="134"/>
      <c r="DR299" s="134"/>
      <c r="DS299" s="134"/>
      <c r="DT299" s="134"/>
      <c r="DU299" s="134">
        <f t="array" ref="DU299">IFERROR(INDEX(TABLACONSOLIDADA[Buff Act],MATCH("AGROINSUMOSAGROQUIMICOSSUR"&amp;Tabla_Buffers_Agroinsumos[[#This Row],[CODIGO ]],TABLACONSOLIDADA[Bodega]&amp;TABLACONSOLIDADA[Codigo],0)),"")</f>
        <v>0</v>
      </c>
      <c r="DV299" s="157">
        <f t="array" ref="DV299">IFERROR(INDEX(TABLACONSOLIDADA[Inv Fís Act],MATCH("AGROINSUMOSAGROQUIMICOSSUR"&amp;Tabla_Buffers_Agroinsumos[[#This Row],[CODIGO ]],TABLACONSOLIDADA[Bodega]&amp;TABLACONSOLIDADA[Codigo],0)),"")</f>
        <v>0</v>
      </c>
      <c r="DW299" s="157">
        <f t="array" ref="DW29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29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299" s="134">
        <f>IFERROR(SUM(Tabla_Buffers_Agroinsumos[[#This Row],[AS-MP]:[AS-VL]]),"")</f>
        <v>0</v>
      </c>
      <c r="DZ299" s="92">
        <f>IFERROR(Tabla_Buffers_Agroinsumos[[#This Row],[INV FIS AS]]-Tabla_Buffers_Agroinsumos[[#This Row],[BUFFER AS]],"")</f>
        <v>0</v>
      </c>
      <c r="EA29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299" s="134"/>
      <c r="EC299" s="134"/>
      <c r="ED299" s="134"/>
      <c r="EE299" s="134"/>
      <c r="EF299" s="134"/>
      <c r="EG299" s="134"/>
      <c r="EH299" s="134"/>
      <c r="EI299" s="134"/>
      <c r="EJ299" s="134"/>
      <c r="EK299" s="134">
        <f t="array" ref="EK299">IFERROR(INDEX(TABLACONSOLIDADA[Buff Act],MATCH("AGROINSUMOSLAFINCA"&amp;Tabla_Buffers_Agroinsumos[[#This Row],[CODIGO ]],TABLACONSOLIDADA[Bodega]&amp;TABLACONSOLIDADA[Codigo],0)),"")</f>
        <v>0</v>
      </c>
      <c r="EL299" s="157">
        <f t="array" ref="EL299">IFERROR(INDEX(TABLACONSOLIDADA[Inv Fís Act],MATCH("AGROINSUMOSLAFINCA"&amp;Tabla_Buffers_Agroinsumos[[#This Row],[CODIGO ]],TABLACONSOLIDADA[Bodega]&amp;TABLACONSOLIDADA[Codigo],0)),"")</f>
        <v>0</v>
      </c>
      <c r="EM299" s="157">
        <f t="array" ref="EM29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29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299" s="134">
        <f>IFERROR(SUM(Tabla_Buffers_Agroinsumos[[#This Row],[LF-MP]:[LF-VL]]),"")</f>
        <v>0</v>
      </c>
      <c r="EP299" s="92">
        <f>IFERROR(Tabla_Buffers_Agroinsumos[[#This Row],[INV FIS LF]]-Tabla_Buffers_Agroinsumos[[#This Row],[BUFFER LF]],"")</f>
        <v>0</v>
      </c>
      <c r="EQ29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299" s="134"/>
      <c r="ES299" s="134"/>
      <c r="ET299" s="134"/>
      <c r="EU299" s="134"/>
      <c r="EV299" s="134"/>
      <c r="EW299" s="134"/>
      <c r="EX299" s="134"/>
      <c r="EY299" s="134"/>
      <c r="EZ299" s="134"/>
      <c r="FA299" s="134">
        <f t="array" ref="FA299">IFERROR(INDEX(TABLACONSOLIDADA[Buff Act],MATCH("AGROINSUMOSVERONICALEDESMA"&amp;Tabla_Buffers_Agroinsumos[[#This Row],[CODIGO ]],TABLACONSOLIDADA[Bodega]&amp;TABLACONSOLIDADA[Codigo],0)),"")</f>
        <v>0</v>
      </c>
      <c r="FB299" s="157">
        <f t="array" ref="FB299">IFERROR(INDEX(TABLACONSOLIDADA[Inv Fís Act],MATCH("AGROINSUMOSVERONICALEDESMA"&amp;Tabla_Buffers_Agroinsumos[[#This Row],[CODIGO ]],TABLACONSOLIDADA[Bodega]&amp;TABLACONSOLIDADA[Codigo],0)),"")</f>
        <v>0</v>
      </c>
      <c r="FC299" s="157">
        <f t="array" ref="FC29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29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299" s="134">
        <f>IFERROR(SUM(Tabla_Buffers_Agroinsumos[[#This Row],[VL-MP]:[VL-LF]]),"")</f>
        <v>0</v>
      </c>
      <c r="FF299" s="92">
        <f>IFERROR(Tabla_Buffers_Agroinsumos[[#This Row],[INV FIS VL]]-Tabla_Buffers_Agroinsumos[[#This Row],[BUFFER VL]],"")</f>
        <v>0</v>
      </c>
      <c r="FG29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299" s="134"/>
      <c r="FI299" s="134"/>
      <c r="FJ299" s="134"/>
      <c r="FK299" s="134"/>
      <c r="FL299" s="134"/>
      <c r="FM299" s="134"/>
      <c r="FN299" s="134"/>
      <c r="FO299" s="134"/>
      <c r="FP299" s="134"/>
    </row>
    <row r="300" spans="1:172">
      <c r="A300" s="7" t="s">
        <v>904</v>
      </c>
      <c r="B300" s="7" t="s">
        <v>964</v>
      </c>
      <c r="C300" s="7" t="s">
        <v>946</v>
      </c>
      <c r="D300" s="7" t="s">
        <v>719</v>
      </c>
      <c r="E300" s="7" t="s">
        <v>975</v>
      </c>
      <c r="F300" s="19" t="s">
        <v>698</v>
      </c>
      <c r="G300" s="19" t="s">
        <v>698</v>
      </c>
      <c r="H300" s="19">
        <f>VLOOKUP(Tabla_Buffers_Agroinsumos[[#This Row],[CODIGO ]],TABLACONSOLIDADA[[Codigo]:[PV]],6,0)</f>
        <v>0</v>
      </c>
      <c r="I300" s="19">
        <f>VLOOKUP(Tabla_Buffers_Agroinsumos[[#This Row],[CODIGO ]],TABLACONSOLIDADA[[Codigo]:[PV]],5,0)</f>
        <v>4.1100000000000003</v>
      </c>
      <c r="J300" s="19" t="s">
        <v>698</v>
      </c>
      <c r="K300" s="19" t="s">
        <v>698</v>
      </c>
      <c r="L300" s="19">
        <f>IFERROR(Tabla_Buffers_Agroinsumos[[#This Row],[BUFFER CENTRAL]]/((Tabla_Buffers_Agroinsumos[[#This Row],[TIEMPO REPOSICION ]]/Tabla_Buffers_Agroinsumos[[#This Row],[FRECUENCIA]])+1),0)</f>
        <v>0</v>
      </c>
      <c r="M300" s="19" t="str">
        <f t="array" ref="M300">IFERROR(INDEX(TABLACONSOLIDADA[Buff Act],MATCH("AGROINSUMOSMATERIAPRIMA"&amp;Tabla_Buffers_Agroinsumos[[#This Row],[CODIGO ]],TABLACONSOLIDADA[Bodega]&amp;TABLACONSOLIDADA[Codigo],0)),"")</f>
        <v/>
      </c>
      <c r="N300" s="157" t="str">
        <f t="array" ref="N300">IFERROR(INDEX(TABLACONSOLIDADA[Inv Fís Act],MATCH("AGROINSUMOSMATERIAPRIMA"&amp;Tabla_Buffers_Agroinsumos[[#This Row],[CODIGO ]],TABLACONSOLIDADA[Bodega]&amp;TABLACONSOLIDADA[Codigo],0)),"")</f>
        <v/>
      </c>
      <c r="O300" s="157" t="str">
        <f t="array" ref="O30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0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00" s="19">
        <f>IFERROR(SUM(Tabla_Buffers_Agroinsumos[[#This Row],[MP-C]:[MP-VL]]),"")</f>
        <v>0</v>
      </c>
      <c r="R300" s="92" t="str">
        <f>IFERROR(Tabla_Buffers_Agroinsumos[[#This Row],[INV FIS MATERIA PRIMA]]-Tabla_Buffers_Agroinsumos[[#This Row],[BUFFER MATERIA PRIMA]],"")</f>
        <v/>
      </c>
      <c r="S30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00" s="19"/>
      <c r="U300" s="19"/>
      <c r="V300" s="19"/>
      <c r="W300" s="19"/>
      <c r="X300" s="19"/>
      <c r="Y300" s="19"/>
      <c r="Z300" s="19"/>
      <c r="AA300" s="19"/>
      <c r="AB300" s="19"/>
      <c r="AC300" s="152">
        <f t="array" ref="AC300">IFERROR(INDEX(TABLACONSOLIDADA[Buff Act],MATCH("AGROINSUMOSCENTRAL"&amp;Tabla_Buffers_Agroinsumos[[#This Row],[CODIGO ]],TABLACONSOLIDADA[Bodega]&amp;TABLACONSOLIDADA[Codigo],0)),"")</f>
        <v>0</v>
      </c>
      <c r="AD300" s="157">
        <f t="array" ref="AD300">IFERROR(INDEX(TABLACONSOLIDADA[Inv Fís Act],MATCH("AGROINSUMOSCENTRAL"&amp;Tabla_Buffers_Agroinsumos[[#This Row],[CODIGO ]],TABLACONSOLIDADA[Bodega]&amp;TABLACONSOLIDADA[Codigo],0)),"")</f>
        <v>0</v>
      </c>
      <c r="AE300" s="157">
        <f t="array" ref="AE30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0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00" s="91">
        <f>IFERROR(SUM(Tabla_Buffers_Agroinsumos[[#This Row],[C-MP]:[C-VL]]),"")</f>
        <v>0</v>
      </c>
      <c r="AH300" s="92">
        <f>IFERROR(Tabla_Buffers_Agroinsumos[[#This Row],[INV FIS CENTRAL]]-Tabla_Buffers_Agroinsumos[[#This Row],[BUFFER CENTRAL]],"")</f>
        <v>0</v>
      </c>
      <c r="AI30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00" s="134"/>
      <c r="AK300" s="134"/>
      <c r="AL300" s="134"/>
      <c r="AM300" s="134"/>
      <c r="AN300" s="134"/>
      <c r="AO300" s="134"/>
      <c r="AP300" s="134"/>
      <c r="AQ300" s="134"/>
      <c r="AR300" s="134"/>
      <c r="AS300" s="134">
        <f t="array" ref="AS300">IFERROR(INDEX(TABLACONSOLIDADA[Buff Act],MATCH("AGROINSUMOScentralPROPIA"&amp;Tabla_Buffers_Agroinsumos[[#This Row],[CODIGO ]],TABLACONSOLIDADA[Bodega]&amp;TABLACONSOLIDADA[Codigo],0)),"")</f>
        <v>18</v>
      </c>
      <c r="AT300" s="157">
        <f t="array" ref="AT300">IFERROR(INDEX(TABLACONSOLIDADA[Inv Fís Act],MATCH("AGROINSUMOScentralPROPIA"&amp;Tabla_Buffers_Agroinsumos[[#This Row],[CODIGO ]],TABLACONSOLIDADA[Bodega]&amp;TABLACONSOLIDADA[Codigo],0)),"")</f>
        <v>0</v>
      </c>
      <c r="AU300" s="157">
        <f t="array" ref="AU30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0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00" s="134">
        <f>IFERROR(SUM(Tabla_Buffers_Agroinsumos[[#This Row],[P-MP]:[P-VL]]),"")</f>
        <v>0</v>
      </c>
      <c r="AX300" s="92">
        <f>IFERROR(Tabla_Buffers_Agroinsumos[[#This Row],[INV FIS PROPIA]]-Tabla_Buffers_Agroinsumos[[#This Row],[BUFFER PROPIA]],"")</f>
        <v>-18</v>
      </c>
      <c r="AY30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-18</v>
      </c>
      <c r="AZ300" s="134"/>
      <c r="BA300" s="134"/>
      <c r="BB300" s="134"/>
      <c r="BC300" s="134"/>
      <c r="BD300" s="134"/>
      <c r="BE300" s="134"/>
      <c r="BF300" s="134"/>
      <c r="BG300" s="134"/>
      <c r="BH300" s="134"/>
      <c r="BI300" s="91" t="str">
        <f t="array" ref="BI300">IFERROR(INDEX(TABLACONSOLIDADA[Buff Act],MATCH("AGROINSUMOSSTODOMINGO"&amp;Tabla_Buffers_Agroinsumos[[#This Row],[CODIGO ]],TABLACONSOLIDADA[Bodega]&amp;TABLACONSOLIDADA[Codigo],0)),"")</f>
        <v/>
      </c>
      <c r="BJ300" s="157" t="str">
        <f t="array" ref="BJ300">IFERROR(INDEX(TABLACONSOLIDADA[Inv Fís Act],MATCH("AGROINSUMOSSTODOMINGO"&amp;Tabla_Buffers_Agroinsumos[[#This Row],[CODIGO ]],TABLACONSOLIDADA[Bodega]&amp;TABLACONSOLIDADA[Codigo],0)),"")</f>
        <v/>
      </c>
      <c r="BK300" s="157" t="str">
        <f t="array" ref="BK30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0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00" s="91">
        <f>IFERROR(SUM(Tabla_Buffers_Agroinsumos[[#This Row],[SD-MP]:[SD-VL]]),"")</f>
        <v>0</v>
      </c>
      <c r="BN300" s="92"/>
      <c r="BO300" s="92"/>
      <c r="BP300" s="134"/>
      <c r="BQ300" s="134"/>
      <c r="BR300" s="134"/>
      <c r="BS300" s="134"/>
      <c r="BT300" s="134"/>
      <c r="BU300" s="134"/>
      <c r="BV300" s="134"/>
      <c r="BW300" s="134"/>
      <c r="BX300" s="134"/>
      <c r="BY300" s="134">
        <f t="array" ref="BY300">IFERROR(INDEX(TABLACONSOLIDADA[Buff Act],MATCH("AGROINSUMOSMONCAYOLOPEZ"&amp;Tabla_Buffers_Agroinsumos[[#This Row],[CODIGO ]],TABLACONSOLIDADA[Bodega]&amp;TABLACONSOLIDADA[Codigo],0)),"")</f>
        <v>0</v>
      </c>
      <c r="BZ300" s="157">
        <f t="array" ref="BZ300">IFERROR(INDEX(TABLACONSOLIDADA[Inv Fís Act],MATCH("AGROINSUMOSMONCAYOLOPEZ"&amp;Tabla_Buffers_Agroinsumos[[#This Row],[CODIGO ]],TABLACONSOLIDADA[Bodega]&amp;TABLACONSOLIDADA[Codigo],0)),"")</f>
        <v>0</v>
      </c>
      <c r="CA300" s="157">
        <f t="array" ref="CA30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0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00" s="134">
        <f>IFERROR(SUM(Tabla_Buffers_Agroinsumos[[#This Row],[ML-MP]:[ML-VL]]),"")</f>
        <v>0</v>
      </c>
      <c r="CD300" s="92">
        <f>IFERROR(Tabla_Buffers_Agroinsumos[[#This Row],[INV FIS ML]]-Tabla_Buffers_Agroinsumos[[#This Row],[BUFFER ML]],"")</f>
        <v>0</v>
      </c>
      <c r="CE30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00" s="134"/>
      <c r="CG300" s="134"/>
      <c r="CH300" s="134"/>
      <c r="CI300" s="134"/>
      <c r="CJ300" s="134"/>
      <c r="CK300" s="134"/>
      <c r="CL300" s="134"/>
      <c r="CM300" s="134"/>
      <c r="CN300" s="134"/>
      <c r="CO300" s="134">
        <f t="array" ref="CO300">IFERROR(INDEX(TABLACONSOLIDADA[Buff Act],MATCH("AGROINSUMOSAGROHERMANOSLEON"&amp;Tabla_Buffers_Agroinsumos[[#This Row],[CODIGO ]],TABLACONSOLIDADA[Bodega]&amp;TABLACONSOLIDADA[Codigo],0)),"")</f>
        <v>0</v>
      </c>
      <c r="CP300" s="157">
        <f t="array" ref="CP300">IFERROR(INDEX(TABLACONSOLIDADA[Inv Fís Act],MATCH("AGROINSUMOSAGROHERMANOSLEON"&amp;Tabla_Buffers_Agroinsumos[[#This Row],[CODIGO ]],TABLACONSOLIDADA[Bodega]&amp;TABLACONSOLIDADA[Codigo],0)),"")</f>
        <v>0</v>
      </c>
      <c r="CQ300" s="157">
        <f t="array" ref="CQ30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0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00" s="134">
        <f>IFERROR(SUM(Tabla_Buffers_Agroinsumos[[#This Row],[AL-MP]:[AL-VL]]),"")</f>
        <v>0</v>
      </c>
      <c r="CT300" s="92">
        <f>IFERROR(Tabla_Buffers_Agroinsumos[[#This Row],[INV FIS AL]]-Tabla_Buffers_Agroinsumos[[#This Row],[BUFFER AL]],"")</f>
        <v>0</v>
      </c>
      <c r="CU300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00" s="134"/>
      <c r="CW300" s="134"/>
      <c r="CX300" s="134"/>
      <c r="CY300" s="134"/>
      <c r="CZ300" s="134"/>
      <c r="DA300" s="134"/>
      <c r="DB300" s="134"/>
      <c r="DC300" s="134"/>
      <c r="DD300" s="134"/>
      <c r="DE300" s="134">
        <f t="array" ref="DE300">IFERROR(INDEX(TABLACONSOLIDADA[Buff Act],MATCH("AGROINSUMOSAGRONUEVO"&amp;Tabla_Buffers_Agroinsumos[[#This Row],[CODIGO ]],TABLACONSOLIDADA[Bodega]&amp;TABLACONSOLIDADA[Codigo],0)),"")</f>
        <v>0</v>
      </c>
      <c r="DF300" s="157">
        <f t="array" ref="DF300">IFERROR(INDEX(TABLACONSOLIDADA[Inv Fís Act],MATCH("AGROINSUMOSAGRONUEVO"&amp;Tabla_Buffers_Agroinsumos[[#This Row],[CODIGO ]],TABLACONSOLIDADA[Bodega]&amp;TABLACONSOLIDADA[Codigo],0)),"")</f>
        <v>0</v>
      </c>
      <c r="DG300" s="157">
        <f t="array" ref="DG30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0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00" s="134">
        <f>IFERROR(SUM(Tabla_Buffers_Agroinsumos[[#This Row],[AN-MP]:[AN-VL]]),"")</f>
        <v>0</v>
      </c>
      <c r="DJ300" s="92">
        <f>IFERROR(Tabla_Buffers_Agroinsumos[[#This Row],[INV FIS AN]]-Tabla_Buffers_Agroinsumos[[#This Row],[BUFFER AN]],"")</f>
        <v>0</v>
      </c>
      <c r="DK30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00" s="134"/>
      <c r="DM300" s="134"/>
      <c r="DN300" s="134"/>
      <c r="DO300" s="134"/>
      <c r="DP300" s="134"/>
      <c r="DQ300" s="134"/>
      <c r="DR300" s="134"/>
      <c r="DS300" s="134"/>
      <c r="DT300" s="134"/>
      <c r="DU300" s="134">
        <f t="array" ref="DU300">IFERROR(INDEX(TABLACONSOLIDADA[Buff Act],MATCH("AGROINSUMOSAGROQUIMICOSSUR"&amp;Tabla_Buffers_Agroinsumos[[#This Row],[CODIGO ]],TABLACONSOLIDADA[Bodega]&amp;TABLACONSOLIDADA[Codigo],0)),"")</f>
        <v>0</v>
      </c>
      <c r="DV300" s="157">
        <f t="array" ref="DV300">IFERROR(INDEX(TABLACONSOLIDADA[Inv Fís Act],MATCH("AGROINSUMOSAGROQUIMICOSSUR"&amp;Tabla_Buffers_Agroinsumos[[#This Row],[CODIGO ]],TABLACONSOLIDADA[Bodega]&amp;TABLACONSOLIDADA[Codigo],0)),"")</f>
        <v>0</v>
      </c>
      <c r="DW300" s="157">
        <f t="array" ref="DW30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0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00" s="134">
        <f>IFERROR(SUM(Tabla_Buffers_Agroinsumos[[#This Row],[AS-MP]:[AS-VL]]),"")</f>
        <v>0</v>
      </c>
      <c r="DZ300" s="92">
        <f>IFERROR(Tabla_Buffers_Agroinsumos[[#This Row],[INV FIS AS]]-Tabla_Buffers_Agroinsumos[[#This Row],[BUFFER AS]],"")</f>
        <v>0</v>
      </c>
      <c r="EA30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00" s="134"/>
      <c r="EC300" s="134"/>
      <c r="ED300" s="134"/>
      <c r="EE300" s="134"/>
      <c r="EF300" s="134"/>
      <c r="EG300" s="134"/>
      <c r="EH300" s="134"/>
      <c r="EI300" s="134"/>
      <c r="EJ300" s="134"/>
      <c r="EK300" s="134">
        <f t="array" ref="EK300">IFERROR(INDEX(TABLACONSOLIDADA[Buff Act],MATCH("AGROINSUMOSLAFINCA"&amp;Tabla_Buffers_Agroinsumos[[#This Row],[CODIGO ]],TABLACONSOLIDADA[Bodega]&amp;TABLACONSOLIDADA[Codigo],0)),"")</f>
        <v>0</v>
      </c>
      <c r="EL300" s="157">
        <f t="array" ref="EL300">IFERROR(INDEX(TABLACONSOLIDADA[Inv Fís Act],MATCH("AGROINSUMOSLAFINCA"&amp;Tabla_Buffers_Agroinsumos[[#This Row],[CODIGO ]],TABLACONSOLIDADA[Bodega]&amp;TABLACONSOLIDADA[Codigo],0)),"")</f>
        <v>0</v>
      </c>
      <c r="EM300" s="157">
        <f t="array" ref="EM30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0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00" s="134">
        <f>IFERROR(SUM(Tabla_Buffers_Agroinsumos[[#This Row],[LF-MP]:[LF-VL]]),"")</f>
        <v>0</v>
      </c>
      <c r="EP300" s="92">
        <f>IFERROR(Tabla_Buffers_Agroinsumos[[#This Row],[INV FIS LF]]-Tabla_Buffers_Agroinsumos[[#This Row],[BUFFER LF]],"")</f>
        <v>0</v>
      </c>
      <c r="EQ300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00" s="134"/>
      <c r="ES300" s="134"/>
      <c r="ET300" s="134"/>
      <c r="EU300" s="134"/>
      <c r="EV300" s="134"/>
      <c r="EW300" s="134"/>
      <c r="EX300" s="134"/>
      <c r="EY300" s="134"/>
      <c r="EZ300" s="134"/>
      <c r="FA300" s="134">
        <f t="array" ref="FA300">IFERROR(INDEX(TABLACONSOLIDADA[Buff Act],MATCH("AGROINSUMOSVERONICALEDESMA"&amp;Tabla_Buffers_Agroinsumos[[#This Row],[CODIGO ]],TABLACONSOLIDADA[Bodega]&amp;TABLACONSOLIDADA[Codigo],0)),"")</f>
        <v>0</v>
      </c>
      <c r="FB300" s="157">
        <f t="array" ref="FB300">IFERROR(INDEX(TABLACONSOLIDADA[Inv Fís Act],MATCH("AGROINSUMOSVERONICALEDESMA"&amp;Tabla_Buffers_Agroinsumos[[#This Row],[CODIGO ]],TABLACONSOLIDADA[Bodega]&amp;TABLACONSOLIDADA[Codigo],0)),"")</f>
        <v>0</v>
      </c>
      <c r="FC300" s="157">
        <f t="array" ref="FC30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0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00" s="134">
        <f>IFERROR(SUM(Tabla_Buffers_Agroinsumos[[#This Row],[VL-MP]:[VL-LF]]),"")</f>
        <v>0</v>
      </c>
      <c r="FF300" s="92">
        <f>IFERROR(Tabla_Buffers_Agroinsumos[[#This Row],[INV FIS VL]]-Tabla_Buffers_Agroinsumos[[#This Row],[BUFFER VL]],"")</f>
        <v>0</v>
      </c>
      <c r="FG30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00" s="134"/>
      <c r="FI300" s="134"/>
      <c r="FJ300" s="134"/>
      <c r="FK300" s="134"/>
      <c r="FL300" s="134"/>
      <c r="FM300" s="134"/>
      <c r="FN300" s="134"/>
      <c r="FO300" s="134"/>
      <c r="FP300" s="134"/>
    </row>
    <row r="301" spans="1:172">
      <c r="A301" s="7" t="s">
        <v>512</v>
      </c>
      <c r="B301" s="7" t="s">
        <v>513</v>
      </c>
      <c r="C301" s="7" t="s">
        <v>709</v>
      </c>
      <c r="D301" s="7" t="s">
        <v>719</v>
      </c>
      <c r="E301" s="7" t="s">
        <v>975</v>
      </c>
      <c r="F301" s="19" t="s">
        <v>698</v>
      </c>
      <c r="G301" s="19" t="s">
        <v>698</v>
      </c>
      <c r="H301" s="19">
        <f>VLOOKUP(Tabla_Buffers_Agroinsumos[[#This Row],[CODIGO ]],TABLACONSOLIDADA[[Codigo]:[PV]],6,0)</f>
        <v>1.89</v>
      </c>
      <c r="I301" s="19">
        <f>VLOOKUP(Tabla_Buffers_Agroinsumos[[#This Row],[CODIGO ]],TABLACONSOLIDADA[[Codigo]:[PV]],5,0)</f>
        <v>1.1599999999999999</v>
      </c>
      <c r="J301" s="19" t="s">
        <v>698</v>
      </c>
      <c r="K301" s="19" t="s">
        <v>698</v>
      </c>
      <c r="L301" s="19">
        <f>IFERROR(Tabla_Buffers_Agroinsumos[[#This Row],[BUFFER CENTRAL]]/((Tabla_Buffers_Agroinsumos[[#This Row],[TIEMPO REPOSICION ]]/Tabla_Buffers_Agroinsumos[[#This Row],[FRECUENCIA]])+1),0)</f>
        <v>0</v>
      </c>
      <c r="M301" s="19" t="str">
        <f t="array" ref="M301">IFERROR(INDEX(TABLACONSOLIDADA[Buff Act],MATCH("AGROINSUMOSMATERIAPRIMA"&amp;Tabla_Buffers_Agroinsumos[[#This Row],[CODIGO ]],TABLACONSOLIDADA[Bodega]&amp;TABLACONSOLIDADA[Codigo],0)),"")</f>
        <v/>
      </c>
      <c r="N301" s="157" t="str">
        <f t="array" ref="N301">IFERROR(INDEX(TABLACONSOLIDADA[Inv Fís Act],MATCH("AGROINSUMOSMATERIAPRIMA"&amp;Tabla_Buffers_Agroinsumos[[#This Row],[CODIGO ]],TABLACONSOLIDADA[Bodega]&amp;TABLACONSOLIDADA[Codigo],0)),"")</f>
        <v/>
      </c>
      <c r="O301" s="157" t="str">
        <f t="array" ref="O30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0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01" s="19">
        <f>IFERROR(SUM(Tabla_Buffers_Agroinsumos[[#This Row],[MP-C]:[MP-VL]]),"")</f>
        <v>0</v>
      </c>
      <c r="R301" s="92" t="str">
        <f>IFERROR(Tabla_Buffers_Agroinsumos[[#This Row],[INV FIS MATERIA PRIMA]]-Tabla_Buffers_Agroinsumos[[#This Row],[BUFFER MATERIA PRIMA]],"")</f>
        <v/>
      </c>
      <c r="S30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01" s="19"/>
      <c r="U301" s="19"/>
      <c r="V301" s="19"/>
      <c r="W301" s="19"/>
      <c r="X301" s="19"/>
      <c r="Y301" s="19"/>
      <c r="Z301" s="19"/>
      <c r="AA301" s="19"/>
      <c r="AB301" s="19"/>
      <c r="AC301" s="152">
        <f t="array" ref="AC301">IFERROR(INDEX(TABLACONSOLIDADA[Buff Act],MATCH("AGROINSUMOSCENTRAL"&amp;Tabla_Buffers_Agroinsumos[[#This Row],[CODIGO ]],TABLACONSOLIDADA[Bodega]&amp;TABLACONSOLIDADA[Codigo],0)),"")</f>
        <v>0</v>
      </c>
      <c r="AD301" s="157">
        <f t="array" ref="AD301">IFERROR(INDEX(TABLACONSOLIDADA[Inv Fís Act],MATCH("AGROINSUMOSCENTRAL"&amp;Tabla_Buffers_Agroinsumos[[#This Row],[CODIGO ]],TABLACONSOLIDADA[Bodega]&amp;TABLACONSOLIDADA[Codigo],0)),"")</f>
        <v>0</v>
      </c>
      <c r="AE301" s="157">
        <f t="array" ref="AE30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0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01" s="91">
        <f>IFERROR(SUM(Tabla_Buffers_Agroinsumos[[#This Row],[C-MP]:[C-VL]]),"")</f>
        <v>0</v>
      </c>
      <c r="AH301" s="92">
        <f>IFERROR(Tabla_Buffers_Agroinsumos[[#This Row],[INV FIS CENTRAL]]-Tabla_Buffers_Agroinsumos[[#This Row],[BUFFER CENTRAL]],"")</f>
        <v>0</v>
      </c>
      <c r="AI30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01" s="134"/>
      <c r="AK301" s="134"/>
      <c r="AL301" s="134"/>
      <c r="AM301" s="134"/>
      <c r="AN301" s="134"/>
      <c r="AO301" s="134"/>
      <c r="AP301" s="134"/>
      <c r="AQ301" s="134"/>
      <c r="AR301" s="134"/>
      <c r="AS301" s="134">
        <f t="array" ref="AS301">IFERROR(INDEX(TABLACONSOLIDADA[Buff Act],MATCH("AGROINSUMOScentralPROPIA"&amp;Tabla_Buffers_Agroinsumos[[#This Row],[CODIGO ]],TABLACONSOLIDADA[Bodega]&amp;TABLACONSOLIDADA[Codigo],0)),"")</f>
        <v>0</v>
      </c>
      <c r="AT301" s="157">
        <f t="array" ref="AT301">IFERROR(INDEX(TABLACONSOLIDADA[Inv Fís Act],MATCH("AGROINSUMOScentralPROPIA"&amp;Tabla_Buffers_Agroinsumos[[#This Row],[CODIGO ]],TABLACONSOLIDADA[Bodega]&amp;TABLACONSOLIDADA[Codigo],0)),"")</f>
        <v>0</v>
      </c>
      <c r="AU301" s="157">
        <f t="array" ref="AU30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0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01" s="134">
        <f>IFERROR(SUM(Tabla_Buffers_Agroinsumos[[#This Row],[P-MP]:[P-VL]]),"")</f>
        <v>0</v>
      </c>
      <c r="AX301" s="92">
        <f>IFERROR(Tabla_Buffers_Agroinsumos[[#This Row],[INV FIS PROPIA]]-Tabla_Buffers_Agroinsumos[[#This Row],[BUFFER PROPIA]],"")</f>
        <v>0</v>
      </c>
      <c r="AY30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01" s="134"/>
      <c r="BA301" s="134"/>
      <c r="BB301" s="134"/>
      <c r="BC301" s="134"/>
      <c r="BD301" s="134"/>
      <c r="BE301" s="134"/>
      <c r="BF301" s="134"/>
      <c r="BG301" s="134"/>
      <c r="BH301" s="134"/>
      <c r="BI301" s="91">
        <f t="array" ref="BI301">IFERROR(INDEX(TABLACONSOLIDADA[Buff Act],MATCH("AGROINSUMOSSTODOMINGO"&amp;Tabla_Buffers_Agroinsumos[[#This Row],[CODIGO ]],TABLACONSOLIDADA[Bodega]&amp;TABLACONSOLIDADA[Codigo],0)),"")</f>
        <v>0</v>
      </c>
      <c r="BJ301" s="157">
        <f t="array" ref="BJ301">IFERROR(INDEX(TABLACONSOLIDADA[Inv Fís Act],MATCH("AGROINSUMOSSTODOMINGO"&amp;Tabla_Buffers_Agroinsumos[[#This Row],[CODIGO ]],TABLACONSOLIDADA[Bodega]&amp;TABLACONSOLIDADA[Codigo],0)),"")</f>
        <v>0</v>
      </c>
      <c r="BK301" s="157">
        <f t="array" ref="BK30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0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01" s="91">
        <f>IFERROR(SUM(Tabla_Buffers_Agroinsumos[[#This Row],[SD-MP]:[SD-VL]]),"")</f>
        <v>0</v>
      </c>
      <c r="BN301" s="92"/>
      <c r="BO301" s="92"/>
      <c r="BP301" s="134"/>
      <c r="BQ301" s="134"/>
      <c r="BR301" s="134"/>
      <c r="BS301" s="134"/>
      <c r="BT301" s="134"/>
      <c r="BU301" s="134"/>
      <c r="BV301" s="134"/>
      <c r="BW301" s="134"/>
      <c r="BX301" s="134"/>
      <c r="BY301" s="134">
        <f t="array" ref="BY301">IFERROR(INDEX(TABLACONSOLIDADA[Buff Act],MATCH("AGROINSUMOSMONCAYOLOPEZ"&amp;Tabla_Buffers_Agroinsumos[[#This Row],[CODIGO ]],TABLACONSOLIDADA[Bodega]&amp;TABLACONSOLIDADA[Codigo],0)),"")</f>
        <v>0</v>
      </c>
      <c r="BZ301" s="157">
        <f t="array" ref="BZ301">IFERROR(INDEX(TABLACONSOLIDADA[Inv Fís Act],MATCH("AGROINSUMOSMONCAYOLOPEZ"&amp;Tabla_Buffers_Agroinsumos[[#This Row],[CODIGO ]],TABLACONSOLIDADA[Bodega]&amp;TABLACONSOLIDADA[Codigo],0)),"")</f>
        <v>0</v>
      </c>
      <c r="CA301" s="157">
        <f t="array" ref="CA30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0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01" s="134">
        <f>IFERROR(SUM(Tabla_Buffers_Agroinsumos[[#This Row],[ML-MP]:[ML-VL]]),"")</f>
        <v>0</v>
      </c>
      <c r="CD301" s="92">
        <f>IFERROR(Tabla_Buffers_Agroinsumos[[#This Row],[INV FIS ML]]-Tabla_Buffers_Agroinsumos[[#This Row],[BUFFER ML]],"")</f>
        <v>0</v>
      </c>
      <c r="CE301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01" s="134"/>
      <c r="CG301" s="134"/>
      <c r="CH301" s="134"/>
      <c r="CI301" s="134"/>
      <c r="CJ301" s="134"/>
      <c r="CK301" s="134"/>
      <c r="CL301" s="134"/>
      <c r="CM301" s="134"/>
      <c r="CN301" s="134"/>
      <c r="CO301" s="134">
        <f t="array" ref="CO301">IFERROR(INDEX(TABLACONSOLIDADA[Buff Act],MATCH("AGROINSUMOSAGROHERMANOSLEON"&amp;Tabla_Buffers_Agroinsumos[[#This Row],[CODIGO ]],TABLACONSOLIDADA[Bodega]&amp;TABLACONSOLIDADA[Codigo],0)),"")</f>
        <v>0</v>
      </c>
      <c r="CP301" s="157">
        <f t="array" ref="CP301">IFERROR(INDEX(TABLACONSOLIDADA[Inv Fís Act],MATCH("AGROINSUMOSAGROHERMANOSLEON"&amp;Tabla_Buffers_Agroinsumos[[#This Row],[CODIGO ]],TABLACONSOLIDADA[Bodega]&amp;TABLACONSOLIDADA[Codigo],0)),"")</f>
        <v>0</v>
      </c>
      <c r="CQ301" s="157">
        <f t="array" ref="CQ30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0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01" s="134">
        <f>IFERROR(SUM(Tabla_Buffers_Agroinsumos[[#This Row],[AL-MP]:[AL-VL]]),"")</f>
        <v>0</v>
      </c>
      <c r="CT301" s="92">
        <f>IFERROR(Tabla_Buffers_Agroinsumos[[#This Row],[INV FIS AL]]-Tabla_Buffers_Agroinsumos[[#This Row],[BUFFER AL]],"")</f>
        <v>0</v>
      </c>
      <c r="CU301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01" s="134"/>
      <c r="CW301" s="134"/>
      <c r="CX301" s="134"/>
      <c r="CY301" s="134"/>
      <c r="CZ301" s="134"/>
      <c r="DA301" s="134"/>
      <c r="DB301" s="134"/>
      <c r="DC301" s="134"/>
      <c r="DD301" s="134"/>
      <c r="DE301" s="134">
        <f t="array" ref="DE301">IFERROR(INDEX(TABLACONSOLIDADA[Buff Act],MATCH("AGROINSUMOSAGRONUEVO"&amp;Tabla_Buffers_Agroinsumos[[#This Row],[CODIGO ]],TABLACONSOLIDADA[Bodega]&amp;TABLACONSOLIDADA[Codigo],0)),"")</f>
        <v>0</v>
      </c>
      <c r="DF301" s="157">
        <f t="array" ref="DF301">IFERROR(INDEX(TABLACONSOLIDADA[Inv Fís Act],MATCH("AGROINSUMOSAGRONUEVO"&amp;Tabla_Buffers_Agroinsumos[[#This Row],[CODIGO ]],TABLACONSOLIDADA[Bodega]&amp;TABLACONSOLIDADA[Codigo],0)),"")</f>
        <v>0</v>
      </c>
      <c r="DG301" s="157">
        <f t="array" ref="DG30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0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01" s="134">
        <f>IFERROR(SUM(Tabla_Buffers_Agroinsumos[[#This Row],[AN-MP]:[AN-VL]]),"")</f>
        <v>0</v>
      </c>
      <c r="DJ301" s="92">
        <f>IFERROR(Tabla_Buffers_Agroinsumos[[#This Row],[INV FIS AN]]-Tabla_Buffers_Agroinsumos[[#This Row],[BUFFER AN]],"")</f>
        <v>0</v>
      </c>
      <c r="DK301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01" s="134"/>
      <c r="DM301" s="134"/>
      <c r="DN301" s="134"/>
      <c r="DO301" s="134"/>
      <c r="DP301" s="134"/>
      <c r="DQ301" s="134"/>
      <c r="DR301" s="134"/>
      <c r="DS301" s="134"/>
      <c r="DT301" s="134"/>
      <c r="DU301" s="134">
        <f t="array" ref="DU301">IFERROR(INDEX(TABLACONSOLIDADA[Buff Act],MATCH("AGROINSUMOSAGROQUIMICOSSUR"&amp;Tabla_Buffers_Agroinsumos[[#This Row],[CODIGO ]],TABLACONSOLIDADA[Bodega]&amp;TABLACONSOLIDADA[Codigo],0)),"")</f>
        <v>0</v>
      </c>
      <c r="DV301" s="157">
        <f t="array" ref="DV301">IFERROR(INDEX(TABLACONSOLIDADA[Inv Fís Act],MATCH("AGROINSUMOSAGROQUIMICOSSUR"&amp;Tabla_Buffers_Agroinsumos[[#This Row],[CODIGO ]],TABLACONSOLIDADA[Bodega]&amp;TABLACONSOLIDADA[Codigo],0)),"")</f>
        <v>0</v>
      </c>
      <c r="DW301" s="157">
        <f t="array" ref="DW30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0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01" s="134">
        <f>IFERROR(SUM(Tabla_Buffers_Agroinsumos[[#This Row],[AS-MP]:[AS-VL]]),"")</f>
        <v>0</v>
      </c>
      <c r="DZ301" s="92">
        <f>IFERROR(Tabla_Buffers_Agroinsumos[[#This Row],[INV FIS AS]]-Tabla_Buffers_Agroinsumos[[#This Row],[BUFFER AS]],"")</f>
        <v>0</v>
      </c>
      <c r="EA301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01" s="134"/>
      <c r="EC301" s="134"/>
      <c r="ED301" s="134"/>
      <c r="EE301" s="134"/>
      <c r="EF301" s="134"/>
      <c r="EG301" s="134"/>
      <c r="EH301" s="134"/>
      <c r="EI301" s="134"/>
      <c r="EJ301" s="134"/>
      <c r="EK301" s="134">
        <f t="array" ref="EK301">IFERROR(INDEX(TABLACONSOLIDADA[Buff Act],MATCH("AGROINSUMOSLAFINCA"&amp;Tabla_Buffers_Agroinsumos[[#This Row],[CODIGO ]],TABLACONSOLIDADA[Bodega]&amp;TABLACONSOLIDADA[Codigo],0)),"")</f>
        <v>0</v>
      </c>
      <c r="EL301" s="157">
        <f t="array" ref="EL301">IFERROR(INDEX(TABLACONSOLIDADA[Inv Fís Act],MATCH("AGROINSUMOSLAFINCA"&amp;Tabla_Buffers_Agroinsumos[[#This Row],[CODIGO ]],TABLACONSOLIDADA[Bodega]&amp;TABLACONSOLIDADA[Codigo],0)),"")</f>
        <v>0</v>
      </c>
      <c r="EM301" s="157">
        <f t="array" ref="EM30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0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01" s="134">
        <f>IFERROR(SUM(Tabla_Buffers_Agroinsumos[[#This Row],[LF-MP]:[LF-VL]]),"")</f>
        <v>0</v>
      </c>
      <c r="EP301" s="92">
        <f>IFERROR(Tabla_Buffers_Agroinsumos[[#This Row],[INV FIS LF]]-Tabla_Buffers_Agroinsumos[[#This Row],[BUFFER LF]],"")</f>
        <v>0</v>
      </c>
      <c r="EQ301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01" s="134"/>
      <c r="ES301" s="134"/>
      <c r="ET301" s="134"/>
      <c r="EU301" s="134"/>
      <c r="EV301" s="134"/>
      <c r="EW301" s="134"/>
      <c r="EX301" s="134"/>
      <c r="EY301" s="134"/>
      <c r="EZ301" s="134"/>
      <c r="FA301" s="134">
        <f t="array" ref="FA301">IFERROR(INDEX(TABLACONSOLIDADA[Buff Act],MATCH("AGROINSUMOSVERONICALEDESMA"&amp;Tabla_Buffers_Agroinsumos[[#This Row],[CODIGO ]],TABLACONSOLIDADA[Bodega]&amp;TABLACONSOLIDADA[Codigo],0)),"")</f>
        <v>0</v>
      </c>
      <c r="FB301" s="157">
        <f t="array" ref="FB301">IFERROR(INDEX(TABLACONSOLIDADA[Inv Fís Act],MATCH("AGROINSUMOSVERONICALEDESMA"&amp;Tabla_Buffers_Agroinsumos[[#This Row],[CODIGO ]],TABLACONSOLIDADA[Bodega]&amp;TABLACONSOLIDADA[Codigo],0)),"")</f>
        <v>0</v>
      </c>
      <c r="FC301" s="157">
        <f t="array" ref="FC30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0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01" s="134">
        <f>IFERROR(SUM(Tabla_Buffers_Agroinsumos[[#This Row],[VL-MP]:[VL-LF]]),"")</f>
        <v>0</v>
      </c>
      <c r="FF301" s="92">
        <f>IFERROR(Tabla_Buffers_Agroinsumos[[#This Row],[INV FIS VL]]-Tabla_Buffers_Agroinsumos[[#This Row],[BUFFER VL]],"")</f>
        <v>0</v>
      </c>
      <c r="FG301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01" s="134"/>
      <c r="FI301" s="134"/>
      <c r="FJ301" s="134"/>
      <c r="FK301" s="134"/>
      <c r="FL301" s="134"/>
      <c r="FM301" s="134"/>
      <c r="FN301" s="134"/>
      <c r="FO301" s="134"/>
      <c r="FP301" s="134"/>
    </row>
    <row r="302" spans="1:172">
      <c r="A302" s="7" t="s">
        <v>514</v>
      </c>
      <c r="B302" s="7" t="s">
        <v>515</v>
      </c>
      <c r="C302" s="7" t="s">
        <v>709</v>
      </c>
      <c r="D302" s="7" t="s">
        <v>719</v>
      </c>
      <c r="E302" s="7" t="s">
        <v>975</v>
      </c>
      <c r="F302" s="19" t="s">
        <v>698</v>
      </c>
      <c r="G302" s="19" t="s">
        <v>698</v>
      </c>
      <c r="H302" s="19">
        <f>VLOOKUP(Tabla_Buffers_Agroinsumos[[#This Row],[CODIGO ]],TABLACONSOLIDADA[[Codigo]:[PV]],6,0)</f>
        <v>3.37</v>
      </c>
      <c r="I302" s="19">
        <f>VLOOKUP(Tabla_Buffers_Agroinsumos[[#This Row],[CODIGO ]],TABLACONSOLIDADA[[Codigo]:[PV]],5,0)</f>
        <v>2.14</v>
      </c>
      <c r="J302" s="19" t="s">
        <v>698</v>
      </c>
      <c r="K302" s="19" t="s">
        <v>698</v>
      </c>
      <c r="L302" s="19">
        <f>IFERROR(Tabla_Buffers_Agroinsumos[[#This Row],[BUFFER CENTRAL]]/((Tabla_Buffers_Agroinsumos[[#This Row],[TIEMPO REPOSICION ]]/Tabla_Buffers_Agroinsumos[[#This Row],[FRECUENCIA]])+1),0)</f>
        <v>0</v>
      </c>
      <c r="M302" s="19" t="str">
        <f t="array" ref="M302">IFERROR(INDEX(TABLACONSOLIDADA[Buff Act],MATCH("AGROINSUMOSMATERIAPRIMA"&amp;Tabla_Buffers_Agroinsumos[[#This Row],[CODIGO ]],TABLACONSOLIDADA[Bodega]&amp;TABLACONSOLIDADA[Codigo],0)),"")</f>
        <v/>
      </c>
      <c r="N302" s="157" t="str">
        <f t="array" ref="N302">IFERROR(INDEX(TABLACONSOLIDADA[Inv Fís Act],MATCH("AGROINSUMOSMATERIAPRIMA"&amp;Tabla_Buffers_Agroinsumos[[#This Row],[CODIGO ]],TABLACONSOLIDADA[Bodega]&amp;TABLACONSOLIDADA[Codigo],0)),"")</f>
        <v/>
      </c>
      <c r="O302" s="157" t="str">
        <f t="array" ref="O30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0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02" s="19">
        <f>IFERROR(SUM(Tabla_Buffers_Agroinsumos[[#This Row],[MP-C]:[MP-VL]]),"")</f>
        <v>0</v>
      </c>
      <c r="R302" s="92" t="str">
        <f>IFERROR(Tabla_Buffers_Agroinsumos[[#This Row],[INV FIS MATERIA PRIMA]]-Tabla_Buffers_Agroinsumos[[#This Row],[BUFFER MATERIA PRIMA]],"")</f>
        <v/>
      </c>
      <c r="S302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02" s="19"/>
      <c r="U302" s="19"/>
      <c r="V302" s="19"/>
      <c r="W302" s="19"/>
      <c r="X302" s="19"/>
      <c r="Y302" s="19"/>
      <c r="Z302" s="19"/>
      <c r="AA302" s="19"/>
      <c r="AB302" s="19"/>
      <c r="AC302" s="152">
        <f t="array" ref="AC302">IFERROR(INDEX(TABLACONSOLIDADA[Buff Act],MATCH("AGROINSUMOSCENTRAL"&amp;Tabla_Buffers_Agroinsumos[[#This Row],[CODIGO ]],TABLACONSOLIDADA[Bodega]&amp;TABLACONSOLIDADA[Codigo],0)),"")</f>
        <v>0</v>
      </c>
      <c r="AD302" s="157">
        <f t="array" ref="AD302">IFERROR(INDEX(TABLACONSOLIDADA[Inv Fís Act],MATCH("AGROINSUMOSCENTRAL"&amp;Tabla_Buffers_Agroinsumos[[#This Row],[CODIGO ]],TABLACONSOLIDADA[Bodega]&amp;TABLACONSOLIDADA[Codigo],0)),"")</f>
        <v>0</v>
      </c>
      <c r="AE302" s="157">
        <f t="array" ref="AE30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0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02" s="91">
        <f>IFERROR(SUM(Tabla_Buffers_Agroinsumos[[#This Row],[C-MP]:[C-VL]]),"")</f>
        <v>0</v>
      </c>
      <c r="AH302" s="92">
        <f>IFERROR(Tabla_Buffers_Agroinsumos[[#This Row],[INV FIS CENTRAL]]-Tabla_Buffers_Agroinsumos[[#This Row],[BUFFER CENTRAL]],"")</f>
        <v>0</v>
      </c>
      <c r="AI302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02" s="134"/>
      <c r="AK302" s="134"/>
      <c r="AL302" s="134"/>
      <c r="AM302" s="134"/>
      <c r="AN302" s="134"/>
      <c r="AO302" s="134"/>
      <c r="AP302" s="134"/>
      <c r="AQ302" s="134"/>
      <c r="AR302" s="134"/>
      <c r="AS302" s="134">
        <f t="array" ref="AS302">IFERROR(INDEX(TABLACONSOLIDADA[Buff Act],MATCH("AGROINSUMOScentralPROPIA"&amp;Tabla_Buffers_Agroinsumos[[#This Row],[CODIGO ]],TABLACONSOLIDADA[Bodega]&amp;TABLACONSOLIDADA[Codigo],0)),"")</f>
        <v>0</v>
      </c>
      <c r="AT302" s="157">
        <f t="array" ref="AT302">IFERROR(INDEX(TABLACONSOLIDADA[Inv Fís Act],MATCH("AGROINSUMOScentralPROPIA"&amp;Tabla_Buffers_Agroinsumos[[#This Row],[CODIGO ]],TABLACONSOLIDADA[Bodega]&amp;TABLACONSOLIDADA[Codigo],0)),"")</f>
        <v>0</v>
      </c>
      <c r="AU302" s="157">
        <f t="array" ref="AU30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0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02" s="134">
        <f>IFERROR(SUM(Tabla_Buffers_Agroinsumos[[#This Row],[P-MP]:[P-VL]]),"")</f>
        <v>0</v>
      </c>
      <c r="AX302" s="92">
        <f>IFERROR(Tabla_Buffers_Agroinsumos[[#This Row],[INV FIS PROPIA]]-Tabla_Buffers_Agroinsumos[[#This Row],[BUFFER PROPIA]],"")</f>
        <v>0</v>
      </c>
      <c r="AY302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02" s="134"/>
      <c r="BA302" s="134"/>
      <c r="BB302" s="134"/>
      <c r="BC302" s="134"/>
      <c r="BD302" s="134"/>
      <c r="BE302" s="134"/>
      <c r="BF302" s="134"/>
      <c r="BG302" s="134"/>
      <c r="BH302" s="134"/>
      <c r="BI302" s="91">
        <f t="array" ref="BI302">IFERROR(INDEX(TABLACONSOLIDADA[Buff Act],MATCH("AGROINSUMOSSTODOMINGO"&amp;Tabla_Buffers_Agroinsumos[[#This Row],[CODIGO ]],TABLACONSOLIDADA[Bodega]&amp;TABLACONSOLIDADA[Codigo],0)),"")</f>
        <v>0</v>
      </c>
      <c r="BJ302" s="157">
        <f t="array" ref="BJ302">IFERROR(INDEX(TABLACONSOLIDADA[Inv Fís Act],MATCH("AGROINSUMOSSTODOMINGO"&amp;Tabla_Buffers_Agroinsumos[[#This Row],[CODIGO ]],TABLACONSOLIDADA[Bodega]&amp;TABLACONSOLIDADA[Codigo],0)),"")</f>
        <v>0</v>
      </c>
      <c r="BK302" s="157">
        <f t="array" ref="BK30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0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02" s="91">
        <f>IFERROR(SUM(Tabla_Buffers_Agroinsumos[[#This Row],[SD-MP]:[SD-VL]]),"")</f>
        <v>0</v>
      </c>
      <c r="BN302" s="92"/>
      <c r="BO302" s="92"/>
      <c r="BP302" s="134"/>
      <c r="BQ302" s="134"/>
      <c r="BR302" s="134"/>
      <c r="BS302" s="134"/>
      <c r="BT302" s="134"/>
      <c r="BU302" s="134"/>
      <c r="BV302" s="134"/>
      <c r="BW302" s="134"/>
      <c r="BX302" s="134"/>
      <c r="BY302" s="134">
        <f t="array" ref="BY302">IFERROR(INDEX(TABLACONSOLIDADA[Buff Act],MATCH("AGROINSUMOSMONCAYOLOPEZ"&amp;Tabla_Buffers_Agroinsumos[[#This Row],[CODIGO ]],TABLACONSOLIDADA[Bodega]&amp;TABLACONSOLIDADA[Codigo],0)),"")</f>
        <v>0</v>
      </c>
      <c r="BZ302" s="157">
        <f t="array" ref="BZ302">IFERROR(INDEX(TABLACONSOLIDADA[Inv Fís Act],MATCH("AGROINSUMOSMONCAYOLOPEZ"&amp;Tabla_Buffers_Agroinsumos[[#This Row],[CODIGO ]],TABLACONSOLIDADA[Bodega]&amp;TABLACONSOLIDADA[Codigo],0)),"")</f>
        <v>0</v>
      </c>
      <c r="CA302" s="157">
        <f t="array" ref="CA30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0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02" s="134">
        <f>IFERROR(SUM(Tabla_Buffers_Agroinsumos[[#This Row],[ML-MP]:[ML-VL]]),"")</f>
        <v>0</v>
      </c>
      <c r="CD302" s="92">
        <f>IFERROR(Tabla_Buffers_Agroinsumos[[#This Row],[INV FIS ML]]-Tabla_Buffers_Agroinsumos[[#This Row],[BUFFER ML]],"")</f>
        <v>0</v>
      </c>
      <c r="CE302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02" s="134"/>
      <c r="CG302" s="134"/>
      <c r="CH302" s="134"/>
      <c r="CI302" s="134"/>
      <c r="CJ302" s="134"/>
      <c r="CK302" s="134"/>
      <c r="CL302" s="134"/>
      <c r="CM302" s="134"/>
      <c r="CN302" s="134"/>
      <c r="CO302" s="134">
        <f t="array" ref="CO302">IFERROR(INDEX(TABLACONSOLIDADA[Buff Act],MATCH("AGROINSUMOSAGROHERMANOSLEON"&amp;Tabla_Buffers_Agroinsumos[[#This Row],[CODIGO ]],TABLACONSOLIDADA[Bodega]&amp;TABLACONSOLIDADA[Codigo],0)),"")</f>
        <v>0</v>
      </c>
      <c r="CP302" s="157">
        <f t="array" ref="CP302">IFERROR(INDEX(TABLACONSOLIDADA[Inv Fís Act],MATCH("AGROINSUMOSAGROHERMANOSLEON"&amp;Tabla_Buffers_Agroinsumos[[#This Row],[CODIGO ]],TABLACONSOLIDADA[Bodega]&amp;TABLACONSOLIDADA[Codigo],0)),"")</f>
        <v>0</v>
      </c>
      <c r="CQ302" s="157">
        <f t="array" ref="CQ30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0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02" s="134">
        <f>IFERROR(SUM(Tabla_Buffers_Agroinsumos[[#This Row],[AL-MP]:[AL-VL]]),"")</f>
        <v>0</v>
      </c>
      <c r="CT302" s="92">
        <f>IFERROR(Tabla_Buffers_Agroinsumos[[#This Row],[INV FIS AL]]-Tabla_Buffers_Agroinsumos[[#This Row],[BUFFER AL]],"")</f>
        <v>0</v>
      </c>
      <c r="CU302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02" s="134"/>
      <c r="CW302" s="134"/>
      <c r="CX302" s="134"/>
      <c r="CY302" s="134"/>
      <c r="CZ302" s="134"/>
      <c r="DA302" s="134"/>
      <c r="DB302" s="134"/>
      <c r="DC302" s="134"/>
      <c r="DD302" s="134"/>
      <c r="DE302" s="134">
        <f t="array" ref="DE302">IFERROR(INDEX(TABLACONSOLIDADA[Buff Act],MATCH("AGROINSUMOSAGRONUEVO"&amp;Tabla_Buffers_Agroinsumos[[#This Row],[CODIGO ]],TABLACONSOLIDADA[Bodega]&amp;TABLACONSOLIDADA[Codigo],0)),"")</f>
        <v>0</v>
      </c>
      <c r="DF302" s="157">
        <f t="array" ref="DF302">IFERROR(INDEX(TABLACONSOLIDADA[Inv Fís Act],MATCH("AGROINSUMOSAGRONUEVO"&amp;Tabla_Buffers_Agroinsumos[[#This Row],[CODIGO ]],TABLACONSOLIDADA[Bodega]&amp;TABLACONSOLIDADA[Codigo],0)),"")</f>
        <v>0</v>
      </c>
      <c r="DG302" s="157">
        <f t="array" ref="DG30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0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02" s="134">
        <f>IFERROR(SUM(Tabla_Buffers_Agroinsumos[[#This Row],[AN-MP]:[AN-VL]]),"")</f>
        <v>0</v>
      </c>
      <c r="DJ302" s="92">
        <f>IFERROR(Tabla_Buffers_Agroinsumos[[#This Row],[INV FIS AN]]-Tabla_Buffers_Agroinsumos[[#This Row],[BUFFER AN]],"")</f>
        <v>0</v>
      </c>
      <c r="DK302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02" s="134"/>
      <c r="DM302" s="134"/>
      <c r="DN302" s="134"/>
      <c r="DO302" s="134"/>
      <c r="DP302" s="134"/>
      <c r="DQ302" s="134"/>
      <c r="DR302" s="134"/>
      <c r="DS302" s="134"/>
      <c r="DT302" s="134"/>
      <c r="DU302" s="134">
        <f t="array" ref="DU302">IFERROR(INDEX(TABLACONSOLIDADA[Buff Act],MATCH("AGROINSUMOSAGROQUIMICOSSUR"&amp;Tabla_Buffers_Agroinsumos[[#This Row],[CODIGO ]],TABLACONSOLIDADA[Bodega]&amp;TABLACONSOLIDADA[Codigo],0)),"")</f>
        <v>0</v>
      </c>
      <c r="DV302" s="157">
        <f t="array" ref="DV302">IFERROR(INDEX(TABLACONSOLIDADA[Inv Fís Act],MATCH("AGROINSUMOSAGROQUIMICOSSUR"&amp;Tabla_Buffers_Agroinsumos[[#This Row],[CODIGO ]],TABLACONSOLIDADA[Bodega]&amp;TABLACONSOLIDADA[Codigo],0)),"")</f>
        <v>0</v>
      </c>
      <c r="DW302" s="157">
        <f t="array" ref="DW30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0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02" s="134">
        <f>IFERROR(SUM(Tabla_Buffers_Agroinsumos[[#This Row],[AS-MP]:[AS-VL]]),"")</f>
        <v>0</v>
      </c>
      <c r="DZ302" s="92">
        <f>IFERROR(Tabla_Buffers_Agroinsumos[[#This Row],[INV FIS AS]]-Tabla_Buffers_Agroinsumos[[#This Row],[BUFFER AS]],"")</f>
        <v>0</v>
      </c>
      <c r="EA302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02" s="134"/>
      <c r="EC302" s="134"/>
      <c r="ED302" s="134"/>
      <c r="EE302" s="134"/>
      <c r="EF302" s="134"/>
      <c r="EG302" s="134"/>
      <c r="EH302" s="134"/>
      <c r="EI302" s="134"/>
      <c r="EJ302" s="134"/>
      <c r="EK302" s="134">
        <f t="array" ref="EK302">IFERROR(INDEX(TABLACONSOLIDADA[Buff Act],MATCH("AGROINSUMOSLAFINCA"&amp;Tabla_Buffers_Agroinsumos[[#This Row],[CODIGO ]],TABLACONSOLIDADA[Bodega]&amp;TABLACONSOLIDADA[Codigo],0)),"")</f>
        <v>0</v>
      </c>
      <c r="EL302" s="157">
        <f t="array" ref="EL302">IFERROR(INDEX(TABLACONSOLIDADA[Inv Fís Act],MATCH("AGROINSUMOSLAFINCA"&amp;Tabla_Buffers_Agroinsumos[[#This Row],[CODIGO ]],TABLACONSOLIDADA[Bodega]&amp;TABLACONSOLIDADA[Codigo],0)),"")</f>
        <v>0</v>
      </c>
      <c r="EM302" s="157">
        <f t="array" ref="EM30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0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02" s="134">
        <f>IFERROR(SUM(Tabla_Buffers_Agroinsumos[[#This Row],[LF-MP]:[LF-VL]]),"")</f>
        <v>0</v>
      </c>
      <c r="EP302" s="92">
        <f>IFERROR(Tabla_Buffers_Agroinsumos[[#This Row],[INV FIS LF]]-Tabla_Buffers_Agroinsumos[[#This Row],[BUFFER LF]],"")</f>
        <v>0</v>
      </c>
      <c r="EQ302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02" s="134"/>
      <c r="ES302" s="134"/>
      <c r="ET302" s="134"/>
      <c r="EU302" s="134"/>
      <c r="EV302" s="134"/>
      <c r="EW302" s="134"/>
      <c r="EX302" s="134"/>
      <c r="EY302" s="134"/>
      <c r="EZ302" s="134"/>
      <c r="FA302" s="134">
        <f t="array" ref="FA302">IFERROR(INDEX(TABLACONSOLIDADA[Buff Act],MATCH("AGROINSUMOSVERONICALEDESMA"&amp;Tabla_Buffers_Agroinsumos[[#This Row],[CODIGO ]],TABLACONSOLIDADA[Bodega]&amp;TABLACONSOLIDADA[Codigo],0)),"")</f>
        <v>0</v>
      </c>
      <c r="FB302" s="157">
        <f t="array" ref="FB302">IFERROR(INDEX(TABLACONSOLIDADA[Inv Fís Act],MATCH("AGROINSUMOSVERONICALEDESMA"&amp;Tabla_Buffers_Agroinsumos[[#This Row],[CODIGO ]],TABLACONSOLIDADA[Bodega]&amp;TABLACONSOLIDADA[Codigo],0)),"")</f>
        <v>0</v>
      </c>
      <c r="FC302" s="157">
        <f t="array" ref="FC30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0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02" s="134">
        <f>IFERROR(SUM(Tabla_Buffers_Agroinsumos[[#This Row],[VL-MP]:[VL-LF]]),"")</f>
        <v>0</v>
      </c>
      <c r="FF302" s="92">
        <f>IFERROR(Tabla_Buffers_Agroinsumos[[#This Row],[INV FIS VL]]-Tabla_Buffers_Agroinsumos[[#This Row],[BUFFER VL]],"")</f>
        <v>0</v>
      </c>
      <c r="FG302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02" s="134"/>
      <c r="FI302" s="134"/>
      <c r="FJ302" s="134"/>
      <c r="FK302" s="134"/>
      <c r="FL302" s="134"/>
      <c r="FM302" s="134"/>
      <c r="FN302" s="134"/>
      <c r="FO302" s="134"/>
      <c r="FP302" s="134"/>
    </row>
    <row r="303" spans="1:172">
      <c r="A303" s="7" t="s">
        <v>516</v>
      </c>
      <c r="B303" s="7" t="s">
        <v>517</v>
      </c>
      <c r="C303" s="7" t="s">
        <v>709</v>
      </c>
      <c r="D303" s="7" t="s">
        <v>719</v>
      </c>
      <c r="E303" s="7" t="s">
        <v>975</v>
      </c>
      <c r="F303" s="19" t="s">
        <v>698</v>
      </c>
      <c r="G303" s="19" t="s">
        <v>698</v>
      </c>
      <c r="H303" s="19">
        <f>VLOOKUP(Tabla_Buffers_Agroinsumos[[#This Row],[CODIGO ]],TABLACONSOLIDADA[[Codigo]:[PV]],6,0)</f>
        <v>5.4</v>
      </c>
      <c r="I303" s="19">
        <f>VLOOKUP(Tabla_Buffers_Agroinsumos[[#This Row],[CODIGO ]],TABLACONSOLIDADA[[Codigo]:[PV]],5,0)</f>
        <v>4.8499999999999996</v>
      </c>
      <c r="J303" s="19" t="s">
        <v>698</v>
      </c>
      <c r="K303" s="19" t="s">
        <v>698</v>
      </c>
      <c r="L303" s="19">
        <f>IFERROR(Tabla_Buffers_Agroinsumos[[#This Row],[BUFFER CENTRAL]]/((Tabla_Buffers_Agroinsumos[[#This Row],[TIEMPO REPOSICION ]]/Tabla_Buffers_Agroinsumos[[#This Row],[FRECUENCIA]])+1),0)</f>
        <v>0</v>
      </c>
      <c r="M303" s="19" t="str">
        <f t="array" ref="M303">IFERROR(INDEX(TABLACONSOLIDADA[Buff Act],MATCH("AGROINSUMOSMATERIAPRIMA"&amp;Tabla_Buffers_Agroinsumos[[#This Row],[CODIGO ]],TABLACONSOLIDADA[Bodega]&amp;TABLACONSOLIDADA[Codigo],0)),"")</f>
        <v/>
      </c>
      <c r="N303" s="157" t="str">
        <f t="array" ref="N303">IFERROR(INDEX(TABLACONSOLIDADA[Inv Fís Act],MATCH("AGROINSUMOSMATERIAPRIMA"&amp;Tabla_Buffers_Agroinsumos[[#This Row],[CODIGO ]],TABLACONSOLIDADA[Bodega]&amp;TABLACONSOLIDADA[Codigo],0)),"")</f>
        <v/>
      </c>
      <c r="O303" s="157" t="str">
        <f t="array" ref="O30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0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03" s="19">
        <f>IFERROR(SUM(Tabla_Buffers_Agroinsumos[[#This Row],[MP-C]:[MP-VL]]),"")</f>
        <v>0</v>
      </c>
      <c r="R303" s="92" t="str">
        <f>IFERROR(Tabla_Buffers_Agroinsumos[[#This Row],[INV FIS MATERIA PRIMA]]-Tabla_Buffers_Agroinsumos[[#This Row],[BUFFER MATERIA PRIMA]],"")</f>
        <v/>
      </c>
      <c r="S30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03" s="19"/>
      <c r="U303" s="19"/>
      <c r="V303" s="19"/>
      <c r="W303" s="19"/>
      <c r="X303" s="19"/>
      <c r="Y303" s="19"/>
      <c r="Z303" s="19"/>
      <c r="AA303" s="19"/>
      <c r="AB303" s="19"/>
      <c r="AC303" s="152">
        <f t="array" ref="AC303">IFERROR(INDEX(TABLACONSOLIDADA[Buff Act],MATCH("AGROINSUMOSCENTRAL"&amp;Tabla_Buffers_Agroinsumos[[#This Row],[CODIGO ]],TABLACONSOLIDADA[Bodega]&amp;TABLACONSOLIDADA[Codigo],0)),"")</f>
        <v>0</v>
      </c>
      <c r="AD303" s="157">
        <f t="array" ref="AD303">IFERROR(INDEX(TABLACONSOLIDADA[Inv Fís Act],MATCH("AGROINSUMOSCENTRAL"&amp;Tabla_Buffers_Agroinsumos[[#This Row],[CODIGO ]],TABLACONSOLIDADA[Bodega]&amp;TABLACONSOLIDADA[Codigo],0)),"")</f>
        <v>0</v>
      </c>
      <c r="AE303" s="157">
        <f t="array" ref="AE30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0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03" s="91">
        <f>IFERROR(SUM(Tabla_Buffers_Agroinsumos[[#This Row],[C-MP]:[C-VL]]),"")</f>
        <v>0</v>
      </c>
      <c r="AH303" s="92">
        <f>IFERROR(Tabla_Buffers_Agroinsumos[[#This Row],[INV FIS CENTRAL]]-Tabla_Buffers_Agroinsumos[[#This Row],[BUFFER CENTRAL]],"")</f>
        <v>0</v>
      </c>
      <c r="AI30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03" s="134"/>
      <c r="AK303" s="134"/>
      <c r="AL303" s="134"/>
      <c r="AM303" s="134"/>
      <c r="AN303" s="134"/>
      <c r="AO303" s="134"/>
      <c r="AP303" s="134"/>
      <c r="AQ303" s="134"/>
      <c r="AR303" s="134"/>
      <c r="AS303" s="134">
        <f t="array" ref="AS303">IFERROR(INDEX(TABLACONSOLIDADA[Buff Act],MATCH("AGROINSUMOScentralPROPIA"&amp;Tabla_Buffers_Agroinsumos[[#This Row],[CODIGO ]],TABLACONSOLIDADA[Bodega]&amp;TABLACONSOLIDADA[Codigo],0)),"")</f>
        <v>0</v>
      </c>
      <c r="AT303" s="157">
        <f t="array" ref="AT303">IFERROR(INDEX(TABLACONSOLIDADA[Inv Fís Act],MATCH("AGROINSUMOScentralPROPIA"&amp;Tabla_Buffers_Agroinsumos[[#This Row],[CODIGO ]],TABLACONSOLIDADA[Bodega]&amp;TABLACONSOLIDADA[Codigo],0)),"")</f>
        <v>0</v>
      </c>
      <c r="AU303" s="157">
        <f t="array" ref="AU30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0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03" s="134">
        <f>IFERROR(SUM(Tabla_Buffers_Agroinsumos[[#This Row],[P-MP]:[P-VL]]),"")</f>
        <v>0</v>
      </c>
      <c r="AX303" s="92">
        <f>IFERROR(Tabla_Buffers_Agroinsumos[[#This Row],[INV FIS PROPIA]]-Tabla_Buffers_Agroinsumos[[#This Row],[BUFFER PROPIA]],"")</f>
        <v>0</v>
      </c>
      <c r="AY30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03" s="134"/>
      <c r="BA303" s="134"/>
      <c r="BB303" s="134"/>
      <c r="BC303" s="134"/>
      <c r="BD303" s="134"/>
      <c r="BE303" s="134"/>
      <c r="BF303" s="134"/>
      <c r="BG303" s="134"/>
      <c r="BH303" s="134"/>
      <c r="BI303" s="91">
        <f t="array" ref="BI303">IFERROR(INDEX(TABLACONSOLIDADA[Buff Act],MATCH("AGROINSUMOSSTODOMINGO"&amp;Tabla_Buffers_Agroinsumos[[#This Row],[CODIGO ]],TABLACONSOLIDADA[Bodega]&amp;TABLACONSOLIDADA[Codigo],0)),"")</f>
        <v>0</v>
      </c>
      <c r="BJ303" s="157">
        <f t="array" ref="BJ303">IFERROR(INDEX(TABLACONSOLIDADA[Inv Fís Act],MATCH("AGROINSUMOSSTODOMINGO"&amp;Tabla_Buffers_Agroinsumos[[#This Row],[CODIGO ]],TABLACONSOLIDADA[Bodega]&amp;TABLACONSOLIDADA[Codigo],0)),"")</f>
        <v>0</v>
      </c>
      <c r="BK303" s="157">
        <f t="array" ref="BK30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0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03" s="91">
        <f>IFERROR(SUM(Tabla_Buffers_Agroinsumos[[#This Row],[SD-MP]:[SD-VL]]),"")</f>
        <v>0</v>
      </c>
      <c r="BN303" s="92"/>
      <c r="BO303" s="92"/>
      <c r="BP303" s="134"/>
      <c r="BQ303" s="134"/>
      <c r="BR303" s="134"/>
      <c r="BS303" s="134"/>
      <c r="BT303" s="134"/>
      <c r="BU303" s="134"/>
      <c r="BV303" s="134"/>
      <c r="BW303" s="134"/>
      <c r="BX303" s="134"/>
      <c r="BY303" s="134">
        <f t="array" ref="BY303">IFERROR(INDEX(TABLACONSOLIDADA[Buff Act],MATCH("AGROINSUMOSMONCAYOLOPEZ"&amp;Tabla_Buffers_Agroinsumos[[#This Row],[CODIGO ]],TABLACONSOLIDADA[Bodega]&amp;TABLACONSOLIDADA[Codigo],0)),"")</f>
        <v>0</v>
      </c>
      <c r="BZ303" s="157">
        <f t="array" ref="BZ303">IFERROR(INDEX(TABLACONSOLIDADA[Inv Fís Act],MATCH("AGROINSUMOSMONCAYOLOPEZ"&amp;Tabla_Buffers_Agroinsumos[[#This Row],[CODIGO ]],TABLACONSOLIDADA[Bodega]&amp;TABLACONSOLIDADA[Codigo],0)),"")</f>
        <v>0</v>
      </c>
      <c r="CA303" s="157">
        <f t="array" ref="CA30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0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03" s="134">
        <f>IFERROR(SUM(Tabla_Buffers_Agroinsumos[[#This Row],[ML-MP]:[ML-VL]]),"")</f>
        <v>0</v>
      </c>
      <c r="CD303" s="92">
        <f>IFERROR(Tabla_Buffers_Agroinsumos[[#This Row],[INV FIS ML]]-Tabla_Buffers_Agroinsumos[[#This Row],[BUFFER ML]],"")</f>
        <v>0</v>
      </c>
      <c r="CE303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03" s="134"/>
      <c r="CG303" s="134"/>
      <c r="CH303" s="134"/>
      <c r="CI303" s="134"/>
      <c r="CJ303" s="134"/>
      <c r="CK303" s="134"/>
      <c r="CL303" s="134"/>
      <c r="CM303" s="134"/>
      <c r="CN303" s="134"/>
      <c r="CO303" s="134">
        <f t="array" ref="CO303">IFERROR(INDEX(TABLACONSOLIDADA[Buff Act],MATCH("AGROINSUMOSAGROHERMANOSLEON"&amp;Tabla_Buffers_Agroinsumos[[#This Row],[CODIGO ]],TABLACONSOLIDADA[Bodega]&amp;TABLACONSOLIDADA[Codigo],0)),"")</f>
        <v>0</v>
      </c>
      <c r="CP303" s="157">
        <f t="array" ref="CP303">IFERROR(INDEX(TABLACONSOLIDADA[Inv Fís Act],MATCH("AGROINSUMOSAGROHERMANOSLEON"&amp;Tabla_Buffers_Agroinsumos[[#This Row],[CODIGO ]],TABLACONSOLIDADA[Bodega]&amp;TABLACONSOLIDADA[Codigo],0)),"")</f>
        <v>0</v>
      </c>
      <c r="CQ303" s="157">
        <f t="array" ref="CQ30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0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03" s="134">
        <f>IFERROR(SUM(Tabla_Buffers_Agroinsumos[[#This Row],[AL-MP]:[AL-VL]]),"")</f>
        <v>0</v>
      </c>
      <c r="CT303" s="92">
        <f>IFERROR(Tabla_Buffers_Agroinsumos[[#This Row],[INV FIS AL]]-Tabla_Buffers_Agroinsumos[[#This Row],[BUFFER AL]],"")</f>
        <v>0</v>
      </c>
      <c r="CU303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03" s="134"/>
      <c r="CW303" s="134"/>
      <c r="CX303" s="134"/>
      <c r="CY303" s="134"/>
      <c r="CZ303" s="134"/>
      <c r="DA303" s="134"/>
      <c r="DB303" s="134"/>
      <c r="DC303" s="134"/>
      <c r="DD303" s="134"/>
      <c r="DE303" s="134">
        <f t="array" ref="DE303">IFERROR(INDEX(TABLACONSOLIDADA[Buff Act],MATCH("AGROINSUMOSAGRONUEVO"&amp;Tabla_Buffers_Agroinsumos[[#This Row],[CODIGO ]],TABLACONSOLIDADA[Bodega]&amp;TABLACONSOLIDADA[Codigo],0)),"")</f>
        <v>0</v>
      </c>
      <c r="DF303" s="157">
        <f t="array" ref="DF303">IFERROR(INDEX(TABLACONSOLIDADA[Inv Fís Act],MATCH("AGROINSUMOSAGRONUEVO"&amp;Tabla_Buffers_Agroinsumos[[#This Row],[CODIGO ]],TABLACONSOLIDADA[Bodega]&amp;TABLACONSOLIDADA[Codigo],0)),"")</f>
        <v>0</v>
      </c>
      <c r="DG303" s="157">
        <f t="array" ref="DG30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0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03" s="134">
        <f>IFERROR(SUM(Tabla_Buffers_Agroinsumos[[#This Row],[AN-MP]:[AN-VL]]),"")</f>
        <v>0</v>
      </c>
      <c r="DJ303" s="92">
        <f>IFERROR(Tabla_Buffers_Agroinsumos[[#This Row],[INV FIS AN]]-Tabla_Buffers_Agroinsumos[[#This Row],[BUFFER AN]],"")</f>
        <v>0</v>
      </c>
      <c r="DK303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03" s="134"/>
      <c r="DM303" s="134"/>
      <c r="DN303" s="134"/>
      <c r="DO303" s="134"/>
      <c r="DP303" s="134"/>
      <c r="DQ303" s="134"/>
      <c r="DR303" s="134"/>
      <c r="DS303" s="134"/>
      <c r="DT303" s="134"/>
      <c r="DU303" s="134">
        <f t="array" ref="DU303">IFERROR(INDEX(TABLACONSOLIDADA[Buff Act],MATCH("AGROINSUMOSAGROQUIMICOSSUR"&amp;Tabla_Buffers_Agroinsumos[[#This Row],[CODIGO ]],TABLACONSOLIDADA[Bodega]&amp;TABLACONSOLIDADA[Codigo],0)),"")</f>
        <v>0</v>
      </c>
      <c r="DV303" s="157">
        <f t="array" ref="DV303">IFERROR(INDEX(TABLACONSOLIDADA[Inv Fís Act],MATCH("AGROINSUMOSAGROQUIMICOSSUR"&amp;Tabla_Buffers_Agroinsumos[[#This Row],[CODIGO ]],TABLACONSOLIDADA[Bodega]&amp;TABLACONSOLIDADA[Codigo],0)),"")</f>
        <v>0</v>
      </c>
      <c r="DW303" s="157">
        <f t="array" ref="DW30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0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03" s="134">
        <f>IFERROR(SUM(Tabla_Buffers_Agroinsumos[[#This Row],[AS-MP]:[AS-VL]]),"")</f>
        <v>0</v>
      </c>
      <c r="DZ303" s="92">
        <f>IFERROR(Tabla_Buffers_Agroinsumos[[#This Row],[INV FIS AS]]-Tabla_Buffers_Agroinsumos[[#This Row],[BUFFER AS]],"")</f>
        <v>0</v>
      </c>
      <c r="EA303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03" s="134"/>
      <c r="EC303" s="134"/>
      <c r="ED303" s="134"/>
      <c r="EE303" s="134"/>
      <c r="EF303" s="134"/>
      <c r="EG303" s="134"/>
      <c r="EH303" s="134"/>
      <c r="EI303" s="134"/>
      <c r="EJ303" s="134"/>
      <c r="EK303" s="134">
        <f t="array" ref="EK303">IFERROR(INDEX(TABLACONSOLIDADA[Buff Act],MATCH("AGROINSUMOSLAFINCA"&amp;Tabla_Buffers_Agroinsumos[[#This Row],[CODIGO ]],TABLACONSOLIDADA[Bodega]&amp;TABLACONSOLIDADA[Codigo],0)),"")</f>
        <v>0</v>
      </c>
      <c r="EL303" s="157">
        <f t="array" ref="EL303">IFERROR(INDEX(TABLACONSOLIDADA[Inv Fís Act],MATCH("AGROINSUMOSLAFINCA"&amp;Tabla_Buffers_Agroinsumos[[#This Row],[CODIGO ]],TABLACONSOLIDADA[Bodega]&amp;TABLACONSOLIDADA[Codigo],0)),"")</f>
        <v>0</v>
      </c>
      <c r="EM303" s="157">
        <f t="array" ref="EM30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0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03" s="134">
        <f>IFERROR(SUM(Tabla_Buffers_Agroinsumos[[#This Row],[LF-MP]:[LF-VL]]),"")</f>
        <v>0</v>
      </c>
      <c r="EP303" s="92">
        <f>IFERROR(Tabla_Buffers_Agroinsumos[[#This Row],[INV FIS LF]]-Tabla_Buffers_Agroinsumos[[#This Row],[BUFFER LF]],"")</f>
        <v>0</v>
      </c>
      <c r="EQ30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03" s="134"/>
      <c r="ES303" s="134"/>
      <c r="ET303" s="134"/>
      <c r="EU303" s="134"/>
      <c r="EV303" s="134"/>
      <c r="EW303" s="134"/>
      <c r="EX303" s="134"/>
      <c r="EY303" s="134"/>
      <c r="EZ303" s="134"/>
      <c r="FA303" s="134">
        <f t="array" ref="FA303">IFERROR(INDEX(TABLACONSOLIDADA[Buff Act],MATCH("AGROINSUMOSVERONICALEDESMA"&amp;Tabla_Buffers_Agroinsumos[[#This Row],[CODIGO ]],TABLACONSOLIDADA[Bodega]&amp;TABLACONSOLIDADA[Codigo],0)),"")</f>
        <v>0</v>
      </c>
      <c r="FB303" s="157">
        <f t="array" ref="FB303">IFERROR(INDEX(TABLACONSOLIDADA[Inv Fís Act],MATCH("AGROINSUMOSVERONICALEDESMA"&amp;Tabla_Buffers_Agroinsumos[[#This Row],[CODIGO ]],TABLACONSOLIDADA[Bodega]&amp;TABLACONSOLIDADA[Codigo],0)),"")</f>
        <v>0</v>
      </c>
      <c r="FC303" s="157">
        <f t="array" ref="FC30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0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03" s="134">
        <f>IFERROR(SUM(Tabla_Buffers_Agroinsumos[[#This Row],[VL-MP]:[VL-LF]]),"")</f>
        <v>0</v>
      </c>
      <c r="FF303" s="92">
        <f>IFERROR(Tabla_Buffers_Agroinsumos[[#This Row],[INV FIS VL]]-Tabla_Buffers_Agroinsumos[[#This Row],[BUFFER VL]],"")</f>
        <v>0</v>
      </c>
      <c r="FG303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03" s="134"/>
      <c r="FI303" s="134"/>
      <c r="FJ303" s="134"/>
      <c r="FK303" s="134"/>
      <c r="FL303" s="134"/>
      <c r="FM303" s="134"/>
      <c r="FN303" s="134"/>
      <c r="FO303" s="134"/>
      <c r="FP303" s="134"/>
    </row>
    <row r="304" spans="1:172">
      <c r="A304" s="7" t="s">
        <v>518</v>
      </c>
      <c r="B304" s="7" t="s">
        <v>519</v>
      </c>
      <c r="C304" s="7" t="s">
        <v>709</v>
      </c>
      <c r="D304" s="7" t="s">
        <v>720</v>
      </c>
      <c r="E304" s="7" t="s">
        <v>863</v>
      </c>
      <c r="F304" s="19" t="s">
        <v>814</v>
      </c>
      <c r="G304" s="19" t="s">
        <v>873</v>
      </c>
      <c r="H304" s="19">
        <f>VLOOKUP(Tabla_Buffers_Agroinsumos[[#This Row],[CODIGO ]],TABLACONSOLIDADA[[Codigo]:[PV]],6,0)</f>
        <v>0</v>
      </c>
      <c r="I304" s="19">
        <f>VLOOKUP(Tabla_Buffers_Agroinsumos[[#This Row],[CODIGO ]],TABLACONSOLIDADA[[Codigo]:[PV]],5,0)</f>
        <v>0.59</v>
      </c>
      <c r="J304" s="19">
        <v>12</v>
      </c>
      <c r="K304" s="19">
        <v>14</v>
      </c>
      <c r="L304" s="19">
        <f>IFERROR(Tabla_Buffers_Agroinsumos[[#This Row],[BUFFER CENTRAL]]/((Tabla_Buffers_Agroinsumos[[#This Row],[TIEMPO REPOSICION ]]/Tabla_Buffers_Agroinsumos[[#This Row],[FRECUENCIA]])+1),0)</f>
        <v>0</v>
      </c>
      <c r="M304" s="19">
        <f t="array" ref="M304">IFERROR(INDEX(TABLACONSOLIDADA[Buff Act],MATCH("AGROINSUMOSMATERIAPRIMA"&amp;Tabla_Buffers_Agroinsumos[[#This Row],[CODIGO ]],TABLACONSOLIDADA[Bodega]&amp;TABLACONSOLIDADA[Codigo],0)),"")</f>
        <v>3000</v>
      </c>
      <c r="N304" s="157">
        <f t="array" ref="N304">IFERROR(INDEX(TABLACONSOLIDADA[Inv Fís Act],MATCH("AGROINSUMOSMATERIAPRIMA"&amp;Tabla_Buffers_Agroinsumos[[#This Row],[CODIGO ]],TABLACONSOLIDADA[Bodega]&amp;TABLACONSOLIDADA[Codigo],0)),"")</f>
        <v>4431</v>
      </c>
      <c r="O304" s="157">
        <f t="array" ref="O30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4431</v>
      </c>
      <c r="P30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04" s="19">
        <f>IFERROR(SUM(Tabla_Buffers_Agroinsumos[[#This Row],[MP-C]:[MP-VL]]),"")</f>
        <v>0</v>
      </c>
      <c r="R304" s="92">
        <f>IFERROR(Tabla_Buffers_Agroinsumos[[#This Row],[INV FIS MATERIA PRIMA]]-Tabla_Buffers_Agroinsumos[[#This Row],[BUFFER MATERIA PRIMA]],"")</f>
        <v>1431</v>
      </c>
      <c r="S30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1431</v>
      </c>
      <c r="T304" s="19"/>
      <c r="U304" s="19"/>
      <c r="V304" s="19"/>
      <c r="W304" s="19"/>
      <c r="X304" s="19"/>
      <c r="Y304" s="19"/>
      <c r="Z304" s="19"/>
      <c r="AA304" s="19"/>
      <c r="AB304" s="19"/>
      <c r="AC304" s="152" t="str">
        <f t="array" ref="AC304">IFERROR(INDEX(TABLACONSOLIDADA[Buff Act],MATCH("AGROINSUMOSCENTRAL"&amp;Tabla_Buffers_Agroinsumos[[#This Row],[CODIGO ]],TABLACONSOLIDADA[Bodega]&amp;TABLACONSOLIDADA[Codigo],0)),"")</f>
        <v/>
      </c>
      <c r="AD304" s="157" t="str">
        <f t="array" ref="AD304">IFERROR(INDEX(TABLACONSOLIDADA[Inv Fís Act],MATCH("AGROINSUMOSCENTRAL"&amp;Tabla_Buffers_Agroinsumos[[#This Row],[CODIGO ]],TABLACONSOLIDADA[Bodega]&amp;TABLACONSOLIDADA[Codigo],0)),"")</f>
        <v/>
      </c>
      <c r="AE304" s="157" t="str">
        <f t="array" ref="AE30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0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04" s="91">
        <f>IFERROR(SUM(Tabla_Buffers_Agroinsumos[[#This Row],[C-MP]:[C-VL]]),"")</f>
        <v>0</v>
      </c>
      <c r="AH304" s="92" t="str">
        <f>IFERROR(Tabla_Buffers_Agroinsumos[[#This Row],[INV FIS CENTRAL]]-Tabla_Buffers_Agroinsumos[[#This Row],[BUFFER CENTRAL]],"")</f>
        <v/>
      </c>
      <c r="AI30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04" s="134"/>
      <c r="AK304" s="134"/>
      <c r="AL304" s="134"/>
      <c r="AM304" s="134"/>
      <c r="AN304" s="134"/>
      <c r="AO304" s="134"/>
      <c r="AP304" s="134"/>
      <c r="AQ304" s="134"/>
      <c r="AR304" s="134"/>
      <c r="AS304" s="134" t="str">
        <f t="array" ref="AS304">IFERROR(INDEX(TABLACONSOLIDADA[Buff Act],MATCH("AGROINSUMOScentralPROPIA"&amp;Tabla_Buffers_Agroinsumos[[#This Row],[CODIGO ]],TABLACONSOLIDADA[Bodega]&amp;TABLACONSOLIDADA[Codigo],0)),"")</f>
        <v/>
      </c>
      <c r="AT304" s="157" t="str">
        <f t="array" ref="AT304">IFERROR(INDEX(TABLACONSOLIDADA[Inv Fís Act],MATCH("AGROINSUMOScentralPROPIA"&amp;Tabla_Buffers_Agroinsumos[[#This Row],[CODIGO ]],TABLACONSOLIDADA[Bodega]&amp;TABLACONSOLIDADA[Codigo],0)),"")</f>
        <v/>
      </c>
      <c r="AU304" s="157" t="str">
        <f t="array" ref="AU30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0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04" s="134">
        <f>IFERROR(SUM(Tabla_Buffers_Agroinsumos[[#This Row],[P-MP]:[P-VL]]),"")</f>
        <v>0</v>
      </c>
      <c r="AX304" s="92" t="str">
        <f>IFERROR(Tabla_Buffers_Agroinsumos[[#This Row],[INV FIS PROPIA]]-Tabla_Buffers_Agroinsumos[[#This Row],[BUFFER PROPIA]],"")</f>
        <v/>
      </c>
      <c r="AY30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04" s="134"/>
      <c r="BA304" s="134"/>
      <c r="BB304" s="134"/>
      <c r="BC304" s="134"/>
      <c r="BD304" s="134"/>
      <c r="BE304" s="134"/>
      <c r="BF304" s="134"/>
      <c r="BG304" s="134"/>
      <c r="BH304" s="134"/>
      <c r="BI304" s="91" t="str">
        <f t="array" ref="BI304">IFERROR(INDEX(TABLACONSOLIDADA[Buff Act],MATCH("AGROINSUMOSSTODOMINGO"&amp;Tabla_Buffers_Agroinsumos[[#This Row],[CODIGO ]],TABLACONSOLIDADA[Bodega]&amp;TABLACONSOLIDADA[Codigo],0)),"")</f>
        <v/>
      </c>
      <c r="BJ304" s="157" t="str">
        <f t="array" ref="BJ304">IFERROR(INDEX(TABLACONSOLIDADA[Inv Fís Act],MATCH("AGROINSUMOSSTODOMINGO"&amp;Tabla_Buffers_Agroinsumos[[#This Row],[CODIGO ]],TABLACONSOLIDADA[Bodega]&amp;TABLACONSOLIDADA[Codigo],0)),"")</f>
        <v/>
      </c>
      <c r="BK304" s="157" t="str">
        <f t="array" ref="BK30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0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04" s="91">
        <f>IFERROR(SUM(Tabla_Buffers_Agroinsumos[[#This Row],[SD-MP]:[SD-VL]]),"")</f>
        <v>0</v>
      </c>
      <c r="BN304" s="92"/>
      <c r="BO304" s="92"/>
      <c r="BP304" s="134"/>
      <c r="BQ304" s="134"/>
      <c r="BR304" s="134"/>
      <c r="BS304" s="134"/>
      <c r="BT304" s="134"/>
      <c r="BU304" s="134"/>
      <c r="BV304" s="134"/>
      <c r="BW304" s="134"/>
      <c r="BX304" s="134"/>
      <c r="BY304" s="134" t="str">
        <f t="array" ref="BY304">IFERROR(INDEX(TABLACONSOLIDADA[Buff Act],MATCH("AGROINSUMOSMONCAYOLOPEZ"&amp;Tabla_Buffers_Agroinsumos[[#This Row],[CODIGO ]],TABLACONSOLIDADA[Bodega]&amp;TABLACONSOLIDADA[Codigo],0)),"")</f>
        <v/>
      </c>
      <c r="BZ304" s="157" t="str">
        <f t="array" ref="BZ304">IFERROR(INDEX(TABLACONSOLIDADA[Inv Fís Act],MATCH("AGROINSUMOSMONCAYOLOPEZ"&amp;Tabla_Buffers_Agroinsumos[[#This Row],[CODIGO ]],TABLACONSOLIDADA[Bodega]&amp;TABLACONSOLIDADA[Codigo],0)),"")</f>
        <v/>
      </c>
      <c r="CA304" s="157" t="str">
        <f t="array" ref="CA30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0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04" s="134">
        <f>IFERROR(SUM(Tabla_Buffers_Agroinsumos[[#This Row],[ML-MP]:[ML-VL]]),"")</f>
        <v>0</v>
      </c>
      <c r="CD304" s="92" t="str">
        <f>IFERROR(Tabla_Buffers_Agroinsumos[[#This Row],[INV FIS ML]]-Tabla_Buffers_Agroinsumos[[#This Row],[BUFFER ML]],"")</f>
        <v/>
      </c>
      <c r="CE30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04" s="134"/>
      <c r="CG304" s="134"/>
      <c r="CH304" s="134"/>
      <c r="CI304" s="134"/>
      <c r="CJ304" s="134"/>
      <c r="CK304" s="134"/>
      <c r="CL304" s="134"/>
      <c r="CM304" s="134"/>
      <c r="CN304" s="134"/>
      <c r="CO304" s="134" t="str">
        <f t="array" ref="CO304">IFERROR(INDEX(TABLACONSOLIDADA[Buff Act],MATCH("AGROINSUMOSAGROHERMANOSLEON"&amp;Tabla_Buffers_Agroinsumos[[#This Row],[CODIGO ]],TABLACONSOLIDADA[Bodega]&amp;TABLACONSOLIDADA[Codigo],0)),"")</f>
        <v/>
      </c>
      <c r="CP304" s="157" t="str">
        <f t="array" ref="CP304">IFERROR(INDEX(TABLACONSOLIDADA[Inv Fís Act],MATCH("AGROINSUMOSAGROHERMANOSLEON"&amp;Tabla_Buffers_Agroinsumos[[#This Row],[CODIGO ]],TABLACONSOLIDADA[Bodega]&amp;TABLACONSOLIDADA[Codigo],0)),"")</f>
        <v/>
      </c>
      <c r="CQ304" s="157" t="str">
        <f t="array" ref="CQ30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0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04" s="134">
        <f>IFERROR(SUM(Tabla_Buffers_Agroinsumos[[#This Row],[AL-MP]:[AL-VL]]),"")</f>
        <v>0</v>
      </c>
      <c r="CT304" s="92" t="str">
        <f>IFERROR(Tabla_Buffers_Agroinsumos[[#This Row],[INV FIS AL]]-Tabla_Buffers_Agroinsumos[[#This Row],[BUFFER AL]],"")</f>
        <v/>
      </c>
      <c r="CU30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04" s="134"/>
      <c r="CW304" s="134"/>
      <c r="CX304" s="134"/>
      <c r="CY304" s="134"/>
      <c r="CZ304" s="134"/>
      <c r="DA304" s="134"/>
      <c r="DB304" s="134"/>
      <c r="DC304" s="134"/>
      <c r="DD304" s="134"/>
      <c r="DE304" s="134" t="str">
        <f t="array" ref="DE304">IFERROR(INDEX(TABLACONSOLIDADA[Buff Act],MATCH("AGROINSUMOSAGRONUEVO"&amp;Tabla_Buffers_Agroinsumos[[#This Row],[CODIGO ]],TABLACONSOLIDADA[Bodega]&amp;TABLACONSOLIDADA[Codigo],0)),"")</f>
        <v/>
      </c>
      <c r="DF304" s="157" t="str">
        <f t="array" ref="DF304">IFERROR(INDEX(TABLACONSOLIDADA[Inv Fís Act],MATCH("AGROINSUMOSAGRONUEVO"&amp;Tabla_Buffers_Agroinsumos[[#This Row],[CODIGO ]],TABLACONSOLIDADA[Bodega]&amp;TABLACONSOLIDADA[Codigo],0)),"")</f>
        <v/>
      </c>
      <c r="DG304" s="157" t="str">
        <f t="array" ref="DG30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0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04" s="134">
        <f>IFERROR(SUM(Tabla_Buffers_Agroinsumos[[#This Row],[AN-MP]:[AN-VL]]),"")</f>
        <v>0</v>
      </c>
      <c r="DJ304" s="92" t="str">
        <f>IFERROR(Tabla_Buffers_Agroinsumos[[#This Row],[INV FIS AN]]-Tabla_Buffers_Agroinsumos[[#This Row],[BUFFER AN]],"")</f>
        <v/>
      </c>
      <c r="DK30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04" s="134"/>
      <c r="DM304" s="134"/>
      <c r="DN304" s="134"/>
      <c r="DO304" s="134"/>
      <c r="DP304" s="134"/>
      <c r="DQ304" s="134"/>
      <c r="DR304" s="134"/>
      <c r="DS304" s="134"/>
      <c r="DT304" s="134"/>
      <c r="DU304" s="134" t="str">
        <f t="array" ref="DU304">IFERROR(INDEX(TABLACONSOLIDADA[Buff Act],MATCH("AGROINSUMOSAGROQUIMICOSSUR"&amp;Tabla_Buffers_Agroinsumos[[#This Row],[CODIGO ]],TABLACONSOLIDADA[Bodega]&amp;TABLACONSOLIDADA[Codigo],0)),"")</f>
        <v/>
      </c>
      <c r="DV304" s="157" t="str">
        <f t="array" ref="DV304">IFERROR(INDEX(TABLACONSOLIDADA[Inv Fís Act],MATCH("AGROINSUMOSAGROQUIMICOSSUR"&amp;Tabla_Buffers_Agroinsumos[[#This Row],[CODIGO ]],TABLACONSOLIDADA[Bodega]&amp;TABLACONSOLIDADA[Codigo],0)),"")</f>
        <v/>
      </c>
      <c r="DW304" s="157" t="str">
        <f t="array" ref="DW30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0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04" s="134">
        <f>IFERROR(SUM(Tabla_Buffers_Agroinsumos[[#This Row],[AS-MP]:[AS-VL]]),"")</f>
        <v>0</v>
      </c>
      <c r="DZ304" s="92" t="str">
        <f>IFERROR(Tabla_Buffers_Agroinsumos[[#This Row],[INV FIS AS]]-Tabla_Buffers_Agroinsumos[[#This Row],[BUFFER AS]],"")</f>
        <v/>
      </c>
      <c r="EA30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04" s="134"/>
      <c r="EC304" s="134"/>
      <c r="ED304" s="134"/>
      <c r="EE304" s="134"/>
      <c r="EF304" s="134"/>
      <c r="EG304" s="134"/>
      <c r="EH304" s="134"/>
      <c r="EI304" s="134"/>
      <c r="EJ304" s="134"/>
      <c r="EK304" s="134" t="str">
        <f t="array" ref="EK304">IFERROR(INDEX(TABLACONSOLIDADA[Buff Act],MATCH("AGROINSUMOSLAFINCA"&amp;Tabla_Buffers_Agroinsumos[[#This Row],[CODIGO ]],TABLACONSOLIDADA[Bodega]&amp;TABLACONSOLIDADA[Codigo],0)),"")</f>
        <v/>
      </c>
      <c r="EL304" s="157" t="str">
        <f t="array" ref="EL304">IFERROR(INDEX(TABLACONSOLIDADA[Inv Fís Act],MATCH("AGROINSUMOSLAFINCA"&amp;Tabla_Buffers_Agroinsumos[[#This Row],[CODIGO ]],TABLACONSOLIDADA[Bodega]&amp;TABLACONSOLIDADA[Codigo],0)),"")</f>
        <v/>
      </c>
      <c r="EM304" s="157" t="str">
        <f t="array" ref="EM30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0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04" s="134">
        <f>IFERROR(SUM(Tabla_Buffers_Agroinsumos[[#This Row],[LF-MP]:[LF-VL]]),"")</f>
        <v>0</v>
      </c>
      <c r="EP304" s="92" t="str">
        <f>IFERROR(Tabla_Buffers_Agroinsumos[[#This Row],[INV FIS LF]]-Tabla_Buffers_Agroinsumos[[#This Row],[BUFFER LF]],"")</f>
        <v/>
      </c>
      <c r="EQ30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04" s="134"/>
      <c r="ES304" s="134"/>
      <c r="ET304" s="134"/>
      <c r="EU304" s="134"/>
      <c r="EV304" s="134"/>
      <c r="EW304" s="134"/>
      <c r="EX304" s="134"/>
      <c r="EY304" s="134"/>
      <c r="EZ304" s="134"/>
      <c r="FA304" s="134" t="str">
        <f t="array" ref="FA304">IFERROR(INDEX(TABLACONSOLIDADA[Buff Act],MATCH("AGROINSUMOSVERONICALEDESMA"&amp;Tabla_Buffers_Agroinsumos[[#This Row],[CODIGO ]],TABLACONSOLIDADA[Bodega]&amp;TABLACONSOLIDADA[Codigo],0)),"")</f>
        <v/>
      </c>
      <c r="FB304" s="157" t="str">
        <f t="array" ref="FB304">IFERROR(INDEX(TABLACONSOLIDADA[Inv Fís Act],MATCH("AGROINSUMOSVERONICALEDESMA"&amp;Tabla_Buffers_Agroinsumos[[#This Row],[CODIGO ]],TABLACONSOLIDADA[Bodega]&amp;TABLACONSOLIDADA[Codigo],0)),"")</f>
        <v/>
      </c>
      <c r="FC304" s="157" t="str">
        <f t="array" ref="FC30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0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04" s="134">
        <f>IFERROR(SUM(Tabla_Buffers_Agroinsumos[[#This Row],[VL-MP]:[VL-LF]]),"")</f>
        <v>0</v>
      </c>
      <c r="FF304" s="92" t="str">
        <f>IFERROR(Tabla_Buffers_Agroinsumos[[#This Row],[INV FIS VL]]-Tabla_Buffers_Agroinsumos[[#This Row],[BUFFER VL]],"")</f>
        <v/>
      </c>
      <c r="FG30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04" s="134"/>
      <c r="FI304" s="134"/>
      <c r="FJ304" s="134"/>
      <c r="FK304" s="134"/>
      <c r="FL304" s="134"/>
      <c r="FM304" s="134"/>
      <c r="FN304" s="134"/>
      <c r="FO304" s="134"/>
      <c r="FP304" s="134"/>
    </row>
    <row r="305" spans="1:172">
      <c r="A305" s="7" t="s">
        <v>520</v>
      </c>
      <c r="B305" s="7" t="s">
        <v>521</v>
      </c>
      <c r="C305" s="7" t="s">
        <v>709</v>
      </c>
      <c r="D305" s="7" t="s">
        <v>720</v>
      </c>
      <c r="E305" s="7" t="s">
        <v>863</v>
      </c>
      <c r="F305" s="19" t="s">
        <v>814</v>
      </c>
      <c r="G305" s="19" t="s">
        <v>873</v>
      </c>
      <c r="H305" s="19">
        <f>VLOOKUP(Tabla_Buffers_Agroinsumos[[#This Row],[CODIGO ]],TABLACONSOLIDADA[[Codigo]:[PV]],6,0)</f>
        <v>0</v>
      </c>
      <c r="I305" s="19">
        <f>VLOOKUP(Tabla_Buffers_Agroinsumos[[#This Row],[CODIGO ]],TABLACONSOLIDADA[[Codigo]:[PV]],5,0)</f>
        <v>1.28</v>
      </c>
      <c r="J305" s="19">
        <v>12</v>
      </c>
      <c r="K305" s="19">
        <v>14</v>
      </c>
      <c r="L305" s="19">
        <f>IFERROR(Tabla_Buffers_Agroinsumos[[#This Row],[BUFFER CENTRAL]]/((Tabla_Buffers_Agroinsumos[[#This Row],[TIEMPO REPOSICION ]]/Tabla_Buffers_Agroinsumos[[#This Row],[FRECUENCIA]])+1),0)</f>
        <v>0</v>
      </c>
      <c r="M305" s="19">
        <f t="array" ref="M305">IFERROR(INDEX(TABLACONSOLIDADA[Buff Act],MATCH("AGROINSUMOSMATERIAPRIMA"&amp;Tabla_Buffers_Agroinsumos[[#This Row],[CODIGO ]],TABLACONSOLIDADA[Bodega]&amp;TABLACONSOLIDADA[Codigo],0)),"")</f>
        <v>5000</v>
      </c>
      <c r="N305" s="157">
        <f t="array" ref="N305">IFERROR(INDEX(TABLACONSOLIDADA[Inv Fís Act],MATCH("AGROINSUMOSMATERIAPRIMA"&amp;Tabla_Buffers_Agroinsumos[[#This Row],[CODIGO ]],TABLACONSOLIDADA[Bodega]&amp;TABLACONSOLIDADA[Codigo],0)),"")</f>
        <v>1619</v>
      </c>
      <c r="O305" s="157">
        <f t="array" ref="O30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3219</v>
      </c>
      <c r="P30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05" s="19">
        <f>IFERROR(SUM(Tabla_Buffers_Agroinsumos[[#This Row],[MP-C]:[MP-VL]]),"")</f>
        <v>0</v>
      </c>
      <c r="R305" s="92">
        <f>IFERROR(Tabla_Buffers_Agroinsumos[[#This Row],[INV FIS MATERIA PRIMA]]-Tabla_Buffers_Agroinsumos[[#This Row],[BUFFER MATERIA PRIMA]],"")</f>
        <v>-3381</v>
      </c>
      <c r="S30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-3381</v>
      </c>
      <c r="T305" s="19"/>
      <c r="U305" s="19"/>
      <c r="V305" s="19"/>
      <c r="W305" s="19"/>
      <c r="X305" s="19"/>
      <c r="Y305" s="19"/>
      <c r="Z305" s="19"/>
      <c r="AA305" s="19"/>
      <c r="AB305" s="19"/>
      <c r="AC305" s="152" t="str">
        <f t="array" ref="AC305">IFERROR(INDEX(TABLACONSOLIDADA[Buff Act],MATCH("AGROINSUMOSCENTRAL"&amp;Tabla_Buffers_Agroinsumos[[#This Row],[CODIGO ]],TABLACONSOLIDADA[Bodega]&amp;TABLACONSOLIDADA[Codigo],0)),"")</f>
        <v/>
      </c>
      <c r="AD305" s="157" t="str">
        <f t="array" ref="AD305">IFERROR(INDEX(TABLACONSOLIDADA[Inv Fís Act],MATCH("AGROINSUMOSCENTRAL"&amp;Tabla_Buffers_Agroinsumos[[#This Row],[CODIGO ]],TABLACONSOLIDADA[Bodega]&amp;TABLACONSOLIDADA[Codigo],0)),"")</f>
        <v/>
      </c>
      <c r="AE305" s="157" t="str">
        <f t="array" ref="AE30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0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05" s="91">
        <f>IFERROR(SUM(Tabla_Buffers_Agroinsumos[[#This Row],[C-MP]:[C-VL]]),"")</f>
        <v>0</v>
      </c>
      <c r="AH305" s="92" t="str">
        <f>IFERROR(Tabla_Buffers_Agroinsumos[[#This Row],[INV FIS CENTRAL]]-Tabla_Buffers_Agroinsumos[[#This Row],[BUFFER CENTRAL]],"")</f>
        <v/>
      </c>
      <c r="AI30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05" s="134"/>
      <c r="AK305" s="134"/>
      <c r="AL305" s="134"/>
      <c r="AM305" s="134"/>
      <c r="AN305" s="134"/>
      <c r="AO305" s="134"/>
      <c r="AP305" s="134"/>
      <c r="AQ305" s="134"/>
      <c r="AR305" s="134"/>
      <c r="AS305" s="134" t="str">
        <f t="array" ref="AS305">IFERROR(INDEX(TABLACONSOLIDADA[Buff Act],MATCH("AGROINSUMOScentralPROPIA"&amp;Tabla_Buffers_Agroinsumos[[#This Row],[CODIGO ]],TABLACONSOLIDADA[Bodega]&amp;TABLACONSOLIDADA[Codigo],0)),"")</f>
        <v/>
      </c>
      <c r="AT305" s="157" t="str">
        <f t="array" ref="AT305">IFERROR(INDEX(TABLACONSOLIDADA[Inv Fís Act],MATCH("AGROINSUMOScentralPROPIA"&amp;Tabla_Buffers_Agroinsumos[[#This Row],[CODIGO ]],TABLACONSOLIDADA[Bodega]&amp;TABLACONSOLIDADA[Codigo],0)),"")</f>
        <v/>
      </c>
      <c r="AU305" s="157" t="str">
        <f t="array" ref="AU30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0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05" s="134">
        <f>IFERROR(SUM(Tabla_Buffers_Agroinsumos[[#This Row],[P-MP]:[P-VL]]),"")</f>
        <v>0</v>
      </c>
      <c r="AX305" s="92" t="str">
        <f>IFERROR(Tabla_Buffers_Agroinsumos[[#This Row],[INV FIS PROPIA]]-Tabla_Buffers_Agroinsumos[[#This Row],[BUFFER PROPIA]],"")</f>
        <v/>
      </c>
      <c r="AY30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05" s="134"/>
      <c r="BA305" s="134"/>
      <c r="BB305" s="134"/>
      <c r="BC305" s="134"/>
      <c r="BD305" s="134"/>
      <c r="BE305" s="134"/>
      <c r="BF305" s="134"/>
      <c r="BG305" s="134"/>
      <c r="BH305" s="134"/>
      <c r="BI305" s="91" t="str">
        <f t="array" ref="BI305">IFERROR(INDEX(TABLACONSOLIDADA[Buff Act],MATCH("AGROINSUMOSSTODOMINGO"&amp;Tabla_Buffers_Agroinsumos[[#This Row],[CODIGO ]],TABLACONSOLIDADA[Bodega]&amp;TABLACONSOLIDADA[Codigo],0)),"")</f>
        <v/>
      </c>
      <c r="BJ305" s="157" t="str">
        <f t="array" ref="BJ305">IFERROR(INDEX(TABLACONSOLIDADA[Inv Fís Act],MATCH("AGROINSUMOSSTODOMINGO"&amp;Tabla_Buffers_Agroinsumos[[#This Row],[CODIGO ]],TABLACONSOLIDADA[Bodega]&amp;TABLACONSOLIDADA[Codigo],0)),"")</f>
        <v/>
      </c>
      <c r="BK305" s="157" t="str">
        <f t="array" ref="BK30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0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05" s="91">
        <f>IFERROR(SUM(Tabla_Buffers_Agroinsumos[[#This Row],[SD-MP]:[SD-VL]]),"")</f>
        <v>0</v>
      </c>
      <c r="BN305" s="92"/>
      <c r="BO305" s="92"/>
      <c r="BP305" s="134"/>
      <c r="BQ305" s="134"/>
      <c r="BR305" s="134"/>
      <c r="BS305" s="134"/>
      <c r="BT305" s="134"/>
      <c r="BU305" s="134"/>
      <c r="BV305" s="134"/>
      <c r="BW305" s="134"/>
      <c r="BX305" s="134"/>
      <c r="BY305" s="134" t="str">
        <f t="array" ref="BY305">IFERROR(INDEX(TABLACONSOLIDADA[Buff Act],MATCH("AGROINSUMOSMONCAYOLOPEZ"&amp;Tabla_Buffers_Agroinsumos[[#This Row],[CODIGO ]],TABLACONSOLIDADA[Bodega]&amp;TABLACONSOLIDADA[Codigo],0)),"")</f>
        <v/>
      </c>
      <c r="BZ305" s="157" t="str">
        <f t="array" ref="BZ305">IFERROR(INDEX(TABLACONSOLIDADA[Inv Fís Act],MATCH("AGROINSUMOSMONCAYOLOPEZ"&amp;Tabla_Buffers_Agroinsumos[[#This Row],[CODIGO ]],TABLACONSOLIDADA[Bodega]&amp;TABLACONSOLIDADA[Codigo],0)),"")</f>
        <v/>
      </c>
      <c r="CA305" s="157" t="str">
        <f t="array" ref="CA30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0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05" s="134">
        <f>IFERROR(SUM(Tabla_Buffers_Agroinsumos[[#This Row],[ML-MP]:[ML-VL]]),"")</f>
        <v>0</v>
      </c>
      <c r="CD305" s="92" t="str">
        <f>IFERROR(Tabla_Buffers_Agroinsumos[[#This Row],[INV FIS ML]]-Tabla_Buffers_Agroinsumos[[#This Row],[BUFFER ML]],"")</f>
        <v/>
      </c>
      <c r="CE30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05" s="134"/>
      <c r="CG305" s="134"/>
      <c r="CH305" s="134"/>
      <c r="CI305" s="134"/>
      <c r="CJ305" s="134"/>
      <c r="CK305" s="134"/>
      <c r="CL305" s="134"/>
      <c r="CM305" s="134"/>
      <c r="CN305" s="134"/>
      <c r="CO305" s="134" t="str">
        <f t="array" ref="CO305">IFERROR(INDEX(TABLACONSOLIDADA[Buff Act],MATCH("AGROINSUMOSAGROHERMANOSLEON"&amp;Tabla_Buffers_Agroinsumos[[#This Row],[CODIGO ]],TABLACONSOLIDADA[Bodega]&amp;TABLACONSOLIDADA[Codigo],0)),"")</f>
        <v/>
      </c>
      <c r="CP305" s="157" t="str">
        <f t="array" ref="CP305">IFERROR(INDEX(TABLACONSOLIDADA[Inv Fís Act],MATCH("AGROINSUMOSAGROHERMANOSLEON"&amp;Tabla_Buffers_Agroinsumos[[#This Row],[CODIGO ]],TABLACONSOLIDADA[Bodega]&amp;TABLACONSOLIDADA[Codigo],0)),"")</f>
        <v/>
      </c>
      <c r="CQ305" s="157" t="str">
        <f t="array" ref="CQ30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0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05" s="134">
        <f>IFERROR(SUM(Tabla_Buffers_Agroinsumos[[#This Row],[AL-MP]:[AL-VL]]),"")</f>
        <v>0</v>
      </c>
      <c r="CT305" s="92" t="str">
        <f>IFERROR(Tabla_Buffers_Agroinsumos[[#This Row],[INV FIS AL]]-Tabla_Buffers_Agroinsumos[[#This Row],[BUFFER AL]],"")</f>
        <v/>
      </c>
      <c r="CU30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05" s="134"/>
      <c r="CW305" s="134"/>
      <c r="CX305" s="134"/>
      <c r="CY305" s="134"/>
      <c r="CZ305" s="134"/>
      <c r="DA305" s="134"/>
      <c r="DB305" s="134"/>
      <c r="DC305" s="134"/>
      <c r="DD305" s="134"/>
      <c r="DE305" s="134" t="str">
        <f t="array" ref="DE305">IFERROR(INDEX(TABLACONSOLIDADA[Buff Act],MATCH("AGROINSUMOSAGRONUEVO"&amp;Tabla_Buffers_Agroinsumos[[#This Row],[CODIGO ]],TABLACONSOLIDADA[Bodega]&amp;TABLACONSOLIDADA[Codigo],0)),"")</f>
        <v/>
      </c>
      <c r="DF305" s="157" t="str">
        <f t="array" ref="DF305">IFERROR(INDEX(TABLACONSOLIDADA[Inv Fís Act],MATCH("AGROINSUMOSAGRONUEVO"&amp;Tabla_Buffers_Agroinsumos[[#This Row],[CODIGO ]],TABLACONSOLIDADA[Bodega]&amp;TABLACONSOLIDADA[Codigo],0)),"")</f>
        <v/>
      </c>
      <c r="DG305" s="157" t="str">
        <f t="array" ref="DG30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0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05" s="134">
        <f>IFERROR(SUM(Tabla_Buffers_Agroinsumos[[#This Row],[AN-MP]:[AN-VL]]),"")</f>
        <v>0</v>
      </c>
      <c r="DJ305" s="92" t="str">
        <f>IFERROR(Tabla_Buffers_Agroinsumos[[#This Row],[INV FIS AN]]-Tabla_Buffers_Agroinsumos[[#This Row],[BUFFER AN]],"")</f>
        <v/>
      </c>
      <c r="DK30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05" s="134"/>
      <c r="DM305" s="134"/>
      <c r="DN305" s="134"/>
      <c r="DO305" s="134"/>
      <c r="DP305" s="134"/>
      <c r="DQ305" s="134"/>
      <c r="DR305" s="134"/>
      <c r="DS305" s="134"/>
      <c r="DT305" s="134"/>
      <c r="DU305" s="134" t="str">
        <f t="array" ref="DU305">IFERROR(INDEX(TABLACONSOLIDADA[Buff Act],MATCH("AGROINSUMOSAGROQUIMICOSSUR"&amp;Tabla_Buffers_Agroinsumos[[#This Row],[CODIGO ]],TABLACONSOLIDADA[Bodega]&amp;TABLACONSOLIDADA[Codigo],0)),"")</f>
        <v/>
      </c>
      <c r="DV305" s="157" t="str">
        <f t="array" ref="DV305">IFERROR(INDEX(TABLACONSOLIDADA[Inv Fís Act],MATCH("AGROINSUMOSAGROQUIMICOSSUR"&amp;Tabla_Buffers_Agroinsumos[[#This Row],[CODIGO ]],TABLACONSOLIDADA[Bodega]&amp;TABLACONSOLIDADA[Codigo],0)),"")</f>
        <v/>
      </c>
      <c r="DW305" s="157" t="str">
        <f t="array" ref="DW30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0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05" s="134">
        <f>IFERROR(SUM(Tabla_Buffers_Agroinsumos[[#This Row],[AS-MP]:[AS-VL]]),"")</f>
        <v>0</v>
      </c>
      <c r="DZ305" s="92" t="str">
        <f>IFERROR(Tabla_Buffers_Agroinsumos[[#This Row],[INV FIS AS]]-Tabla_Buffers_Agroinsumos[[#This Row],[BUFFER AS]],"")</f>
        <v/>
      </c>
      <c r="EA30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05" s="134"/>
      <c r="EC305" s="134"/>
      <c r="ED305" s="134"/>
      <c r="EE305" s="134"/>
      <c r="EF305" s="134"/>
      <c r="EG305" s="134"/>
      <c r="EH305" s="134"/>
      <c r="EI305" s="134"/>
      <c r="EJ305" s="134"/>
      <c r="EK305" s="134" t="str">
        <f t="array" ref="EK305">IFERROR(INDEX(TABLACONSOLIDADA[Buff Act],MATCH("AGROINSUMOSLAFINCA"&amp;Tabla_Buffers_Agroinsumos[[#This Row],[CODIGO ]],TABLACONSOLIDADA[Bodega]&amp;TABLACONSOLIDADA[Codigo],0)),"")</f>
        <v/>
      </c>
      <c r="EL305" s="157" t="str">
        <f t="array" ref="EL305">IFERROR(INDEX(TABLACONSOLIDADA[Inv Fís Act],MATCH("AGROINSUMOSLAFINCA"&amp;Tabla_Buffers_Agroinsumos[[#This Row],[CODIGO ]],TABLACONSOLIDADA[Bodega]&amp;TABLACONSOLIDADA[Codigo],0)),"")</f>
        <v/>
      </c>
      <c r="EM305" s="157" t="str">
        <f t="array" ref="EM30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0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05" s="134">
        <f>IFERROR(SUM(Tabla_Buffers_Agroinsumos[[#This Row],[LF-MP]:[LF-VL]]),"")</f>
        <v>0</v>
      </c>
      <c r="EP305" s="92" t="str">
        <f>IFERROR(Tabla_Buffers_Agroinsumos[[#This Row],[INV FIS LF]]-Tabla_Buffers_Agroinsumos[[#This Row],[BUFFER LF]],"")</f>
        <v/>
      </c>
      <c r="EQ30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05" s="134"/>
      <c r="ES305" s="134"/>
      <c r="ET305" s="134"/>
      <c r="EU305" s="134"/>
      <c r="EV305" s="134"/>
      <c r="EW305" s="134"/>
      <c r="EX305" s="134"/>
      <c r="EY305" s="134"/>
      <c r="EZ305" s="134"/>
      <c r="FA305" s="134" t="str">
        <f t="array" ref="FA305">IFERROR(INDEX(TABLACONSOLIDADA[Buff Act],MATCH("AGROINSUMOSVERONICALEDESMA"&amp;Tabla_Buffers_Agroinsumos[[#This Row],[CODIGO ]],TABLACONSOLIDADA[Bodega]&amp;TABLACONSOLIDADA[Codigo],0)),"")</f>
        <v/>
      </c>
      <c r="FB305" s="157" t="str">
        <f t="array" ref="FB305">IFERROR(INDEX(TABLACONSOLIDADA[Inv Fís Act],MATCH("AGROINSUMOSVERONICALEDESMA"&amp;Tabla_Buffers_Agroinsumos[[#This Row],[CODIGO ]],TABLACONSOLIDADA[Bodega]&amp;TABLACONSOLIDADA[Codigo],0)),"")</f>
        <v/>
      </c>
      <c r="FC305" s="157" t="str">
        <f t="array" ref="FC30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0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05" s="134">
        <f>IFERROR(SUM(Tabla_Buffers_Agroinsumos[[#This Row],[VL-MP]:[VL-LF]]),"")</f>
        <v>0</v>
      </c>
      <c r="FF305" s="92" t="str">
        <f>IFERROR(Tabla_Buffers_Agroinsumos[[#This Row],[INV FIS VL]]-Tabla_Buffers_Agroinsumos[[#This Row],[BUFFER VL]],"")</f>
        <v/>
      </c>
      <c r="FG30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05" s="134"/>
      <c r="FI305" s="134"/>
      <c r="FJ305" s="134"/>
      <c r="FK305" s="134"/>
      <c r="FL305" s="134"/>
      <c r="FM305" s="134"/>
      <c r="FN305" s="134"/>
      <c r="FO305" s="134"/>
      <c r="FP305" s="134"/>
    </row>
    <row r="306" spans="1:172">
      <c r="A306" s="7" t="s">
        <v>522</v>
      </c>
      <c r="B306" s="7" t="s">
        <v>523</v>
      </c>
      <c r="C306" s="7" t="s">
        <v>709</v>
      </c>
      <c r="D306" s="7" t="s">
        <v>720</v>
      </c>
      <c r="E306" s="7" t="s">
        <v>863</v>
      </c>
      <c r="F306" s="19" t="s">
        <v>814</v>
      </c>
      <c r="G306" s="19" t="s">
        <v>873</v>
      </c>
      <c r="H306" s="19">
        <f>VLOOKUP(Tabla_Buffers_Agroinsumos[[#This Row],[CODIGO ]],TABLACONSOLIDADA[[Codigo]:[PV]],6,0)</f>
        <v>0</v>
      </c>
      <c r="I306" s="19">
        <f>VLOOKUP(Tabla_Buffers_Agroinsumos[[#This Row],[CODIGO ]],TABLACONSOLIDADA[[Codigo]:[PV]],5,0)</f>
        <v>4.68</v>
      </c>
      <c r="J306" s="19">
        <v>12</v>
      </c>
      <c r="K306" s="19">
        <v>14</v>
      </c>
      <c r="L306" s="19">
        <f>IFERROR(Tabla_Buffers_Agroinsumos[[#This Row],[BUFFER CENTRAL]]/((Tabla_Buffers_Agroinsumos[[#This Row],[TIEMPO REPOSICION ]]/Tabla_Buffers_Agroinsumos[[#This Row],[FRECUENCIA]])+1),0)</f>
        <v>0</v>
      </c>
      <c r="M306" s="19">
        <f t="array" ref="M306">IFERROR(INDEX(TABLACONSOLIDADA[Buff Act],MATCH("AGROINSUMOSMATERIAPRIMA"&amp;Tabla_Buffers_Agroinsumos[[#This Row],[CODIGO ]],TABLACONSOLIDADA[Bodega]&amp;TABLACONSOLIDADA[Codigo],0)),"")</f>
        <v>0</v>
      </c>
      <c r="N306" s="157">
        <f t="array" ref="N306">IFERROR(INDEX(TABLACONSOLIDADA[Inv Fís Act],MATCH("AGROINSUMOSMATERIAPRIMA"&amp;Tabla_Buffers_Agroinsumos[[#This Row],[CODIGO ]],TABLACONSOLIDADA[Bodega]&amp;TABLACONSOLIDADA[Codigo],0)),"")</f>
        <v>0</v>
      </c>
      <c r="O306" s="157">
        <f t="array" ref="O30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30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06" s="19">
        <f>IFERROR(SUM(Tabla_Buffers_Agroinsumos[[#This Row],[MP-C]:[MP-VL]]),"")</f>
        <v>0</v>
      </c>
      <c r="R306" s="92">
        <f>IFERROR(Tabla_Buffers_Agroinsumos[[#This Row],[INV FIS MATERIA PRIMA]]-Tabla_Buffers_Agroinsumos[[#This Row],[BUFFER MATERIA PRIMA]],"")</f>
        <v>0</v>
      </c>
      <c r="S30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306" s="19"/>
      <c r="U306" s="19"/>
      <c r="V306" s="19"/>
      <c r="W306" s="19"/>
      <c r="X306" s="19"/>
      <c r="Y306" s="19"/>
      <c r="Z306" s="19"/>
      <c r="AA306" s="19"/>
      <c r="AB306" s="19"/>
      <c r="AC306" s="152" t="str">
        <f t="array" ref="AC306">IFERROR(INDEX(TABLACONSOLIDADA[Buff Act],MATCH("AGROINSUMOSCENTRAL"&amp;Tabla_Buffers_Agroinsumos[[#This Row],[CODIGO ]],TABLACONSOLIDADA[Bodega]&amp;TABLACONSOLIDADA[Codigo],0)),"")</f>
        <v/>
      </c>
      <c r="AD306" s="157" t="str">
        <f t="array" ref="AD306">IFERROR(INDEX(TABLACONSOLIDADA[Inv Fís Act],MATCH("AGROINSUMOSCENTRAL"&amp;Tabla_Buffers_Agroinsumos[[#This Row],[CODIGO ]],TABLACONSOLIDADA[Bodega]&amp;TABLACONSOLIDADA[Codigo],0)),"")</f>
        <v/>
      </c>
      <c r="AE306" s="157" t="str">
        <f t="array" ref="AE30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0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06" s="91">
        <f>IFERROR(SUM(Tabla_Buffers_Agroinsumos[[#This Row],[C-MP]:[C-VL]]),"")</f>
        <v>0</v>
      </c>
      <c r="AH306" s="92" t="str">
        <f>IFERROR(Tabla_Buffers_Agroinsumos[[#This Row],[INV FIS CENTRAL]]-Tabla_Buffers_Agroinsumos[[#This Row],[BUFFER CENTRAL]],"")</f>
        <v/>
      </c>
      <c r="AI30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06" s="134"/>
      <c r="AK306" s="134"/>
      <c r="AL306" s="134"/>
      <c r="AM306" s="134"/>
      <c r="AN306" s="134"/>
      <c r="AO306" s="134"/>
      <c r="AP306" s="134"/>
      <c r="AQ306" s="134"/>
      <c r="AR306" s="134"/>
      <c r="AS306" s="134" t="str">
        <f t="array" ref="AS306">IFERROR(INDEX(TABLACONSOLIDADA[Buff Act],MATCH("AGROINSUMOScentralPROPIA"&amp;Tabla_Buffers_Agroinsumos[[#This Row],[CODIGO ]],TABLACONSOLIDADA[Bodega]&amp;TABLACONSOLIDADA[Codigo],0)),"")</f>
        <v/>
      </c>
      <c r="AT306" s="157" t="str">
        <f t="array" ref="AT306">IFERROR(INDEX(TABLACONSOLIDADA[Inv Fís Act],MATCH("AGROINSUMOScentralPROPIA"&amp;Tabla_Buffers_Agroinsumos[[#This Row],[CODIGO ]],TABLACONSOLIDADA[Bodega]&amp;TABLACONSOLIDADA[Codigo],0)),"")</f>
        <v/>
      </c>
      <c r="AU306" s="157" t="str">
        <f t="array" ref="AU30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0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06" s="134">
        <f>IFERROR(SUM(Tabla_Buffers_Agroinsumos[[#This Row],[P-MP]:[P-VL]]),"")</f>
        <v>0</v>
      </c>
      <c r="AX306" s="92" t="str">
        <f>IFERROR(Tabla_Buffers_Agroinsumos[[#This Row],[INV FIS PROPIA]]-Tabla_Buffers_Agroinsumos[[#This Row],[BUFFER PROPIA]],"")</f>
        <v/>
      </c>
      <c r="AY30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06" s="134"/>
      <c r="BA306" s="134"/>
      <c r="BB306" s="134"/>
      <c r="BC306" s="134"/>
      <c r="BD306" s="134"/>
      <c r="BE306" s="134"/>
      <c r="BF306" s="134"/>
      <c r="BG306" s="134"/>
      <c r="BH306" s="134"/>
      <c r="BI306" s="91" t="str">
        <f t="array" ref="BI306">IFERROR(INDEX(TABLACONSOLIDADA[Buff Act],MATCH("AGROINSUMOSSTODOMINGO"&amp;Tabla_Buffers_Agroinsumos[[#This Row],[CODIGO ]],TABLACONSOLIDADA[Bodega]&amp;TABLACONSOLIDADA[Codigo],0)),"")</f>
        <v/>
      </c>
      <c r="BJ306" s="157" t="str">
        <f t="array" ref="BJ306">IFERROR(INDEX(TABLACONSOLIDADA[Inv Fís Act],MATCH("AGROINSUMOSSTODOMINGO"&amp;Tabla_Buffers_Agroinsumos[[#This Row],[CODIGO ]],TABLACONSOLIDADA[Bodega]&amp;TABLACONSOLIDADA[Codigo],0)),"")</f>
        <v/>
      </c>
      <c r="BK306" s="157" t="str">
        <f t="array" ref="BK30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0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06" s="91">
        <f>IFERROR(SUM(Tabla_Buffers_Agroinsumos[[#This Row],[SD-MP]:[SD-VL]]),"")</f>
        <v>0</v>
      </c>
      <c r="BN306" s="92"/>
      <c r="BO306" s="92"/>
      <c r="BP306" s="134"/>
      <c r="BQ306" s="134"/>
      <c r="BR306" s="134"/>
      <c r="BS306" s="134"/>
      <c r="BT306" s="134"/>
      <c r="BU306" s="134"/>
      <c r="BV306" s="134"/>
      <c r="BW306" s="134"/>
      <c r="BX306" s="134"/>
      <c r="BY306" s="134" t="str">
        <f t="array" ref="BY306">IFERROR(INDEX(TABLACONSOLIDADA[Buff Act],MATCH("AGROINSUMOSMONCAYOLOPEZ"&amp;Tabla_Buffers_Agroinsumos[[#This Row],[CODIGO ]],TABLACONSOLIDADA[Bodega]&amp;TABLACONSOLIDADA[Codigo],0)),"")</f>
        <v/>
      </c>
      <c r="BZ306" s="157" t="str">
        <f t="array" ref="BZ306">IFERROR(INDEX(TABLACONSOLIDADA[Inv Fís Act],MATCH("AGROINSUMOSMONCAYOLOPEZ"&amp;Tabla_Buffers_Agroinsumos[[#This Row],[CODIGO ]],TABLACONSOLIDADA[Bodega]&amp;TABLACONSOLIDADA[Codigo],0)),"")</f>
        <v/>
      </c>
      <c r="CA306" s="157" t="str">
        <f t="array" ref="CA30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0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06" s="134">
        <f>IFERROR(SUM(Tabla_Buffers_Agroinsumos[[#This Row],[ML-MP]:[ML-VL]]),"")</f>
        <v>0</v>
      </c>
      <c r="CD306" s="92" t="str">
        <f>IFERROR(Tabla_Buffers_Agroinsumos[[#This Row],[INV FIS ML]]-Tabla_Buffers_Agroinsumos[[#This Row],[BUFFER ML]],"")</f>
        <v/>
      </c>
      <c r="CE30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06" s="134"/>
      <c r="CG306" s="134"/>
      <c r="CH306" s="134"/>
      <c r="CI306" s="134"/>
      <c r="CJ306" s="134"/>
      <c r="CK306" s="134"/>
      <c r="CL306" s="134"/>
      <c r="CM306" s="134"/>
      <c r="CN306" s="134"/>
      <c r="CO306" s="134" t="str">
        <f t="array" ref="CO306">IFERROR(INDEX(TABLACONSOLIDADA[Buff Act],MATCH("AGROINSUMOSAGROHERMANOSLEON"&amp;Tabla_Buffers_Agroinsumos[[#This Row],[CODIGO ]],TABLACONSOLIDADA[Bodega]&amp;TABLACONSOLIDADA[Codigo],0)),"")</f>
        <v/>
      </c>
      <c r="CP306" s="157" t="str">
        <f t="array" ref="CP306">IFERROR(INDEX(TABLACONSOLIDADA[Inv Fís Act],MATCH("AGROINSUMOSAGROHERMANOSLEON"&amp;Tabla_Buffers_Agroinsumos[[#This Row],[CODIGO ]],TABLACONSOLIDADA[Bodega]&amp;TABLACONSOLIDADA[Codigo],0)),"")</f>
        <v/>
      </c>
      <c r="CQ306" s="157" t="str">
        <f t="array" ref="CQ30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0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06" s="134">
        <f>IFERROR(SUM(Tabla_Buffers_Agroinsumos[[#This Row],[AL-MP]:[AL-VL]]),"")</f>
        <v>0</v>
      </c>
      <c r="CT306" s="92" t="str">
        <f>IFERROR(Tabla_Buffers_Agroinsumos[[#This Row],[INV FIS AL]]-Tabla_Buffers_Agroinsumos[[#This Row],[BUFFER AL]],"")</f>
        <v/>
      </c>
      <c r="CU30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06" s="134"/>
      <c r="CW306" s="134"/>
      <c r="CX306" s="134"/>
      <c r="CY306" s="134"/>
      <c r="CZ306" s="134"/>
      <c r="DA306" s="134"/>
      <c r="DB306" s="134"/>
      <c r="DC306" s="134"/>
      <c r="DD306" s="134"/>
      <c r="DE306" s="134" t="str">
        <f t="array" ref="DE306">IFERROR(INDEX(TABLACONSOLIDADA[Buff Act],MATCH("AGROINSUMOSAGRONUEVO"&amp;Tabla_Buffers_Agroinsumos[[#This Row],[CODIGO ]],TABLACONSOLIDADA[Bodega]&amp;TABLACONSOLIDADA[Codigo],0)),"")</f>
        <v/>
      </c>
      <c r="DF306" s="157" t="str">
        <f t="array" ref="DF306">IFERROR(INDEX(TABLACONSOLIDADA[Inv Fís Act],MATCH("AGROINSUMOSAGRONUEVO"&amp;Tabla_Buffers_Agroinsumos[[#This Row],[CODIGO ]],TABLACONSOLIDADA[Bodega]&amp;TABLACONSOLIDADA[Codigo],0)),"")</f>
        <v/>
      </c>
      <c r="DG306" s="157" t="str">
        <f t="array" ref="DG30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0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06" s="134">
        <f>IFERROR(SUM(Tabla_Buffers_Agroinsumos[[#This Row],[AN-MP]:[AN-VL]]),"")</f>
        <v>0</v>
      </c>
      <c r="DJ306" s="92" t="str">
        <f>IFERROR(Tabla_Buffers_Agroinsumos[[#This Row],[INV FIS AN]]-Tabla_Buffers_Agroinsumos[[#This Row],[BUFFER AN]],"")</f>
        <v/>
      </c>
      <c r="DK30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06" s="134"/>
      <c r="DM306" s="134"/>
      <c r="DN306" s="134"/>
      <c r="DO306" s="134"/>
      <c r="DP306" s="134"/>
      <c r="DQ306" s="134"/>
      <c r="DR306" s="134"/>
      <c r="DS306" s="134"/>
      <c r="DT306" s="134"/>
      <c r="DU306" s="134" t="str">
        <f t="array" ref="DU306">IFERROR(INDEX(TABLACONSOLIDADA[Buff Act],MATCH("AGROINSUMOSAGROQUIMICOSSUR"&amp;Tabla_Buffers_Agroinsumos[[#This Row],[CODIGO ]],TABLACONSOLIDADA[Bodega]&amp;TABLACONSOLIDADA[Codigo],0)),"")</f>
        <v/>
      </c>
      <c r="DV306" s="157" t="str">
        <f t="array" ref="DV306">IFERROR(INDEX(TABLACONSOLIDADA[Inv Fís Act],MATCH("AGROINSUMOSAGROQUIMICOSSUR"&amp;Tabla_Buffers_Agroinsumos[[#This Row],[CODIGO ]],TABLACONSOLIDADA[Bodega]&amp;TABLACONSOLIDADA[Codigo],0)),"")</f>
        <v/>
      </c>
      <c r="DW306" s="157" t="str">
        <f t="array" ref="DW30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0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06" s="134">
        <f>IFERROR(SUM(Tabla_Buffers_Agroinsumos[[#This Row],[AS-MP]:[AS-VL]]),"")</f>
        <v>0</v>
      </c>
      <c r="DZ306" s="92" t="str">
        <f>IFERROR(Tabla_Buffers_Agroinsumos[[#This Row],[INV FIS AS]]-Tabla_Buffers_Agroinsumos[[#This Row],[BUFFER AS]],"")</f>
        <v/>
      </c>
      <c r="EA30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06" s="134"/>
      <c r="EC306" s="134"/>
      <c r="ED306" s="134"/>
      <c r="EE306" s="134"/>
      <c r="EF306" s="134"/>
      <c r="EG306" s="134"/>
      <c r="EH306" s="134"/>
      <c r="EI306" s="134"/>
      <c r="EJ306" s="134"/>
      <c r="EK306" s="134" t="str">
        <f t="array" ref="EK306">IFERROR(INDEX(TABLACONSOLIDADA[Buff Act],MATCH("AGROINSUMOSLAFINCA"&amp;Tabla_Buffers_Agroinsumos[[#This Row],[CODIGO ]],TABLACONSOLIDADA[Bodega]&amp;TABLACONSOLIDADA[Codigo],0)),"")</f>
        <v/>
      </c>
      <c r="EL306" s="157" t="str">
        <f t="array" ref="EL306">IFERROR(INDEX(TABLACONSOLIDADA[Inv Fís Act],MATCH("AGROINSUMOSLAFINCA"&amp;Tabla_Buffers_Agroinsumos[[#This Row],[CODIGO ]],TABLACONSOLIDADA[Bodega]&amp;TABLACONSOLIDADA[Codigo],0)),"")</f>
        <v/>
      </c>
      <c r="EM306" s="157" t="str">
        <f t="array" ref="EM30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0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06" s="134">
        <f>IFERROR(SUM(Tabla_Buffers_Agroinsumos[[#This Row],[LF-MP]:[LF-VL]]),"")</f>
        <v>0</v>
      </c>
      <c r="EP306" s="92" t="str">
        <f>IFERROR(Tabla_Buffers_Agroinsumos[[#This Row],[INV FIS LF]]-Tabla_Buffers_Agroinsumos[[#This Row],[BUFFER LF]],"")</f>
        <v/>
      </c>
      <c r="EQ30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06" s="134"/>
      <c r="ES306" s="134"/>
      <c r="ET306" s="134"/>
      <c r="EU306" s="134"/>
      <c r="EV306" s="134"/>
      <c r="EW306" s="134"/>
      <c r="EX306" s="134"/>
      <c r="EY306" s="134"/>
      <c r="EZ306" s="134"/>
      <c r="FA306" s="134" t="str">
        <f t="array" ref="FA306">IFERROR(INDEX(TABLACONSOLIDADA[Buff Act],MATCH("AGROINSUMOSVERONICALEDESMA"&amp;Tabla_Buffers_Agroinsumos[[#This Row],[CODIGO ]],TABLACONSOLIDADA[Bodega]&amp;TABLACONSOLIDADA[Codigo],0)),"")</f>
        <v/>
      </c>
      <c r="FB306" s="157" t="str">
        <f t="array" ref="FB306">IFERROR(INDEX(TABLACONSOLIDADA[Inv Fís Act],MATCH("AGROINSUMOSVERONICALEDESMA"&amp;Tabla_Buffers_Agroinsumos[[#This Row],[CODIGO ]],TABLACONSOLIDADA[Bodega]&amp;TABLACONSOLIDADA[Codigo],0)),"")</f>
        <v/>
      </c>
      <c r="FC306" s="157" t="str">
        <f t="array" ref="FC30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0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06" s="134">
        <f>IFERROR(SUM(Tabla_Buffers_Agroinsumos[[#This Row],[VL-MP]:[VL-LF]]),"")</f>
        <v>0</v>
      </c>
      <c r="FF306" s="92" t="str">
        <f>IFERROR(Tabla_Buffers_Agroinsumos[[#This Row],[INV FIS VL]]-Tabla_Buffers_Agroinsumos[[#This Row],[BUFFER VL]],"")</f>
        <v/>
      </c>
      <c r="FG30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06" s="134"/>
      <c r="FI306" s="134"/>
      <c r="FJ306" s="134"/>
      <c r="FK306" s="134"/>
      <c r="FL306" s="134"/>
      <c r="FM306" s="134"/>
      <c r="FN306" s="134"/>
      <c r="FO306" s="134"/>
      <c r="FP306" s="134"/>
    </row>
    <row r="307" spans="1:172">
      <c r="A307" s="7" t="s">
        <v>524</v>
      </c>
      <c r="B307" s="7" t="s">
        <v>525</v>
      </c>
      <c r="C307" s="7" t="s">
        <v>709</v>
      </c>
      <c r="D307" s="7" t="s">
        <v>719</v>
      </c>
      <c r="E307" s="7" t="s">
        <v>975</v>
      </c>
      <c r="F307" s="19" t="s">
        <v>698</v>
      </c>
      <c r="G307" s="19" t="s">
        <v>698</v>
      </c>
      <c r="H307" s="19">
        <f>VLOOKUP(Tabla_Buffers_Agroinsumos[[#This Row],[CODIGO ]],TABLACONSOLIDADA[[Codigo]:[PV]],6,0)</f>
        <v>0.85</v>
      </c>
      <c r="I307" s="19">
        <f>VLOOKUP(Tabla_Buffers_Agroinsumos[[#This Row],[CODIGO ]],TABLACONSOLIDADA[[Codigo]:[PV]],5,0)</f>
        <v>0.49</v>
      </c>
      <c r="J307" s="19" t="s">
        <v>698</v>
      </c>
      <c r="K307" s="19" t="s">
        <v>698</v>
      </c>
      <c r="L307" s="19">
        <f>IFERROR(Tabla_Buffers_Agroinsumos[[#This Row],[BUFFER CENTRAL]]/((Tabla_Buffers_Agroinsumos[[#This Row],[TIEMPO REPOSICION ]]/Tabla_Buffers_Agroinsumos[[#This Row],[FRECUENCIA]])+1),0)</f>
        <v>0</v>
      </c>
      <c r="M307" s="19" t="str">
        <f t="array" ref="M307">IFERROR(INDEX(TABLACONSOLIDADA[Buff Act],MATCH("AGROINSUMOSMATERIAPRIMA"&amp;Tabla_Buffers_Agroinsumos[[#This Row],[CODIGO ]],TABLACONSOLIDADA[Bodega]&amp;TABLACONSOLIDADA[Codigo],0)),"")</f>
        <v/>
      </c>
      <c r="N307" s="157" t="str">
        <f t="array" ref="N307">IFERROR(INDEX(TABLACONSOLIDADA[Inv Fís Act],MATCH("AGROINSUMOSMATERIAPRIMA"&amp;Tabla_Buffers_Agroinsumos[[#This Row],[CODIGO ]],TABLACONSOLIDADA[Bodega]&amp;TABLACONSOLIDADA[Codigo],0)),"")</f>
        <v/>
      </c>
      <c r="O307" s="157" t="str">
        <f t="array" ref="O30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0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07" s="19">
        <f>IFERROR(SUM(Tabla_Buffers_Agroinsumos[[#This Row],[MP-C]:[MP-VL]]),"")</f>
        <v>0</v>
      </c>
      <c r="R307" s="92" t="str">
        <f>IFERROR(Tabla_Buffers_Agroinsumos[[#This Row],[INV FIS MATERIA PRIMA]]-Tabla_Buffers_Agroinsumos[[#This Row],[BUFFER MATERIA PRIMA]],"")</f>
        <v/>
      </c>
      <c r="S30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07" s="19"/>
      <c r="U307" s="19"/>
      <c r="V307" s="19"/>
      <c r="W307" s="19"/>
      <c r="X307" s="19"/>
      <c r="Y307" s="19"/>
      <c r="Z307" s="19"/>
      <c r="AA307" s="19"/>
      <c r="AB307" s="19"/>
      <c r="AC307" s="152">
        <f t="array" ref="AC307">IFERROR(INDEX(TABLACONSOLIDADA[Buff Act],MATCH("AGROINSUMOSCENTRAL"&amp;Tabla_Buffers_Agroinsumos[[#This Row],[CODIGO ]],TABLACONSOLIDADA[Bodega]&amp;TABLACONSOLIDADA[Codigo],0)),"")</f>
        <v>0</v>
      </c>
      <c r="AD307" s="157">
        <f t="array" ref="AD307">IFERROR(INDEX(TABLACONSOLIDADA[Inv Fís Act],MATCH("AGROINSUMOSCENTRAL"&amp;Tabla_Buffers_Agroinsumos[[#This Row],[CODIGO ]],TABLACONSOLIDADA[Bodega]&amp;TABLACONSOLIDADA[Codigo],0)),"")</f>
        <v>0</v>
      </c>
      <c r="AE307" s="157">
        <f t="array" ref="AE30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0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07" s="91">
        <f>IFERROR(SUM(Tabla_Buffers_Agroinsumos[[#This Row],[C-MP]:[C-VL]]),"")</f>
        <v>0</v>
      </c>
      <c r="AH307" s="92">
        <f>IFERROR(Tabla_Buffers_Agroinsumos[[#This Row],[INV FIS CENTRAL]]-Tabla_Buffers_Agroinsumos[[#This Row],[BUFFER CENTRAL]],"")</f>
        <v>0</v>
      </c>
      <c r="AI30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07" s="134"/>
      <c r="AK307" s="134"/>
      <c r="AL307" s="134"/>
      <c r="AM307" s="134"/>
      <c r="AN307" s="134"/>
      <c r="AO307" s="134"/>
      <c r="AP307" s="134"/>
      <c r="AQ307" s="134"/>
      <c r="AR307" s="134"/>
      <c r="AS307" s="134">
        <f t="array" ref="AS307">IFERROR(INDEX(TABLACONSOLIDADA[Buff Act],MATCH("AGROINSUMOScentralPROPIA"&amp;Tabla_Buffers_Agroinsumos[[#This Row],[CODIGO ]],TABLACONSOLIDADA[Bodega]&amp;TABLACONSOLIDADA[Codigo],0)),"")</f>
        <v>0</v>
      </c>
      <c r="AT307" s="157">
        <f t="array" ref="AT307">IFERROR(INDEX(TABLACONSOLIDADA[Inv Fís Act],MATCH("AGROINSUMOScentralPROPIA"&amp;Tabla_Buffers_Agroinsumos[[#This Row],[CODIGO ]],TABLACONSOLIDADA[Bodega]&amp;TABLACONSOLIDADA[Codigo],0)),"")</f>
        <v>0</v>
      </c>
      <c r="AU307" s="157">
        <f t="array" ref="AU30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0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07" s="134">
        <f>IFERROR(SUM(Tabla_Buffers_Agroinsumos[[#This Row],[P-MP]:[P-VL]]),"")</f>
        <v>0</v>
      </c>
      <c r="AX307" s="92">
        <f>IFERROR(Tabla_Buffers_Agroinsumos[[#This Row],[INV FIS PROPIA]]-Tabla_Buffers_Agroinsumos[[#This Row],[BUFFER PROPIA]],"")</f>
        <v>0</v>
      </c>
      <c r="AY30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07" s="134"/>
      <c r="BA307" s="134"/>
      <c r="BB307" s="134"/>
      <c r="BC307" s="134"/>
      <c r="BD307" s="134"/>
      <c r="BE307" s="134"/>
      <c r="BF307" s="134"/>
      <c r="BG307" s="134"/>
      <c r="BH307" s="134"/>
      <c r="BI307" s="91">
        <f t="array" ref="BI307">IFERROR(INDEX(TABLACONSOLIDADA[Buff Act],MATCH("AGROINSUMOSSTODOMINGO"&amp;Tabla_Buffers_Agroinsumos[[#This Row],[CODIGO ]],TABLACONSOLIDADA[Bodega]&amp;TABLACONSOLIDADA[Codigo],0)),"")</f>
        <v>0</v>
      </c>
      <c r="BJ307" s="157">
        <f t="array" ref="BJ307">IFERROR(INDEX(TABLACONSOLIDADA[Inv Fís Act],MATCH("AGROINSUMOSSTODOMINGO"&amp;Tabla_Buffers_Agroinsumos[[#This Row],[CODIGO ]],TABLACONSOLIDADA[Bodega]&amp;TABLACONSOLIDADA[Codigo],0)),"")</f>
        <v>0</v>
      </c>
      <c r="BK307" s="157">
        <f t="array" ref="BK30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0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07" s="91">
        <f>IFERROR(SUM(Tabla_Buffers_Agroinsumos[[#This Row],[SD-MP]:[SD-VL]]),"")</f>
        <v>0</v>
      </c>
      <c r="BN307" s="92"/>
      <c r="BO307" s="92"/>
      <c r="BP307" s="134"/>
      <c r="BQ307" s="134"/>
      <c r="BR307" s="134"/>
      <c r="BS307" s="134"/>
      <c r="BT307" s="134"/>
      <c r="BU307" s="134"/>
      <c r="BV307" s="134"/>
      <c r="BW307" s="134"/>
      <c r="BX307" s="134"/>
      <c r="BY307" s="134">
        <f t="array" ref="BY307">IFERROR(INDEX(TABLACONSOLIDADA[Buff Act],MATCH("AGROINSUMOSMONCAYOLOPEZ"&amp;Tabla_Buffers_Agroinsumos[[#This Row],[CODIGO ]],TABLACONSOLIDADA[Bodega]&amp;TABLACONSOLIDADA[Codigo],0)),"")</f>
        <v>0</v>
      </c>
      <c r="BZ307" s="157">
        <f t="array" ref="BZ307">IFERROR(INDEX(TABLACONSOLIDADA[Inv Fís Act],MATCH("AGROINSUMOSMONCAYOLOPEZ"&amp;Tabla_Buffers_Agroinsumos[[#This Row],[CODIGO ]],TABLACONSOLIDADA[Bodega]&amp;TABLACONSOLIDADA[Codigo],0)),"")</f>
        <v>0</v>
      </c>
      <c r="CA307" s="157">
        <f t="array" ref="CA30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0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07" s="134">
        <f>IFERROR(SUM(Tabla_Buffers_Agroinsumos[[#This Row],[ML-MP]:[ML-VL]]),"")</f>
        <v>0</v>
      </c>
      <c r="CD307" s="92">
        <f>IFERROR(Tabla_Buffers_Agroinsumos[[#This Row],[INV FIS ML]]-Tabla_Buffers_Agroinsumos[[#This Row],[BUFFER ML]],"")</f>
        <v>0</v>
      </c>
      <c r="CE307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07" s="134"/>
      <c r="CG307" s="134"/>
      <c r="CH307" s="134"/>
      <c r="CI307" s="134"/>
      <c r="CJ307" s="134"/>
      <c r="CK307" s="134"/>
      <c r="CL307" s="134"/>
      <c r="CM307" s="134"/>
      <c r="CN307" s="134"/>
      <c r="CO307" s="134">
        <f t="array" ref="CO307">IFERROR(INDEX(TABLACONSOLIDADA[Buff Act],MATCH("AGROINSUMOSAGROHERMANOSLEON"&amp;Tabla_Buffers_Agroinsumos[[#This Row],[CODIGO ]],TABLACONSOLIDADA[Bodega]&amp;TABLACONSOLIDADA[Codigo],0)),"")</f>
        <v>0</v>
      </c>
      <c r="CP307" s="157">
        <f t="array" ref="CP307">IFERROR(INDEX(TABLACONSOLIDADA[Inv Fís Act],MATCH("AGROINSUMOSAGROHERMANOSLEON"&amp;Tabla_Buffers_Agroinsumos[[#This Row],[CODIGO ]],TABLACONSOLIDADA[Bodega]&amp;TABLACONSOLIDADA[Codigo],0)),"")</f>
        <v>0</v>
      </c>
      <c r="CQ307" s="157">
        <f t="array" ref="CQ30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0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07" s="134">
        <f>IFERROR(SUM(Tabla_Buffers_Agroinsumos[[#This Row],[AL-MP]:[AL-VL]]),"")</f>
        <v>0</v>
      </c>
      <c r="CT307" s="92">
        <f>IFERROR(Tabla_Buffers_Agroinsumos[[#This Row],[INV FIS AL]]-Tabla_Buffers_Agroinsumos[[#This Row],[BUFFER AL]],"")</f>
        <v>0</v>
      </c>
      <c r="CU30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07" s="134"/>
      <c r="CW307" s="134"/>
      <c r="CX307" s="134"/>
      <c r="CY307" s="134"/>
      <c r="CZ307" s="134"/>
      <c r="DA307" s="134"/>
      <c r="DB307" s="134"/>
      <c r="DC307" s="134"/>
      <c r="DD307" s="134"/>
      <c r="DE307" s="134">
        <f t="array" ref="DE307">IFERROR(INDEX(TABLACONSOLIDADA[Buff Act],MATCH("AGROINSUMOSAGRONUEVO"&amp;Tabla_Buffers_Agroinsumos[[#This Row],[CODIGO ]],TABLACONSOLIDADA[Bodega]&amp;TABLACONSOLIDADA[Codigo],0)),"")</f>
        <v>0</v>
      </c>
      <c r="DF307" s="157">
        <f t="array" ref="DF307">IFERROR(INDEX(TABLACONSOLIDADA[Inv Fís Act],MATCH("AGROINSUMOSAGRONUEVO"&amp;Tabla_Buffers_Agroinsumos[[#This Row],[CODIGO ]],TABLACONSOLIDADA[Bodega]&amp;TABLACONSOLIDADA[Codigo],0)),"")</f>
        <v>0</v>
      </c>
      <c r="DG307" s="157">
        <f t="array" ref="DG30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0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07" s="134">
        <f>IFERROR(SUM(Tabla_Buffers_Agroinsumos[[#This Row],[AN-MP]:[AN-VL]]),"")</f>
        <v>0</v>
      </c>
      <c r="DJ307" s="92">
        <f>IFERROR(Tabla_Buffers_Agroinsumos[[#This Row],[INV FIS AN]]-Tabla_Buffers_Agroinsumos[[#This Row],[BUFFER AN]],"")</f>
        <v>0</v>
      </c>
      <c r="DK30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07" s="134"/>
      <c r="DM307" s="134"/>
      <c r="DN307" s="134"/>
      <c r="DO307" s="134"/>
      <c r="DP307" s="134"/>
      <c r="DQ307" s="134"/>
      <c r="DR307" s="134"/>
      <c r="DS307" s="134"/>
      <c r="DT307" s="134"/>
      <c r="DU307" s="134">
        <f t="array" ref="DU307">IFERROR(INDEX(TABLACONSOLIDADA[Buff Act],MATCH("AGROINSUMOSAGROQUIMICOSSUR"&amp;Tabla_Buffers_Agroinsumos[[#This Row],[CODIGO ]],TABLACONSOLIDADA[Bodega]&amp;TABLACONSOLIDADA[Codigo],0)),"")</f>
        <v>0</v>
      </c>
      <c r="DV307" s="157">
        <f t="array" ref="DV307">IFERROR(INDEX(TABLACONSOLIDADA[Inv Fís Act],MATCH("AGROINSUMOSAGROQUIMICOSSUR"&amp;Tabla_Buffers_Agroinsumos[[#This Row],[CODIGO ]],TABLACONSOLIDADA[Bodega]&amp;TABLACONSOLIDADA[Codigo],0)),"")</f>
        <v>0</v>
      </c>
      <c r="DW307" s="157">
        <f t="array" ref="DW30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0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07" s="134">
        <f>IFERROR(SUM(Tabla_Buffers_Agroinsumos[[#This Row],[AS-MP]:[AS-VL]]),"")</f>
        <v>0</v>
      </c>
      <c r="DZ307" s="92">
        <f>IFERROR(Tabla_Buffers_Agroinsumos[[#This Row],[INV FIS AS]]-Tabla_Buffers_Agroinsumos[[#This Row],[BUFFER AS]],"")</f>
        <v>0</v>
      </c>
      <c r="EA30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07" s="134"/>
      <c r="EC307" s="134"/>
      <c r="ED307" s="134"/>
      <c r="EE307" s="134"/>
      <c r="EF307" s="134"/>
      <c r="EG307" s="134"/>
      <c r="EH307" s="134"/>
      <c r="EI307" s="134"/>
      <c r="EJ307" s="134"/>
      <c r="EK307" s="134">
        <f t="array" ref="EK307">IFERROR(INDEX(TABLACONSOLIDADA[Buff Act],MATCH("AGROINSUMOSLAFINCA"&amp;Tabla_Buffers_Agroinsumos[[#This Row],[CODIGO ]],TABLACONSOLIDADA[Bodega]&amp;TABLACONSOLIDADA[Codigo],0)),"")</f>
        <v>0</v>
      </c>
      <c r="EL307" s="157">
        <f t="array" ref="EL307">IFERROR(INDEX(TABLACONSOLIDADA[Inv Fís Act],MATCH("AGROINSUMOSLAFINCA"&amp;Tabla_Buffers_Agroinsumos[[#This Row],[CODIGO ]],TABLACONSOLIDADA[Bodega]&amp;TABLACONSOLIDADA[Codigo],0)),"")</f>
        <v>0</v>
      </c>
      <c r="EM307" s="157">
        <f t="array" ref="EM30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0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07" s="134">
        <f>IFERROR(SUM(Tabla_Buffers_Agroinsumos[[#This Row],[LF-MP]:[LF-VL]]),"")</f>
        <v>0</v>
      </c>
      <c r="EP307" s="92">
        <f>IFERROR(Tabla_Buffers_Agroinsumos[[#This Row],[INV FIS LF]]-Tabla_Buffers_Agroinsumos[[#This Row],[BUFFER LF]],"")</f>
        <v>0</v>
      </c>
      <c r="EQ30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07" s="134"/>
      <c r="ES307" s="134"/>
      <c r="ET307" s="134"/>
      <c r="EU307" s="134"/>
      <c r="EV307" s="134"/>
      <c r="EW307" s="134"/>
      <c r="EX307" s="134"/>
      <c r="EY307" s="134"/>
      <c r="EZ307" s="134"/>
      <c r="FA307" s="134">
        <f t="array" ref="FA307">IFERROR(INDEX(TABLACONSOLIDADA[Buff Act],MATCH("AGROINSUMOSVERONICALEDESMA"&amp;Tabla_Buffers_Agroinsumos[[#This Row],[CODIGO ]],TABLACONSOLIDADA[Bodega]&amp;TABLACONSOLIDADA[Codigo],0)),"")</f>
        <v>0</v>
      </c>
      <c r="FB307" s="157">
        <f t="array" ref="FB307">IFERROR(INDEX(TABLACONSOLIDADA[Inv Fís Act],MATCH("AGROINSUMOSVERONICALEDESMA"&amp;Tabla_Buffers_Agroinsumos[[#This Row],[CODIGO ]],TABLACONSOLIDADA[Bodega]&amp;TABLACONSOLIDADA[Codigo],0)),"")</f>
        <v>0</v>
      </c>
      <c r="FC307" s="157">
        <f t="array" ref="FC30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0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07" s="134">
        <f>IFERROR(SUM(Tabla_Buffers_Agroinsumos[[#This Row],[VL-MP]:[VL-LF]]),"")</f>
        <v>0</v>
      </c>
      <c r="FF307" s="92">
        <f>IFERROR(Tabla_Buffers_Agroinsumos[[#This Row],[INV FIS VL]]-Tabla_Buffers_Agroinsumos[[#This Row],[BUFFER VL]],"")</f>
        <v>0</v>
      </c>
      <c r="FG30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07" s="134"/>
      <c r="FI307" s="134"/>
      <c r="FJ307" s="134"/>
      <c r="FK307" s="134"/>
      <c r="FL307" s="134"/>
      <c r="FM307" s="134"/>
      <c r="FN307" s="134"/>
      <c r="FO307" s="134"/>
      <c r="FP307" s="134"/>
    </row>
    <row r="308" spans="1:172">
      <c r="A308" s="7" t="s">
        <v>526</v>
      </c>
      <c r="B308" s="7" t="s">
        <v>527</v>
      </c>
      <c r="C308" s="7" t="s">
        <v>712</v>
      </c>
      <c r="D308" s="7" t="s">
        <v>719</v>
      </c>
      <c r="E308" s="7" t="s">
        <v>975</v>
      </c>
      <c r="F308" s="19" t="s">
        <v>698</v>
      </c>
      <c r="G308" s="19" t="s">
        <v>698</v>
      </c>
      <c r="H308" s="19">
        <f>VLOOKUP(Tabla_Buffers_Agroinsumos[[#This Row],[CODIGO ]],TABLACONSOLIDADA[[Codigo]:[PV]],6,0)</f>
        <v>3.49</v>
      </c>
      <c r="I308" s="19">
        <f>VLOOKUP(Tabla_Buffers_Agroinsumos[[#This Row],[CODIGO ]],TABLACONSOLIDADA[[Codigo]:[PV]],5,0)</f>
        <v>1.72</v>
      </c>
      <c r="J308" s="19" t="s">
        <v>698</v>
      </c>
      <c r="K308" s="19" t="s">
        <v>698</v>
      </c>
      <c r="L308" s="19">
        <f>IFERROR(Tabla_Buffers_Agroinsumos[[#This Row],[BUFFER CENTRAL]]/((Tabla_Buffers_Agroinsumos[[#This Row],[TIEMPO REPOSICION ]]/Tabla_Buffers_Agroinsumos[[#This Row],[FRECUENCIA]])+1),0)</f>
        <v>0</v>
      </c>
      <c r="M308" s="19" t="str">
        <f t="array" ref="M308">IFERROR(INDEX(TABLACONSOLIDADA[Buff Act],MATCH("AGROINSUMOSMATERIAPRIMA"&amp;Tabla_Buffers_Agroinsumos[[#This Row],[CODIGO ]],TABLACONSOLIDADA[Bodega]&amp;TABLACONSOLIDADA[Codigo],0)),"")</f>
        <v/>
      </c>
      <c r="N308" s="157" t="str">
        <f t="array" ref="N308">IFERROR(INDEX(TABLACONSOLIDADA[Inv Fís Act],MATCH("AGROINSUMOSMATERIAPRIMA"&amp;Tabla_Buffers_Agroinsumos[[#This Row],[CODIGO ]],TABLACONSOLIDADA[Bodega]&amp;TABLACONSOLIDADA[Codigo],0)),"")</f>
        <v/>
      </c>
      <c r="O308" s="157" t="str">
        <f t="array" ref="O30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0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08" s="19">
        <f>IFERROR(SUM(Tabla_Buffers_Agroinsumos[[#This Row],[MP-C]:[MP-VL]]),"")</f>
        <v>0</v>
      </c>
      <c r="R308" s="92" t="str">
        <f>IFERROR(Tabla_Buffers_Agroinsumos[[#This Row],[INV FIS MATERIA PRIMA]]-Tabla_Buffers_Agroinsumos[[#This Row],[BUFFER MATERIA PRIMA]],"")</f>
        <v/>
      </c>
      <c r="S30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08" s="19"/>
      <c r="U308" s="19"/>
      <c r="V308" s="19"/>
      <c r="W308" s="19"/>
      <c r="X308" s="19"/>
      <c r="Y308" s="19"/>
      <c r="Z308" s="19"/>
      <c r="AA308" s="19"/>
      <c r="AB308" s="19"/>
      <c r="AC308" s="152">
        <f t="array" ref="AC308">IFERROR(INDEX(TABLACONSOLIDADA[Buff Act],MATCH("AGROINSUMOSCENTRAL"&amp;Tabla_Buffers_Agroinsumos[[#This Row],[CODIGO ]],TABLACONSOLIDADA[Bodega]&amp;TABLACONSOLIDADA[Codigo],0)),"")</f>
        <v>900</v>
      </c>
      <c r="AD308" s="157">
        <f t="array" ref="AD308">IFERROR(INDEX(TABLACONSOLIDADA[Inv Fís Act],MATCH("AGROINSUMOSCENTRAL"&amp;Tabla_Buffers_Agroinsumos[[#This Row],[CODIGO ]],TABLACONSOLIDADA[Bodega]&amp;TABLACONSOLIDADA[Codigo],0)),"")</f>
        <v>198</v>
      </c>
      <c r="AE308" s="157">
        <f t="array" ref="AE30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908</v>
      </c>
      <c r="AF30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08" s="91">
        <f>IFERROR(SUM(Tabla_Buffers_Agroinsumos[[#This Row],[C-MP]:[C-VL]]),"")</f>
        <v>0</v>
      </c>
      <c r="AH308" s="92">
        <f>IFERROR(Tabla_Buffers_Agroinsumos[[#This Row],[INV FIS CENTRAL]]-Tabla_Buffers_Agroinsumos[[#This Row],[BUFFER CENTRAL]],"")</f>
        <v>-702</v>
      </c>
      <c r="AI30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-702</v>
      </c>
      <c r="AJ308" s="134"/>
      <c r="AK308" s="134"/>
      <c r="AL308" s="134"/>
      <c r="AM308" s="134"/>
      <c r="AN308" s="134"/>
      <c r="AO308" s="134"/>
      <c r="AP308" s="134"/>
      <c r="AQ308" s="134"/>
      <c r="AR308" s="134"/>
      <c r="AS308" s="134">
        <f t="array" ref="AS308">IFERROR(INDEX(TABLACONSOLIDADA[Buff Act],MATCH("AGROINSUMOScentralPROPIA"&amp;Tabla_Buffers_Agroinsumos[[#This Row],[CODIGO ]],TABLACONSOLIDADA[Bodega]&amp;TABLACONSOLIDADA[Codigo],0)),"")</f>
        <v>195</v>
      </c>
      <c r="AT308" s="157">
        <f t="array" ref="AT308">IFERROR(INDEX(TABLACONSOLIDADA[Inv Fís Act],MATCH("AGROINSUMOScentralPROPIA"&amp;Tabla_Buffers_Agroinsumos[[#This Row],[CODIGO ]],TABLACONSOLIDADA[Bodega]&amp;TABLACONSOLIDADA[Codigo],0)),"")</f>
        <v>0</v>
      </c>
      <c r="AU308" s="157">
        <f t="array" ref="AU30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0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08" s="134">
        <f>IFERROR(SUM(Tabla_Buffers_Agroinsumos[[#This Row],[P-MP]:[P-VL]]),"")</f>
        <v>0</v>
      </c>
      <c r="AX308" s="92">
        <f>IFERROR(Tabla_Buffers_Agroinsumos[[#This Row],[INV FIS PROPIA]]-Tabla_Buffers_Agroinsumos[[#This Row],[BUFFER PROPIA]],"")</f>
        <v>-195</v>
      </c>
      <c r="AY30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-195</v>
      </c>
      <c r="AZ308" s="134"/>
      <c r="BA308" s="134"/>
      <c r="BB308" s="134"/>
      <c r="BC308" s="134"/>
      <c r="BD308" s="134"/>
      <c r="BE308" s="134"/>
      <c r="BF308" s="134"/>
      <c r="BG308" s="134"/>
      <c r="BH308" s="134"/>
      <c r="BI308" s="91">
        <f t="array" ref="BI308">IFERROR(INDEX(TABLACONSOLIDADA[Buff Act],MATCH("AGROINSUMOSSTODOMINGO"&amp;Tabla_Buffers_Agroinsumos[[#This Row],[CODIGO ]],TABLACONSOLIDADA[Bodega]&amp;TABLACONSOLIDADA[Codigo],0)),"")</f>
        <v>0</v>
      </c>
      <c r="BJ308" s="157">
        <f t="array" ref="BJ308">IFERROR(INDEX(TABLACONSOLIDADA[Inv Fís Act],MATCH("AGROINSUMOSSTODOMINGO"&amp;Tabla_Buffers_Agroinsumos[[#This Row],[CODIGO ]],TABLACONSOLIDADA[Bodega]&amp;TABLACONSOLIDADA[Codigo],0)),"")</f>
        <v>31</v>
      </c>
      <c r="BK308" s="157">
        <f t="array" ref="BK30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31</v>
      </c>
      <c r="BL30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08" s="91">
        <f>IFERROR(SUM(Tabla_Buffers_Agroinsumos[[#This Row],[SD-MP]:[SD-VL]]),"")</f>
        <v>0</v>
      </c>
      <c r="BN308" s="92"/>
      <c r="BO308" s="92"/>
      <c r="BP308" s="134"/>
      <c r="BQ308" s="134"/>
      <c r="BR308" s="134"/>
      <c r="BS308" s="134"/>
      <c r="BT308" s="134"/>
      <c r="BU308" s="134"/>
      <c r="BV308" s="134"/>
      <c r="BW308" s="134"/>
      <c r="BX308" s="134"/>
      <c r="BY308" s="134">
        <f t="array" ref="BY308">IFERROR(INDEX(TABLACONSOLIDADA[Buff Act],MATCH("AGROINSUMOSMONCAYOLOPEZ"&amp;Tabla_Buffers_Agroinsumos[[#This Row],[CODIGO ]],TABLACONSOLIDADA[Bodega]&amp;TABLACONSOLIDADA[Codigo],0)),"")</f>
        <v>0</v>
      </c>
      <c r="BZ308" s="157">
        <f t="array" ref="BZ308">IFERROR(INDEX(TABLACONSOLIDADA[Inv Fís Act],MATCH("AGROINSUMOSMONCAYOLOPEZ"&amp;Tabla_Buffers_Agroinsumos[[#This Row],[CODIGO ]],TABLACONSOLIDADA[Bodega]&amp;TABLACONSOLIDADA[Codigo],0)),"")</f>
        <v>0</v>
      </c>
      <c r="CA308" s="157">
        <f t="array" ref="CA30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0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08" s="134">
        <f>IFERROR(SUM(Tabla_Buffers_Agroinsumos[[#This Row],[ML-MP]:[ML-VL]]),"")</f>
        <v>0</v>
      </c>
      <c r="CD308" s="92">
        <f>IFERROR(Tabla_Buffers_Agroinsumos[[#This Row],[INV FIS ML]]-Tabla_Buffers_Agroinsumos[[#This Row],[BUFFER ML]],"")</f>
        <v>0</v>
      </c>
      <c r="CE30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08" s="134"/>
      <c r="CG308" s="134"/>
      <c r="CH308" s="134"/>
      <c r="CI308" s="134"/>
      <c r="CJ308" s="134"/>
      <c r="CK308" s="134"/>
      <c r="CL308" s="134"/>
      <c r="CM308" s="134"/>
      <c r="CN308" s="134"/>
      <c r="CO308" s="134">
        <f t="array" ref="CO308">IFERROR(INDEX(TABLACONSOLIDADA[Buff Act],MATCH("AGROINSUMOSAGROHERMANOSLEON"&amp;Tabla_Buffers_Agroinsumos[[#This Row],[CODIGO ]],TABLACONSOLIDADA[Bodega]&amp;TABLACONSOLIDADA[Codigo],0)),"")</f>
        <v>0</v>
      </c>
      <c r="CP308" s="157">
        <f t="array" ref="CP308">IFERROR(INDEX(TABLACONSOLIDADA[Inv Fís Act],MATCH("AGROINSUMOSAGROHERMANOSLEON"&amp;Tabla_Buffers_Agroinsumos[[#This Row],[CODIGO ]],TABLACONSOLIDADA[Bodega]&amp;TABLACONSOLIDADA[Codigo],0)),"")</f>
        <v>0</v>
      </c>
      <c r="CQ308" s="157">
        <f t="array" ref="CQ30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0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08" s="134">
        <f>IFERROR(SUM(Tabla_Buffers_Agroinsumos[[#This Row],[AL-MP]:[AL-VL]]),"")</f>
        <v>0</v>
      </c>
      <c r="CT308" s="92">
        <f>IFERROR(Tabla_Buffers_Agroinsumos[[#This Row],[INV FIS AL]]-Tabla_Buffers_Agroinsumos[[#This Row],[BUFFER AL]],"")</f>
        <v>0</v>
      </c>
      <c r="CU30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08" s="134"/>
      <c r="CW308" s="134"/>
      <c r="CX308" s="134"/>
      <c r="CY308" s="134"/>
      <c r="CZ308" s="134"/>
      <c r="DA308" s="134"/>
      <c r="DB308" s="134"/>
      <c r="DC308" s="134"/>
      <c r="DD308" s="134"/>
      <c r="DE308" s="134">
        <f t="array" ref="DE308">IFERROR(INDEX(TABLACONSOLIDADA[Buff Act],MATCH("AGROINSUMOSAGRONUEVO"&amp;Tabla_Buffers_Agroinsumos[[#This Row],[CODIGO ]],TABLACONSOLIDADA[Bodega]&amp;TABLACONSOLIDADA[Codigo],0)),"")</f>
        <v>0</v>
      </c>
      <c r="DF308" s="157">
        <f t="array" ref="DF308">IFERROR(INDEX(TABLACONSOLIDADA[Inv Fís Act],MATCH("AGROINSUMOSAGRONUEVO"&amp;Tabla_Buffers_Agroinsumos[[#This Row],[CODIGO ]],TABLACONSOLIDADA[Bodega]&amp;TABLACONSOLIDADA[Codigo],0)),"")</f>
        <v>0</v>
      </c>
      <c r="DG308" s="157">
        <f t="array" ref="DG30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0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08" s="134">
        <f>IFERROR(SUM(Tabla_Buffers_Agroinsumos[[#This Row],[AN-MP]:[AN-VL]]),"")</f>
        <v>0</v>
      </c>
      <c r="DJ308" s="92">
        <f>IFERROR(Tabla_Buffers_Agroinsumos[[#This Row],[INV FIS AN]]-Tabla_Buffers_Agroinsumos[[#This Row],[BUFFER AN]],"")</f>
        <v>0</v>
      </c>
      <c r="DK30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08" s="134"/>
      <c r="DM308" s="134"/>
      <c r="DN308" s="134"/>
      <c r="DO308" s="134"/>
      <c r="DP308" s="134"/>
      <c r="DQ308" s="134"/>
      <c r="DR308" s="134"/>
      <c r="DS308" s="134"/>
      <c r="DT308" s="134"/>
      <c r="DU308" s="134">
        <f t="array" ref="DU308">IFERROR(INDEX(TABLACONSOLIDADA[Buff Act],MATCH("AGROINSUMOSAGROQUIMICOSSUR"&amp;Tabla_Buffers_Agroinsumos[[#This Row],[CODIGO ]],TABLACONSOLIDADA[Bodega]&amp;TABLACONSOLIDADA[Codigo],0)),"")</f>
        <v>0</v>
      </c>
      <c r="DV308" s="157">
        <f t="array" ref="DV308">IFERROR(INDEX(TABLACONSOLIDADA[Inv Fís Act],MATCH("AGROINSUMOSAGROQUIMICOSSUR"&amp;Tabla_Buffers_Agroinsumos[[#This Row],[CODIGO ]],TABLACONSOLIDADA[Bodega]&amp;TABLACONSOLIDADA[Codigo],0)),"")</f>
        <v>0</v>
      </c>
      <c r="DW308" s="157">
        <f t="array" ref="DW30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0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08" s="134">
        <f>IFERROR(SUM(Tabla_Buffers_Agroinsumos[[#This Row],[AS-MP]:[AS-VL]]),"")</f>
        <v>0</v>
      </c>
      <c r="DZ308" s="92">
        <f>IFERROR(Tabla_Buffers_Agroinsumos[[#This Row],[INV FIS AS]]-Tabla_Buffers_Agroinsumos[[#This Row],[BUFFER AS]],"")</f>
        <v>0</v>
      </c>
      <c r="EA30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08" s="134"/>
      <c r="EC308" s="134"/>
      <c r="ED308" s="134"/>
      <c r="EE308" s="134"/>
      <c r="EF308" s="134"/>
      <c r="EG308" s="134"/>
      <c r="EH308" s="134"/>
      <c r="EI308" s="134"/>
      <c r="EJ308" s="134"/>
      <c r="EK308" s="134">
        <f t="array" ref="EK308">IFERROR(INDEX(TABLACONSOLIDADA[Buff Act],MATCH("AGROINSUMOSLAFINCA"&amp;Tabla_Buffers_Agroinsumos[[#This Row],[CODIGO ]],TABLACONSOLIDADA[Bodega]&amp;TABLACONSOLIDADA[Codigo],0)),"")</f>
        <v>40</v>
      </c>
      <c r="EL308" s="157">
        <f t="array" ref="EL308">IFERROR(INDEX(TABLACONSOLIDADA[Inv Fís Act],MATCH("AGROINSUMOSLAFINCA"&amp;Tabla_Buffers_Agroinsumos[[#This Row],[CODIGO ]],TABLACONSOLIDADA[Bodega]&amp;TABLACONSOLIDADA[Codigo],0)),"")</f>
        <v>45</v>
      </c>
      <c r="EM308" s="157">
        <f t="array" ref="EM30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45</v>
      </c>
      <c r="EN30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08" s="134">
        <f>IFERROR(SUM(Tabla_Buffers_Agroinsumos[[#This Row],[LF-MP]:[LF-VL]]),"")</f>
        <v>0</v>
      </c>
      <c r="EP308" s="92">
        <f>IFERROR(Tabla_Buffers_Agroinsumos[[#This Row],[INV FIS LF]]-Tabla_Buffers_Agroinsumos[[#This Row],[BUFFER LF]],"")</f>
        <v>5</v>
      </c>
      <c r="EQ308" s="92">
        <f>IFERROR(Tabla_Buffers_Agroinsumos[[#This Row],[INV FIS LF]]+Tabla_Buffers_Agroinsumos[[#This Row],[TRANSFERENCIAS A LF]]-Tabla_Buffers_Agroinsumos[[#This Row],[BUFFER LF]]-Tabla_Buffers_Agroinsumos[[#This Row],[TRANSFERENCIAS DE LF]],"")</f>
        <v>5</v>
      </c>
      <c r="ER308" s="134"/>
      <c r="ES308" s="134"/>
      <c r="ET308" s="134"/>
      <c r="EU308" s="134"/>
      <c r="EV308" s="134"/>
      <c r="EW308" s="134"/>
      <c r="EX308" s="134"/>
      <c r="EY308" s="134"/>
      <c r="EZ308" s="134"/>
      <c r="FA308" s="134">
        <f t="array" ref="FA308">IFERROR(INDEX(TABLACONSOLIDADA[Buff Act],MATCH("AGROINSUMOSVERONICALEDESMA"&amp;Tabla_Buffers_Agroinsumos[[#This Row],[CODIGO ]],TABLACONSOLIDADA[Bodega]&amp;TABLACONSOLIDADA[Codigo],0)),"")</f>
        <v>0</v>
      </c>
      <c r="FB308" s="157">
        <f t="array" ref="FB308">IFERROR(INDEX(TABLACONSOLIDADA[Inv Fís Act],MATCH("AGROINSUMOSVERONICALEDESMA"&amp;Tabla_Buffers_Agroinsumos[[#This Row],[CODIGO ]],TABLACONSOLIDADA[Bodega]&amp;TABLACONSOLIDADA[Codigo],0)),"")</f>
        <v>0</v>
      </c>
      <c r="FC308" s="157">
        <f t="array" ref="FC30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0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08" s="134">
        <f>IFERROR(SUM(Tabla_Buffers_Agroinsumos[[#This Row],[VL-MP]:[VL-LF]]),"")</f>
        <v>0</v>
      </c>
      <c r="FF308" s="92">
        <f>IFERROR(Tabla_Buffers_Agroinsumos[[#This Row],[INV FIS VL]]-Tabla_Buffers_Agroinsumos[[#This Row],[BUFFER VL]],"")</f>
        <v>0</v>
      </c>
      <c r="FG30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08" s="134"/>
      <c r="FI308" s="134"/>
      <c r="FJ308" s="134"/>
      <c r="FK308" s="134"/>
      <c r="FL308" s="134"/>
      <c r="FM308" s="134"/>
      <c r="FN308" s="134"/>
      <c r="FO308" s="134"/>
      <c r="FP308" s="134"/>
    </row>
    <row r="309" spans="1:172">
      <c r="A309" s="7" t="s">
        <v>528</v>
      </c>
      <c r="B309" s="7" t="s">
        <v>529</v>
      </c>
      <c r="C309" s="7" t="s">
        <v>712</v>
      </c>
      <c r="D309" s="7" t="s">
        <v>719</v>
      </c>
      <c r="E309" s="7" t="s">
        <v>975</v>
      </c>
      <c r="F309" s="19" t="s">
        <v>698</v>
      </c>
      <c r="G309" s="19" t="s">
        <v>698</v>
      </c>
      <c r="H309" s="19">
        <f>VLOOKUP(Tabla_Buffers_Agroinsumos[[#This Row],[CODIGO ]],TABLACONSOLIDADA[[Codigo]:[PV]],6,0)</f>
        <v>7.59</v>
      </c>
      <c r="I309" s="19">
        <f>VLOOKUP(Tabla_Buffers_Agroinsumos[[#This Row],[CODIGO ]],TABLACONSOLIDADA[[Codigo]:[PV]],5,0)</f>
        <v>3.6</v>
      </c>
      <c r="J309" s="19" t="s">
        <v>698</v>
      </c>
      <c r="K309" s="19" t="s">
        <v>698</v>
      </c>
      <c r="L309" s="19">
        <f>IFERROR(Tabla_Buffers_Agroinsumos[[#This Row],[BUFFER CENTRAL]]/((Tabla_Buffers_Agroinsumos[[#This Row],[TIEMPO REPOSICION ]]/Tabla_Buffers_Agroinsumos[[#This Row],[FRECUENCIA]])+1),0)</f>
        <v>0</v>
      </c>
      <c r="M309" s="19" t="str">
        <f t="array" ref="M309">IFERROR(INDEX(TABLACONSOLIDADA[Buff Act],MATCH("AGROINSUMOSMATERIAPRIMA"&amp;Tabla_Buffers_Agroinsumos[[#This Row],[CODIGO ]],TABLACONSOLIDADA[Bodega]&amp;TABLACONSOLIDADA[Codigo],0)),"")</f>
        <v/>
      </c>
      <c r="N309" s="157" t="str">
        <f t="array" ref="N309">IFERROR(INDEX(TABLACONSOLIDADA[Inv Fís Act],MATCH("AGROINSUMOSMATERIAPRIMA"&amp;Tabla_Buffers_Agroinsumos[[#This Row],[CODIGO ]],TABLACONSOLIDADA[Bodega]&amp;TABLACONSOLIDADA[Codigo],0)),"")</f>
        <v/>
      </c>
      <c r="O309" s="157" t="str">
        <f t="array" ref="O30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0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09" s="19">
        <f>IFERROR(SUM(Tabla_Buffers_Agroinsumos[[#This Row],[MP-C]:[MP-VL]]),"")</f>
        <v>0</v>
      </c>
      <c r="R309" s="92" t="str">
        <f>IFERROR(Tabla_Buffers_Agroinsumos[[#This Row],[INV FIS MATERIA PRIMA]]-Tabla_Buffers_Agroinsumos[[#This Row],[BUFFER MATERIA PRIMA]],"")</f>
        <v/>
      </c>
      <c r="S30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09" s="19"/>
      <c r="U309" s="19"/>
      <c r="V309" s="19"/>
      <c r="W309" s="19"/>
      <c r="X309" s="19"/>
      <c r="Y309" s="19"/>
      <c r="Z309" s="19"/>
      <c r="AA309" s="19"/>
      <c r="AB309" s="19"/>
      <c r="AC309" s="152">
        <f t="array" ref="AC309">IFERROR(INDEX(TABLACONSOLIDADA[Buff Act],MATCH("AGROINSUMOSCENTRAL"&amp;Tabla_Buffers_Agroinsumos[[#This Row],[CODIGO ]],TABLACONSOLIDADA[Bodega]&amp;TABLACONSOLIDADA[Codigo],0)),"")</f>
        <v>1000</v>
      </c>
      <c r="AD309" s="157">
        <f t="array" ref="AD309">IFERROR(INDEX(TABLACONSOLIDADA[Inv Fís Act],MATCH("AGROINSUMOSCENTRAL"&amp;Tabla_Buffers_Agroinsumos[[#This Row],[CODIGO ]],TABLACONSOLIDADA[Bodega]&amp;TABLACONSOLIDADA[Codigo],0)),"")</f>
        <v>100</v>
      </c>
      <c r="AE309" s="157">
        <f t="array" ref="AE30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1100</v>
      </c>
      <c r="AF30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09" s="91">
        <f>IFERROR(SUM(Tabla_Buffers_Agroinsumos[[#This Row],[C-MP]:[C-VL]]),"")</f>
        <v>0</v>
      </c>
      <c r="AH309" s="92">
        <f>IFERROR(Tabla_Buffers_Agroinsumos[[#This Row],[INV FIS CENTRAL]]-Tabla_Buffers_Agroinsumos[[#This Row],[BUFFER CENTRAL]],"")</f>
        <v>-900</v>
      </c>
      <c r="AI30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-900</v>
      </c>
      <c r="AJ309" s="134"/>
      <c r="AK309" s="134"/>
      <c r="AL309" s="134"/>
      <c r="AM309" s="134"/>
      <c r="AN309" s="134"/>
      <c r="AO309" s="134"/>
      <c r="AP309" s="134"/>
      <c r="AQ309" s="134"/>
      <c r="AR309" s="134"/>
      <c r="AS309" s="134">
        <f t="array" ref="AS309">IFERROR(INDEX(TABLACONSOLIDADA[Buff Act],MATCH("AGROINSUMOScentralPROPIA"&amp;Tabla_Buffers_Agroinsumos[[#This Row],[CODIGO ]],TABLACONSOLIDADA[Bodega]&amp;TABLACONSOLIDADA[Codigo],0)),"")</f>
        <v>240</v>
      </c>
      <c r="AT309" s="157">
        <f t="array" ref="AT309">IFERROR(INDEX(TABLACONSOLIDADA[Inv Fís Act],MATCH("AGROINSUMOScentralPROPIA"&amp;Tabla_Buffers_Agroinsumos[[#This Row],[CODIGO ]],TABLACONSOLIDADA[Bodega]&amp;TABLACONSOLIDADA[Codigo],0)),"")</f>
        <v>0</v>
      </c>
      <c r="AU309" s="157">
        <f t="array" ref="AU30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0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09" s="134">
        <f>IFERROR(SUM(Tabla_Buffers_Agroinsumos[[#This Row],[P-MP]:[P-VL]]),"")</f>
        <v>0</v>
      </c>
      <c r="AX309" s="92">
        <f>IFERROR(Tabla_Buffers_Agroinsumos[[#This Row],[INV FIS PROPIA]]-Tabla_Buffers_Agroinsumos[[#This Row],[BUFFER PROPIA]],"")</f>
        <v>-240</v>
      </c>
      <c r="AY30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-240</v>
      </c>
      <c r="AZ309" s="134"/>
      <c r="BA309" s="134"/>
      <c r="BB309" s="134"/>
      <c r="BC309" s="134"/>
      <c r="BD309" s="134"/>
      <c r="BE309" s="134"/>
      <c r="BF309" s="134"/>
      <c r="BG309" s="134"/>
      <c r="BH309" s="134"/>
      <c r="BI309" s="91">
        <f t="array" ref="BI309">IFERROR(INDEX(TABLACONSOLIDADA[Buff Act],MATCH("AGROINSUMOSSTODOMINGO"&amp;Tabla_Buffers_Agroinsumos[[#This Row],[CODIGO ]],TABLACONSOLIDADA[Bodega]&amp;TABLACONSOLIDADA[Codigo],0)),"")</f>
        <v>0</v>
      </c>
      <c r="BJ309" s="157">
        <f t="array" ref="BJ309">IFERROR(INDEX(TABLACONSOLIDADA[Inv Fís Act],MATCH("AGROINSUMOSSTODOMINGO"&amp;Tabla_Buffers_Agroinsumos[[#This Row],[CODIGO ]],TABLACONSOLIDADA[Bodega]&amp;TABLACONSOLIDADA[Codigo],0)),"")</f>
        <v>5</v>
      </c>
      <c r="BK309" s="157">
        <f t="array" ref="BK30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5</v>
      </c>
      <c r="BL30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09" s="91">
        <f>IFERROR(SUM(Tabla_Buffers_Agroinsumos[[#This Row],[SD-MP]:[SD-VL]]),"")</f>
        <v>0</v>
      </c>
      <c r="BN309" s="92"/>
      <c r="BO309" s="92"/>
      <c r="BP309" s="134"/>
      <c r="BQ309" s="134"/>
      <c r="BR309" s="134"/>
      <c r="BS309" s="134"/>
      <c r="BT309" s="134"/>
      <c r="BU309" s="134"/>
      <c r="BV309" s="134"/>
      <c r="BW309" s="134"/>
      <c r="BX309" s="134"/>
      <c r="BY309" s="134">
        <f t="array" ref="BY309">IFERROR(INDEX(TABLACONSOLIDADA[Buff Act],MATCH("AGROINSUMOSMONCAYOLOPEZ"&amp;Tabla_Buffers_Agroinsumos[[#This Row],[CODIGO ]],TABLACONSOLIDADA[Bodega]&amp;TABLACONSOLIDADA[Codigo],0)),"")</f>
        <v>0</v>
      </c>
      <c r="BZ309" s="157">
        <f t="array" ref="BZ309">IFERROR(INDEX(TABLACONSOLIDADA[Inv Fís Act],MATCH("AGROINSUMOSMONCAYOLOPEZ"&amp;Tabla_Buffers_Agroinsumos[[#This Row],[CODIGO ]],TABLACONSOLIDADA[Bodega]&amp;TABLACONSOLIDADA[Codigo],0)),"")</f>
        <v>0</v>
      </c>
      <c r="CA309" s="157">
        <f t="array" ref="CA30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0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09" s="134">
        <f>IFERROR(SUM(Tabla_Buffers_Agroinsumos[[#This Row],[ML-MP]:[ML-VL]]),"")</f>
        <v>0</v>
      </c>
      <c r="CD309" s="92">
        <f>IFERROR(Tabla_Buffers_Agroinsumos[[#This Row],[INV FIS ML]]-Tabla_Buffers_Agroinsumos[[#This Row],[BUFFER ML]],"")</f>
        <v>0</v>
      </c>
      <c r="CE30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09" s="134"/>
      <c r="CG309" s="134"/>
      <c r="CH309" s="134"/>
      <c r="CI309" s="134"/>
      <c r="CJ309" s="134"/>
      <c r="CK309" s="134"/>
      <c r="CL309" s="134"/>
      <c r="CM309" s="134"/>
      <c r="CN309" s="134"/>
      <c r="CO309" s="134">
        <f t="array" ref="CO309">IFERROR(INDEX(TABLACONSOLIDADA[Buff Act],MATCH("AGROINSUMOSAGROHERMANOSLEON"&amp;Tabla_Buffers_Agroinsumos[[#This Row],[CODIGO ]],TABLACONSOLIDADA[Bodega]&amp;TABLACONSOLIDADA[Codigo],0)),"")</f>
        <v>0</v>
      </c>
      <c r="CP309" s="157">
        <f t="array" ref="CP309">IFERROR(INDEX(TABLACONSOLIDADA[Inv Fís Act],MATCH("AGROINSUMOSAGROHERMANOSLEON"&amp;Tabla_Buffers_Agroinsumos[[#This Row],[CODIGO ]],TABLACONSOLIDADA[Bodega]&amp;TABLACONSOLIDADA[Codigo],0)),"")</f>
        <v>0</v>
      </c>
      <c r="CQ309" s="157">
        <f t="array" ref="CQ30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0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09" s="134">
        <f>IFERROR(SUM(Tabla_Buffers_Agroinsumos[[#This Row],[AL-MP]:[AL-VL]]),"")</f>
        <v>0</v>
      </c>
      <c r="CT309" s="92">
        <f>IFERROR(Tabla_Buffers_Agroinsumos[[#This Row],[INV FIS AL]]-Tabla_Buffers_Agroinsumos[[#This Row],[BUFFER AL]],"")</f>
        <v>0</v>
      </c>
      <c r="CU309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09" s="134"/>
      <c r="CW309" s="134"/>
      <c r="CX309" s="134"/>
      <c r="CY309" s="134"/>
      <c r="CZ309" s="134"/>
      <c r="DA309" s="134"/>
      <c r="DB309" s="134"/>
      <c r="DC309" s="134"/>
      <c r="DD309" s="134"/>
      <c r="DE309" s="134">
        <f t="array" ref="DE309">IFERROR(INDEX(TABLACONSOLIDADA[Buff Act],MATCH("AGROINSUMOSAGRONUEVO"&amp;Tabla_Buffers_Agroinsumos[[#This Row],[CODIGO ]],TABLACONSOLIDADA[Bodega]&amp;TABLACONSOLIDADA[Codigo],0)),"")</f>
        <v>0</v>
      </c>
      <c r="DF309" s="157">
        <f t="array" ref="DF309">IFERROR(INDEX(TABLACONSOLIDADA[Inv Fís Act],MATCH("AGROINSUMOSAGRONUEVO"&amp;Tabla_Buffers_Agroinsumos[[#This Row],[CODIGO ]],TABLACONSOLIDADA[Bodega]&amp;TABLACONSOLIDADA[Codigo],0)),"")</f>
        <v>0</v>
      </c>
      <c r="DG309" s="157">
        <f t="array" ref="DG30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0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09" s="134">
        <f>IFERROR(SUM(Tabla_Buffers_Agroinsumos[[#This Row],[AN-MP]:[AN-VL]]),"")</f>
        <v>0</v>
      </c>
      <c r="DJ309" s="92">
        <f>IFERROR(Tabla_Buffers_Agroinsumos[[#This Row],[INV FIS AN]]-Tabla_Buffers_Agroinsumos[[#This Row],[BUFFER AN]],"")</f>
        <v>0</v>
      </c>
      <c r="DK30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09" s="134"/>
      <c r="DM309" s="134"/>
      <c r="DN309" s="134"/>
      <c r="DO309" s="134"/>
      <c r="DP309" s="134"/>
      <c r="DQ309" s="134"/>
      <c r="DR309" s="134"/>
      <c r="DS309" s="134"/>
      <c r="DT309" s="134"/>
      <c r="DU309" s="134">
        <f t="array" ref="DU309">IFERROR(INDEX(TABLACONSOLIDADA[Buff Act],MATCH("AGROINSUMOSAGROQUIMICOSSUR"&amp;Tabla_Buffers_Agroinsumos[[#This Row],[CODIGO ]],TABLACONSOLIDADA[Bodega]&amp;TABLACONSOLIDADA[Codigo],0)),"")</f>
        <v>0</v>
      </c>
      <c r="DV309" s="157">
        <f t="array" ref="DV309">IFERROR(INDEX(TABLACONSOLIDADA[Inv Fís Act],MATCH("AGROINSUMOSAGROQUIMICOSSUR"&amp;Tabla_Buffers_Agroinsumos[[#This Row],[CODIGO ]],TABLACONSOLIDADA[Bodega]&amp;TABLACONSOLIDADA[Codigo],0)),"")</f>
        <v>0</v>
      </c>
      <c r="DW309" s="157">
        <f t="array" ref="DW30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0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09" s="134">
        <f>IFERROR(SUM(Tabla_Buffers_Agroinsumos[[#This Row],[AS-MP]:[AS-VL]]),"")</f>
        <v>0</v>
      </c>
      <c r="DZ309" s="92">
        <f>IFERROR(Tabla_Buffers_Agroinsumos[[#This Row],[INV FIS AS]]-Tabla_Buffers_Agroinsumos[[#This Row],[BUFFER AS]],"")</f>
        <v>0</v>
      </c>
      <c r="EA30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09" s="134"/>
      <c r="EC309" s="134"/>
      <c r="ED309" s="134"/>
      <c r="EE309" s="134"/>
      <c r="EF309" s="134"/>
      <c r="EG309" s="134"/>
      <c r="EH309" s="134"/>
      <c r="EI309" s="134"/>
      <c r="EJ309" s="134"/>
      <c r="EK309" s="134">
        <f t="array" ref="EK309">IFERROR(INDEX(TABLACONSOLIDADA[Buff Act],MATCH("AGROINSUMOSLAFINCA"&amp;Tabla_Buffers_Agroinsumos[[#This Row],[CODIGO ]],TABLACONSOLIDADA[Bodega]&amp;TABLACONSOLIDADA[Codigo],0)),"")</f>
        <v>40</v>
      </c>
      <c r="EL309" s="157">
        <f t="array" ref="EL309">IFERROR(INDEX(TABLACONSOLIDADA[Inv Fís Act],MATCH("AGROINSUMOSLAFINCA"&amp;Tabla_Buffers_Agroinsumos[[#This Row],[CODIGO ]],TABLACONSOLIDADA[Bodega]&amp;TABLACONSOLIDADA[Codigo],0)),"")</f>
        <v>32</v>
      </c>
      <c r="EM309" s="157">
        <f t="array" ref="EM30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32</v>
      </c>
      <c r="EN30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09" s="134">
        <f>IFERROR(SUM(Tabla_Buffers_Agroinsumos[[#This Row],[LF-MP]:[LF-VL]]),"")</f>
        <v>0</v>
      </c>
      <c r="EP309" s="92">
        <f>IFERROR(Tabla_Buffers_Agroinsumos[[#This Row],[INV FIS LF]]-Tabla_Buffers_Agroinsumos[[#This Row],[BUFFER LF]],"")</f>
        <v>-8</v>
      </c>
      <c r="EQ309" s="92">
        <f>IFERROR(Tabla_Buffers_Agroinsumos[[#This Row],[INV FIS LF]]+Tabla_Buffers_Agroinsumos[[#This Row],[TRANSFERENCIAS A LF]]-Tabla_Buffers_Agroinsumos[[#This Row],[BUFFER LF]]-Tabla_Buffers_Agroinsumos[[#This Row],[TRANSFERENCIAS DE LF]],"")</f>
        <v>-8</v>
      </c>
      <c r="ER309" s="134"/>
      <c r="ES309" s="134"/>
      <c r="ET309" s="134"/>
      <c r="EU309" s="134"/>
      <c r="EV309" s="134"/>
      <c r="EW309" s="134"/>
      <c r="EX309" s="134"/>
      <c r="EY309" s="134"/>
      <c r="EZ309" s="134"/>
      <c r="FA309" s="134">
        <f t="array" ref="FA309">IFERROR(INDEX(TABLACONSOLIDADA[Buff Act],MATCH("AGROINSUMOSVERONICALEDESMA"&amp;Tabla_Buffers_Agroinsumos[[#This Row],[CODIGO ]],TABLACONSOLIDADA[Bodega]&amp;TABLACONSOLIDADA[Codigo],0)),"")</f>
        <v>21</v>
      </c>
      <c r="FB309" s="157">
        <f t="array" ref="FB309">IFERROR(INDEX(TABLACONSOLIDADA[Inv Fís Act],MATCH("AGROINSUMOSVERONICALEDESMA"&amp;Tabla_Buffers_Agroinsumos[[#This Row],[CODIGO ]],TABLACONSOLIDADA[Bodega]&amp;TABLACONSOLIDADA[Codigo],0)),"")</f>
        <v>30</v>
      </c>
      <c r="FC309" s="157">
        <f t="array" ref="FC30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30</v>
      </c>
      <c r="FD30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09" s="134">
        <f>IFERROR(SUM(Tabla_Buffers_Agroinsumos[[#This Row],[VL-MP]:[VL-LF]]),"")</f>
        <v>0</v>
      </c>
      <c r="FF309" s="92">
        <f>IFERROR(Tabla_Buffers_Agroinsumos[[#This Row],[INV FIS VL]]-Tabla_Buffers_Agroinsumos[[#This Row],[BUFFER VL]],"")</f>
        <v>9</v>
      </c>
      <c r="FG309" s="92">
        <f>IFERROR(Tabla_Buffers_Agroinsumos[[#This Row],[INV FIS VL]]+Tabla_Buffers_Agroinsumos[[#This Row],[TRANSFERENCIAS A VL]]-Tabla_Buffers_Agroinsumos[[#This Row],[BUFFER VL]]-Tabla_Buffers_Agroinsumos[[#This Row],[TRANSFERENCIAS DE VL]],"")</f>
        <v>9</v>
      </c>
      <c r="FH309" s="134"/>
      <c r="FI309" s="134"/>
      <c r="FJ309" s="134"/>
      <c r="FK309" s="134"/>
      <c r="FL309" s="134"/>
      <c r="FM309" s="134"/>
      <c r="FN309" s="134"/>
      <c r="FO309" s="134"/>
      <c r="FP309" s="134"/>
    </row>
    <row r="310" spans="1:172">
      <c r="A310" s="7" t="s">
        <v>530</v>
      </c>
      <c r="B310" s="7" t="s">
        <v>531</v>
      </c>
      <c r="C310" s="7" t="s">
        <v>712</v>
      </c>
      <c r="D310" s="7" t="s">
        <v>719</v>
      </c>
      <c r="E310" s="7" t="s">
        <v>975</v>
      </c>
      <c r="F310" s="19" t="s">
        <v>698</v>
      </c>
      <c r="G310" s="19" t="s">
        <v>698</v>
      </c>
      <c r="H310" s="19">
        <f>VLOOKUP(Tabla_Buffers_Agroinsumos[[#This Row],[CODIGO ]],TABLACONSOLIDADA[[Codigo]:[PV]],6,0)</f>
        <v>13.99</v>
      </c>
      <c r="I310" s="19">
        <f>VLOOKUP(Tabla_Buffers_Agroinsumos[[#This Row],[CODIGO ]],TABLACONSOLIDADA[[Codigo]:[PV]],5,0)</f>
        <v>6.89</v>
      </c>
      <c r="J310" s="19" t="s">
        <v>698</v>
      </c>
      <c r="K310" s="19" t="s">
        <v>698</v>
      </c>
      <c r="L310" s="19">
        <f>IFERROR(Tabla_Buffers_Agroinsumos[[#This Row],[BUFFER CENTRAL]]/((Tabla_Buffers_Agroinsumos[[#This Row],[TIEMPO REPOSICION ]]/Tabla_Buffers_Agroinsumos[[#This Row],[FRECUENCIA]])+1),0)</f>
        <v>0</v>
      </c>
      <c r="M310" s="19" t="str">
        <f t="array" ref="M310">IFERROR(INDEX(TABLACONSOLIDADA[Buff Act],MATCH("AGROINSUMOSMATERIAPRIMA"&amp;Tabla_Buffers_Agroinsumos[[#This Row],[CODIGO ]],TABLACONSOLIDADA[Bodega]&amp;TABLACONSOLIDADA[Codigo],0)),"")</f>
        <v/>
      </c>
      <c r="N310" s="157" t="str">
        <f t="array" ref="N310">IFERROR(INDEX(TABLACONSOLIDADA[Inv Fís Act],MATCH("AGROINSUMOSMATERIAPRIMA"&amp;Tabla_Buffers_Agroinsumos[[#This Row],[CODIGO ]],TABLACONSOLIDADA[Bodega]&amp;TABLACONSOLIDADA[Codigo],0)),"")</f>
        <v/>
      </c>
      <c r="O310" s="157" t="str">
        <f t="array" ref="O31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1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10" s="19">
        <f>IFERROR(SUM(Tabla_Buffers_Agroinsumos[[#This Row],[MP-C]:[MP-VL]]),"")</f>
        <v>0</v>
      </c>
      <c r="R310" s="92" t="str">
        <f>IFERROR(Tabla_Buffers_Agroinsumos[[#This Row],[INV FIS MATERIA PRIMA]]-Tabla_Buffers_Agroinsumos[[#This Row],[BUFFER MATERIA PRIMA]],"")</f>
        <v/>
      </c>
      <c r="S31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10" s="19"/>
      <c r="U310" s="19"/>
      <c r="V310" s="19"/>
      <c r="W310" s="19"/>
      <c r="X310" s="19"/>
      <c r="Y310" s="19"/>
      <c r="Z310" s="19"/>
      <c r="AA310" s="19"/>
      <c r="AB310" s="19"/>
      <c r="AC310" s="152">
        <f t="array" ref="AC310">IFERROR(INDEX(TABLACONSOLIDADA[Buff Act],MATCH("AGROINSUMOSCENTRAL"&amp;Tabla_Buffers_Agroinsumos[[#This Row],[CODIGO ]],TABLACONSOLIDADA[Bodega]&amp;TABLACONSOLIDADA[Codigo],0)),"")</f>
        <v>120</v>
      </c>
      <c r="AD310" s="157">
        <f t="array" ref="AD310">IFERROR(INDEX(TABLACONSOLIDADA[Inv Fís Act],MATCH("AGROINSUMOSCENTRAL"&amp;Tabla_Buffers_Agroinsumos[[#This Row],[CODIGO ]],TABLACONSOLIDADA[Bodega]&amp;TABLACONSOLIDADA[Codigo],0)),"")</f>
        <v>171</v>
      </c>
      <c r="AE310" s="157">
        <f t="array" ref="AE31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192</v>
      </c>
      <c r="AF31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10" s="91">
        <f>IFERROR(SUM(Tabla_Buffers_Agroinsumos[[#This Row],[C-MP]:[C-VL]]),"")</f>
        <v>0</v>
      </c>
      <c r="AH310" s="92">
        <f>IFERROR(Tabla_Buffers_Agroinsumos[[#This Row],[INV FIS CENTRAL]]-Tabla_Buffers_Agroinsumos[[#This Row],[BUFFER CENTRAL]],"")</f>
        <v>51</v>
      </c>
      <c r="AI31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51</v>
      </c>
      <c r="AJ310" s="134"/>
      <c r="AK310" s="134"/>
      <c r="AL310" s="134"/>
      <c r="AM310" s="134"/>
      <c r="AN310" s="134"/>
      <c r="AO310" s="134"/>
      <c r="AP310" s="134"/>
      <c r="AQ310" s="134"/>
      <c r="AR310" s="134"/>
      <c r="AS310" s="134">
        <f t="array" ref="AS310">IFERROR(INDEX(TABLACONSOLIDADA[Buff Act],MATCH("AGROINSUMOScentralPROPIA"&amp;Tabla_Buffers_Agroinsumos[[#This Row],[CODIGO ]],TABLACONSOLIDADA[Bodega]&amp;TABLACONSOLIDADA[Codigo],0)),"")</f>
        <v>36</v>
      </c>
      <c r="AT310" s="157">
        <f t="array" ref="AT310">IFERROR(INDEX(TABLACONSOLIDADA[Inv Fís Act],MATCH("AGROINSUMOScentralPROPIA"&amp;Tabla_Buffers_Agroinsumos[[#This Row],[CODIGO ]],TABLACONSOLIDADA[Bodega]&amp;TABLACONSOLIDADA[Codigo],0)),"")</f>
        <v>0</v>
      </c>
      <c r="AU310" s="157">
        <f t="array" ref="AU31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1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10" s="134">
        <f>IFERROR(SUM(Tabla_Buffers_Agroinsumos[[#This Row],[P-MP]:[P-VL]]),"")</f>
        <v>0</v>
      </c>
      <c r="AX310" s="92">
        <f>IFERROR(Tabla_Buffers_Agroinsumos[[#This Row],[INV FIS PROPIA]]-Tabla_Buffers_Agroinsumos[[#This Row],[BUFFER PROPIA]],"")</f>
        <v>-36</v>
      </c>
      <c r="AY31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-36</v>
      </c>
      <c r="AZ310" s="134"/>
      <c r="BA310" s="134"/>
      <c r="BB310" s="134"/>
      <c r="BC310" s="134"/>
      <c r="BD310" s="134"/>
      <c r="BE310" s="134"/>
      <c r="BF310" s="134"/>
      <c r="BG310" s="134"/>
      <c r="BH310" s="134"/>
      <c r="BI310" s="91">
        <f t="array" ref="BI310">IFERROR(INDEX(TABLACONSOLIDADA[Buff Act],MATCH("AGROINSUMOSSTODOMINGO"&amp;Tabla_Buffers_Agroinsumos[[#This Row],[CODIGO ]],TABLACONSOLIDADA[Bodega]&amp;TABLACONSOLIDADA[Codigo],0)),"")</f>
        <v>0</v>
      </c>
      <c r="BJ310" s="157">
        <f t="array" ref="BJ310">IFERROR(INDEX(TABLACONSOLIDADA[Inv Fís Act],MATCH("AGROINSUMOSSTODOMINGO"&amp;Tabla_Buffers_Agroinsumos[[#This Row],[CODIGO ]],TABLACONSOLIDADA[Bodega]&amp;TABLACONSOLIDADA[Codigo],0)),"")</f>
        <v>0</v>
      </c>
      <c r="BK310" s="157">
        <f t="array" ref="BK31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1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10" s="91">
        <f>IFERROR(SUM(Tabla_Buffers_Agroinsumos[[#This Row],[SD-MP]:[SD-VL]]),"")</f>
        <v>0</v>
      </c>
      <c r="BN310" s="92"/>
      <c r="BO310" s="92"/>
      <c r="BP310" s="134"/>
      <c r="BQ310" s="134"/>
      <c r="BR310" s="134"/>
      <c r="BS310" s="134"/>
      <c r="BT310" s="134"/>
      <c r="BU310" s="134"/>
      <c r="BV310" s="134"/>
      <c r="BW310" s="134"/>
      <c r="BX310" s="134"/>
      <c r="BY310" s="134">
        <f t="array" ref="BY310">IFERROR(INDEX(TABLACONSOLIDADA[Buff Act],MATCH("AGROINSUMOSMONCAYOLOPEZ"&amp;Tabla_Buffers_Agroinsumos[[#This Row],[CODIGO ]],TABLACONSOLIDADA[Bodega]&amp;TABLACONSOLIDADA[Codigo],0)),"")</f>
        <v>0</v>
      </c>
      <c r="BZ310" s="157">
        <f t="array" ref="BZ310">IFERROR(INDEX(TABLACONSOLIDADA[Inv Fís Act],MATCH("AGROINSUMOSMONCAYOLOPEZ"&amp;Tabla_Buffers_Agroinsumos[[#This Row],[CODIGO ]],TABLACONSOLIDADA[Bodega]&amp;TABLACONSOLIDADA[Codigo],0)),"")</f>
        <v>0</v>
      </c>
      <c r="CA310" s="157">
        <f t="array" ref="CA31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1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10" s="134">
        <f>IFERROR(SUM(Tabla_Buffers_Agroinsumos[[#This Row],[ML-MP]:[ML-VL]]),"")</f>
        <v>0</v>
      </c>
      <c r="CD310" s="92">
        <f>IFERROR(Tabla_Buffers_Agroinsumos[[#This Row],[INV FIS ML]]-Tabla_Buffers_Agroinsumos[[#This Row],[BUFFER ML]],"")</f>
        <v>0</v>
      </c>
      <c r="CE31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10" s="134"/>
      <c r="CG310" s="134"/>
      <c r="CH310" s="134"/>
      <c r="CI310" s="134"/>
      <c r="CJ310" s="134"/>
      <c r="CK310" s="134"/>
      <c r="CL310" s="134"/>
      <c r="CM310" s="134"/>
      <c r="CN310" s="134"/>
      <c r="CO310" s="134">
        <f t="array" ref="CO310">IFERROR(INDEX(TABLACONSOLIDADA[Buff Act],MATCH("AGROINSUMOSAGROHERMANOSLEON"&amp;Tabla_Buffers_Agroinsumos[[#This Row],[CODIGO ]],TABLACONSOLIDADA[Bodega]&amp;TABLACONSOLIDADA[Codigo],0)),"")</f>
        <v>0</v>
      </c>
      <c r="CP310" s="157">
        <f t="array" ref="CP310">IFERROR(INDEX(TABLACONSOLIDADA[Inv Fís Act],MATCH("AGROINSUMOSAGROHERMANOSLEON"&amp;Tabla_Buffers_Agroinsumos[[#This Row],[CODIGO ]],TABLACONSOLIDADA[Bodega]&amp;TABLACONSOLIDADA[Codigo],0)),"")</f>
        <v>0</v>
      </c>
      <c r="CQ310" s="157">
        <f t="array" ref="CQ31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1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10" s="134">
        <f>IFERROR(SUM(Tabla_Buffers_Agroinsumos[[#This Row],[AL-MP]:[AL-VL]]),"")</f>
        <v>0</v>
      </c>
      <c r="CT310" s="92">
        <f>IFERROR(Tabla_Buffers_Agroinsumos[[#This Row],[INV FIS AL]]-Tabla_Buffers_Agroinsumos[[#This Row],[BUFFER AL]],"")</f>
        <v>0</v>
      </c>
      <c r="CU310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10" s="134"/>
      <c r="CW310" s="134"/>
      <c r="CX310" s="134"/>
      <c r="CY310" s="134"/>
      <c r="CZ310" s="134"/>
      <c r="DA310" s="134"/>
      <c r="DB310" s="134"/>
      <c r="DC310" s="134"/>
      <c r="DD310" s="134"/>
      <c r="DE310" s="134">
        <f t="array" ref="DE310">IFERROR(INDEX(TABLACONSOLIDADA[Buff Act],MATCH("AGROINSUMOSAGRONUEVO"&amp;Tabla_Buffers_Agroinsumos[[#This Row],[CODIGO ]],TABLACONSOLIDADA[Bodega]&amp;TABLACONSOLIDADA[Codigo],0)),"")</f>
        <v>0</v>
      </c>
      <c r="DF310" s="157">
        <f t="array" ref="DF310">IFERROR(INDEX(TABLACONSOLIDADA[Inv Fís Act],MATCH("AGROINSUMOSAGRONUEVO"&amp;Tabla_Buffers_Agroinsumos[[#This Row],[CODIGO ]],TABLACONSOLIDADA[Bodega]&amp;TABLACONSOLIDADA[Codigo],0)),"")</f>
        <v>0</v>
      </c>
      <c r="DG310" s="157">
        <f t="array" ref="DG31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1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10" s="134">
        <f>IFERROR(SUM(Tabla_Buffers_Agroinsumos[[#This Row],[AN-MP]:[AN-VL]]),"")</f>
        <v>0</v>
      </c>
      <c r="DJ310" s="92">
        <f>IFERROR(Tabla_Buffers_Agroinsumos[[#This Row],[INV FIS AN]]-Tabla_Buffers_Agroinsumos[[#This Row],[BUFFER AN]],"")</f>
        <v>0</v>
      </c>
      <c r="DK31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10" s="134"/>
      <c r="DM310" s="134"/>
      <c r="DN310" s="134"/>
      <c r="DO310" s="134"/>
      <c r="DP310" s="134"/>
      <c r="DQ310" s="134"/>
      <c r="DR310" s="134"/>
      <c r="DS310" s="134"/>
      <c r="DT310" s="134"/>
      <c r="DU310" s="134">
        <f t="array" ref="DU310">IFERROR(INDEX(TABLACONSOLIDADA[Buff Act],MATCH("AGROINSUMOSAGROQUIMICOSSUR"&amp;Tabla_Buffers_Agroinsumos[[#This Row],[CODIGO ]],TABLACONSOLIDADA[Bodega]&amp;TABLACONSOLIDADA[Codigo],0)),"")</f>
        <v>0</v>
      </c>
      <c r="DV310" s="157">
        <f t="array" ref="DV310">IFERROR(INDEX(TABLACONSOLIDADA[Inv Fís Act],MATCH("AGROINSUMOSAGROQUIMICOSSUR"&amp;Tabla_Buffers_Agroinsumos[[#This Row],[CODIGO ]],TABLACONSOLIDADA[Bodega]&amp;TABLACONSOLIDADA[Codigo],0)),"")</f>
        <v>0</v>
      </c>
      <c r="DW310" s="157">
        <f t="array" ref="DW31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1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10" s="134">
        <f>IFERROR(SUM(Tabla_Buffers_Agroinsumos[[#This Row],[AS-MP]:[AS-VL]]),"")</f>
        <v>0</v>
      </c>
      <c r="DZ310" s="92">
        <f>IFERROR(Tabla_Buffers_Agroinsumos[[#This Row],[INV FIS AS]]-Tabla_Buffers_Agroinsumos[[#This Row],[BUFFER AS]],"")</f>
        <v>0</v>
      </c>
      <c r="EA31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10" s="134"/>
      <c r="EC310" s="134"/>
      <c r="ED310" s="134"/>
      <c r="EE310" s="134"/>
      <c r="EF310" s="134"/>
      <c r="EG310" s="134"/>
      <c r="EH310" s="134"/>
      <c r="EI310" s="134"/>
      <c r="EJ310" s="134"/>
      <c r="EK310" s="134">
        <f t="array" ref="EK310">IFERROR(INDEX(TABLACONSOLIDADA[Buff Act],MATCH("AGROINSUMOSLAFINCA"&amp;Tabla_Buffers_Agroinsumos[[#This Row],[CODIGO ]],TABLACONSOLIDADA[Bodega]&amp;TABLACONSOLIDADA[Codigo],0)),"")</f>
        <v>10</v>
      </c>
      <c r="EL310" s="157">
        <f t="array" ref="EL310">IFERROR(INDEX(TABLACONSOLIDADA[Inv Fís Act],MATCH("AGROINSUMOSLAFINCA"&amp;Tabla_Buffers_Agroinsumos[[#This Row],[CODIGO ]],TABLACONSOLIDADA[Bodega]&amp;TABLACONSOLIDADA[Codigo],0)),"")</f>
        <v>0</v>
      </c>
      <c r="EM310" s="157">
        <f t="array" ref="EM31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1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10" s="134">
        <f>IFERROR(SUM(Tabla_Buffers_Agroinsumos[[#This Row],[LF-MP]:[LF-VL]]),"")</f>
        <v>0</v>
      </c>
      <c r="EP310" s="92">
        <f>IFERROR(Tabla_Buffers_Agroinsumos[[#This Row],[INV FIS LF]]-Tabla_Buffers_Agroinsumos[[#This Row],[BUFFER LF]],"")</f>
        <v>-10</v>
      </c>
      <c r="EQ310" s="92">
        <f>IFERROR(Tabla_Buffers_Agroinsumos[[#This Row],[INV FIS LF]]+Tabla_Buffers_Agroinsumos[[#This Row],[TRANSFERENCIAS A LF]]-Tabla_Buffers_Agroinsumos[[#This Row],[BUFFER LF]]-Tabla_Buffers_Agroinsumos[[#This Row],[TRANSFERENCIAS DE LF]],"")</f>
        <v>-10</v>
      </c>
      <c r="ER310" s="134"/>
      <c r="ES310" s="134"/>
      <c r="ET310" s="134"/>
      <c r="EU310" s="134"/>
      <c r="EV310" s="134"/>
      <c r="EW310" s="134"/>
      <c r="EX310" s="134"/>
      <c r="EY310" s="134"/>
      <c r="EZ310" s="134"/>
      <c r="FA310" s="134">
        <f t="array" ref="FA310">IFERROR(INDEX(TABLACONSOLIDADA[Buff Act],MATCH("AGROINSUMOSVERONICALEDESMA"&amp;Tabla_Buffers_Agroinsumos[[#This Row],[CODIGO ]],TABLACONSOLIDADA[Bodega]&amp;TABLACONSOLIDADA[Codigo],0)),"")</f>
        <v>0</v>
      </c>
      <c r="FB310" s="157">
        <f t="array" ref="FB310">IFERROR(INDEX(TABLACONSOLIDADA[Inv Fís Act],MATCH("AGROINSUMOSVERONICALEDESMA"&amp;Tabla_Buffers_Agroinsumos[[#This Row],[CODIGO ]],TABLACONSOLIDADA[Bodega]&amp;TABLACONSOLIDADA[Codigo],0)),"")</f>
        <v>0</v>
      </c>
      <c r="FC310" s="157">
        <f t="array" ref="FC31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1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10" s="134">
        <f>IFERROR(SUM(Tabla_Buffers_Agroinsumos[[#This Row],[VL-MP]:[VL-LF]]),"")</f>
        <v>0</v>
      </c>
      <c r="FF310" s="92">
        <f>IFERROR(Tabla_Buffers_Agroinsumos[[#This Row],[INV FIS VL]]-Tabla_Buffers_Agroinsumos[[#This Row],[BUFFER VL]],"")</f>
        <v>0</v>
      </c>
      <c r="FG31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10" s="134"/>
      <c r="FI310" s="134"/>
      <c r="FJ310" s="134"/>
      <c r="FK310" s="134"/>
      <c r="FL310" s="134"/>
      <c r="FM310" s="134"/>
      <c r="FN310" s="134"/>
      <c r="FO310" s="134"/>
      <c r="FP310" s="134"/>
    </row>
    <row r="311" spans="1:172">
      <c r="A311" s="7" t="s">
        <v>920</v>
      </c>
      <c r="B311" s="7" t="s">
        <v>965</v>
      </c>
      <c r="C311" s="7" t="s">
        <v>966</v>
      </c>
      <c r="D311" s="7" t="s">
        <v>719</v>
      </c>
      <c r="E311" s="7" t="s">
        <v>975</v>
      </c>
      <c r="F311" s="19" t="s">
        <v>698</v>
      </c>
      <c r="G311" s="19" t="s">
        <v>698</v>
      </c>
      <c r="H311" s="19">
        <f>VLOOKUP(Tabla_Buffers_Agroinsumos[[#This Row],[CODIGO ]],TABLACONSOLIDADA[[Codigo]:[PV]],6,0)</f>
        <v>28.5</v>
      </c>
      <c r="I311" s="19">
        <f>VLOOKUP(Tabla_Buffers_Agroinsumos[[#This Row],[CODIGO ]],TABLACONSOLIDADA[[Codigo]:[PV]],5,0)</f>
        <v>14.48</v>
      </c>
      <c r="J311" s="19" t="s">
        <v>698</v>
      </c>
      <c r="K311" s="19" t="s">
        <v>698</v>
      </c>
      <c r="L311" s="19">
        <f>IFERROR(Tabla_Buffers_Agroinsumos[[#This Row],[BUFFER CENTRAL]]/((Tabla_Buffers_Agroinsumos[[#This Row],[TIEMPO REPOSICION ]]/Tabla_Buffers_Agroinsumos[[#This Row],[FRECUENCIA]])+1),0)</f>
        <v>0</v>
      </c>
      <c r="M311" s="19" t="str">
        <f t="array" ref="M311">IFERROR(INDEX(TABLACONSOLIDADA[Buff Act],MATCH("AGROINSUMOSMATERIAPRIMA"&amp;Tabla_Buffers_Agroinsumos[[#This Row],[CODIGO ]],TABLACONSOLIDADA[Bodega]&amp;TABLACONSOLIDADA[Codigo],0)),"")</f>
        <v/>
      </c>
      <c r="N311" s="157" t="str">
        <f t="array" ref="N311">IFERROR(INDEX(TABLACONSOLIDADA[Inv Fís Act],MATCH("AGROINSUMOSMATERIAPRIMA"&amp;Tabla_Buffers_Agroinsumos[[#This Row],[CODIGO ]],TABLACONSOLIDADA[Bodega]&amp;TABLACONSOLIDADA[Codigo],0)),"")</f>
        <v/>
      </c>
      <c r="O311" s="157" t="str">
        <f t="array" ref="O31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1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11" s="19">
        <f>IFERROR(SUM(Tabla_Buffers_Agroinsumos[[#This Row],[MP-C]:[MP-VL]]),"")</f>
        <v>0</v>
      </c>
      <c r="R311" s="92" t="str">
        <f>IFERROR(Tabla_Buffers_Agroinsumos[[#This Row],[INV FIS MATERIA PRIMA]]-Tabla_Buffers_Agroinsumos[[#This Row],[BUFFER MATERIA PRIMA]],"")</f>
        <v/>
      </c>
      <c r="S31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11" s="19"/>
      <c r="U311" s="19"/>
      <c r="V311" s="19"/>
      <c r="W311" s="19"/>
      <c r="X311" s="19"/>
      <c r="Y311" s="19"/>
      <c r="Z311" s="19"/>
      <c r="AA311" s="19"/>
      <c r="AB311" s="19"/>
      <c r="AC311" s="152">
        <f t="array" ref="AC311">IFERROR(INDEX(TABLACONSOLIDADA[Buff Act],MATCH("AGROINSUMOSCENTRAL"&amp;Tabla_Buffers_Agroinsumos[[#This Row],[CODIGO ]],TABLACONSOLIDADA[Bodega]&amp;TABLACONSOLIDADA[Codigo],0)),"")</f>
        <v>120</v>
      </c>
      <c r="AD311" s="157">
        <f t="array" ref="AD311">IFERROR(INDEX(TABLACONSOLIDADA[Inv Fís Act],MATCH("AGROINSUMOSCENTRAL"&amp;Tabla_Buffers_Agroinsumos[[#This Row],[CODIGO ]],TABLACONSOLIDADA[Bodega]&amp;TABLACONSOLIDADA[Codigo],0)),"")</f>
        <v>130</v>
      </c>
      <c r="AE311" s="157">
        <f t="array" ref="AE31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130</v>
      </c>
      <c r="AF31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11" s="91">
        <f>IFERROR(SUM(Tabla_Buffers_Agroinsumos[[#This Row],[C-MP]:[C-VL]]),"")</f>
        <v>0</v>
      </c>
      <c r="AH311" s="92">
        <f>IFERROR(Tabla_Buffers_Agroinsumos[[#This Row],[INV FIS CENTRAL]]-Tabla_Buffers_Agroinsumos[[#This Row],[BUFFER CENTRAL]],"")</f>
        <v>10</v>
      </c>
      <c r="AI31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10</v>
      </c>
      <c r="AJ311" s="134"/>
      <c r="AK311" s="134"/>
      <c r="AL311" s="134"/>
      <c r="AM311" s="134"/>
      <c r="AN311" s="134"/>
      <c r="AO311" s="134"/>
      <c r="AP311" s="134"/>
      <c r="AQ311" s="134"/>
      <c r="AR311" s="134"/>
      <c r="AS311" s="134">
        <f t="array" ref="AS311">IFERROR(INDEX(TABLACONSOLIDADA[Buff Act],MATCH("AGROINSUMOScentralPROPIA"&amp;Tabla_Buffers_Agroinsumos[[#This Row],[CODIGO ]],TABLACONSOLIDADA[Bodega]&amp;TABLACONSOLIDADA[Codigo],0)),"")</f>
        <v>45</v>
      </c>
      <c r="AT311" s="157">
        <f t="array" ref="AT311">IFERROR(INDEX(TABLACONSOLIDADA[Inv Fís Act],MATCH("AGROINSUMOScentralPROPIA"&amp;Tabla_Buffers_Agroinsumos[[#This Row],[CODIGO ]],TABLACONSOLIDADA[Bodega]&amp;TABLACONSOLIDADA[Codigo],0)),"")</f>
        <v>0</v>
      </c>
      <c r="AU311" s="157">
        <f t="array" ref="AU31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1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11" s="134">
        <f>IFERROR(SUM(Tabla_Buffers_Agroinsumos[[#This Row],[P-MP]:[P-VL]]),"")</f>
        <v>0</v>
      </c>
      <c r="AX311" s="92">
        <f>IFERROR(Tabla_Buffers_Agroinsumos[[#This Row],[INV FIS PROPIA]]-Tabla_Buffers_Agroinsumos[[#This Row],[BUFFER PROPIA]],"")</f>
        <v>-45</v>
      </c>
      <c r="AY31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-45</v>
      </c>
      <c r="AZ311" s="134"/>
      <c r="BA311" s="134"/>
      <c r="BB311" s="134"/>
      <c r="BC311" s="134"/>
      <c r="BD311" s="134"/>
      <c r="BE311" s="134"/>
      <c r="BF311" s="134"/>
      <c r="BG311" s="134"/>
      <c r="BH311" s="134"/>
      <c r="BI311" s="91">
        <f t="array" ref="BI311">IFERROR(INDEX(TABLACONSOLIDADA[Buff Act],MATCH("AGROINSUMOSSTODOMINGO"&amp;Tabla_Buffers_Agroinsumos[[#This Row],[CODIGO ]],TABLACONSOLIDADA[Bodega]&amp;TABLACONSOLIDADA[Codigo],0)),"")</f>
        <v>0</v>
      </c>
      <c r="BJ311" s="157">
        <f t="array" ref="BJ311">IFERROR(INDEX(TABLACONSOLIDADA[Inv Fís Act],MATCH("AGROINSUMOSSTODOMINGO"&amp;Tabla_Buffers_Agroinsumos[[#This Row],[CODIGO ]],TABLACONSOLIDADA[Bodega]&amp;TABLACONSOLIDADA[Codigo],0)),"")</f>
        <v>0</v>
      </c>
      <c r="BK311" s="157">
        <f t="array" ref="BK31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1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11" s="91">
        <f>IFERROR(SUM(Tabla_Buffers_Agroinsumos[[#This Row],[SD-MP]:[SD-VL]]),"")</f>
        <v>0</v>
      </c>
      <c r="BN311" s="92"/>
      <c r="BO311" s="92"/>
      <c r="BP311" s="134"/>
      <c r="BQ311" s="134"/>
      <c r="BR311" s="134"/>
      <c r="BS311" s="134"/>
      <c r="BT311" s="134"/>
      <c r="BU311" s="134"/>
      <c r="BV311" s="134"/>
      <c r="BW311" s="134"/>
      <c r="BX311" s="134"/>
      <c r="BY311" s="134" t="str">
        <f t="array" ref="BY311">IFERROR(INDEX(TABLACONSOLIDADA[Buff Act],MATCH("AGROINSUMOSMONCAYOLOPEZ"&amp;Tabla_Buffers_Agroinsumos[[#This Row],[CODIGO ]],TABLACONSOLIDADA[Bodega]&amp;TABLACONSOLIDADA[Codigo],0)),"")</f>
        <v/>
      </c>
      <c r="BZ311" s="157" t="str">
        <f t="array" ref="BZ311">IFERROR(INDEX(TABLACONSOLIDADA[Inv Fís Act],MATCH("AGROINSUMOSMONCAYOLOPEZ"&amp;Tabla_Buffers_Agroinsumos[[#This Row],[CODIGO ]],TABLACONSOLIDADA[Bodega]&amp;TABLACONSOLIDADA[Codigo],0)),"")</f>
        <v/>
      </c>
      <c r="CA311" s="157" t="str">
        <f t="array" ref="CA31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1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11" s="134">
        <f>IFERROR(SUM(Tabla_Buffers_Agroinsumos[[#This Row],[ML-MP]:[ML-VL]]),"")</f>
        <v>0</v>
      </c>
      <c r="CD311" s="92" t="str">
        <f>IFERROR(Tabla_Buffers_Agroinsumos[[#This Row],[INV FIS ML]]-Tabla_Buffers_Agroinsumos[[#This Row],[BUFFER ML]],"")</f>
        <v/>
      </c>
      <c r="CE31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11" s="134"/>
      <c r="CG311" s="134"/>
      <c r="CH311" s="134"/>
      <c r="CI311" s="134"/>
      <c r="CJ311" s="134"/>
      <c r="CK311" s="134"/>
      <c r="CL311" s="134"/>
      <c r="CM311" s="134"/>
      <c r="CN311" s="134"/>
      <c r="CO311" s="134" t="str">
        <f t="array" ref="CO311">IFERROR(INDEX(TABLACONSOLIDADA[Buff Act],MATCH("AGROINSUMOSAGROHERMANOSLEON"&amp;Tabla_Buffers_Agroinsumos[[#This Row],[CODIGO ]],TABLACONSOLIDADA[Bodega]&amp;TABLACONSOLIDADA[Codigo],0)),"")</f>
        <v/>
      </c>
      <c r="CP311" s="157" t="str">
        <f t="array" ref="CP311">IFERROR(INDEX(TABLACONSOLIDADA[Inv Fís Act],MATCH("AGROINSUMOSAGROHERMANOSLEON"&amp;Tabla_Buffers_Agroinsumos[[#This Row],[CODIGO ]],TABLACONSOLIDADA[Bodega]&amp;TABLACONSOLIDADA[Codigo],0)),"")</f>
        <v/>
      </c>
      <c r="CQ311" s="157" t="str">
        <f t="array" ref="CQ31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1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11" s="134">
        <f>IFERROR(SUM(Tabla_Buffers_Agroinsumos[[#This Row],[AL-MP]:[AL-VL]]),"")</f>
        <v>0</v>
      </c>
      <c r="CT311" s="92" t="str">
        <f>IFERROR(Tabla_Buffers_Agroinsumos[[#This Row],[INV FIS AL]]-Tabla_Buffers_Agroinsumos[[#This Row],[BUFFER AL]],"")</f>
        <v/>
      </c>
      <c r="CU31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11" s="134"/>
      <c r="CW311" s="134"/>
      <c r="CX311" s="134"/>
      <c r="CY311" s="134"/>
      <c r="CZ311" s="134"/>
      <c r="DA311" s="134"/>
      <c r="DB311" s="134"/>
      <c r="DC311" s="134"/>
      <c r="DD311" s="134"/>
      <c r="DE311" s="134" t="str">
        <f t="array" ref="DE311">IFERROR(INDEX(TABLACONSOLIDADA[Buff Act],MATCH("AGROINSUMOSAGRONUEVO"&amp;Tabla_Buffers_Agroinsumos[[#This Row],[CODIGO ]],TABLACONSOLIDADA[Bodega]&amp;TABLACONSOLIDADA[Codigo],0)),"")</f>
        <v/>
      </c>
      <c r="DF311" s="157" t="str">
        <f t="array" ref="DF311">IFERROR(INDEX(TABLACONSOLIDADA[Inv Fís Act],MATCH("AGROINSUMOSAGRONUEVO"&amp;Tabla_Buffers_Agroinsumos[[#This Row],[CODIGO ]],TABLACONSOLIDADA[Bodega]&amp;TABLACONSOLIDADA[Codigo],0)),"")</f>
        <v/>
      </c>
      <c r="DG311" s="157" t="str">
        <f t="array" ref="DG31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1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11" s="134">
        <f>IFERROR(SUM(Tabla_Buffers_Agroinsumos[[#This Row],[AN-MP]:[AN-VL]]),"")</f>
        <v>0</v>
      </c>
      <c r="DJ311" s="92" t="str">
        <f>IFERROR(Tabla_Buffers_Agroinsumos[[#This Row],[INV FIS AN]]-Tabla_Buffers_Agroinsumos[[#This Row],[BUFFER AN]],"")</f>
        <v/>
      </c>
      <c r="DK31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11" s="134"/>
      <c r="DM311" s="134"/>
      <c r="DN311" s="134"/>
      <c r="DO311" s="134"/>
      <c r="DP311" s="134"/>
      <c r="DQ311" s="134"/>
      <c r="DR311" s="134"/>
      <c r="DS311" s="134"/>
      <c r="DT311" s="134"/>
      <c r="DU311" s="134" t="str">
        <f t="array" ref="DU311">IFERROR(INDEX(TABLACONSOLIDADA[Buff Act],MATCH("AGROINSUMOSAGROQUIMICOSSUR"&amp;Tabla_Buffers_Agroinsumos[[#This Row],[CODIGO ]],TABLACONSOLIDADA[Bodega]&amp;TABLACONSOLIDADA[Codigo],0)),"")</f>
        <v/>
      </c>
      <c r="DV311" s="157" t="str">
        <f t="array" ref="DV311">IFERROR(INDEX(TABLACONSOLIDADA[Inv Fís Act],MATCH("AGROINSUMOSAGROQUIMICOSSUR"&amp;Tabla_Buffers_Agroinsumos[[#This Row],[CODIGO ]],TABLACONSOLIDADA[Bodega]&amp;TABLACONSOLIDADA[Codigo],0)),"")</f>
        <v/>
      </c>
      <c r="DW311" s="157" t="str">
        <f t="array" ref="DW31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1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11" s="134">
        <f>IFERROR(SUM(Tabla_Buffers_Agroinsumos[[#This Row],[AS-MP]:[AS-VL]]),"")</f>
        <v>0</v>
      </c>
      <c r="DZ311" s="92" t="str">
        <f>IFERROR(Tabla_Buffers_Agroinsumos[[#This Row],[INV FIS AS]]-Tabla_Buffers_Agroinsumos[[#This Row],[BUFFER AS]],"")</f>
        <v/>
      </c>
      <c r="EA31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11" s="134"/>
      <c r="EC311" s="134"/>
      <c r="ED311" s="134"/>
      <c r="EE311" s="134"/>
      <c r="EF311" s="134"/>
      <c r="EG311" s="134"/>
      <c r="EH311" s="134"/>
      <c r="EI311" s="134"/>
      <c r="EJ311" s="134"/>
      <c r="EK311" s="134">
        <f t="array" ref="EK311">IFERROR(INDEX(TABLACONSOLIDADA[Buff Act],MATCH("AGROINSUMOSLAFINCA"&amp;Tabla_Buffers_Agroinsumos[[#This Row],[CODIGO ]],TABLACONSOLIDADA[Bodega]&amp;TABLACONSOLIDADA[Codigo],0)),"")</f>
        <v>5</v>
      </c>
      <c r="EL311" s="157">
        <f t="array" ref="EL311">IFERROR(INDEX(TABLACONSOLIDADA[Inv Fís Act],MATCH("AGROINSUMOSLAFINCA"&amp;Tabla_Buffers_Agroinsumos[[#This Row],[CODIGO ]],TABLACONSOLIDADA[Bodega]&amp;TABLACONSOLIDADA[Codigo],0)),"")</f>
        <v>0</v>
      </c>
      <c r="EM311" s="157">
        <f t="array" ref="EM31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1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11" s="134">
        <f>IFERROR(SUM(Tabla_Buffers_Agroinsumos[[#This Row],[LF-MP]:[LF-VL]]),"")</f>
        <v>0</v>
      </c>
      <c r="EP311" s="92">
        <f>IFERROR(Tabla_Buffers_Agroinsumos[[#This Row],[INV FIS LF]]-Tabla_Buffers_Agroinsumos[[#This Row],[BUFFER LF]],"")</f>
        <v>-5</v>
      </c>
      <c r="EQ311" s="92">
        <f>IFERROR(Tabla_Buffers_Agroinsumos[[#This Row],[INV FIS LF]]+Tabla_Buffers_Agroinsumos[[#This Row],[TRANSFERENCIAS A LF]]-Tabla_Buffers_Agroinsumos[[#This Row],[BUFFER LF]]-Tabla_Buffers_Agroinsumos[[#This Row],[TRANSFERENCIAS DE LF]],"")</f>
        <v>-5</v>
      </c>
      <c r="ER311" s="134"/>
      <c r="ES311" s="134"/>
      <c r="ET311" s="134"/>
      <c r="EU311" s="134"/>
      <c r="EV311" s="134"/>
      <c r="EW311" s="134"/>
      <c r="EX311" s="134"/>
      <c r="EY311" s="134"/>
      <c r="EZ311" s="134"/>
      <c r="FA311" s="134" t="str">
        <f t="array" ref="FA311">IFERROR(INDEX(TABLACONSOLIDADA[Buff Act],MATCH("AGROINSUMOSVERONICALEDESMA"&amp;Tabla_Buffers_Agroinsumos[[#This Row],[CODIGO ]],TABLACONSOLIDADA[Bodega]&amp;TABLACONSOLIDADA[Codigo],0)),"")</f>
        <v/>
      </c>
      <c r="FB311" s="157" t="str">
        <f t="array" ref="FB311">IFERROR(INDEX(TABLACONSOLIDADA[Inv Fís Act],MATCH("AGROINSUMOSVERONICALEDESMA"&amp;Tabla_Buffers_Agroinsumos[[#This Row],[CODIGO ]],TABLACONSOLIDADA[Bodega]&amp;TABLACONSOLIDADA[Codigo],0)),"")</f>
        <v/>
      </c>
      <c r="FC311" s="157" t="str">
        <f t="array" ref="FC31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1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11" s="134">
        <f>IFERROR(SUM(Tabla_Buffers_Agroinsumos[[#This Row],[VL-MP]:[VL-LF]]),"")</f>
        <v>0</v>
      </c>
      <c r="FF311" s="92" t="str">
        <f>IFERROR(Tabla_Buffers_Agroinsumos[[#This Row],[INV FIS VL]]-Tabla_Buffers_Agroinsumos[[#This Row],[BUFFER VL]],"")</f>
        <v/>
      </c>
      <c r="FG31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11" s="134"/>
      <c r="FI311" s="134"/>
      <c r="FJ311" s="134"/>
      <c r="FK311" s="134"/>
      <c r="FL311" s="134"/>
      <c r="FM311" s="134"/>
      <c r="FN311" s="134"/>
      <c r="FO311" s="134"/>
      <c r="FP311" s="134"/>
    </row>
    <row r="312" spans="1:172">
      <c r="A312" s="7" t="s">
        <v>532</v>
      </c>
      <c r="B312" s="7" t="s">
        <v>533</v>
      </c>
      <c r="C312" s="7" t="s">
        <v>708</v>
      </c>
      <c r="D312" s="7" t="s">
        <v>717</v>
      </c>
      <c r="E312" s="7" t="s">
        <v>863</v>
      </c>
      <c r="F312" s="19" t="s">
        <v>811</v>
      </c>
      <c r="G312" s="19" t="s">
        <v>873</v>
      </c>
      <c r="H312" s="19">
        <f>VLOOKUP(Tabla_Buffers_Agroinsumos[[#This Row],[CODIGO ]],TABLACONSOLIDADA[[Codigo]:[PV]],6,0)</f>
        <v>0</v>
      </c>
      <c r="I312" s="19">
        <f>VLOOKUP(Tabla_Buffers_Agroinsumos[[#This Row],[CODIGO ]],TABLACONSOLIDADA[[Codigo]:[PV]],5,0)</f>
        <v>2.2000000000000002</v>
      </c>
      <c r="J312" s="19">
        <v>26</v>
      </c>
      <c r="K312" s="19">
        <v>12</v>
      </c>
      <c r="L312" s="19">
        <f>IFERROR(Tabla_Buffers_Agroinsumos[[#This Row],[BUFFER CENTRAL]]/((Tabla_Buffers_Agroinsumos[[#This Row],[TIEMPO REPOSICION ]]/Tabla_Buffers_Agroinsumos[[#This Row],[FRECUENCIA]])+1),0)</f>
        <v>0</v>
      </c>
      <c r="M312" s="19">
        <f t="array" ref="M312">IFERROR(INDEX(TABLACONSOLIDADA[Buff Act],MATCH("AGROINSUMOSMATERIAPRIMA"&amp;Tabla_Buffers_Agroinsumos[[#This Row],[CODIGO ]],TABLACONSOLIDADA[Bodega]&amp;TABLACONSOLIDADA[Codigo],0)),"")</f>
        <v>3000</v>
      </c>
      <c r="N312" s="157">
        <f t="array" ref="N312">IFERROR(INDEX(TABLACONSOLIDADA[Inv Fís Act],MATCH("AGROINSUMOSMATERIAPRIMA"&amp;Tabla_Buffers_Agroinsumos[[#This Row],[CODIGO ]],TABLACONSOLIDADA[Bodega]&amp;TABLACONSOLIDADA[Codigo],0)),"")</f>
        <v>0</v>
      </c>
      <c r="O312" s="157">
        <f t="array" ref="O31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6666</v>
      </c>
      <c r="P31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12" s="19">
        <f>IFERROR(SUM(Tabla_Buffers_Agroinsumos[[#This Row],[MP-C]:[MP-VL]]),"")</f>
        <v>0</v>
      </c>
      <c r="R312" s="92">
        <f>IFERROR(Tabla_Buffers_Agroinsumos[[#This Row],[INV FIS MATERIA PRIMA]]-Tabla_Buffers_Agroinsumos[[#This Row],[BUFFER MATERIA PRIMA]],"")</f>
        <v>-3000</v>
      </c>
      <c r="S31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-3000</v>
      </c>
      <c r="T312" s="19"/>
      <c r="U312" s="19"/>
      <c r="V312" s="19"/>
      <c r="W312" s="19"/>
      <c r="X312" s="19"/>
      <c r="Y312" s="19"/>
      <c r="Z312" s="19"/>
      <c r="AA312" s="19"/>
      <c r="AB312" s="19"/>
      <c r="AC312" s="152" t="str">
        <f t="array" ref="AC312">IFERROR(INDEX(TABLACONSOLIDADA[Buff Act],MATCH("AGROINSUMOSCENTRAL"&amp;Tabla_Buffers_Agroinsumos[[#This Row],[CODIGO ]],TABLACONSOLIDADA[Bodega]&amp;TABLACONSOLIDADA[Codigo],0)),"")</f>
        <v/>
      </c>
      <c r="AD312" s="157" t="str">
        <f t="array" ref="AD312">IFERROR(INDEX(TABLACONSOLIDADA[Inv Fís Act],MATCH("AGROINSUMOSCENTRAL"&amp;Tabla_Buffers_Agroinsumos[[#This Row],[CODIGO ]],TABLACONSOLIDADA[Bodega]&amp;TABLACONSOLIDADA[Codigo],0)),"")</f>
        <v/>
      </c>
      <c r="AE312" s="157" t="str">
        <f t="array" ref="AE31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1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12" s="91">
        <f>IFERROR(SUM(Tabla_Buffers_Agroinsumos[[#This Row],[C-MP]:[C-VL]]),"")</f>
        <v>0</v>
      </c>
      <c r="AH312" s="92" t="str">
        <f>IFERROR(Tabla_Buffers_Agroinsumos[[#This Row],[INV FIS CENTRAL]]-Tabla_Buffers_Agroinsumos[[#This Row],[BUFFER CENTRAL]],"")</f>
        <v/>
      </c>
      <c r="AI31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12" s="134"/>
      <c r="AK312" s="134"/>
      <c r="AL312" s="134"/>
      <c r="AM312" s="134"/>
      <c r="AN312" s="134"/>
      <c r="AO312" s="134"/>
      <c r="AP312" s="134"/>
      <c r="AQ312" s="134"/>
      <c r="AR312" s="134"/>
      <c r="AS312" s="134" t="str">
        <f t="array" ref="AS312">IFERROR(INDEX(TABLACONSOLIDADA[Buff Act],MATCH("AGROINSUMOScentralPROPIA"&amp;Tabla_Buffers_Agroinsumos[[#This Row],[CODIGO ]],TABLACONSOLIDADA[Bodega]&amp;TABLACONSOLIDADA[Codigo],0)),"")</f>
        <v/>
      </c>
      <c r="AT312" s="157" t="str">
        <f t="array" ref="AT312">IFERROR(INDEX(TABLACONSOLIDADA[Inv Fís Act],MATCH("AGROINSUMOScentralPROPIA"&amp;Tabla_Buffers_Agroinsumos[[#This Row],[CODIGO ]],TABLACONSOLIDADA[Bodega]&amp;TABLACONSOLIDADA[Codigo],0)),"")</f>
        <v/>
      </c>
      <c r="AU312" s="157" t="str">
        <f t="array" ref="AU31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1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12" s="134">
        <f>IFERROR(SUM(Tabla_Buffers_Agroinsumos[[#This Row],[P-MP]:[P-VL]]),"")</f>
        <v>0</v>
      </c>
      <c r="AX312" s="92" t="str">
        <f>IFERROR(Tabla_Buffers_Agroinsumos[[#This Row],[INV FIS PROPIA]]-Tabla_Buffers_Agroinsumos[[#This Row],[BUFFER PROPIA]],"")</f>
        <v/>
      </c>
      <c r="AY31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12" s="134"/>
      <c r="BA312" s="134"/>
      <c r="BB312" s="134"/>
      <c r="BC312" s="134"/>
      <c r="BD312" s="134"/>
      <c r="BE312" s="134"/>
      <c r="BF312" s="134"/>
      <c r="BG312" s="134"/>
      <c r="BH312" s="134"/>
      <c r="BI312" s="91" t="str">
        <f t="array" ref="BI312">IFERROR(INDEX(TABLACONSOLIDADA[Buff Act],MATCH("AGROINSUMOSSTODOMINGO"&amp;Tabla_Buffers_Agroinsumos[[#This Row],[CODIGO ]],TABLACONSOLIDADA[Bodega]&amp;TABLACONSOLIDADA[Codigo],0)),"")</f>
        <v/>
      </c>
      <c r="BJ312" s="157" t="str">
        <f t="array" ref="BJ312">IFERROR(INDEX(TABLACONSOLIDADA[Inv Fís Act],MATCH("AGROINSUMOSSTODOMINGO"&amp;Tabla_Buffers_Agroinsumos[[#This Row],[CODIGO ]],TABLACONSOLIDADA[Bodega]&amp;TABLACONSOLIDADA[Codigo],0)),"")</f>
        <v/>
      </c>
      <c r="BK312" s="157" t="str">
        <f t="array" ref="BK31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1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12" s="91">
        <f>IFERROR(SUM(Tabla_Buffers_Agroinsumos[[#This Row],[SD-MP]:[SD-VL]]),"")</f>
        <v>0</v>
      </c>
      <c r="BN312" s="92"/>
      <c r="BO312" s="92"/>
      <c r="BP312" s="134"/>
      <c r="BQ312" s="134"/>
      <c r="BR312" s="134"/>
      <c r="BS312" s="134"/>
      <c r="BT312" s="134"/>
      <c r="BU312" s="134"/>
      <c r="BV312" s="134"/>
      <c r="BW312" s="134"/>
      <c r="BX312" s="134"/>
      <c r="BY312" s="134" t="str">
        <f t="array" ref="BY312">IFERROR(INDEX(TABLACONSOLIDADA[Buff Act],MATCH("AGROINSUMOSMONCAYOLOPEZ"&amp;Tabla_Buffers_Agroinsumos[[#This Row],[CODIGO ]],TABLACONSOLIDADA[Bodega]&amp;TABLACONSOLIDADA[Codigo],0)),"")</f>
        <v/>
      </c>
      <c r="BZ312" s="157" t="str">
        <f t="array" ref="BZ312">IFERROR(INDEX(TABLACONSOLIDADA[Inv Fís Act],MATCH("AGROINSUMOSMONCAYOLOPEZ"&amp;Tabla_Buffers_Agroinsumos[[#This Row],[CODIGO ]],TABLACONSOLIDADA[Bodega]&amp;TABLACONSOLIDADA[Codigo],0)),"")</f>
        <v/>
      </c>
      <c r="CA312" s="157" t="str">
        <f t="array" ref="CA31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1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12" s="134">
        <f>IFERROR(SUM(Tabla_Buffers_Agroinsumos[[#This Row],[ML-MP]:[ML-VL]]),"")</f>
        <v>0</v>
      </c>
      <c r="CD312" s="92" t="str">
        <f>IFERROR(Tabla_Buffers_Agroinsumos[[#This Row],[INV FIS ML]]-Tabla_Buffers_Agroinsumos[[#This Row],[BUFFER ML]],"")</f>
        <v/>
      </c>
      <c r="CE31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12" s="134"/>
      <c r="CG312" s="134"/>
      <c r="CH312" s="134"/>
      <c r="CI312" s="134"/>
      <c r="CJ312" s="134"/>
      <c r="CK312" s="134"/>
      <c r="CL312" s="134"/>
      <c r="CM312" s="134"/>
      <c r="CN312" s="134"/>
      <c r="CO312" s="134" t="str">
        <f t="array" ref="CO312">IFERROR(INDEX(TABLACONSOLIDADA[Buff Act],MATCH("AGROINSUMOSAGROHERMANOSLEON"&amp;Tabla_Buffers_Agroinsumos[[#This Row],[CODIGO ]],TABLACONSOLIDADA[Bodega]&amp;TABLACONSOLIDADA[Codigo],0)),"")</f>
        <v/>
      </c>
      <c r="CP312" s="157" t="str">
        <f t="array" ref="CP312">IFERROR(INDEX(TABLACONSOLIDADA[Inv Fís Act],MATCH("AGROINSUMOSAGROHERMANOSLEON"&amp;Tabla_Buffers_Agroinsumos[[#This Row],[CODIGO ]],TABLACONSOLIDADA[Bodega]&amp;TABLACONSOLIDADA[Codigo],0)),"")</f>
        <v/>
      </c>
      <c r="CQ312" s="157" t="str">
        <f t="array" ref="CQ31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1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12" s="134">
        <f>IFERROR(SUM(Tabla_Buffers_Agroinsumos[[#This Row],[AL-MP]:[AL-VL]]),"")</f>
        <v>0</v>
      </c>
      <c r="CT312" s="92" t="str">
        <f>IFERROR(Tabla_Buffers_Agroinsumos[[#This Row],[INV FIS AL]]-Tabla_Buffers_Agroinsumos[[#This Row],[BUFFER AL]],"")</f>
        <v/>
      </c>
      <c r="CU31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12" s="134"/>
      <c r="CW312" s="134"/>
      <c r="CX312" s="134"/>
      <c r="CY312" s="134"/>
      <c r="CZ312" s="134"/>
      <c r="DA312" s="134"/>
      <c r="DB312" s="134"/>
      <c r="DC312" s="134"/>
      <c r="DD312" s="134"/>
      <c r="DE312" s="134" t="str">
        <f t="array" ref="DE312">IFERROR(INDEX(TABLACONSOLIDADA[Buff Act],MATCH("AGROINSUMOSAGRONUEVO"&amp;Tabla_Buffers_Agroinsumos[[#This Row],[CODIGO ]],TABLACONSOLIDADA[Bodega]&amp;TABLACONSOLIDADA[Codigo],0)),"")</f>
        <v/>
      </c>
      <c r="DF312" s="157" t="str">
        <f t="array" ref="DF312">IFERROR(INDEX(TABLACONSOLIDADA[Inv Fís Act],MATCH("AGROINSUMOSAGRONUEVO"&amp;Tabla_Buffers_Agroinsumos[[#This Row],[CODIGO ]],TABLACONSOLIDADA[Bodega]&amp;TABLACONSOLIDADA[Codigo],0)),"")</f>
        <v/>
      </c>
      <c r="DG312" s="157" t="str">
        <f t="array" ref="DG31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1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12" s="134">
        <f>IFERROR(SUM(Tabla_Buffers_Agroinsumos[[#This Row],[AN-MP]:[AN-VL]]),"")</f>
        <v>0</v>
      </c>
      <c r="DJ312" s="92" t="str">
        <f>IFERROR(Tabla_Buffers_Agroinsumos[[#This Row],[INV FIS AN]]-Tabla_Buffers_Agroinsumos[[#This Row],[BUFFER AN]],"")</f>
        <v/>
      </c>
      <c r="DK31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12" s="134"/>
      <c r="DM312" s="134"/>
      <c r="DN312" s="134"/>
      <c r="DO312" s="134"/>
      <c r="DP312" s="134"/>
      <c r="DQ312" s="134"/>
      <c r="DR312" s="134"/>
      <c r="DS312" s="134"/>
      <c r="DT312" s="134"/>
      <c r="DU312" s="134" t="str">
        <f t="array" ref="DU312">IFERROR(INDEX(TABLACONSOLIDADA[Buff Act],MATCH("AGROINSUMOSAGROQUIMICOSSUR"&amp;Tabla_Buffers_Agroinsumos[[#This Row],[CODIGO ]],TABLACONSOLIDADA[Bodega]&amp;TABLACONSOLIDADA[Codigo],0)),"")</f>
        <v/>
      </c>
      <c r="DV312" s="157" t="str">
        <f t="array" ref="DV312">IFERROR(INDEX(TABLACONSOLIDADA[Inv Fís Act],MATCH("AGROINSUMOSAGROQUIMICOSSUR"&amp;Tabla_Buffers_Agroinsumos[[#This Row],[CODIGO ]],TABLACONSOLIDADA[Bodega]&amp;TABLACONSOLIDADA[Codigo],0)),"")</f>
        <v/>
      </c>
      <c r="DW312" s="157" t="str">
        <f t="array" ref="DW31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1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12" s="134">
        <f>IFERROR(SUM(Tabla_Buffers_Agroinsumos[[#This Row],[AS-MP]:[AS-VL]]),"")</f>
        <v>0</v>
      </c>
      <c r="DZ312" s="92" t="str">
        <f>IFERROR(Tabla_Buffers_Agroinsumos[[#This Row],[INV FIS AS]]-Tabla_Buffers_Agroinsumos[[#This Row],[BUFFER AS]],"")</f>
        <v/>
      </c>
      <c r="EA31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12" s="134"/>
      <c r="EC312" s="134"/>
      <c r="ED312" s="134"/>
      <c r="EE312" s="134"/>
      <c r="EF312" s="134"/>
      <c r="EG312" s="134"/>
      <c r="EH312" s="134"/>
      <c r="EI312" s="134"/>
      <c r="EJ312" s="134"/>
      <c r="EK312" s="134" t="str">
        <f t="array" ref="EK312">IFERROR(INDEX(TABLACONSOLIDADA[Buff Act],MATCH("AGROINSUMOSLAFINCA"&amp;Tabla_Buffers_Agroinsumos[[#This Row],[CODIGO ]],TABLACONSOLIDADA[Bodega]&amp;TABLACONSOLIDADA[Codigo],0)),"")</f>
        <v/>
      </c>
      <c r="EL312" s="157" t="str">
        <f t="array" ref="EL312">IFERROR(INDEX(TABLACONSOLIDADA[Inv Fís Act],MATCH("AGROINSUMOSLAFINCA"&amp;Tabla_Buffers_Agroinsumos[[#This Row],[CODIGO ]],TABLACONSOLIDADA[Bodega]&amp;TABLACONSOLIDADA[Codigo],0)),"")</f>
        <v/>
      </c>
      <c r="EM312" s="157" t="str">
        <f t="array" ref="EM31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1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12" s="134">
        <f>IFERROR(SUM(Tabla_Buffers_Agroinsumos[[#This Row],[LF-MP]:[LF-VL]]),"")</f>
        <v>0</v>
      </c>
      <c r="EP312" s="92" t="str">
        <f>IFERROR(Tabla_Buffers_Agroinsumos[[#This Row],[INV FIS LF]]-Tabla_Buffers_Agroinsumos[[#This Row],[BUFFER LF]],"")</f>
        <v/>
      </c>
      <c r="EQ31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12" s="134"/>
      <c r="ES312" s="134"/>
      <c r="ET312" s="134"/>
      <c r="EU312" s="134"/>
      <c r="EV312" s="134"/>
      <c r="EW312" s="134"/>
      <c r="EX312" s="134"/>
      <c r="EY312" s="134"/>
      <c r="EZ312" s="134"/>
      <c r="FA312" s="134" t="str">
        <f t="array" ref="FA312">IFERROR(INDEX(TABLACONSOLIDADA[Buff Act],MATCH("AGROINSUMOSVERONICALEDESMA"&amp;Tabla_Buffers_Agroinsumos[[#This Row],[CODIGO ]],TABLACONSOLIDADA[Bodega]&amp;TABLACONSOLIDADA[Codigo],0)),"")</f>
        <v/>
      </c>
      <c r="FB312" s="157" t="str">
        <f t="array" ref="FB312">IFERROR(INDEX(TABLACONSOLIDADA[Inv Fís Act],MATCH("AGROINSUMOSVERONICALEDESMA"&amp;Tabla_Buffers_Agroinsumos[[#This Row],[CODIGO ]],TABLACONSOLIDADA[Bodega]&amp;TABLACONSOLIDADA[Codigo],0)),"")</f>
        <v/>
      </c>
      <c r="FC312" s="157" t="str">
        <f t="array" ref="FC31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1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12" s="134">
        <f>IFERROR(SUM(Tabla_Buffers_Agroinsumos[[#This Row],[VL-MP]:[VL-LF]]),"")</f>
        <v>0</v>
      </c>
      <c r="FF312" s="92" t="str">
        <f>IFERROR(Tabla_Buffers_Agroinsumos[[#This Row],[INV FIS VL]]-Tabla_Buffers_Agroinsumos[[#This Row],[BUFFER VL]],"")</f>
        <v/>
      </c>
      <c r="FG31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12" s="134"/>
      <c r="FI312" s="134"/>
      <c r="FJ312" s="134"/>
      <c r="FK312" s="134"/>
      <c r="FL312" s="134"/>
      <c r="FM312" s="134"/>
      <c r="FN312" s="134"/>
      <c r="FO312" s="134"/>
      <c r="FP312" s="134"/>
    </row>
    <row r="313" spans="1:172">
      <c r="A313" s="7" t="s">
        <v>534</v>
      </c>
      <c r="B313" s="7" t="s">
        <v>535</v>
      </c>
      <c r="C313" s="7" t="s">
        <v>707</v>
      </c>
      <c r="D313" s="7" t="s">
        <v>717</v>
      </c>
      <c r="E313" s="7" t="s">
        <v>863</v>
      </c>
      <c r="F313" s="19" t="s">
        <v>804</v>
      </c>
      <c r="G313" s="19" t="s">
        <v>802</v>
      </c>
      <c r="H313" s="19">
        <f>VLOOKUP(Tabla_Buffers_Agroinsumos[[#This Row],[CODIGO ]],TABLACONSOLIDADA[[Codigo]:[PV]],6,0)</f>
        <v>0</v>
      </c>
      <c r="I313" s="19">
        <f>VLOOKUP(Tabla_Buffers_Agroinsumos[[#This Row],[CODIGO ]],TABLACONSOLIDADA[[Codigo]:[PV]],5,0)</f>
        <v>1.25</v>
      </c>
      <c r="J313" s="19">
        <v>4</v>
      </c>
      <c r="K313" s="19">
        <v>4</v>
      </c>
      <c r="L313" s="19">
        <f>IFERROR(Tabla_Buffers_Agroinsumos[[#This Row],[BUFFER CENTRAL]]/((Tabla_Buffers_Agroinsumos[[#This Row],[TIEMPO REPOSICION ]]/Tabla_Buffers_Agroinsumos[[#This Row],[FRECUENCIA]])+1),0)</f>
        <v>0</v>
      </c>
      <c r="M313" s="19">
        <f t="array" ref="M313">IFERROR(INDEX(TABLACONSOLIDADA[Buff Act],MATCH("AGROINSUMOSMATERIAPRIMA"&amp;Tabla_Buffers_Agroinsumos[[#This Row],[CODIGO ]],TABLACONSOLIDADA[Bodega]&amp;TABLACONSOLIDADA[Codigo],0)),"")</f>
        <v>1700</v>
      </c>
      <c r="N313" s="157">
        <f t="array" ref="N313">IFERROR(INDEX(TABLACONSOLIDADA[Inv Fís Act],MATCH("AGROINSUMOSMATERIAPRIMA"&amp;Tabla_Buffers_Agroinsumos[[#This Row],[CODIGO ]],TABLACONSOLIDADA[Bodega]&amp;TABLACONSOLIDADA[Codigo],0)),"")</f>
        <v>2000</v>
      </c>
      <c r="O313" s="157">
        <f t="array" ref="O31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2000</v>
      </c>
      <c r="P31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13" s="19">
        <f>IFERROR(SUM(Tabla_Buffers_Agroinsumos[[#This Row],[MP-C]:[MP-VL]]),"")</f>
        <v>0</v>
      </c>
      <c r="R313" s="92">
        <f>IFERROR(Tabla_Buffers_Agroinsumos[[#This Row],[INV FIS MATERIA PRIMA]]-Tabla_Buffers_Agroinsumos[[#This Row],[BUFFER MATERIA PRIMA]],"")</f>
        <v>300</v>
      </c>
      <c r="S31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300</v>
      </c>
      <c r="T313" s="19"/>
      <c r="U313" s="19"/>
      <c r="V313" s="19"/>
      <c r="W313" s="19"/>
      <c r="X313" s="19"/>
      <c r="Y313" s="19"/>
      <c r="Z313" s="19"/>
      <c r="AA313" s="19"/>
      <c r="AB313" s="19"/>
      <c r="AC313" s="152" t="str">
        <f t="array" ref="AC313">IFERROR(INDEX(TABLACONSOLIDADA[Buff Act],MATCH("AGROINSUMOSCENTRAL"&amp;Tabla_Buffers_Agroinsumos[[#This Row],[CODIGO ]],TABLACONSOLIDADA[Bodega]&amp;TABLACONSOLIDADA[Codigo],0)),"")</f>
        <v/>
      </c>
      <c r="AD313" s="157" t="str">
        <f t="array" ref="AD313">IFERROR(INDEX(TABLACONSOLIDADA[Inv Fís Act],MATCH("AGROINSUMOSCENTRAL"&amp;Tabla_Buffers_Agroinsumos[[#This Row],[CODIGO ]],TABLACONSOLIDADA[Bodega]&amp;TABLACONSOLIDADA[Codigo],0)),"")</f>
        <v/>
      </c>
      <c r="AE313" s="157" t="str">
        <f t="array" ref="AE31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1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13" s="91">
        <f>IFERROR(SUM(Tabla_Buffers_Agroinsumos[[#This Row],[C-MP]:[C-VL]]),"")</f>
        <v>0</v>
      </c>
      <c r="AH313" s="92" t="str">
        <f>IFERROR(Tabla_Buffers_Agroinsumos[[#This Row],[INV FIS CENTRAL]]-Tabla_Buffers_Agroinsumos[[#This Row],[BUFFER CENTRAL]],"")</f>
        <v/>
      </c>
      <c r="AI31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13" s="134"/>
      <c r="AK313" s="134"/>
      <c r="AL313" s="134"/>
      <c r="AM313" s="134"/>
      <c r="AN313" s="134"/>
      <c r="AO313" s="134"/>
      <c r="AP313" s="134"/>
      <c r="AQ313" s="134"/>
      <c r="AR313" s="134"/>
      <c r="AS313" s="134" t="str">
        <f t="array" ref="AS313">IFERROR(INDEX(TABLACONSOLIDADA[Buff Act],MATCH("AGROINSUMOScentralPROPIA"&amp;Tabla_Buffers_Agroinsumos[[#This Row],[CODIGO ]],TABLACONSOLIDADA[Bodega]&amp;TABLACONSOLIDADA[Codigo],0)),"")</f>
        <v/>
      </c>
      <c r="AT313" s="157" t="str">
        <f t="array" ref="AT313">IFERROR(INDEX(TABLACONSOLIDADA[Inv Fís Act],MATCH("AGROINSUMOScentralPROPIA"&amp;Tabla_Buffers_Agroinsumos[[#This Row],[CODIGO ]],TABLACONSOLIDADA[Bodega]&amp;TABLACONSOLIDADA[Codigo],0)),"")</f>
        <v/>
      </c>
      <c r="AU313" s="157" t="str">
        <f t="array" ref="AU31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1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13" s="134">
        <f>IFERROR(SUM(Tabla_Buffers_Agroinsumos[[#This Row],[P-MP]:[P-VL]]),"")</f>
        <v>0</v>
      </c>
      <c r="AX313" s="92" t="str">
        <f>IFERROR(Tabla_Buffers_Agroinsumos[[#This Row],[INV FIS PROPIA]]-Tabla_Buffers_Agroinsumos[[#This Row],[BUFFER PROPIA]],"")</f>
        <v/>
      </c>
      <c r="AY31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13" s="134"/>
      <c r="BA313" s="134"/>
      <c r="BB313" s="134"/>
      <c r="BC313" s="134"/>
      <c r="BD313" s="134"/>
      <c r="BE313" s="134"/>
      <c r="BF313" s="134"/>
      <c r="BG313" s="134"/>
      <c r="BH313" s="134"/>
      <c r="BI313" s="91" t="str">
        <f t="array" ref="BI313">IFERROR(INDEX(TABLACONSOLIDADA[Buff Act],MATCH("AGROINSUMOSSTODOMINGO"&amp;Tabla_Buffers_Agroinsumos[[#This Row],[CODIGO ]],TABLACONSOLIDADA[Bodega]&amp;TABLACONSOLIDADA[Codigo],0)),"")</f>
        <v/>
      </c>
      <c r="BJ313" s="157" t="str">
        <f t="array" ref="BJ313">IFERROR(INDEX(TABLACONSOLIDADA[Inv Fís Act],MATCH("AGROINSUMOSSTODOMINGO"&amp;Tabla_Buffers_Agroinsumos[[#This Row],[CODIGO ]],TABLACONSOLIDADA[Bodega]&amp;TABLACONSOLIDADA[Codigo],0)),"")</f>
        <v/>
      </c>
      <c r="BK313" s="157" t="str">
        <f t="array" ref="BK31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1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13" s="91">
        <f>IFERROR(SUM(Tabla_Buffers_Agroinsumos[[#This Row],[SD-MP]:[SD-VL]]),"")</f>
        <v>0</v>
      </c>
      <c r="BN313" s="92"/>
      <c r="BO313" s="92"/>
      <c r="BP313" s="134"/>
      <c r="BQ313" s="134"/>
      <c r="BR313" s="134"/>
      <c r="BS313" s="134"/>
      <c r="BT313" s="134"/>
      <c r="BU313" s="134"/>
      <c r="BV313" s="134"/>
      <c r="BW313" s="134"/>
      <c r="BX313" s="134"/>
      <c r="BY313" s="134" t="str">
        <f t="array" ref="BY313">IFERROR(INDEX(TABLACONSOLIDADA[Buff Act],MATCH("AGROINSUMOSMONCAYOLOPEZ"&amp;Tabla_Buffers_Agroinsumos[[#This Row],[CODIGO ]],TABLACONSOLIDADA[Bodega]&amp;TABLACONSOLIDADA[Codigo],0)),"")</f>
        <v/>
      </c>
      <c r="BZ313" s="157" t="str">
        <f t="array" ref="BZ313">IFERROR(INDEX(TABLACONSOLIDADA[Inv Fís Act],MATCH("AGROINSUMOSMONCAYOLOPEZ"&amp;Tabla_Buffers_Agroinsumos[[#This Row],[CODIGO ]],TABLACONSOLIDADA[Bodega]&amp;TABLACONSOLIDADA[Codigo],0)),"")</f>
        <v/>
      </c>
      <c r="CA313" s="157" t="str">
        <f t="array" ref="CA31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1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13" s="134">
        <f>IFERROR(SUM(Tabla_Buffers_Agroinsumos[[#This Row],[ML-MP]:[ML-VL]]),"")</f>
        <v>0</v>
      </c>
      <c r="CD313" s="92" t="str">
        <f>IFERROR(Tabla_Buffers_Agroinsumos[[#This Row],[INV FIS ML]]-Tabla_Buffers_Agroinsumos[[#This Row],[BUFFER ML]],"")</f>
        <v/>
      </c>
      <c r="CE31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13" s="134"/>
      <c r="CG313" s="134"/>
      <c r="CH313" s="134"/>
      <c r="CI313" s="134"/>
      <c r="CJ313" s="134"/>
      <c r="CK313" s="134"/>
      <c r="CL313" s="134"/>
      <c r="CM313" s="134"/>
      <c r="CN313" s="134"/>
      <c r="CO313" s="134" t="str">
        <f t="array" ref="CO313">IFERROR(INDEX(TABLACONSOLIDADA[Buff Act],MATCH("AGROINSUMOSAGROHERMANOSLEON"&amp;Tabla_Buffers_Agroinsumos[[#This Row],[CODIGO ]],TABLACONSOLIDADA[Bodega]&amp;TABLACONSOLIDADA[Codigo],0)),"")</f>
        <v/>
      </c>
      <c r="CP313" s="157" t="str">
        <f t="array" ref="CP313">IFERROR(INDEX(TABLACONSOLIDADA[Inv Fís Act],MATCH("AGROINSUMOSAGROHERMANOSLEON"&amp;Tabla_Buffers_Agroinsumos[[#This Row],[CODIGO ]],TABLACONSOLIDADA[Bodega]&amp;TABLACONSOLIDADA[Codigo],0)),"")</f>
        <v/>
      </c>
      <c r="CQ313" s="157" t="str">
        <f t="array" ref="CQ31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1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13" s="134">
        <f>IFERROR(SUM(Tabla_Buffers_Agroinsumos[[#This Row],[AL-MP]:[AL-VL]]),"")</f>
        <v>0</v>
      </c>
      <c r="CT313" s="92" t="str">
        <f>IFERROR(Tabla_Buffers_Agroinsumos[[#This Row],[INV FIS AL]]-Tabla_Buffers_Agroinsumos[[#This Row],[BUFFER AL]],"")</f>
        <v/>
      </c>
      <c r="CU31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13" s="134"/>
      <c r="CW313" s="134"/>
      <c r="CX313" s="134"/>
      <c r="CY313" s="134"/>
      <c r="CZ313" s="134"/>
      <c r="DA313" s="134"/>
      <c r="DB313" s="134"/>
      <c r="DC313" s="134"/>
      <c r="DD313" s="134"/>
      <c r="DE313" s="134" t="str">
        <f t="array" ref="DE313">IFERROR(INDEX(TABLACONSOLIDADA[Buff Act],MATCH("AGROINSUMOSAGRONUEVO"&amp;Tabla_Buffers_Agroinsumos[[#This Row],[CODIGO ]],TABLACONSOLIDADA[Bodega]&amp;TABLACONSOLIDADA[Codigo],0)),"")</f>
        <v/>
      </c>
      <c r="DF313" s="157" t="str">
        <f t="array" ref="DF313">IFERROR(INDEX(TABLACONSOLIDADA[Inv Fís Act],MATCH("AGROINSUMOSAGRONUEVO"&amp;Tabla_Buffers_Agroinsumos[[#This Row],[CODIGO ]],TABLACONSOLIDADA[Bodega]&amp;TABLACONSOLIDADA[Codigo],0)),"")</f>
        <v/>
      </c>
      <c r="DG313" s="157" t="str">
        <f t="array" ref="DG31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1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13" s="134">
        <f>IFERROR(SUM(Tabla_Buffers_Agroinsumos[[#This Row],[AN-MP]:[AN-VL]]),"")</f>
        <v>0</v>
      </c>
      <c r="DJ313" s="92" t="str">
        <f>IFERROR(Tabla_Buffers_Agroinsumos[[#This Row],[INV FIS AN]]-Tabla_Buffers_Agroinsumos[[#This Row],[BUFFER AN]],"")</f>
        <v/>
      </c>
      <c r="DK31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13" s="134"/>
      <c r="DM313" s="134"/>
      <c r="DN313" s="134"/>
      <c r="DO313" s="134"/>
      <c r="DP313" s="134"/>
      <c r="DQ313" s="134"/>
      <c r="DR313" s="134"/>
      <c r="DS313" s="134"/>
      <c r="DT313" s="134"/>
      <c r="DU313" s="134" t="str">
        <f t="array" ref="DU313">IFERROR(INDEX(TABLACONSOLIDADA[Buff Act],MATCH("AGROINSUMOSAGROQUIMICOSSUR"&amp;Tabla_Buffers_Agroinsumos[[#This Row],[CODIGO ]],TABLACONSOLIDADA[Bodega]&amp;TABLACONSOLIDADA[Codigo],0)),"")</f>
        <v/>
      </c>
      <c r="DV313" s="157" t="str">
        <f t="array" ref="DV313">IFERROR(INDEX(TABLACONSOLIDADA[Inv Fís Act],MATCH("AGROINSUMOSAGROQUIMICOSSUR"&amp;Tabla_Buffers_Agroinsumos[[#This Row],[CODIGO ]],TABLACONSOLIDADA[Bodega]&amp;TABLACONSOLIDADA[Codigo],0)),"")</f>
        <v/>
      </c>
      <c r="DW313" s="157" t="str">
        <f t="array" ref="DW31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1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13" s="134">
        <f>IFERROR(SUM(Tabla_Buffers_Agroinsumos[[#This Row],[AS-MP]:[AS-VL]]),"")</f>
        <v>0</v>
      </c>
      <c r="DZ313" s="92" t="str">
        <f>IFERROR(Tabla_Buffers_Agroinsumos[[#This Row],[INV FIS AS]]-Tabla_Buffers_Agroinsumos[[#This Row],[BUFFER AS]],"")</f>
        <v/>
      </c>
      <c r="EA31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13" s="134"/>
      <c r="EC313" s="134"/>
      <c r="ED313" s="134"/>
      <c r="EE313" s="134"/>
      <c r="EF313" s="134"/>
      <c r="EG313" s="134"/>
      <c r="EH313" s="134"/>
      <c r="EI313" s="134"/>
      <c r="EJ313" s="134"/>
      <c r="EK313" s="134" t="str">
        <f t="array" ref="EK313">IFERROR(INDEX(TABLACONSOLIDADA[Buff Act],MATCH("AGROINSUMOSLAFINCA"&amp;Tabla_Buffers_Agroinsumos[[#This Row],[CODIGO ]],TABLACONSOLIDADA[Bodega]&amp;TABLACONSOLIDADA[Codigo],0)),"")</f>
        <v/>
      </c>
      <c r="EL313" s="157" t="str">
        <f t="array" ref="EL313">IFERROR(INDEX(TABLACONSOLIDADA[Inv Fís Act],MATCH("AGROINSUMOSLAFINCA"&amp;Tabla_Buffers_Agroinsumos[[#This Row],[CODIGO ]],TABLACONSOLIDADA[Bodega]&amp;TABLACONSOLIDADA[Codigo],0)),"")</f>
        <v/>
      </c>
      <c r="EM313" s="157" t="str">
        <f t="array" ref="EM31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1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13" s="134">
        <f>IFERROR(SUM(Tabla_Buffers_Agroinsumos[[#This Row],[LF-MP]:[LF-VL]]),"")</f>
        <v>0</v>
      </c>
      <c r="EP313" s="92" t="str">
        <f>IFERROR(Tabla_Buffers_Agroinsumos[[#This Row],[INV FIS LF]]-Tabla_Buffers_Agroinsumos[[#This Row],[BUFFER LF]],"")</f>
        <v/>
      </c>
      <c r="EQ31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13" s="134"/>
      <c r="ES313" s="134"/>
      <c r="ET313" s="134"/>
      <c r="EU313" s="134"/>
      <c r="EV313" s="134"/>
      <c r="EW313" s="134"/>
      <c r="EX313" s="134"/>
      <c r="EY313" s="134"/>
      <c r="EZ313" s="134"/>
      <c r="FA313" s="134" t="str">
        <f t="array" ref="FA313">IFERROR(INDEX(TABLACONSOLIDADA[Buff Act],MATCH("AGROINSUMOSVERONICALEDESMA"&amp;Tabla_Buffers_Agroinsumos[[#This Row],[CODIGO ]],TABLACONSOLIDADA[Bodega]&amp;TABLACONSOLIDADA[Codigo],0)),"")</f>
        <v/>
      </c>
      <c r="FB313" s="157" t="str">
        <f t="array" ref="FB313">IFERROR(INDEX(TABLACONSOLIDADA[Inv Fís Act],MATCH("AGROINSUMOSVERONICALEDESMA"&amp;Tabla_Buffers_Agroinsumos[[#This Row],[CODIGO ]],TABLACONSOLIDADA[Bodega]&amp;TABLACONSOLIDADA[Codigo],0)),"")</f>
        <v/>
      </c>
      <c r="FC313" s="157" t="str">
        <f t="array" ref="FC31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1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13" s="134">
        <f>IFERROR(SUM(Tabla_Buffers_Agroinsumos[[#This Row],[VL-MP]:[VL-LF]]),"")</f>
        <v>0</v>
      </c>
      <c r="FF313" s="92" t="str">
        <f>IFERROR(Tabla_Buffers_Agroinsumos[[#This Row],[INV FIS VL]]-Tabla_Buffers_Agroinsumos[[#This Row],[BUFFER VL]],"")</f>
        <v/>
      </c>
      <c r="FG31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13" s="134"/>
      <c r="FI313" s="134"/>
      <c r="FJ313" s="134"/>
      <c r="FK313" s="134"/>
      <c r="FL313" s="134"/>
      <c r="FM313" s="134"/>
      <c r="FN313" s="134"/>
      <c r="FO313" s="134"/>
      <c r="FP313" s="134"/>
    </row>
    <row r="314" spans="1:172">
      <c r="A314" s="7" t="s">
        <v>536</v>
      </c>
      <c r="B314" s="7" t="s">
        <v>537</v>
      </c>
      <c r="C314" s="7" t="s">
        <v>707</v>
      </c>
      <c r="D314" s="7" t="s">
        <v>717</v>
      </c>
      <c r="E314" s="7" t="s">
        <v>863</v>
      </c>
      <c r="F314" s="19" t="s">
        <v>804</v>
      </c>
      <c r="G314" s="19" t="s">
        <v>802</v>
      </c>
      <c r="H314" s="19">
        <f>VLOOKUP(Tabla_Buffers_Agroinsumos[[#This Row],[CODIGO ]],TABLACONSOLIDADA[[Codigo]:[PV]],6,0)</f>
        <v>0</v>
      </c>
      <c r="I314" s="19">
        <f>VLOOKUP(Tabla_Buffers_Agroinsumos[[#This Row],[CODIGO ]],TABLACONSOLIDADA[[Codigo]:[PV]],5,0)</f>
        <v>150.08000000000001</v>
      </c>
      <c r="J314" s="19">
        <v>4</v>
      </c>
      <c r="K314" s="19">
        <v>4</v>
      </c>
      <c r="L314" s="19">
        <f>IFERROR(Tabla_Buffers_Agroinsumos[[#This Row],[BUFFER CENTRAL]]/((Tabla_Buffers_Agroinsumos[[#This Row],[TIEMPO REPOSICION ]]/Tabla_Buffers_Agroinsumos[[#This Row],[FRECUENCIA]])+1),0)</f>
        <v>0</v>
      </c>
      <c r="M314" s="19">
        <f t="array" ref="M314">IFERROR(INDEX(TABLACONSOLIDADA[Buff Act],MATCH("AGROINSUMOSMATERIAPRIMA"&amp;Tabla_Buffers_Agroinsumos[[#This Row],[CODIGO ]],TABLACONSOLIDADA[Bodega]&amp;TABLACONSOLIDADA[Codigo],0)),"")</f>
        <v>0</v>
      </c>
      <c r="N314" s="157">
        <f t="array" ref="N314">IFERROR(INDEX(TABLACONSOLIDADA[Inv Fís Act],MATCH("AGROINSUMOSMATERIAPRIMA"&amp;Tabla_Buffers_Agroinsumos[[#This Row],[CODIGO ]],TABLACONSOLIDADA[Bodega]&amp;TABLACONSOLIDADA[Codigo],0)),"")</f>
        <v>0</v>
      </c>
      <c r="O314" s="157">
        <f t="array" ref="O31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31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14" s="19">
        <f>IFERROR(SUM(Tabla_Buffers_Agroinsumos[[#This Row],[MP-C]:[MP-VL]]),"")</f>
        <v>0</v>
      </c>
      <c r="R314" s="92">
        <f>IFERROR(Tabla_Buffers_Agroinsumos[[#This Row],[INV FIS MATERIA PRIMA]]-Tabla_Buffers_Agroinsumos[[#This Row],[BUFFER MATERIA PRIMA]],"")</f>
        <v>0</v>
      </c>
      <c r="S31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314" s="19"/>
      <c r="U314" s="19"/>
      <c r="V314" s="19"/>
      <c r="W314" s="19"/>
      <c r="X314" s="19"/>
      <c r="Y314" s="19"/>
      <c r="Z314" s="19"/>
      <c r="AA314" s="19"/>
      <c r="AB314" s="19"/>
      <c r="AC314" s="152" t="str">
        <f t="array" ref="AC314">IFERROR(INDEX(TABLACONSOLIDADA[Buff Act],MATCH("AGROINSUMOSCENTRAL"&amp;Tabla_Buffers_Agroinsumos[[#This Row],[CODIGO ]],TABLACONSOLIDADA[Bodega]&amp;TABLACONSOLIDADA[Codigo],0)),"")</f>
        <v/>
      </c>
      <c r="AD314" s="157" t="str">
        <f t="array" ref="AD314">IFERROR(INDEX(TABLACONSOLIDADA[Inv Fís Act],MATCH("AGROINSUMOSCENTRAL"&amp;Tabla_Buffers_Agroinsumos[[#This Row],[CODIGO ]],TABLACONSOLIDADA[Bodega]&amp;TABLACONSOLIDADA[Codigo],0)),"")</f>
        <v/>
      </c>
      <c r="AE314" s="157" t="str">
        <f t="array" ref="AE31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1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14" s="91">
        <f>IFERROR(SUM(Tabla_Buffers_Agroinsumos[[#This Row],[C-MP]:[C-VL]]),"")</f>
        <v>0</v>
      </c>
      <c r="AH314" s="92" t="str">
        <f>IFERROR(Tabla_Buffers_Agroinsumos[[#This Row],[INV FIS CENTRAL]]-Tabla_Buffers_Agroinsumos[[#This Row],[BUFFER CENTRAL]],"")</f>
        <v/>
      </c>
      <c r="AI31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14" s="134"/>
      <c r="AK314" s="134"/>
      <c r="AL314" s="134"/>
      <c r="AM314" s="134"/>
      <c r="AN314" s="134"/>
      <c r="AO314" s="134"/>
      <c r="AP314" s="134"/>
      <c r="AQ314" s="134"/>
      <c r="AR314" s="134"/>
      <c r="AS314" s="134" t="str">
        <f t="array" ref="AS314">IFERROR(INDEX(TABLACONSOLIDADA[Buff Act],MATCH("AGROINSUMOScentralPROPIA"&amp;Tabla_Buffers_Agroinsumos[[#This Row],[CODIGO ]],TABLACONSOLIDADA[Bodega]&amp;TABLACONSOLIDADA[Codigo],0)),"")</f>
        <v/>
      </c>
      <c r="AT314" s="157" t="str">
        <f t="array" ref="AT314">IFERROR(INDEX(TABLACONSOLIDADA[Inv Fís Act],MATCH("AGROINSUMOScentralPROPIA"&amp;Tabla_Buffers_Agroinsumos[[#This Row],[CODIGO ]],TABLACONSOLIDADA[Bodega]&amp;TABLACONSOLIDADA[Codigo],0)),"")</f>
        <v/>
      </c>
      <c r="AU314" s="157" t="str">
        <f t="array" ref="AU31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1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14" s="134">
        <f>IFERROR(SUM(Tabla_Buffers_Agroinsumos[[#This Row],[P-MP]:[P-VL]]),"")</f>
        <v>0</v>
      </c>
      <c r="AX314" s="92" t="str">
        <f>IFERROR(Tabla_Buffers_Agroinsumos[[#This Row],[INV FIS PROPIA]]-Tabla_Buffers_Agroinsumos[[#This Row],[BUFFER PROPIA]],"")</f>
        <v/>
      </c>
      <c r="AY31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14" s="134"/>
      <c r="BA314" s="134"/>
      <c r="BB314" s="134"/>
      <c r="BC314" s="134"/>
      <c r="BD314" s="134"/>
      <c r="BE314" s="134"/>
      <c r="BF314" s="134"/>
      <c r="BG314" s="134"/>
      <c r="BH314" s="134"/>
      <c r="BI314" s="91" t="str">
        <f t="array" ref="BI314">IFERROR(INDEX(TABLACONSOLIDADA[Buff Act],MATCH("AGROINSUMOSSTODOMINGO"&amp;Tabla_Buffers_Agroinsumos[[#This Row],[CODIGO ]],TABLACONSOLIDADA[Bodega]&amp;TABLACONSOLIDADA[Codigo],0)),"")</f>
        <v/>
      </c>
      <c r="BJ314" s="157" t="str">
        <f t="array" ref="BJ314">IFERROR(INDEX(TABLACONSOLIDADA[Inv Fís Act],MATCH("AGROINSUMOSSTODOMINGO"&amp;Tabla_Buffers_Agroinsumos[[#This Row],[CODIGO ]],TABLACONSOLIDADA[Bodega]&amp;TABLACONSOLIDADA[Codigo],0)),"")</f>
        <v/>
      </c>
      <c r="BK314" s="157" t="str">
        <f t="array" ref="BK31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1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14" s="91">
        <f>IFERROR(SUM(Tabla_Buffers_Agroinsumos[[#This Row],[SD-MP]:[SD-VL]]),"")</f>
        <v>0</v>
      </c>
      <c r="BN314" s="92"/>
      <c r="BO314" s="92"/>
      <c r="BP314" s="134"/>
      <c r="BQ314" s="134"/>
      <c r="BR314" s="134"/>
      <c r="BS314" s="134"/>
      <c r="BT314" s="134"/>
      <c r="BU314" s="134"/>
      <c r="BV314" s="134"/>
      <c r="BW314" s="134"/>
      <c r="BX314" s="134"/>
      <c r="BY314" s="134" t="str">
        <f t="array" ref="BY314">IFERROR(INDEX(TABLACONSOLIDADA[Buff Act],MATCH("AGROINSUMOSMONCAYOLOPEZ"&amp;Tabla_Buffers_Agroinsumos[[#This Row],[CODIGO ]],TABLACONSOLIDADA[Bodega]&amp;TABLACONSOLIDADA[Codigo],0)),"")</f>
        <v/>
      </c>
      <c r="BZ314" s="157" t="str">
        <f t="array" ref="BZ314">IFERROR(INDEX(TABLACONSOLIDADA[Inv Fís Act],MATCH("AGROINSUMOSMONCAYOLOPEZ"&amp;Tabla_Buffers_Agroinsumos[[#This Row],[CODIGO ]],TABLACONSOLIDADA[Bodega]&amp;TABLACONSOLIDADA[Codigo],0)),"")</f>
        <v/>
      </c>
      <c r="CA314" s="157" t="str">
        <f t="array" ref="CA31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1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14" s="134">
        <f>IFERROR(SUM(Tabla_Buffers_Agroinsumos[[#This Row],[ML-MP]:[ML-VL]]),"")</f>
        <v>0</v>
      </c>
      <c r="CD314" s="92" t="str">
        <f>IFERROR(Tabla_Buffers_Agroinsumos[[#This Row],[INV FIS ML]]-Tabla_Buffers_Agroinsumos[[#This Row],[BUFFER ML]],"")</f>
        <v/>
      </c>
      <c r="CE31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14" s="134"/>
      <c r="CG314" s="134"/>
      <c r="CH314" s="134"/>
      <c r="CI314" s="134"/>
      <c r="CJ314" s="134"/>
      <c r="CK314" s="134"/>
      <c r="CL314" s="134"/>
      <c r="CM314" s="134"/>
      <c r="CN314" s="134"/>
      <c r="CO314" s="134" t="str">
        <f t="array" ref="CO314">IFERROR(INDEX(TABLACONSOLIDADA[Buff Act],MATCH("AGROINSUMOSAGROHERMANOSLEON"&amp;Tabla_Buffers_Agroinsumos[[#This Row],[CODIGO ]],TABLACONSOLIDADA[Bodega]&amp;TABLACONSOLIDADA[Codigo],0)),"")</f>
        <v/>
      </c>
      <c r="CP314" s="157" t="str">
        <f t="array" ref="CP314">IFERROR(INDEX(TABLACONSOLIDADA[Inv Fís Act],MATCH("AGROINSUMOSAGROHERMANOSLEON"&amp;Tabla_Buffers_Agroinsumos[[#This Row],[CODIGO ]],TABLACONSOLIDADA[Bodega]&amp;TABLACONSOLIDADA[Codigo],0)),"")</f>
        <v/>
      </c>
      <c r="CQ314" s="157" t="str">
        <f t="array" ref="CQ31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1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14" s="134">
        <f>IFERROR(SUM(Tabla_Buffers_Agroinsumos[[#This Row],[AL-MP]:[AL-VL]]),"")</f>
        <v>0</v>
      </c>
      <c r="CT314" s="92" t="str">
        <f>IFERROR(Tabla_Buffers_Agroinsumos[[#This Row],[INV FIS AL]]-Tabla_Buffers_Agroinsumos[[#This Row],[BUFFER AL]],"")</f>
        <v/>
      </c>
      <c r="CU31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14" s="134"/>
      <c r="CW314" s="134"/>
      <c r="CX314" s="134"/>
      <c r="CY314" s="134"/>
      <c r="CZ314" s="134"/>
      <c r="DA314" s="134"/>
      <c r="DB314" s="134"/>
      <c r="DC314" s="134"/>
      <c r="DD314" s="134"/>
      <c r="DE314" s="134" t="str">
        <f t="array" ref="DE314">IFERROR(INDEX(TABLACONSOLIDADA[Buff Act],MATCH("AGROINSUMOSAGRONUEVO"&amp;Tabla_Buffers_Agroinsumos[[#This Row],[CODIGO ]],TABLACONSOLIDADA[Bodega]&amp;TABLACONSOLIDADA[Codigo],0)),"")</f>
        <v/>
      </c>
      <c r="DF314" s="157" t="str">
        <f t="array" ref="DF314">IFERROR(INDEX(TABLACONSOLIDADA[Inv Fís Act],MATCH("AGROINSUMOSAGRONUEVO"&amp;Tabla_Buffers_Agroinsumos[[#This Row],[CODIGO ]],TABLACONSOLIDADA[Bodega]&amp;TABLACONSOLIDADA[Codigo],0)),"")</f>
        <v/>
      </c>
      <c r="DG314" s="157" t="str">
        <f t="array" ref="DG31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1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14" s="134">
        <f>IFERROR(SUM(Tabla_Buffers_Agroinsumos[[#This Row],[AN-MP]:[AN-VL]]),"")</f>
        <v>0</v>
      </c>
      <c r="DJ314" s="92" t="str">
        <f>IFERROR(Tabla_Buffers_Agroinsumos[[#This Row],[INV FIS AN]]-Tabla_Buffers_Agroinsumos[[#This Row],[BUFFER AN]],"")</f>
        <v/>
      </c>
      <c r="DK31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14" s="134"/>
      <c r="DM314" s="134"/>
      <c r="DN314" s="134"/>
      <c r="DO314" s="134"/>
      <c r="DP314" s="134"/>
      <c r="DQ314" s="134"/>
      <c r="DR314" s="134"/>
      <c r="DS314" s="134"/>
      <c r="DT314" s="134"/>
      <c r="DU314" s="134" t="str">
        <f t="array" ref="DU314">IFERROR(INDEX(TABLACONSOLIDADA[Buff Act],MATCH("AGROINSUMOSAGROQUIMICOSSUR"&amp;Tabla_Buffers_Agroinsumos[[#This Row],[CODIGO ]],TABLACONSOLIDADA[Bodega]&amp;TABLACONSOLIDADA[Codigo],0)),"")</f>
        <v/>
      </c>
      <c r="DV314" s="157" t="str">
        <f t="array" ref="DV314">IFERROR(INDEX(TABLACONSOLIDADA[Inv Fís Act],MATCH("AGROINSUMOSAGROQUIMICOSSUR"&amp;Tabla_Buffers_Agroinsumos[[#This Row],[CODIGO ]],TABLACONSOLIDADA[Bodega]&amp;TABLACONSOLIDADA[Codigo],0)),"")</f>
        <v/>
      </c>
      <c r="DW314" s="157" t="str">
        <f t="array" ref="DW31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1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14" s="134">
        <f>IFERROR(SUM(Tabla_Buffers_Agroinsumos[[#This Row],[AS-MP]:[AS-VL]]),"")</f>
        <v>0</v>
      </c>
      <c r="DZ314" s="92" t="str">
        <f>IFERROR(Tabla_Buffers_Agroinsumos[[#This Row],[INV FIS AS]]-Tabla_Buffers_Agroinsumos[[#This Row],[BUFFER AS]],"")</f>
        <v/>
      </c>
      <c r="EA31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14" s="134"/>
      <c r="EC314" s="134"/>
      <c r="ED314" s="134"/>
      <c r="EE314" s="134"/>
      <c r="EF314" s="134"/>
      <c r="EG314" s="134"/>
      <c r="EH314" s="134"/>
      <c r="EI314" s="134"/>
      <c r="EJ314" s="134"/>
      <c r="EK314" s="134" t="str">
        <f t="array" ref="EK314">IFERROR(INDEX(TABLACONSOLIDADA[Buff Act],MATCH("AGROINSUMOSLAFINCA"&amp;Tabla_Buffers_Agroinsumos[[#This Row],[CODIGO ]],TABLACONSOLIDADA[Bodega]&amp;TABLACONSOLIDADA[Codigo],0)),"")</f>
        <v/>
      </c>
      <c r="EL314" s="157" t="str">
        <f t="array" ref="EL314">IFERROR(INDEX(TABLACONSOLIDADA[Inv Fís Act],MATCH("AGROINSUMOSLAFINCA"&amp;Tabla_Buffers_Agroinsumos[[#This Row],[CODIGO ]],TABLACONSOLIDADA[Bodega]&amp;TABLACONSOLIDADA[Codigo],0)),"")</f>
        <v/>
      </c>
      <c r="EM314" s="157" t="str">
        <f t="array" ref="EM31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1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14" s="134">
        <f>IFERROR(SUM(Tabla_Buffers_Agroinsumos[[#This Row],[LF-MP]:[LF-VL]]),"")</f>
        <v>0</v>
      </c>
      <c r="EP314" s="92" t="str">
        <f>IFERROR(Tabla_Buffers_Agroinsumos[[#This Row],[INV FIS LF]]-Tabla_Buffers_Agroinsumos[[#This Row],[BUFFER LF]],"")</f>
        <v/>
      </c>
      <c r="EQ31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14" s="134"/>
      <c r="ES314" s="134"/>
      <c r="ET314" s="134"/>
      <c r="EU314" s="134"/>
      <c r="EV314" s="134"/>
      <c r="EW314" s="134"/>
      <c r="EX314" s="134"/>
      <c r="EY314" s="134"/>
      <c r="EZ314" s="134"/>
      <c r="FA314" s="134" t="str">
        <f t="array" ref="FA314">IFERROR(INDEX(TABLACONSOLIDADA[Buff Act],MATCH("AGROINSUMOSVERONICALEDESMA"&amp;Tabla_Buffers_Agroinsumos[[#This Row],[CODIGO ]],TABLACONSOLIDADA[Bodega]&amp;TABLACONSOLIDADA[Codigo],0)),"")</f>
        <v/>
      </c>
      <c r="FB314" s="157" t="str">
        <f t="array" ref="FB314">IFERROR(INDEX(TABLACONSOLIDADA[Inv Fís Act],MATCH("AGROINSUMOSVERONICALEDESMA"&amp;Tabla_Buffers_Agroinsumos[[#This Row],[CODIGO ]],TABLACONSOLIDADA[Bodega]&amp;TABLACONSOLIDADA[Codigo],0)),"")</f>
        <v/>
      </c>
      <c r="FC314" s="157" t="str">
        <f t="array" ref="FC31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1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14" s="134">
        <f>IFERROR(SUM(Tabla_Buffers_Agroinsumos[[#This Row],[VL-MP]:[VL-LF]]),"")</f>
        <v>0</v>
      </c>
      <c r="FF314" s="92" t="str">
        <f>IFERROR(Tabla_Buffers_Agroinsumos[[#This Row],[INV FIS VL]]-Tabla_Buffers_Agroinsumos[[#This Row],[BUFFER VL]],"")</f>
        <v/>
      </c>
      <c r="FG31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14" s="134"/>
      <c r="FI314" s="134"/>
      <c r="FJ314" s="134"/>
      <c r="FK314" s="134"/>
      <c r="FL314" s="134"/>
      <c r="FM314" s="134"/>
      <c r="FN314" s="134"/>
      <c r="FO314" s="134"/>
      <c r="FP314" s="134"/>
    </row>
    <row r="315" spans="1:172">
      <c r="A315" s="7" t="s">
        <v>538</v>
      </c>
      <c r="B315" s="7" t="s">
        <v>539</v>
      </c>
      <c r="C315" s="7" t="s">
        <v>709</v>
      </c>
      <c r="D315" s="7" t="s">
        <v>719</v>
      </c>
      <c r="E315" s="7" t="s">
        <v>975</v>
      </c>
      <c r="F315" s="19" t="s">
        <v>698</v>
      </c>
      <c r="G315" s="19" t="s">
        <v>698</v>
      </c>
      <c r="H315" s="19">
        <f>VLOOKUP(Tabla_Buffers_Agroinsumos[[#This Row],[CODIGO ]],TABLACONSOLIDADA[[Codigo]:[PV]],6,0)</f>
        <v>4.07</v>
      </c>
      <c r="I315" s="19">
        <f>VLOOKUP(Tabla_Buffers_Agroinsumos[[#This Row],[CODIGO ]],TABLACONSOLIDADA[[Codigo]:[PV]],5,0)</f>
        <v>1.1299999999999999</v>
      </c>
      <c r="J315" s="19" t="s">
        <v>698</v>
      </c>
      <c r="K315" s="19" t="s">
        <v>698</v>
      </c>
      <c r="L315" s="19">
        <f>IFERROR(Tabla_Buffers_Agroinsumos[[#This Row],[BUFFER CENTRAL]]/((Tabla_Buffers_Agroinsumos[[#This Row],[TIEMPO REPOSICION ]]/Tabla_Buffers_Agroinsumos[[#This Row],[FRECUENCIA]])+1),0)</f>
        <v>0</v>
      </c>
      <c r="M315" s="19" t="str">
        <f t="array" ref="M315">IFERROR(INDEX(TABLACONSOLIDADA[Buff Act],MATCH("AGROINSUMOSMATERIAPRIMA"&amp;Tabla_Buffers_Agroinsumos[[#This Row],[CODIGO ]],TABLACONSOLIDADA[Bodega]&amp;TABLACONSOLIDADA[Codigo],0)),"")</f>
        <v/>
      </c>
      <c r="N315" s="157" t="str">
        <f t="array" ref="N315">IFERROR(INDEX(TABLACONSOLIDADA[Inv Fís Act],MATCH("AGROINSUMOSMATERIAPRIMA"&amp;Tabla_Buffers_Agroinsumos[[#This Row],[CODIGO ]],TABLACONSOLIDADA[Bodega]&amp;TABLACONSOLIDADA[Codigo],0)),"")</f>
        <v/>
      </c>
      <c r="O315" s="157" t="str">
        <f t="array" ref="O31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1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15" s="19">
        <f>IFERROR(SUM(Tabla_Buffers_Agroinsumos[[#This Row],[MP-C]:[MP-VL]]),"")</f>
        <v>0</v>
      </c>
      <c r="R315" s="92" t="str">
        <f>IFERROR(Tabla_Buffers_Agroinsumos[[#This Row],[INV FIS MATERIA PRIMA]]-Tabla_Buffers_Agroinsumos[[#This Row],[BUFFER MATERIA PRIMA]],"")</f>
        <v/>
      </c>
      <c r="S31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15" s="19"/>
      <c r="U315" s="19"/>
      <c r="V315" s="19"/>
      <c r="W315" s="19"/>
      <c r="X315" s="19"/>
      <c r="Y315" s="19"/>
      <c r="Z315" s="19"/>
      <c r="AA315" s="19"/>
      <c r="AB315" s="19"/>
      <c r="AC315" s="152">
        <f t="array" ref="AC315">IFERROR(INDEX(TABLACONSOLIDADA[Buff Act],MATCH("AGROINSUMOSCENTRAL"&amp;Tabla_Buffers_Agroinsumos[[#This Row],[CODIGO ]],TABLACONSOLIDADA[Bodega]&amp;TABLACONSOLIDADA[Codigo],0)),"")</f>
        <v>0</v>
      </c>
      <c r="AD315" s="157">
        <f t="array" ref="AD315">IFERROR(INDEX(TABLACONSOLIDADA[Inv Fís Act],MATCH("AGROINSUMOSCENTRAL"&amp;Tabla_Buffers_Agroinsumos[[#This Row],[CODIGO ]],TABLACONSOLIDADA[Bodega]&amp;TABLACONSOLIDADA[Codigo],0)),"")</f>
        <v>0</v>
      </c>
      <c r="AE315" s="157">
        <f t="array" ref="AE31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1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15" s="91">
        <f>IFERROR(SUM(Tabla_Buffers_Agroinsumos[[#This Row],[C-MP]:[C-VL]]),"")</f>
        <v>0</v>
      </c>
      <c r="AH315" s="92">
        <f>IFERROR(Tabla_Buffers_Agroinsumos[[#This Row],[INV FIS CENTRAL]]-Tabla_Buffers_Agroinsumos[[#This Row],[BUFFER CENTRAL]],"")</f>
        <v>0</v>
      </c>
      <c r="AI31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15" s="134"/>
      <c r="AK315" s="134"/>
      <c r="AL315" s="134"/>
      <c r="AM315" s="134"/>
      <c r="AN315" s="134"/>
      <c r="AO315" s="134"/>
      <c r="AP315" s="134"/>
      <c r="AQ315" s="134"/>
      <c r="AR315" s="134"/>
      <c r="AS315" s="134">
        <f t="array" ref="AS315">IFERROR(INDEX(TABLACONSOLIDADA[Buff Act],MATCH("AGROINSUMOScentralPROPIA"&amp;Tabla_Buffers_Agroinsumos[[#This Row],[CODIGO ]],TABLACONSOLIDADA[Bodega]&amp;TABLACONSOLIDADA[Codigo],0)),"")</f>
        <v>0</v>
      </c>
      <c r="AT315" s="157">
        <f t="array" ref="AT315">IFERROR(INDEX(TABLACONSOLIDADA[Inv Fís Act],MATCH("AGROINSUMOScentralPROPIA"&amp;Tabla_Buffers_Agroinsumos[[#This Row],[CODIGO ]],TABLACONSOLIDADA[Bodega]&amp;TABLACONSOLIDADA[Codigo],0)),"")</f>
        <v>0</v>
      </c>
      <c r="AU315" s="157">
        <f t="array" ref="AU31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1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15" s="134">
        <f>IFERROR(SUM(Tabla_Buffers_Agroinsumos[[#This Row],[P-MP]:[P-VL]]),"")</f>
        <v>0</v>
      </c>
      <c r="AX315" s="92">
        <f>IFERROR(Tabla_Buffers_Agroinsumos[[#This Row],[INV FIS PROPIA]]-Tabla_Buffers_Agroinsumos[[#This Row],[BUFFER PROPIA]],"")</f>
        <v>0</v>
      </c>
      <c r="AY31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15" s="134"/>
      <c r="BA315" s="134"/>
      <c r="BB315" s="134"/>
      <c r="BC315" s="134"/>
      <c r="BD315" s="134"/>
      <c r="BE315" s="134"/>
      <c r="BF315" s="134"/>
      <c r="BG315" s="134"/>
      <c r="BH315" s="134"/>
      <c r="BI315" s="91">
        <f t="array" ref="BI315">IFERROR(INDEX(TABLACONSOLIDADA[Buff Act],MATCH("AGROINSUMOSSTODOMINGO"&amp;Tabla_Buffers_Agroinsumos[[#This Row],[CODIGO ]],TABLACONSOLIDADA[Bodega]&amp;TABLACONSOLIDADA[Codigo],0)),"")</f>
        <v>0</v>
      </c>
      <c r="BJ315" s="157">
        <f t="array" ref="BJ315">IFERROR(INDEX(TABLACONSOLIDADA[Inv Fís Act],MATCH("AGROINSUMOSSTODOMINGO"&amp;Tabla_Buffers_Agroinsumos[[#This Row],[CODIGO ]],TABLACONSOLIDADA[Bodega]&amp;TABLACONSOLIDADA[Codigo],0)),"")</f>
        <v>0</v>
      </c>
      <c r="BK315" s="157">
        <f t="array" ref="BK31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1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15" s="91">
        <f>IFERROR(SUM(Tabla_Buffers_Agroinsumos[[#This Row],[SD-MP]:[SD-VL]]),"")</f>
        <v>0</v>
      </c>
      <c r="BN315" s="92"/>
      <c r="BO315" s="92"/>
      <c r="BP315" s="134"/>
      <c r="BQ315" s="134"/>
      <c r="BR315" s="134"/>
      <c r="BS315" s="134"/>
      <c r="BT315" s="134"/>
      <c r="BU315" s="134"/>
      <c r="BV315" s="134"/>
      <c r="BW315" s="134"/>
      <c r="BX315" s="134"/>
      <c r="BY315" s="134">
        <f t="array" ref="BY315">IFERROR(INDEX(TABLACONSOLIDADA[Buff Act],MATCH("AGROINSUMOSMONCAYOLOPEZ"&amp;Tabla_Buffers_Agroinsumos[[#This Row],[CODIGO ]],TABLACONSOLIDADA[Bodega]&amp;TABLACONSOLIDADA[Codigo],0)),"")</f>
        <v>0</v>
      </c>
      <c r="BZ315" s="157">
        <f t="array" ref="BZ315">IFERROR(INDEX(TABLACONSOLIDADA[Inv Fís Act],MATCH("AGROINSUMOSMONCAYOLOPEZ"&amp;Tabla_Buffers_Agroinsumos[[#This Row],[CODIGO ]],TABLACONSOLIDADA[Bodega]&amp;TABLACONSOLIDADA[Codigo],0)),"")</f>
        <v>0</v>
      </c>
      <c r="CA315" s="157">
        <f t="array" ref="CA31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1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15" s="134">
        <f>IFERROR(SUM(Tabla_Buffers_Agroinsumos[[#This Row],[ML-MP]:[ML-VL]]),"")</f>
        <v>0</v>
      </c>
      <c r="CD315" s="92">
        <f>IFERROR(Tabla_Buffers_Agroinsumos[[#This Row],[INV FIS ML]]-Tabla_Buffers_Agroinsumos[[#This Row],[BUFFER ML]],"")</f>
        <v>0</v>
      </c>
      <c r="CE31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15" s="134"/>
      <c r="CG315" s="134"/>
      <c r="CH315" s="134"/>
      <c r="CI315" s="134"/>
      <c r="CJ315" s="134"/>
      <c r="CK315" s="134"/>
      <c r="CL315" s="134"/>
      <c r="CM315" s="134"/>
      <c r="CN315" s="134"/>
      <c r="CO315" s="134">
        <f t="array" ref="CO315">IFERROR(INDEX(TABLACONSOLIDADA[Buff Act],MATCH("AGROINSUMOSAGROHERMANOSLEON"&amp;Tabla_Buffers_Agroinsumos[[#This Row],[CODIGO ]],TABLACONSOLIDADA[Bodega]&amp;TABLACONSOLIDADA[Codigo],0)),"")</f>
        <v>0</v>
      </c>
      <c r="CP315" s="157">
        <f t="array" ref="CP315">IFERROR(INDEX(TABLACONSOLIDADA[Inv Fís Act],MATCH("AGROINSUMOSAGROHERMANOSLEON"&amp;Tabla_Buffers_Agroinsumos[[#This Row],[CODIGO ]],TABLACONSOLIDADA[Bodega]&amp;TABLACONSOLIDADA[Codigo],0)),"")</f>
        <v>0</v>
      </c>
      <c r="CQ315" s="157">
        <f t="array" ref="CQ31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1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15" s="134">
        <f>IFERROR(SUM(Tabla_Buffers_Agroinsumos[[#This Row],[AL-MP]:[AL-VL]]),"")</f>
        <v>0</v>
      </c>
      <c r="CT315" s="92">
        <f>IFERROR(Tabla_Buffers_Agroinsumos[[#This Row],[INV FIS AL]]-Tabla_Buffers_Agroinsumos[[#This Row],[BUFFER AL]],"")</f>
        <v>0</v>
      </c>
      <c r="CU31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15" s="134"/>
      <c r="CW315" s="134"/>
      <c r="CX315" s="134"/>
      <c r="CY315" s="134"/>
      <c r="CZ315" s="134"/>
      <c r="DA315" s="134"/>
      <c r="DB315" s="134"/>
      <c r="DC315" s="134"/>
      <c r="DD315" s="134"/>
      <c r="DE315" s="134">
        <f t="array" ref="DE315">IFERROR(INDEX(TABLACONSOLIDADA[Buff Act],MATCH("AGROINSUMOSAGRONUEVO"&amp;Tabla_Buffers_Agroinsumos[[#This Row],[CODIGO ]],TABLACONSOLIDADA[Bodega]&amp;TABLACONSOLIDADA[Codigo],0)),"")</f>
        <v>0</v>
      </c>
      <c r="DF315" s="157">
        <f t="array" ref="DF315">IFERROR(INDEX(TABLACONSOLIDADA[Inv Fís Act],MATCH("AGROINSUMOSAGRONUEVO"&amp;Tabla_Buffers_Agroinsumos[[#This Row],[CODIGO ]],TABLACONSOLIDADA[Bodega]&amp;TABLACONSOLIDADA[Codigo],0)),"")</f>
        <v>0</v>
      </c>
      <c r="DG315" s="157">
        <f t="array" ref="DG31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1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15" s="134">
        <f>IFERROR(SUM(Tabla_Buffers_Agroinsumos[[#This Row],[AN-MP]:[AN-VL]]),"")</f>
        <v>0</v>
      </c>
      <c r="DJ315" s="92">
        <f>IFERROR(Tabla_Buffers_Agroinsumos[[#This Row],[INV FIS AN]]-Tabla_Buffers_Agroinsumos[[#This Row],[BUFFER AN]],"")</f>
        <v>0</v>
      </c>
      <c r="DK31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15" s="134"/>
      <c r="DM315" s="134"/>
      <c r="DN315" s="134"/>
      <c r="DO315" s="134"/>
      <c r="DP315" s="134"/>
      <c r="DQ315" s="134"/>
      <c r="DR315" s="134"/>
      <c r="DS315" s="134"/>
      <c r="DT315" s="134"/>
      <c r="DU315" s="134">
        <f t="array" ref="DU315">IFERROR(INDEX(TABLACONSOLIDADA[Buff Act],MATCH("AGROINSUMOSAGROQUIMICOSSUR"&amp;Tabla_Buffers_Agroinsumos[[#This Row],[CODIGO ]],TABLACONSOLIDADA[Bodega]&amp;TABLACONSOLIDADA[Codigo],0)),"")</f>
        <v>0</v>
      </c>
      <c r="DV315" s="157">
        <f t="array" ref="DV315">IFERROR(INDEX(TABLACONSOLIDADA[Inv Fís Act],MATCH("AGROINSUMOSAGROQUIMICOSSUR"&amp;Tabla_Buffers_Agroinsumos[[#This Row],[CODIGO ]],TABLACONSOLIDADA[Bodega]&amp;TABLACONSOLIDADA[Codigo],0)),"")</f>
        <v>0</v>
      </c>
      <c r="DW315" s="157">
        <f t="array" ref="DW31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1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15" s="134">
        <f>IFERROR(SUM(Tabla_Buffers_Agroinsumos[[#This Row],[AS-MP]:[AS-VL]]),"")</f>
        <v>0</v>
      </c>
      <c r="DZ315" s="92">
        <f>IFERROR(Tabla_Buffers_Agroinsumos[[#This Row],[INV FIS AS]]-Tabla_Buffers_Agroinsumos[[#This Row],[BUFFER AS]],"")</f>
        <v>0</v>
      </c>
      <c r="EA31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15" s="134"/>
      <c r="EC315" s="134"/>
      <c r="ED315" s="134"/>
      <c r="EE315" s="134"/>
      <c r="EF315" s="134"/>
      <c r="EG315" s="134"/>
      <c r="EH315" s="134"/>
      <c r="EI315" s="134"/>
      <c r="EJ315" s="134"/>
      <c r="EK315" s="134">
        <f t="array" ref="EK315">IFERROR(INDEX(TABLACONSOLIDADA[Buff Act],MATCH("AGROINSUMOSLAFINCA"&amp;Tabla_Buffers_Agroinsumos[[#This Row],[CODIGO ]],TABLACONSOLIDADA[Bodega]&amp;TABLACONSOLIDADA[Codigo],0)),"")</f>
        <v>0</v>
      </c>
      <c r="EL315" s="157">
        <f t="array" ref="EL315">IFERROR(INDEX(TABLACONSOLIDADA[Inv Fís Act],MATCH("AGROINSUMOSLAFINCA"&amp;Tabla_Buffers_Agroinsumos[[#This Row],[CODIGO ]],TABLACONSOLIDADA[Bodega]&amp;TABLACONSOLIDADA[Codigo],0)),"")</f>
        <v>0</v>
      </c>
      <c r="EM315" s="157">
        <f t="array" ref="EM31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1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15" s="134">
        <f>IFERROR(SUM(Tabla_Buffers_Agroinsumos[[#This Row],[LF-MP]:[LF-VL]]),"")</f>
        <v>0</v>
      </c>
      <c r="EP315" s="92">
        <f>IFERROR(Tabla_Buffers_Agroinsumos[[#This Row],[INV FIS LF]]-Tabla_Buffers_Agroinsumos[[#This Row],[BUFFER LF]],"")</f>
        <v>0</v>
      </c>
      <c r="EQ31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15" s="134"/>
      <c r="ES315" s="134"/>
      <c r="ET315" s="134"/>
      <c r="EU315" s="134"/>
      <c r="EV315" s="134"/>
      <c r="EW315" s="134"/>
      <c r="EX315" s="134"/>
      <c r="EY315" s="134"/>
      <c r="EZ315" s="134"/>
      <c r="FA315" s="134">
        <f t="array" ref="FA315">IFERROR(INDEX(TABLACONSOLIDADA[Buff Act],MATCH("AGROINSUMOSVERONICALEDESMA"&amp;Tabla_Buffers_Agroinsumos[[#This Row],[CODIGO ]],TABLACONSOLIDADA[Bodega]&amp;TABLACONSOLIDADA[Codigo],0)),"")</f>
        <v>0</v>
      </c>
      <c r="FB315" s="157">
        <f t="array" ref="FB315">IFERROR(INDEX(TABLACONSOLIDADA[Inv Fís Act],MATCH("AGROINSUMOSVERONICALEDESMA"&amp;Tabla_Buffers_Agroinsumos[[#This Row],[CODIGO ]],TABLACONSOLIDADA[Bodega]&amp;TABLACONSOLIDADA[Codigo],0)),"")</f>
        <v>0</v>
      </c>
      <c r="FC315" s="157">
        <f t="array" ref="FC31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1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15" s="134">
        <f>IFERROR(SUM(Tabla_Buffers_Agroinsumos[[#This Row],[VL-MP]:[VL-LF]]),"")</f>
        <v>0</v>
      </c>
      <c r="FF315" s="92">
        <f>IFERROR(Tabla_Buffers_Agroinsumos[[#This Row],[INV FIS VL]]-Tabla_Buffers_Agroinsumos[[#This Row],[BUFFER VL]],"")</f>
        <v>0</v>
      </c>
      <c r="FG315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15" s="134"/>
      <c r="FI315" s="134"/>
      <c r="FJ315" s="134"/>
      <c r="FK315" s="134"/>
      <c r="FL315" s="134"/>
      <c r="FM315" s="134"/>
      <c r="FN315" s="134"/>
      <c r="FO315" s="134"/>
      <c r="FP315" s="134"/>
    </row>
    <row r="316" spans="1:172">
      <c r="A316" s="7" t="s">
        <v>905</v>
      </c>
      <c r="B316" s="7" t="s">
        <v>967</v>
      </c>
      <c r="C316" s="7" t="s">
        <v>946</v>
      </c>
      <c r="D316" s="7" t="s">
        <v>719</v>
      </c>
      <c r="E316" s="7" t="s">
        <v>975</v>
      </c>
      <c r="F316" s="19" t="s">
        <v>698</v>
      </c>
      <c r="G316" s="19" t="s">
        <v>698</v>
      </c>
      <c r="H316" s="19">
        <f>VLOOKUP(Tabla_Buffers_Agroinsumos[[#This Row],[CODIGO ]],TABLACONSOLIDADA[[Codigo]:[PV]],6,0)</f>
        <v>0</v>
      </c>
      <c r="I316" s="19">
        <f>VLOOKUP(Tabla_Buffers_Agroinsumos[[#This Row],[CODIGO ]],TABLACONSOLIDADA[[Codigo]:[PV]],5,0)</f>
        <v>3.43</v>
      </c>
      <c r="J316" s="19" t="s">
        <v>698</v>
      </c>
      <c r="K316" s="19" t="s">
        <v>698</v>
      </c>
      <c r="L316" s="19">
        <f>IFERROR(Tabla_Buffers_Agroinsumos[[#This Row],[BUFFER CENTRAL]]/((Tabla_Buffers_Agroinsumos[[#This Row],[TIEMPO REPOSICION ]]/Tabla_Buffers_Agroinsumos[[#This Row],[FRECUENCIA]])+1),0)</f>
        <v>0</v>
      </c>
      <c r="M316" s="19" t="str">
        <f t="array" ref="M316">IFERROR(INDEX(TABLACONSOLIDADA[Buff Act],MATCH("AGROINSUMOSMATERIAPRIMA"&amp;Tabla_Buffers_Agroinsumos[[#This Row],[CODIGO ]],TABLACONSOLIDADA[Bodega]&amp;TABLACONSOLIDADA[Codigo],0)),"")</f>
        <v/>
      </c>
      <c r="N316" s="157" t="str">
        <f t="array" ref="N316">IFERROR(INDEX(TABLACONSOLIDADA[Inv Fís Act],MATCH("AGROINSUMOSMATERIAPRIMA"&amp;Tabla_Buffers_Agroinsumos[[#This Row],[CODIGO ]],TABLACONSOLIDADA[Bodega]&amp;TABLACONSOLIDADA[Codigo],0)),"")</f>
        <v/>
      </c>
      <c r="O316" s="157" t="str">
        <f t="array" ref="O31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1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16" s="19">
        <f>IFERROR(SUM(Tabla_Buffers_Agroinsumos[[#This Row],[MP-C]:[MP-VL]]),"")</f>
        <v>0</v>
      </c>
      <c r="R316" s="92" t="str">
        <f>IFERROR(Tabla_Buffers_Agroinsumos[[#This Row],[INV FIS MATERIA PRIMA]]-Tabla_Buffers_Agroinsumos[[#This Row],[BUFFER MATERIA PRIMA]],"")</f>
        <v/>
      </c>
      <c r="S31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16" s="19"/>
      <c r="U316" s="19"/>
      <c r="V316" s="19"/>
      <c r="W316" s="19"/>
      <c r="X316" s="19"/>
      <c r="Y316" s="19"/>
      <c r="Z316" s="19"/>
      <c r="AA316" s="19"/>
      <c r="AB316" s="19"/>
      <c r="AC316" s="152">
        <f t="array" ref="AC316">IFERROR(INDEX(TABLACONSOLIDADA[Buff Act],MATCH("AGROINSUMOSCENTRAL"&amp;Tabla_Buffers_Agroinsumos[[#This Row],[CODIGO ]],TABLACONSOLIDADA[Bodega]&amp;TABLACONSOLIDADA[Codigo],0)),"")</f>
        <v>0</v>
      </c>
      <c r="AD316" s="157">
        <f t="array" ref="AD316">IFERROR(INDEX(TABLACONSOLIDADA[Inv Fís Act],MATCH("AGROINSUMOSCENTRAL"&amp;Tabla_Buffers_Agroinsumos[[#This Row],[CODIGO ]],TABLACONSOLIDADA[Bodega]&amp;TABLACONSOLIDADA[Codigo],0)),"")</f>
        <v>0</v>
      </c>
      <c r="AE316" s="157">
        <f t="array" ref="AE31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1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16" s="91">
        <f>IFERROR(SUM(Tabla_Buffers_Agroinsumos[[#This Row],[C-MP]:[C-VL]]),"")</f>
        <v>0</v>
      </c>
      <c r="AH316" s="92">
        <f>IFERROR(Tabla_Buffers_Agroinsumos[[#This Row],[INV FIS CENTRAL]]-Tabla_Buffers_Agroinsumos[[#This Row],[BUFFER CENTRAL]],"")</f>
        <v>0</v>
      </c>
      <c r="AI316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16" s="134"/>
      <c r="AK316" s="134"/>
      <c r="AL316" s="134"/>
      <c r="AM316" s="134"/>
      <c r="AN316" s="134"/>
      <c r="AO316" s="134"/>
      <c r="AP316" s="134"/>
      <c r="AQ316" s="134"/>
      <c r="AR316" s="134"/>
      <c r="AS316" s="134">
        <f t="array" ref="AS316">IFERROR(INDEX(TABLACONSOLIDADA[Buff Act],MATCH("AGROINSUMOScentralPROPIA"&amp;Tabla_Buffers_Agroinsumos[[#This Row],[CODIGO ]],TABLACONSOLIDADA[Bodega]&amp;TABLACONSOLIDADA[Codigo],0)),"")</f>
        <v>30</v>
      </c>
      <c r="AT316" s="157">
        <f t="array" ref="AT316">IFERROR(INDEX(TABLACONSOLIDADA[Inv Fís Act],MATCH("AGROINSUMOScentralPROPIA"&amp;Tabla_Buffers_Agroinsumos[[#This Row],[CODIGO ]],TABLACONSOLIDADA[Bodega]&amp;TABLACONSOLIDADA[Codigo],0)),"")</f>
        <v>0</v>
      </c>
      <c r="AU316" s="157">
        <f t="array" ref="AU31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1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16" s="134">
        <f>IFERROR(SUM(Tabla_Buffers_Agroinsumos[[#This Row],[P-MP]:[P-VL]]),"")</f>
        <v>0</v>
      </c>
      <c r="AX316" s="92">
        <f>IFERROR(Tabla_Buffers_Agroinsumos[[#This Row],[INV FIS PROPIA]]-Tabla_Buffers_Agroinsumos[[#This Row],[BUFFER PROPIA]],"")</f>
        <v>-30</v>
      </c>
      <c r="AY316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</v>
      </c>
      <c r="AZ316" s="134"/>
      <c r="BA316" s="134"/>
      <c r="BB316" s="134"/>
      <c r="BC316" s="134"/>
      <c r="BD316" s="134"/>
      <c r="BE316" s="134"/>
      <c r="BF316" s="134"/>
      <c r="BG316" s="134"/>
      <c r="BH316" s="134"/>
      <c r="BI316" s="91" t="str">
        <f t="array" ref="BI316">IFERROR(INDEX(TABLACONSOLIDADA[Buff Act],MATCH("AGROINSUMOSSTODOMINGO"&amp;Tabla_Buffers_Agroinsumos[[#This Row],[CODIGO ]],TABLACONSOLIDADA[Bodega]&amp;TABLACONSOLIDADA[Codigo],0)),"")</f>
        <v/>
      </c>
      <c r="BJ316" s="157" t="str">
        <f t="array" ref="BJ316">IFERROR(INDEX(TABLACONSOLIDADA[Inv Fís Act],MATCH("AGROINSUMOSSTODOMINGO"&amp;Tabla_Buffers_Agroinsumos[[#This Row],[CODIGO ]],TABLACONSOLIDADA[Bodega]&amp;TABLACONSOLIDADA[Codigo],0)),"")</f>
        <v/>
      </c>
      <c r="BK316" s="157" t="str">
        <f t="array" ref="BK31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1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16" s="91">
        <f>IFERROR(SUM(Tabla_Buffers_Agroinsumos[[#This Row],[SD-MP]:[SD-VL]]),"")</f>
        <v>0</v>
      </c>
      <c r="BN316" s="92"/>
      <c r="BO316" s="92"/>
      <c r="BP316" s="134"/>
      <c r="BQ316" s="134"/>
      <c r="BR316" s="134"/>
      <c r="BS316" s="134"/>
      <c r="BT316" s="134"/>
      <c r="BU316" s="134"/>
      <c r="BV316" s="134"/>
      <c r="BW316" s="134"/>
      <c r="BX316" s="134"/>
      <c r="BY316" s="134">
        <f t="array" ref="BY316">IFERROR(INDEX(TABLACONSOLIDADA[Buff Act],MATCH("AGROINSUMOSMONCAYOLOPEZ"&amp;Tabla_Buffers_Agroinsumos[[#This Row],[CODIGO ]],TABLACONSOLIDADA[Bodega]&amp;TABLACONSOLIDADA[Codigo],0)),"")</f>
        <v>0</v>
      </c>
      <c r="BZ316" s="157">
        <f t="array" ref="BZ316">IFERROR(INDEX(TABLACONSOLIDADA[Inv Fís Act],MATCH("AGROINSUMOSMONCAYOLOPEZ"&amp;Tabla_Buffers_Agroinsumos[[#This Row],[CODIGO ]],TABLACONSOLIDADA[Bodega]&amp;TABLACONSOLIDADA[Codigo],0)),"")</f>
        <v>0</v>
      </c>
      <c r="CA316" s="157">
        <f t="array" ref="CA31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1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16" s="134">
        <f>IFERROR(SUM(Tabla_Buffers_Agroinsumos[[#This Row],[ML-MP]:[ML-VL]]),"")</f>
        <v>0</v>
      </c>
      <c r="CD316" s="92">
        <f>IFERROR(Tabla_Buffers_Agroinsumos[[#This Row],[INV FIS ML]]-Tabla_Buffers_Agroinsumos[[#This Row],[BUFFER ML]],"")</f>
        <v>0</v>
      </c>
      <c r="CE316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16" s="134"/>
      <c r="CG316" s="134"/>
      <c r="CH316" s="134"/>
      <c r="CI316" s="134"/>
      <c r="CJ316" s="134"/>
      <c r="CK316" s="134"/>
      <c r="CL316" s="134"/>
      <c r="CM316" s="134"/>
      <c r="CN316" s="134"/>
      <c r="CO316" s="134">
        <f t="array" ref="CO316">IFERROR(INDEX(TABLACONSOLIDADA[Buff Act],MATCH("AGROINSUMOSAGROHERMANOSLEON"&amp;Tabla_Buffers_Agroinsumos[[#This Row],[CODIGO ]],TABLACONSOLIDADA[Bodega]&amp;TABLACONSOLIDADA[Codigo],0)),"")</f>
        <v>0</v>
      </c>
      <c r="CP316" s="157">
        <f t="array" ref="CP316">IFERROR(INDEX(TABLACONSOLIDADA[Inv Fís Act],MATCH("AGROINSUMOSAGROHERMANOSLEON"&amp;Tabla_Buffers_Agroinsumos[[#This Row],[CODIGO ]],TABLACONSOLIDADA[Bodega]&amp;TABLACONSOLIDADA[Codigo],0)),"")</f>
        <v>0</v>
      </c>
      <c r="CQ316" s="157">
        <f t="array" ref="CQ31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1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16" s="134">
        <f>IFERROR(SUM(Tabla_Buffers_Agroinsumos[[#This Row],[AL-MP]:[AL-VL]]),"")</f>
        <v>0</v>
      </c>
      <c r="CT316" s="92">
        <f>IFERROR(Tabla_Buffers_Agroinsumos[[#This Row],[INV FIS AL]]-Tabla_Buffers_Agroinsumos[[#This Row],[BUFFER AL]],"")</f>
        <v>0</v>
      </c>
      <c r="CU316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16" s="134"/>
      <c r="CW316" s="134"/>
      <c r="CX316" s="134"/>
      <c r="CY316" s="134"/>
      <c r="CZ316" s="134"/>
      <c r="DA316" s="134"/>
      <c r="DB316" s="134"/>
      <c r="DC316" s="134"/>
      <c r="DD316" s="134"/>
      <c r="DE316" s="134">
        <f t="array" ref="DE316">IFERROR(INDEX(TABLACONSOLIDADA[Buff Act],MATCH("AGROINSUMOSAGRONUEVO"&amp;Tabla_Buffers_Agroinsumos[[#This Row],[CODIGO ]],TABLACONSOLIDADA[Bodega]&amp;TABLACONSOLIDADA[Codigo],0)),"")</f>
        <v>0</v>
      </c>
      <c r="DF316" s="157">
        <f t="array" ref="DF316">IFERROR(INDEX(TABLACONSOLIDADA[Inv Fís Act],MATCH("AGROINSUMOSAGRONUEVO"&amp;Tabla_Buffers_Agroinsumos[[#This Row],[CODIGO ]],TABLACONSOLIDADA[Bodega]&amp;TABLACONSOLIDADA[Codigo],0)),"")</f>
        <v>0</v>
      </c>
      <c r="DG316" s="157">
        <f t="array" ref="DG31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1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16" s="134">
        <f>IFERROR(SUM(Tabla_Buffers_Agroinsumos[[#This Row],[AN-MP]:[AN-VL]]),"")</f>
        <v>0</v>
      </c>
      <c r="DJ316" s="92">
        <f>IFERROR(Tabla_Buffers_Agroinsumos[[#This Row],[INV FIS AN]]-Tabla_Buffers_Agroinsumos[[#This Row],[BUFFER AN]],"")</f>
        <v>0</v>
      </c>
      <c r="DK316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16" s="134"/>
      <c r="DM316" s="134"/>
      <c r="DN316" s="134"/>
      <c r="DO316" s="134"/>
      <c r="DP316" s="134"/>
      <c r="DQ316" s="134"/>
      <c r="DR316" s="134"/>
      <c r="DS316" s="134"/>
      <c r="DT316" s="134"/>
      <c r="DU316" s="134">
        <f t="array" ref="DU316">IFERROR(INDEX(TABLACONSOLIDADA[Buff Act],MATCH("AGROINSUMOSAGROQUIMICOSSUR"&amp;Tabla_Buffers_Agroinsumos[[#This Row],[CODIGO ]],TABLACONSOLIDADA[Bodega]&amp;TABLACONSOLIDADA[Codigo],0)),"")</f>
        <v>0</v>
      </c>
      <c r="DV316" s="157">
        <f t="array" ref="DV316">IFERROR(INDEX(TABLACONSOLIDADA[Inv Fís Act],MATCH("AGROINSUMOSAGROQUIMICOSSUR"&amp;Tabla_Buffers_Agroinsumos[[#This Row],[CODIGO ]],TABLACONSOLIDADA[Bodega]&amp;TABLACONSOLIDADA[Codigo],0)),"")</f>
        <v>0</v>
      </c>
      <c r="DW316" s="157">
        <f t="array" ref="DW31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1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16" s="134">
        <f>IFERROR(SUM(Tabla_Buffers_Agroinsumos[[#This Row],[AS-MP]:[AS-VL]]),"")</f>
        <v>0</v>
      </c>
      <c r="DZ316" s="92">
        <f>IFERROR(Tabla_Buffers_Agroinsumos[[#This Row],[INV FIS AS]]-Tabla_Buffers_Agroinsumos[[#This Row],[BUFFER AS]],"")</f>
        <v>0</v>
      </c>
      <c r="EA316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16" s="134"/>
      <c r="EC316" s="134"/>
      <c r="ED316" s="134"/>
      <c r="EE316" s="134"/>
      <c r="EF316" s="134"/>
      <c r="EG316" s="134"/>
      <c r="EH316" s="134"/>
      <c r="EI316" s="134"/>
      <c r="EJ316" s="134"/>
      <c r="EK316" s="134">
        <f t="array" ref="EK316">IFERROR(INDEX(TABLACONSOLIDADA[Buff Act],MATCH("AGROINSUMOSLAFINCA"&amp;Tabla_Buffers_Agroinsumos[[#This Row],[CODIGO ]],TABLACONSOLIDADA[Bodega]&amp;TABLACONSOLIDADA[Codigo],0)),"")</f>
        <v>0</v>
      </c>
      <c r="EL316" s="157">
        <f t="array" ref="EL316">IFERROR(INDEX(TABLACONSOLIDADA[Inv Fís Act],MATCH("AGROINSUMOSLAFINCA"&amp;Tabla_Buffers_Agroinsumos[[#This Row],[CODIGO ]],TABLACONSOLIDADA[Bodega]&amp;TABLACONSOLIDADA[Codigo],0)),"")</f>
        <v>0</v>
      </c>
      <c r="EM316" s="157">
        <f t="array" ref="EM31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1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16" s="134">
        <f>IFERROR(SUM(Tabla_Buffers_Agroinsumos[[#This Row],[LF-MP]:[LF-VL]]),"")</f>
        <v>0</v>
      </c>
      <c r="EP316" s="92">
        <f>IFERROR(Tabla_Buffers_Agroinsumos[[#This Row],[INV FIS LF]]-Tabla_Buffers_Agroinsumos[[#This Row],[BUFFER LF]],"")</f>
        <v>0</v>
      </c>
      <c r="EQ316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16" s="134"/>
      <c r="ES316" s="134"/>
      <c r="ET316" s="134"/>
      <c r="EU316" s="134"/>
      <c r="EV316" s="134"/>
      <c r="EW316" s="134"/>
      <c r="EX316" s="134"/>
      <c r="EY316" s="134"/>
      <c r="EZ316" s="134"/>
      <c r="FA316" s="134">
        <f t="array" ref="FA316">IFERROR(INDEX(TABLACONSOLIDADA[Buff Act],MATCH("AGROINSUMOSVERONICALEDESMA"&amp;Tabla_Buffers_Agroinsumos[[#This Row],[CODIGO ]],TABLACONSOLIDADA[Bodega]&amp;TABLACONSOLIDADA[Codigo],0)),"")</f>
        <v>0</v>
      </c>
      <c r="FB316" s="157">
        <f t="array" ref="FB316">IFERROR(INDEX(TABLACONSOLIDADA[Inv Fís Act],MATCH("AGROINSUMOSVERONICALEDESMA"&amp;Tabla_Buffers_Agroinsumos[[#This Row],[CODIGO ]],TABLACONSOLIDADA[Bodega]&amp;TABLACONSOLIDADA[Codigo],0)),"")</f>
        <v>0</v>
      </c>
      <c r="FC316" s="157">
        <f t="array" ref="FC31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1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16" s="134">
        <f>IFERROR(SUM(Tabla_Buffers_Agroinsumos[[#This Row],[VL-MP]:[VL-LF]]),"")</f>
        <v>0</v>
      </c>
      <c r="FF316" s="92">
        <f>IFERROR(Tabla_Buffers_Agroinsumos[[#This Row],[INV FIS VL]]-Tabla_Buffers_Agroinsumos[[#This Row],[BUFFER VL]],"")</f>
        <v>0</v>
      </c>
      <c r="FG316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16" s="134"/>
      <c r="FI316" s="134"/>
      <c r="FJ316" s="134"/>
      <c r="FK316" s="134"/>
      <c r="FL316" s="134"/>
      <c r="FM316" s="134"/>
      <c r="FN316" s="134"/>
      <c r="FO316" s="134"/>
      <c r="FP316" s="134"/>
    </row>
    <row r="317" spans="1:172">
      <c r="A317" s="7" t="s">
        <v>906</v>
      </c>
      <c r="B317" s="7" t="s">
        <v>968</v>
      </c>
      <c r="C317" s="7" t="s">
        <v>946</v>
      </c>
      <c r="D317" s="7" t="s">
        <v>719</v>
      </c>
      <c r="E317" s="7" t="s">
        <v>975</v>
      </c>
      <c r="F317" s="19" t="s">
        <v>698</v>
      </c>
      <c r="G317" s="19" t="s">
        <v>698</v>
      </c>
      <c r="H317" s="19">
        <f>VLOOKUP(Tabla_Buffers_Agroinsumos[[#This Row],[CODIGO ]],TABLACONSOLIDADA[[Codigo]:[PV]],6,0)</f>
        <v>0</v>
      </c>
      <c r="I317" s="19">
        <f>VLOOKUP(Tabla_Buffers_Agroinsumos[[#This Row],[CODIGO ]],TABLACONSOLIDADA[[Codigo]:[PV]],5,0)</f>
        <v>1.48</v>
      </c>
      <c r="J317" s="19" t="s">
        <v>698</v>
      </c>
      <c r="K317" s="19" t="s">
        <v>698</v>
      </c>
      <c r="L317" s="19">
        <f>IFERROR(Tabla_Buffers_Agroinsumos[[#This Row],[BUFFER CENTRAL]]/((Tabla_Buffers_Agroinsumos[[#This Row],[TIEMPO REPOSICION ]]/Tabla_Buffers_Agroinsumos[[#This Row],[FRECUENCIA]])+1),0)</f>
        <v>0</v>
      </c>
      <c r="M317" s="19" t="str">
        <f t="array" ref="M317">IFERROR(INDEX(TABLACONSOLIDADA[Buff Act],MATCH("AGROINSUMOSMATERIAPRIMA"&amp;Tabla_Buffers_Agroinsumos[[#This Row],[CODIGO ]],TABLACONSOLIDADA[Bodega]&amp;TABLACONSOLIDADA[Codigo],0)),"")</f>
        <v/>
      </c>
      <c r="N317" s="157" t="str">
        <f t="array" ref="N317">IFERROR(INDEX(TABLACONSOLIDADA[Inv Fís Act],MATCH("AGROINSUMOSMATERIAPRIMA"&amp;Tabla_Buffers_Agroinsumos[[#This Row],[CODIGO ]],TABLACONSOLIDADA[Bodega]&amp;TABLACONSOLIDADA[Codigo],0)),"")</f>
        <v/>
      </c>
      <c r="O317" s="157" t="str">
        <f t="array" ref="O31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1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17" s="19">
        <f>IFERROR(SUM(Tabla_Buffers_Agroinsumos[[#This Row],[MP-C]:[MP-VL]]),"")</f>
        <v>0</v>
      </c>
      <c r="R317" s="92" t="str">
        <f>IFERROR(Tabla_Buffers_Agroinsumos[[#This Row],[INV FIS MATERIA PRIMA]]-Tabla_Buffers_Agroinsumos[[#This Row],[BUFFER MATERIA PRIMA]],"")</f>
        <v/>
      </c>
      <c r="S31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17" s="19"/>
      <c r="U317" s="19"/>
      <c r="V317" s="19"/>
      <c r="W317" s="19"/>
      <c r="X317" s="19"/>
      <c r="Y317" s="19"/>
      <c r="Z317" s="19"/>
      <c r="AA317" s="19"/>
      <c r="AB317" s="19"/>
      <c r="AC317" s="152">
        <f t="array" ref="AC317">IFERROR(INDEX(TABLACONSOLIDADA[Buff Act],MATCH("AGROINSUMOSCENTRAL"&amp;Tabla_Buffers_Agroinsumos[[#This Row],[CODIGO ]],TABLACONSOLIDADA[Bodega]&amp;TABLACONSOLIDADA[Codigo],0)),"")</f>
        <v>0</v>
      </c>
      <c r="AD317" s="157">
        <f t="array" ref="AD317">IFERROR(INDEX(TABLACONSOLIDADA[Inv Fís Act],MATCH("AGROINSUMOSCENTRAL"&amp;Tabla_Buffers_Agroinsumos[[#This Row],[CODIGO ]],TABLACONSOLIDADA[Bodega]&amp;TABLACONSOLIDADA[Codigo],0)),"")</f>
        <v>0</v>
      </c>
      <c r="AE317" s="157">
        <f t="array" ref="AE31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1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17" s="91">
        <f>IFERROR(SUM(Tabla_Buffers_Agroinsumos[[#This Row],[C-MP]:[C-VL]]),"")</f>
        <v>0</v>
      </c>
      <c r="AH317" s="92">
        <f>IFERROR(Tabla_Buffers_Agroinsumos[[#This Row],[INV FIS CENTRAL]]-Tabla_Buffers_Agroinsumos[[#This Row],[BUFFER CENTRAL]],"")</f>
        <v>0</v>
      </c>
      <c r="AI31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17" s="134"/>
      <c r="AK317" s="134"/>
      <c r="AL317" s="134"/>
      <c r="AM317" s="134"/>
      <c r="AN317" s="134"/>
      <c r="AO317" s="134"/>
      <c r="AP317" s="134"/>
      <c r="AQ317" s="134"/>
      <c r="AR317" s="134"/>
      <c r="AS317" s="134">
        <f t="array" ref="AS317">IFERROR(INDEX(TABLACONSOLIDADA[Buff Act],MATCH("AGROINSUMOScentralPROPIA"&amp;Tabla_Buffers_Agroinsumos[[#This Row],[CODIGO ]],TABLACONSOLIDADA[Bodega]&amp;TABLACONSOLIDADA[Codigo],0)),"")</f>
        <v>30</v>
      </c>
      <c r="AT317" s="157">
        <f t="array" ref="AT317">IFERROR(INDEX(TABLACONSOLIDADA[Inv Fís Act],MATCH("AGROINSUMOScentralPROPIA"&amp;Tabla_Buffers_Agroinsumos[[#This Row],[CODIGO ]],TABLACONSOLIDADA[Bodega]&amp;TABLACONSOLIDADA[Codigo],0)),"")</f>
        <v>0</v>
      </c>
      <c r="AU317" s="157">
        <f t="array" ref="AU31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1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17" s="134">
        <f>IFERROR(SUM(Tabla_Buffers_Agroinsumos[[#This Row],[P-MP]:[P-VL]]),"")</f>
        <v>0</v>
      </c>
      <c r="AX317" s="92">
        <f>IFERROR(Tabla_Buffers_Agroinsumos[[#This Row],[INV FIS PROPIA]]-Tabla_Buffers_Agroinsumos[[#This Row],[BUFFER PROPIA]],"")</f>
        <v>-30</v>
      </c>
      <c r="AY31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</v>
      </c>
      <c r="AZ317" s="134"/>
      <c r="BA317" s="134"/>
      <c r="BB317" s="134"/>
      <c r="BC317" s="134"/>
      <c r="BD317" s="134"/>
      <c r="BE317" s="134"/>
      <c r="BF317" s="134"/>
      <c r="BG317" s="134"/>
      <c r="BH317" s="134"/>
      <c r="BI317" s="91" t="str">
        <f t="array" ref="BI317">IFERROR(INDEX(TABLACONSOLIDADA[Buff Act],MATCH("AGROINSUMOSSTODOMINGO"&amp;Tabla_Buffers_Agroinsumos[[#This Row],[CODIGO ]],TABLACONSOLIDADA[Bodega]&amp;TABLACONSOLIDADA[Codigo],0)),"")</f>
        <v/>
      </c>
      <c r="BJ317" s="157" t="str">
        <f t="array" ref="BJ317">IFERROR(INDEX(TABLACONSOLIDADA[Inv Fís Act],MATCH("AGROINSUMOSSTODOMINGO"&amp;Tabla_Buffers_Agroinsumos[[#This Row],[CODIGO ]],TABLACONSOLIDADA[Bodega]&amp;TABLACONSOLIDADA[Codigo],0)),"")</f>
        <v/>
      </c>
      <c r="BK317" s="157" t="str">
        <f t="array" ref="BK31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1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17" s="91">
        <f>IFERROR(SUM(Tabla_Buffers_Agroinsumos[[#This Row],[SD-MP]:[SD-VL]]),"")</f>
        <v>0</v>
      </c>
      <c r="BN317" s="92"/>
      <c r="BO317" s="92"/>
      <c r="BP317" s="134"/>
      <c r="BQ317" s="134"/>
      <c r="BR317" s="134"/>
      <c r="BS317" s="134"/>
      <c r="BT317" s="134"/>
      <c r="BU317" s="134"/>
      <c r="BV317" s="134"/>
      <c r="BW317" s="134"/>
      <c r="BX317" s="134"/>
      <c r="BY317" s="134">
        <f t="array" ref="BY317">IFERROR(INDEX(TABLACONSOLIDADA[Buff Act],MATCH("AGROINSUMOSMONCAYOLOPEZ"&amp;Tabla_Buffers_Agroinsumos[[#This Row],[CODIGO ]],TABLACONSOLIDADA[Bodega]&amp;TABLACONSOLIDADA[Codigo],0)),"")</f>
        <v>0</v>
      </c>
      <c r="BZ317" s="157">
        <f t="array" ref="BZ317">IFERROR(INDEX(TABLACONSOLIDADA[Inv Fís Act],MATCH("AGROINSUMOSMONCAYOLOPEZ"&amp;Tabla_Buffers_Agroinsumos[[#This Row],[CODIGO ]],TABLACONSOLIDADA[Bodega]&amp;TABLACONSOLIDADA[Codigo],0)),"")</f>
        <v>0</v>
      </c>
      <c r="CA317" s="157">
        <f t="array" ref="CA31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1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17" s="134">
        <f>IFERROR(SUM(Tabla_Buffers_Agroinsumos[[#This Row],[ML-MP]:[ML-VL]]),"")</f>
        <v>0</v>
      </c>
      <c r="CD317" s="92">
        <f>IFERROR(Tabla_Buffers_Agroinsumos[[#This Row],[INV FIS ML]]-Tabla_Buffers_Agroinsumos[[#This Row],[BUFFER ML]],"")</f>
        <v>0</v>
      </c>
      <c r="CE317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17" s="134"/>
      <c r="CG317" s="134"/>
      <c r="CH317" s="134"/>
      <c r="CI317" s="134"/>
      <c r="CJ317" s="134"/>
      <c r="CK317" s="134"/>
      <c r="CL317" s="134"/>
      <c r="CM317" s="134"/>
      <c r="CN317" s="134"/>
      <c r="CO317" s="134">
        <f t="array" ref="CO317">IFERROR(INDEX(TABLACONSOLIDADA[Buff Act],MATCH("AGROINSUMOSAGROHERMANOSLEON"&amp;Tabla_Buffers_Agroinsumos[[#This Row],[CODIGO ]],TABLACONSOLIDADA[Bodega]&amp;TABLACONSOLIDADA[Codigo],0)),"")</f>
        <v>0</v>
      </c>
      <c r="CP317" s="157">
        <f t="array" ref="CP317">IFERROR(INDEX(TABLACONSOLIDADA[Inv Fís Act],MATCH("AGROINSUMOSAGROHERMANOSLEON"&amp;Tabla_Buffers_Agroinsumos[[#This Row],[CODIGO ]],TABLACONSOLIDADA[Bodega]&amp;TABLACONSOLIDADA[Codigo],0)),"")</f>
        <v>0</v>
      </c>
      <c r="CQ317" s="157">
        <f t="array" ref="CQ31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1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17" s="134">
        <f>IFERROR(SUM(Tabla_Buffers_Agroinsumos[[#This Row],[AL-MP]:[AL-VL]]),"")</f>
        <v>0</v>
      </c>
      <c r="CT317" s="92">
        <f>IFERROR(Tabla_Buffers_Agroinsumos[[#This Row],[INV FIS AL]]-Tabla_Buffers_Agroinsumos[[#This Row],[BUFFER AL]],"")</f>
        <v>0</v>
      </c>
      <c r="CU31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17" s="134"/>
      <c r="CW317" s="134"/>
      <c r="CX317" s="134"/>
      <c r="CY317" s="134"/>
      <c r="CZ317" s="134"/>
      <c r="DA317" s="134"/>
      <c r="DB317" s="134"/>
      <c r="DC317" s="134"/>
      <c r="DD317" s="134"/>
      <c r="DE317" s="134">
        <f t="array" ref="DE317">IFERROR(INDEX(TABLACONSOLIDADA[Buff Act],MATCH("AGROINSUMOSAGRONUEVO"&amp;Tabla_Buffers_Agroinsumos[[#This Row],[CODIGO ]],TABLACONSOLIDADA[Bodega]&amp;TABLACONSOLIDADA[Codigo],0)),"")</f>
        <v>0</v>
      </c>
      <c r="DF317" s="157">
        <f t="array" ref="DF317">IFERROR(INDEX(TABLACONSOLIDADA[Inv Fís Act],MATCH("AGROINSUMOSAGRONUEVO"&amp;Tabla_Buffers_Agroinsumos[[#This Row],[CODIGO ]],TABLACONSOLIDADA[Bodega]&amp;TABLACONSOLIDADA[Codigo],0)),"")</f>
        <v>0</v>
      </c>
      <c r="DG317" s="157">
        <f t="array" ref="DG31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1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17" s="134">
        <f>IFERROR(SUM(Tabla_Buffers_Agroinsumos[[#This Row],[AN-MP]:[AN-VL]]),"")</f>
        <v>0</v>
      </c>
      <c r="DJ317" s="92">
        <f>IFERROR(Tabla_Buffers_Agroinsumos[[#This Row],[INV FIS AN]]-Tabla_Buffers_Agroinsumos[[#This Row],[BUFFER AN]],"")</f>
        <v>0</v>
      </c>
      <c r="DK31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17" s="134"/>
      <c r="DM317" s="134"/>
      <c r="DN317" s="134"/>
      <c r="DO317" s="134"/>
      <c r="DP317" s="134"/>
      <c r="DQ317" s="134"/>
      <c r="DR317" s="134"/>
      <c r="DS317" s="134"/>
      <c r="DT317" s="134"/>
      <c r="DU317" s="134">
        <f t="array" ref="DU317">IFERROR(INDEX(TABLACONSOLIDADA[Buff Act],MATCH("AGROINSUMOSAGROQUIMICOSSUR"&amp;Tabla_Buffers_Agroinsumos[[#This Row],[CODIGO ]],TABLACONSOLIDADA[Bodega]&amp;TABLACONSOLIDADA[Codigo],0)),"")</f>
        <v>0</v>
      </c>
      <c r="DV317" s="157">
        <f t="array" ref="DV317">IFERROR(INDEX(TABLACONSOLIDADA[Inv Fís Act],MATCH("AGROINSUMOSAGROQUIMICOSSUR"&amp;Tabla_Buffers_Agroinsumos[[#This Row],[CODIGO ]],TABLACONSOLIDADA[Bodega]&amp;TABLACONSOLIDADA[Codigo],0)),"")</f>
        <v>0</v>
      </c>
      <c r="DW317" s="157">
        <f t="array" ref="DW31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1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17" s="134">
        <f>IFERROR(SUM(Tabla_Buffers_Agroinsumos[[#This Row],[AS-MP]:[AS-VL]]),"")</f>
        <v>0</v>
      </c>
      <c r="DZ317" s="92">
        <f>IFERROR(Tabla_Buffers_Agroinsumos[[#This Row],[INV FIS AS]]-Tabla_Buffers_Agroinsumos[[#This Row],[BUFFER AS]],"")</f>
        <v>0</v>
      </c>
      <c r="EA31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17" s="134"/>
      <c r="EC317" s="134"/>
      <c r="ED317" s="134"/>
      <c r="EE317" s="134"/>
      <c r="EF317" s="134"/>
      <c r="EG317" s="134"/>
      <c r="EH317" s="134"/>
      <c r="EI317" s="134"/>
      <c r="EJ317" s="134"/>
      <c r="EK317" s="134">
        <f t="array" ref="EK317">IFERROR(INDEX(TABLACONSOLIDADA[Buff Act],MATCH("AGROINSUMOSLAFINCA"&amp;Tabla_Buffers_Agroinsumos[[#This Row],[CODIGO ]],TABLACONSOLIDADA[Bodega]&amp;TABLACONSOLIDADA[Codigo],0)),"")</f>
        <v>0</v>
      </c>
      <c r="EL317" s="157">
        <f t="array" ref="EL317">IFERROR(INDEX(TABLACONSOLIDADA[Inv Fís Act],MATCH("AGROINSUMOSLAFINCA"&amp;Tabla_Buffers_Agroinsumos[[#This Row],[CODIGO ]],TABLACONSOLIDADA[Bodega]&amp;TABLACONSOLIDADA[Codigo],0)),"")</f>
        <v>0</v>
      </c>
      <c r="EM317" s="157">
        <f t="array" ref="EM31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1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17" s="134">
        <f>IFERROR(SUM(Tabla_Buffers_Agroinsumos[[#This Row],[LF-MP]:[LF-VL]]),"")</f>
        <v>0</v>
      </c>
      <c r="EP317" s="92">
        <f>IFERROR(Tabla_Buffers_Agroinsumos[[#This Row],[INV FIS LF]]-Tabla_Buffers_Agroinsumos[[#This Row],[BUFFER LF]],"")</f>
        <v>0</v>
      </c>
      <c r="EQ31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17" s="134"/>
      <c r="ES317" s="134"/>
      <c r="ET317" s="134"/>
      <c r="EU317" s="134"/>
      <c r="EV317" s="134"/>
      <c r="EW317" s="134"/>
      <c r="EX317" s="134"/>
      <c r="EY317" s="134"/>
      <c r="EZ317" s="134"/>
      <c r="FA317" s="134">
        <f t="array" ref="FA317">IFERROR(INDEX(TABLACONSOLIDADA[Buff Act],MATCH("AGROINSUMOSVERONICALEDESMA"&amp;Tabla_Buffers_Agroinsumos[[#This Row],[CODIGO ]],TABLACONSOLIDADA[Bodega]&amp;TABLACONSOLIDADA[Codigo],0)),"")</f>
        <v>0</v>
      </c>
      <c r="FB317" s="157">
        <f t="array" ref="FB317">IFERROR(INDEX(TABLACONSOLIDADA[Inv Fís Act],MATCH("AGROINSUMOSVERONICALEDESMA"&amp;Tabla_Buffers_Agroinsumos[[#This Row],[CODIGO ]],TABLACONSOLIDADA[Bodega]&amp;TABLACONSOLIDADA[Codigo],0)),"")</f>
        <v>0</v>
      </c>
      <c r="FC317" s="157">
        <f t="array" ref="FC31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1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17" s="134">
        <f>IFERROR(SUM(Tabla_Buffers_Agroinsumos[[#This Row],[VL-MP]:[VL-LF]]),"")</f>
        <v>0</v>
      </c>
      <c r="FF317" s="92">
        <f>IFERROR(Tabla_Buffers_Agroinsumos[[#This Row],[INV FIS VL]]-Tabla_Buffers_Agroinsumos[[#This Row],[BUFFER VL]],"")</f>
        <v>0</v>
      </c>
      <c r="FG31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17" s="134"/>
      <c r="FI317" s="134"/>
      <c r="FJ317" s="134"/>
      <c r="FK317" s="134"/>
      <c r="FL317" s="134"/>
      <c r="FM317" s="134"/>
      <c r="FN317" s="134"/>
      <c r="FO317" s="134"/>
      <c r="FP317" s="134"/>
    </row>
    <row r="318" spans="1:172">
      <c r="A318" s="20" t="s">
        <v>1262</v>
      </c>
      <c r="B318" s="7" t="s">
        <v>1266</v>
      </c>
      <c r="C318" s="7" t="s">
        <v>712</v>
      </c>
      <c r="D318" s="7" t="s">
        <v>720</v>
      </c>
      <c r="E318" s="7" t="s">
        <v>863</v>
      </c>
      <c r="F318" s="19" t="s">
        <v>814</v>
      </c>
      <c r="G318" s="19" t="s">
        <v>873</v>
      </c>
      <c r="H318" s="111" t="e">
        <f>VLOOKUP(Tabla_Buffers_Agroinsumos[[#This Row],[CODIGO ]],TABLACONSOLIDADA[[Codigo]:[PV]],6,0)</f>
        <v>#N/A</v>
      </c>
      <c r="I318" s="111" t="e">
        <f>VLOOKUP(Tabla_Buffers_Agroinsumos[[#This Row],[CODIGO ]],TABLACONSOLIDADA[[Codigo]:[PV]],5,0)</f>
        <v>#N/A</v>
      </c>
      <c r="J318" s="111"/>
      <c r="K318" s="111"/>
      <c r="L318" s="111">
        <f>IFERROR(Tabla_Buffers_Agroinsumos[[#This Row],[BUFFER CENTRAL]]/((Tabla_Buffers_Agroinsumos[[#This Row],[TIEMPO REPOSICION ]]/Tabla_Buffers_Agroinsumos[[#This Row],[FRECUENCIA]])+1),0)</f>
        <v>0</v>
      </c>
      <c r="M318" s="111">
        <v>2000</v>
      </c>
      <c r="N318" s="111" t="str">
        <f t="array" ref="N318">IFERROR(INDEX(TABLACONSOLIDADA[Inv Fís Act],MATCH("AGROINSUMOSMATERIAPRIMA"&amp;Tabla_Buffers_Agroinsumos[[#This Row],[CODIGO ]],TABLACONSOLIDADA[Bodega]&amp;TABLACONSOLIDADA[Codigo],0)),"")</f>
        <v/>
      </c>
      <c r="O318" s="183" t="str">
        <f t="array" ref="O31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18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18" s="111">
        <f>IFERROR(SUM(Tabla_Buffers_Agroinsumos[[#This Row],[MP-C]:[MP-VL]]),"")</f>
        <v>0</v>
      </c>
      <c r="R318" s="154" t="str">
        <f>IFERROR(Tabla_Buffers_Agroinsumos[[#This Row],[INV FIS MATERIA PRIMA]]-Tabla_Buffers_Agroinsumos[[#This Row],[BUFFER MATERIA PRIMA]],"")</f>
        <v/>
      </c>
      <c r="S318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18" s="111"/>
      <c r="U318" s="111"/>
      <c r="V318" s="111"/>
      <c r="W318" s="111"/>
      <c r="X318" s="111"/>
      <c r="Y318" s="111"/>
      <c r="Z318" s="111"/>
      <c r="AA318" s="111"/>
      <c r="AB318" s="111"/>
      <c r="AC318" s="152" t="str">
        <f t="array" ref="AC318">IFERROR(INDEX(TABLACONSOLIDADA[Buff Act],MATCH("AGROINSUMOSCENTRAL"&amp;Tabla_Buffers_Agroinsumos[[#This Row],[CODIGO ]],TABLACONSOLIDADA[Bodega]&amp;TABLACONSOLIDADA[Codigo],0)),"")</f>
        <v/>
      </c>
      <c r="AD318" s="111" t="str">
        <f t="array" ref="AD318">IFERROR(INDEX(TABLACONSOLIDADA[Inv Fís Act],MATCH("AGROINSUMOSCENTRAL"&amp;Tabla_Buffers_Agroinsumos[[#This Row],[CODIGO ]],TABLACONSOLIDADA[Bodega]&amp;TABLACONSOLIDADA[Codigo],0)),"")</f>
        <v/>
      </c>
      <c r="AE318" s="183" t="str">
        <f t="array" ref="AE31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18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18" s="153">
        <f>IFERROR(SUM(Tabla_Buffers_Agroinsumos[[#This Row],[C-MP]:[C-VL]]),"")</f>
        <v>0</v>
      </c>
      <c r="AH318" s="154" t="str">
        <f>IFERROR(Tabla_Buffers_Agroinsumos[[#This Row],[INV FIS CENTRAL]]-Tabla_Buffers_Agroinsumos[[#This Row],[BUFFER CENTRAL]],"")</f>
        <v/>
      </c>
      <c r="AI318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18" s="135"/>
      <c r="AK318" s="135"/>
      <c r="AL318" s="135"/>
      <c r="AM318" s="135"/>
      <c r="AN318" s="135"/>
      <c r="AO318" s="135"/>
      <c r="AP318" s="135"/>
      <c r="AQ318" s="135"/>
      <c r="AR318" s="135"/>
      <c r="AS318" s="135" t="str">
        <f t="array" ref="AS318">IFERROR(INDEX(TABLACONSOLIDADA[Buff Act],MATCH("AGROINSUMOScentralPROPIA"&amp;Tabla_Buffers_Agroinsumos[[#This Row],[CODIGO ]],TABLACONSOLIDADA[Bodega]&amp;TABLACONSOLIDADA[Codigo],0)),"")</f>
        <v/>
      </c>
      <c r="AT318" s="111" t="str">
        <f t="array" ref="AT318">IFERROR(INDEX(TABLACONSOLIDADA[Inv Fís Act],MATCH("AGROINSUMOScentralPROPIA"&amp;Tabla_Buffers_Agroinsumos[[#This Row],[CODIGO ]],TABLACONSOLIDADA[Bodega]&amp;TABLACONSOLIDADA[Codigo],0)),"")</f>
        <v/>
      </c>
      <c r="AU318" s="183" t="str">
        <f t="array" ref="AU31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18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18" s="135">
        <f>IFERROR(SUM(Tabla_Buffers_Agroinsumos[[#This Row],[P-MP]:[P-VL]]),"")</f>
        <v>0</v>
      </c>
      <c r="AX318" s="154" t="str">
        <f>IFERROR(Tabla_Buffers_Agroinsumos[[#This Row],[INV FIS PROPIA]]-Tabla_Buffers_Agroinsumos[[#This Row],[BUFFER PROPIA]],"")</f>
        <v/>
      </c>
      <c r="AY318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18" s="135"/>
      <c r="BA318" s="135"/>
      <c r="BB318" s="135"/>
      <c r="BC318" s="135"/>
      <c r="BD318" s="135"/>
      <c r="BE318" s="135"/>
      <c r="BF318" s="135"/>
      <c r="BG318" s="135"/>
      <c r="BH318" s="135"/>
      <c r="BI318" s="153" t="str">
        <f t="array" ref="BI318">IFERROR(INDEX(TABLACONSOLIDADA[Buff Act],MATCH("AGROINSUMOSSTODOMINGO"&amp;Tabla_Buffers_Agroinsumos[[#This Row],[CODIGO ]],TABLACONSOLIDADA[Bodega]&amp;TABLACONSOLIDADA[Codigo],0)),"")</f>
        <v/>
      </c>
      <c r="BJ318" s="111" t="str">
        <f t="array" ref="BJ318">IFERROR(INDEX(TABLACONSOLIDADA[Inv Fís Act],MATCH("AGROINSUMOSSTODOMINGO"&amp;Tabla_Buffers_Agroinsumos[[#This Row],[CODIGO ]],TABLACONSOLIDADA[Bodega]&amp;TABLACONSOLIDADA[Codigo],0)),"")</f>
        <v/>
      </c>
      <c r="BK318" s="183" t="str">
        <f t="array" ref="BK31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18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18" s="153">
        <f>IFERROR(SUM(Tabla_Buffers_Agroinsumos[[#This Row],[SD-MP]:[SD-VL]]),"")</f>
        <v>0</v>
      </c>
      <c r="BN318" s="154"/>
      <c r="BO318" s="154"/>
      <c r="BP318" s="135"/>
      <c r="BQ318" s="135"/>
      <c r="BR318" s="135"/>
      <c r="BS318" s="135"/>
      <c r="BT318" s="135"/>
      <c r="BU318" s="135"/>
      <c r="BV318" s="135"/>
      <c r="BW318" s="135"/>
      <c r="BX318" s="135"/>
      <c r="BY318" s="135" t="str">
        <f t="array" ref="BY318">IFERROR(INDEX(TABLACONSOLIDADA[Buff Act],MATCH("AGROINSUMOSMONCAYOLOPEZ"&amp;Tabla_Buffers_Agroinsumos[[#This Row],[CODIGO ]],TABLACONSOLIDADA[Bodega]&amp;TABLACONSOLIDADA[Codigo],0)),"")</f>
        <v/>
      </c>
      <c r="BZ318" s="111" t="str">
        <f t="array" ref="BZ318">IFERROR(INDEX(TABLACONSOLIDADA[Inv Fís Act],MATCH("AGROINSUMOSMONCAYOLOPEZ"&amp;Tabla_Buffers_Agroinsumos[[#This Row],[CODIGO ]],TABLACONSOLIDADA[Bodega]&amp;TABLACONSOLIDADA[Codigo],0)),"")</f>
        <v/>
      </c>
      <c r="CA318" s="183" t="str">
        <f t="array" ref="CA31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18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18" s="135">
        <f>IFERROR(SUM(Tabla_Buffers_Agroinsumos[[#This Row],[ML-MP]:[ML-VL]]),"")</f>
        <v>0</v>
      </c>
      <c r="CD318" s="154" t="str">
        <f>IFERROR(Tabla_Buffers_Agroinsumos[[#This Row],[INV FIS ML]]-Tabla_Buffers_Agroinsumos[[#This Row],[BUFFER ML]],"")</f>
        <v/>
      </c>
      <c r="CE318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18" s="135"/>
      <c r="CG318" s="135"/>
      <c r="CH318" s="135"/>
      <c r="CI318" s="135"/>
      <c r="CJ318" s="135"/>
      <c r="CK318" s="135"/>
      <c r="CL318" s="135"/>
      <c r="CM318" s="135"/>
      <c r="CN318" s="135"/>
      <c r="CO318" s="135" t="str">
        <f t="array" ref="CO318">IFERROR(INDEX(TABLACONSOLIDADA[Buff Act],MATCH("AGROINSUMOSAGROHERMANOSLEON"&amp;Tabla_Buffers_Agroinsumos[[#This Row],[CODIGO ]],TABLACONSOLIDADA[Bodega]&amp;TABLACONSOLIDADA[Codigo],0)),"")</f>
        <v/>
      </c>
      <c r="CP318" s="111" t="str">
        <f t="array" ref="CP318">IFERROR(INDEX(TABLACONSOLIDADA[Inv Fís Act],MATCH("AGROINSUMOSAGROHERMANOSLEON"&amp;Tabla_Buffers_Agroinsumos[[#This Row],[CODIGO ]],TABLACONSOLIDADA[Bodega]&amp;TABLACONSOLIDADA[Codigo],0)),"")</f>
        <v/>
      </c>
      <c r="CQ318" s="183" t="str">
        <f t="array" ref="CQ31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18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18" s="135">
        <f>IFERROR(SUM(Tabla_Buffers_Agroinsumos[[#This Row],[AL-MP]:[AL-VL]]),"")</f>
        <v>0</v>
      </c>
      <c r="CT318" s="154" t="str">
        <f>IFERROR(Tabla_Buffers_Agroinsumos[[#This Row],[INV FIS AL]]-Tabla_Buffers_Agroinsumos[[#This Row],[BUFFER AL]],"")</f>
        <v/>
      </c>
      <c r="CU318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18" s="135"/>
      <c r="CW318" s="135"/>
      <c r="CX318" s="135"/>
      <c r="CY318" s="135"/>
      <c r="CZ318" s="135"/>
      <c r="DA318" s="135"/>
      <c r="DB318" s="135"/>
      <c r="DC318" s="135"/>
      <c r="DD318" s="135"/>
      <c r="DE318" s="135" t="str">
        <f t="array" ref="DE318">IFERROR(INDEX(TABLACONSOLIDADA[Buff Act],MATCH("AGROINSUMOSAGRONUEVO"&amp;Tabla_Buffers_Agroinsumos[[#This Row],[CODIGO ]],TABLACONSOLIDADA[Bodega]&amp;TABLACONSOLIDADA[Codigo],0)),"")</f>
        <v/>
      </c>
      <c r="DF318" s="111" t="str">
        <f t="array" ref="DF318">IFERROR(INDEX(TABLACONSOLIDADA[Inv Fís Act],MATCH("AGROINSUMOSAGRONUEVO"&amp;Tabla_Buffers_Agroinsumos[[#This Row],[CODIGO ]],TABLACONSOLIDADA[Bodega]&amp;TABLACONSOLIDADA[Codigo],0)),"")</f>
        <v/>
      </c>
      <c r="DG318" s="183" t="str">
        <f t="array" ref="DG31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18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18" s="135">
        <f>IFERROR(SUM(Tabla_Buffers_Agroinsumos[[#This Row],[AN-MP]:[AN-VL]]),"")</f>
        <v>0</v>
      </c>
      <c r="DJ318" s="154" t="str">
        <f>IFERROR(Tabla_Buffers_Agroinsumos[[#This Row],[INV FIS AN]]-Tabla_Buffers_Agroinsumos[[#This Row],[BUFFER AN]],"")</f>
        <v/>
      </c>
      <c r="DK318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18" s="135"/>
      <c r="DM318" s="135"/>
      <c r="DN318" s="135"/>
      <c r="DO318" s="135"/>
      <c r="DP318" s="135"/>
      <c r="DQ318" s="135"/>
      <c r="DR318" s="135"/>
      <c r="DS318" s="135"/>
      <c r="DT318" s="135"/>
      <c r="DU318" s="135" t="str">
        <f t="array" ref="DU318">IFERROR(INDEX(TABLACONSOLIDADA[Buff Act],MATCH("AGROINSUMOSAGROQUIMICOSSUR"&amp;Tabla_Buffers_Agroinsumos[[#This Row],[CODIGO ]],TABLACONSOLIDADA[Bodega]&amp;TABLACONSOLIDADA[Codigo],0)),"")</f>
        <v/>
      </c>
      <c r="DV318" s="111" t="str">
        <f t="array" ref="DV318">IFERROR(INDEX(TABLACONSOLIDADA[Inv Fís Act],MATCH("AGROINSUMOSAGROQUIMICOSSUR"&amp;Tabla_Buffers_Agroinsumos[[#This Row],[CODIGO ]],TABLACONSOLIDADA[Bodega]&amp;TABLACONSOLIDADA[Codigo],0)),"")</f>
        <v/>
      </c>
      <c r="DW318" s="183" t="str">
        <f t="array" ref="DW31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18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18" s="135">
        <f>IFERROR(SUM(Tabla_Buffers_Agroinsumos[[#This Row],[AS-MP]:[AS-VL]]),"")</f>
        <v>0</v>
      </c>
      <c r="DZ318" s="154" t="str">
        <f>IFERROR(Tabla_Buffers_Agroinsumos[[#This Row],[INV FIS AS]]-Tabla_Buffers_Agroinsumos[[#This Row],[BUFFER AS]],"")</f>
        <v/>
      </c>
      <c r="EA318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18" s="135"/>
      <c r="EC318" s="135"/>
      <c r="ED318" s="135"/>
      <c r="EE318" s="135"/>
      <c r="EF318" s="135"/>
      <c r="EG318" s="135"/>
      <c r="EH318" s="135"/>
      <c r="EI318" s="135"/>
      <c r="EJ318" s="135"/>
      <c r="EK318" s="135" t="str">
        <f t="array" ref="EK318">IFERROR(INDEX(TABLACONSOLIDADA[Buff Act],MATCH("AGROINSUMOSLAFINCA"&amp;Tabla_Buffers_Agroinsumos[[#This Row],[CODIGO ]],TABLACONSOLIDADA[Bodega]&amp;TABLACONSOLIDADA[Codigo],0)),"")</f>
        <v/>
      </c>
      <c r="EL318" s="111" t="str">
        <f t="array" ref="EL318">IFERROR(INDEX(TABLACONSOLIDADA[Inv Fís Act],MATCH("AGROINSUMOSLAFINCA"&amp;Tabla_Buffers_Agroinsumos[[#This Row],[CODIGO ]],TABLACONSOLIDADA[Bodega]&amp;TABLACONSOLIDADA[Codigo],0)),"")</f>
        <v/>
      </c>
      <c r="EM318" s="183" t="str">
        <f t="array" ref="EM31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18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18" s="135">
        <f>IFERROR(SUM(Tabla_Buffers_Agroinsumos[[#This Row],[LF-MP]:[LF-VL]]),"")</f>
        <v>0</v>
      </c>
      <c r="EP318" s="154" t="str">
        <f>IFERROR(Tabla_Buffers_Agroinsumos[[#This Row],[INV FIS LF]]-Tabla_Buffers_Agroinsumos[[#This Row],[BUFFER LF]],"")</f>
        <v/>
      </c>
      <c r="EQ318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18" s="135"/>
      <c r="ES318" s="135"/>
      <c r="ET318" s="135"/>
      <c r="EU318" s="135"/>
      <c r="EV318" s="135"/>
      <c r="EW318" s="135"/>
      <c r="EX318" s="135"/>
      <c r="EY318" s="135"/>
      <c r="EZ318" s="135"/>
      <c r="FA318" s="135" t="str">
        <f t="array" ref="FA318">IFERROR(INDEX(TABLACONSOLIDADA[Buff Act],MATCH("AGROINSUMOSVERONICALEDESMA"&amp;Tabla_Buffers_Agroinsumos[[#This Row],[CODIGO ]],TABLACONSOLIDADA[Bodega]&amp;TABLACONSOLIDADA[Codigo],0)),"")</f>
        <v/>
      </c>
      <c r="FB318" s="111" t="str">
        <f t="array" ref="FB318">IFERROR(INDEX(TABLACONSOLIDADA[Inv Fís Act],MATCH("AGROINSUMOSVERONICALEDESMA"&amp;Tabla_Buffers_Agroinsumos[[#This Row],[CODIGO ]],TABLACONSOLIDADA[Bodega]&amp;TABLACONSOLIDADA[Codigo],0)),"")</f>
        <v/>
      </c>
      <c r="FC318" s="183" t="str">
        <f t="array" ref="FC31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18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18" s="135">
        <f>IFERROR(SUM(Tabla_Buffers_Agroinsumos[[#This Row],[VL-MP]:[VL-LF]]),"")</f>
        <v>0</v>
      </c>
      <c r="FF318" s="154" t="str">
        <f>IFERROR(Tabla_Buffers_Agroinsumos[[#This Row],[INV FIS VL]]-Tabla_Buffers_Agroinsumos[[#This Row],[BUFFER VL]],"")</f>
        <v/>
      </c>
      <c r="FG318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18" s="135"/>
      <c r="FI318" s="135"/>
      <c r="FJ318" s="135"/>
      <c r="FK318" s="135"/>
      <c r="FL318" s="135"/>
      <c r="FM318" s="135"/>
      <c r="FN318" s="135"/>
      <c r="FO318" s="135"/>
      <c r="FP318" s="135"/>
    </row>
    <row r="319" spans="1:172">
      <c r="A319" s="7" t="s">
        <v>540</v>
      </c>
      <c r="B319" s="7" t="s">
        <v>1259</v>
      </c>
      <c r="C319" s="7" t="s">
        <v>712</v>
      </c>
      <c r="D319" s="7" t="s">
        <v>720</v>
      </c>
      <c r="E319" s="7" t="s">
        <v>863</v>
      </c>
      <c r="F319" s="19" t="s">
        <v>814</v>
      </c>
      <c r="G319" s="19" t="s">
        <v>873</v>
      </c>
      <c r="H319" s="19">
        <f>VLOOKUP(Tabla_Buffers_Agroinsumos[[#This Row],[CODIGO ]],TABLACONSOLIDADA[[Codigo]:[PV]],6,0)</f>
        <v>0</v>
      </c>
      <c r="I319" s="19">
        <f>VLOOKUP(Tabla_Buffers_Agroinsumos[[#This Row],[CODIGO ]],TABLACONSOLIDADA[[Codigo]:[PV]],5,0)</f>
        <v>2588.7199999999998</v>
      </c>
      <c r="J319" s="19">
        <v>12</v>
      </c>
      <c r="K319" s="19">
        <v>14</v>
      </c>
      <c r="L319" s="19">
        <f>IFERROR(Tabla_Buffers_Agroinsumos[[#This Row],[BUFFER CENTRAL]]/((Tabla_Buffers_Agroinsumos[[#This Row],[TIEMPO REPOSICION ]]/Tabla_Buffers_Agroinsumos[[#This Row],[FRECUENCIA]])+1),0)</f>
        <v>0</v>
      </c>
      <c r="M319" s="19">
        <f t="array" ref="M319">IFERROR(INDEX(TABLACONSOLIDADA[Buff Act],MATCH("AGROINSUMOSMATERIAPRIMA"&amp;Tabla_Buffers_Agroinsumos[[#This Row],[CODIGO ]],TABLACONSOLIDADA[Bodega]&amp;TABLACONSOLIDADA[Codigo],0)),"")</f>
        <v>12</v>
      </c>
      <c r="N319" s="157">
        <f t="array" ref="N319">IFERROR(INDEX(TABLACONSOLIDADA[Inv Fís Act],MATCH("AGROINSUMOSMATERIAPRIMA"&amp;Tabla_Buffers_Agroinsumos[[#This Row],[CODIGO ]],TABLACONSOLIDADA[Bodega]&amp;TABLACONSOLIDADA[Codigo],0)),"")</f>
        <v>2.7085499999999998</v>
      </c>
      <c r="O319" s="157">
        <f t="array" ref="O31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7.7085499999999998</v>
      </c>
      <c r="P31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19" s="19">
        <f>IFERROR(SUM(Tabla_Buffers_Agroinsumos[[#This Row],[MP-C]:[MP-VL]]),"")</f>
        <v>0</v>
      </c>
      <c r="R319" s="92">
        <f>IFERROR(Tabla_Buffers_Agroinsumos[[#This Row],[INV FIS MATERIA PRIMA]]-Tabla_Buffers_Agroinsumos[[#This Row],[BUFFER MATERIA PRIMA]],"")</f>
        <v>-9.2914500000000011</v>
      </c>
      <c r="S31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-9.2914500000000011</v>
      </c>
      <c r="T319" s="19"/>
      <c r="U319" s="19"/>
      <c r="V319" s="19"/>
      <c r="W319" s="19"/>
      <c r="X319" s="19"/>
      <c r="Y319" s="19"/>
      <c r="Z319" s="19"/>
      <c r="AA319" s="19"/>
      <c r="AB319" s="19"/>
      <c r="AC319" s="152" t="str">
        <f t="array" ref="AC319">IFERROR(INDEX(TABLACONSOLIDADA[Buff Act],MATCH("AGROINSUMOSCENTRAL"&amp;Tabla_Buffers_Agroinsumos[[#This Row],[CODIGO ]],TABLACONSOLIDADA[Bodega]&amp;TABLACONSOLIDADA[Codigo],0)),"")</f>
        <v/>
      </c>
      <c r="AD319" s="157" t="str">
        <f t="array" ref="AD319">IFERROR(INDEX(TABLACONSOLIDADA[Inv Fís Act],MATCH("AGROINSUMOSCENTRAL"&amp;Tabla_Buffers_Agroinsumos[[#This Row],[CODIGO ]],TABLACONSOLIDADA[Bodega]&amp;TABLACONSOLIDADA[Codigo],0)),"")</f>
        <v/>
      </c>
      <c r="AE319" s="157" t="str">
        <f t="array" ref="AE31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1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19" s="91">
        <f>IFERROR(SUM(Tabla_Buffers_Agroinsumos[[#This Row],[C-MP]:[C-VL]]),"")</f>
        <v>0</v>
      </c>
      <c r="AH319" s="92" t="str">
        <f>IFERROR(Tabla_Buffers_Agroinsumos[[#This Row],[INV FIS CENTRAL]]-Tabla_Buffers_Agroinsumos[[#This Row],[BUFFER CENTRAL]],"")</f>
        <v/>
      </c>
      <c r="AI31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19" s="134"/>
      <c r="AK319" s="134"/>
      <c r="AL319" s="134"/>
      <c r="AM319" s="134"/>
      <c r="AN319" s="134"/>
      <c r="AO319" s="134"/>
      <c r="AP319" s="134"/>
      <c r="AQ319" s="134"/>
      <c r="AR319" s="134"/>
      <c r="AS319" s="134" t="str">
        <f t="array" ref="AS319">IFERROR(INDEX(TABLACONSOLIDADA[Buff Act],MATCH("AGROINSUMOScentralPROPIA"&amp;Tabla_Buffers_Agroinsumos[[#This Row],[CODIGO ]],TABLACONSOLIDADA[Bodega]&amp;TABLACONSOLIDADA[Codigo],0)),"")</f>
        <v/>
      </c>
      <c r="AT319" s="157" t="str">
        <f t="array" ref="AT319">IFERROR(INDEX(TABLACONSOLIDADA[Inv Fís Act],MATCH("AGROINSUMOScentralPROPIA"&amp;Tabla_Buffers_Agroinsumos[[#This Row],[CODIGO ]],TABLACONSOLIDADA[Bodega]&amp;TABLACONSOLIDADA[Codigo],0)),"")</f>
        <v/>
      </c>
      <c r="AU319" s="157" t="str">
        <f t="array" ref="AU31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1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19" s="134">
        <f>IFERROR(SUM(Tabla_Buffers_Agroinsumos[[#This Row],[P-MP]:[P-VL]]),"")</f>
        <v>0</v>
      </c>
      <c r="AX319" s="92" t="str">
        <f>IFERROR(Tabla_Buffers_Agroinsumos[[#This Row],[INV FIS PROPIA]]-Tabla_Buffers_Agroinsumos[[#This Row],[BUFFER PROPIA]],"")</f>
        <v/>
      </c>
      <c r="AY31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19" s="134"/>
      <c r="BA319" s="134"/>
      <c r="BB319" s="134"/>
      <c r="BC319" s="134"/>
      <c r="BD319" s="134"/>
      <c r="BE319" s="134"/>
      <c r="BF319" s="134"/>
      <c r="BG319" s="134"/>
      <c r="BH319" s="134"/>
      <c r="BI319" s="91" t="str">
        <f t="array" ref="BI319">IFERROR(INDEX(TABLACONSOLIDADA[Buff Act],MATCH("AGROINSUMOSSTODOMINGO"&amp;Tabla_Buffers_Agroinsumos[[#This Row],[CODIGO ]],TABLACONSOLIDADA[Bodega]&amp;TABLACONSOLIDADA[Codigo],0)),"")</f>
        <v/>
      </c>
      <c r="BJ319" s="157" t="str">
        <f t="array" ref="BJ319">IFERROR(INDEX(TABLACONSOLIDADA[Inv Fís Act],MATCH("AGROINSUMOSSTODOMINGO"&amp;Tabla_Buffers_Agroinsumos[[#This Row],[CODIGO ]],TABLACONSOLIDADA[Bodega]&amp;TABLACONSOLIDADA[Codigo],0)),"")</f>
        <v/>
      </c>
      <c r="BK319" s="157" t="str">
        <f t="array" ref="BK31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1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19" s="91">
        <f>IFERROR(SUM(Tabla_Buffers_Agroinsumos[[#This Row],[SD-MP]:[SD-VL]]),"")</f>
        <v>0</v>
      </c>
      <c r="BN319" s="92"/>
      <c r="BO319" s="92"/>
      <c r="BP319" s="134"/>
      <c r="BQ319" s="134"/>
      <c r="BR319" s="134"/>
      <c r="BS319" s="134"/>
      <c r="BT319" s="134"/>
      <c r="BU319" s="134"/>
      <c r="BV319" s="134"/>
      <c r="BW319" s="134"/>
      <c r="BX319" s="134"/>
      <c r="BY319" s="134" t="str">
        <f t="array" ref="BY319">IFERROR(INDEX(TABLACONSOLIDADA[Buff Act],MATCH("AGROINSUMOSMONCAYOLOPEZ"&amp;Tabla_Buffers_Agroinsumos[[#This Row],[CODIGO ]],TABLACONSOLIDADA[Bodega]&amp;TABLACONSOLIDADA[Codigo],0)),"")</f>
        <v/>
      </c>
      <c r="BZ319" s="157" t="str">
        <f t="array" ref="BZ319">IFERROR(INDEX(TABLACONSOLIDADA[Inv Fís Act],MATCH("AGROINSUMOSMONCAYOLOPEZ"&amp;Tabla_Buffers_Agroinsumos[[#This Row],[CODIGO ]],TABLACONSOLIDADA[Bodega]&amp;TABLACONSOLIDADA[Codigo],0)),"")</f>
        <v/>
      </c>
      <c r="CA319" s="157" t="str">
        <f t="array" ref="CA31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1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19" s="134">
        <f>IFERROR(SUM(Tabla_Buffers_Agroinsumos[[#This Row],[ML-MP]:[ML-VL]]),"")</f>
        <v>0</v>
      </c>
      <c r="CD319" s="92" t="str">
        <f>IFERROR(Tabla_Buffers_Agroinsumos[[#This Row],[INV FIS ML]]-Tabla_Buffers_Agroinsumos[[#This Row],[BUFFER ML]],"")</f>
        <v/>
      </c>
      <c r="CE31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19" s="134"/>
      <c r="CG319" s="134"/>
      <c r="CH319" s="134"/>
      <c r="CI319" s="134"/>
      <c r="CJ319" s="134"/>
      <c r="CK319" s="134"/>
      <c r="CL319" s="134"/>
      <c r="CM319" s="134"/>
      <c r="CN319" s="134"/>
      <c r="CO319" s="134" t="str">
        <f t="array" ref="CO319">IFERROR(INDEX(TABLACONSOLIDADA[Buff Act],MATCH("AGROINSUMOSAGROHERMANOSLEON"&amp;Tabla_Buffers_Agroinsumos[[#This Row],[CODIGO ]],TABLACONSOLIDADA[Bodega]&amp;TABLACONSOLIDADA[Codigo],0)),"")</f>
        <v/>
      </c>
      <c r="CP319" s="157" t="str">
        <f t="array" ref="CP319">IFERROR(INDEX(TABLACONSOLIDADA[Inv Fís Act],MATCH("AGROINSUMOSAGROHERMANOSLEON"&amp;Tabla_Buffers_Agroinsumos[[#This Row],[CODIGO ]],TABLACONSOLIDADA[Bodega]&amp;TABLACONSOLIDADA[Codigo],0)),"")</f>
        <v/>
      </c>
      <c r="CQ319" s="157" t="str">
        <f t="array" ref="CQ31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1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19" s="134">
        <f>IFERROR(SUM(Tabla_Buffers_Agroinsumos[[#This Row],[AL-MP]:[AL-VL]]),"")</f>
        <v>0</v>
      </c>
      <c r="CT319" s="92" t="str">
        <f>IFERROR(Tabla_Buffers_Agroinsumos[[#This Row],[INV FIS AL]]-Tabla_Buffers_Agroinsumos[[#This Row],[BUFFER AL]],"")</f>
        <v/>
      </c>
      <c r="CU31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19" s="134"/>
      <c r="CW319" s="134"/>
      <c r="CX319" s="134"/>
      <c r="CY319" s="134"/>
      <c r="CZ319" s="134"/>
      <c r="DA319" s="134"/>
      <c r="DB319" s="134"/>
      <c r="DC319" s="134"/>
      <c r="DD319" s="134"/>
      <c r="DE319" s="134" t="str">
        <f t="array" ref="DE319">IFERROR(INDEX(TABLACONSOLIDADA[Buff Act],MATCH("AGROINSUMOSAGRONUEVO"&amp;Tabla_Buffers_Agroinsumos[[#This Row],[CODIGO ]],TABLACONSOLIDADA[Bodega]&amp;TABLACONSOLIDADA[Codigo],0)),"")</f>
        <v/>
      </c>
      <c r="DF319" s="157" t="str">
        <f t="array" ref="DF319">IFERROR(INDEX(TABLACONSOLIDADA[Inv Fís Act],MATCH("AGROINSUMOSAGRONUEVO"&amp;Tabla_Buffers_Agroinsumos[[#This Row],[CODIGO ]],TABLACONSOLIDADA[Bodega]&amp;TABLACONSOLIDADA[Codigo],0)),"")</f>
        <v/>
      </c>
      <c r="DG319" s="157" t="str">
        <f t="array" ref="DG31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1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19" s="134">
        <f>IFERROR(SUM(Tabla_Buffers_Agroinsumos[[#This Row],[AN-MP]:[AN-VL]]),"")</f>
        <v>0</v>
      </c>
      <c r="DJ319" s="92" t="str">
        <f>IFERROR(Tabla_Buffers_Agroinsumos[[#This Row],[INV FIS AN]]-Tabla_Buffers_Agroinsumos[[#This Row],[BUFFER AN]],"")</f>
        <v/>
      </c>
      <c r="DK31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19" s="134"/>
      <c r="DM319" s="134"/>
      <c r="DN319" s="134"/>
      <c r="DO319" s="134"/>
      <c r="DP319" s="134"/>
      <c r="DQ319" s="134"/>
      <c r="DR319" s="134"/>
      <c r="DS319" s="134"/>
      <c r="DT319" s="134"/>
      <c r="DU319" s="134" t="str">
        <f t="array" ref="DU319">IFERROR(INDEX(TABLACONSOLIDADA[Buff Act],MATCH("AGROINSUMOSAGROQUIMICOSSUR"&amp;Tabla_Buffers_Agroinsumos[[#This Row],[CODIGO ]],TABLACONSOLIDADA[Bodega]&amp;TABLACONSOLIDADA[Codigo],0)),"")</f>
        <v/>
      </c>
      <c r="DV319" s="157" t="str">
        <f t="array" ref="DV319">IFERROR(INDEX(TABLACONSOLIDADA[Inv Fís Act],MATCH("AGROINSUMOSAGROQUIMICOSSUR"&amp;Tabla_Buffers_Agroinsumos[[#This Row],[CODIGO ]],TABLACONSOLIDADA[Bodega]&amp;TABLACONSOLIDADA[Codigo],0)),"")</f>
        <v/>
      </c>
      <c r="DW319" s="157" t="str">
        <f t="array" ref="DW31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1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19" s="134">
        <f>IFERROR(SUM(Tabla_Buffers_Agroinsumos[[#This Row],[AS-MP]:[AS-VL]]),"")</f>
        <v>0</v>
      </c>
      <c r="DZ319" s="92" t="str">
        <f>IFERROR(Tabla_Buffers_Agroinsumos[[#This Row],[INV FIS AS]]-Tabla_Buffers_Agroinsumos[[#This Row],[BUFFER AS]],"")</f>
        <v/>
      </c>
      <c r="EA31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19" s="134"/>
      <c r="EC319" s="134"/>
      <c r="ED319" s="134"/>
      <c r="EE319" s="134"/>
      <c r="EF319" s="134"/>
      <c r="EG319" s="134"/>
      <c r="EH319" s="134"/>
      <c r="EI319" s="134"/>
      <c r="EJ319" s="134"/>
      <c r="EK319" s="134" t="str">
        <f t="array" ref="EK319">IFERROR(INDEX(TABLACONSOLIDADA[Buff Act],MATCH("AGROINSUMOSLAFINCA"&amp;Tabla_Buffers_Agroinsumos[[#This Row],[CODIGO ]],TABLACONSOLIDADA[Bodega]&amp;TABLACONSOLIDADA[Codigo],0)),"")</f>
        <v/>
      </c>
      <c r="EL319" s="157" t="str">
        <f t="array" ref="EL319">IFERROR(INDEX(TABLACONSOLIDADA[Inv Fís Act],MATCH("AGROINSUMOSLAFINCA"&amp;Tabla_Buffers_Agroinsumos[[#This Row],[CODIGO ]],TABLACONSOLIDADA[Bodega]&amp;TABLACONSOLIDADA[Codigo],0)),"")</f>
        <v/>
      </c>
      <c r="EM319" s="157" t="str">
        <f t="array" ref="EM31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1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19" s="134">
        <f>IFERROR(SUM(Tabla_Buffers_Agroinsumos[[#This Row],[LF-MP]:[LF-VL]]),"")</f>
        <v>0</v>
      </c>
      <c r="EP319" s="92" t="str">
        <f>IFERROR(Tabla_Buffers_Agroinsumos[[#This Row],[INV FIS LF]]-Tabla_Buffers_Agroinsumos[[#This Row],[BUFFER LF]],"")</f>
        <v/>
      </c>
      <c r="EQ31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19" s="134"/>
      <c r="ES319" s="134"/>
      <c r="ET319" s="134"/>
      <c r="EU319" s="134"/>
      <c r="EV319" s="134"/>
      <c r="EW319" s="134"/>
      <c r="EX319" s="134"/>
      <c r="EY319" s="134"/>
      <c r="EZ319" s="134"/>
      <c r="FA319" s="134" t="str">
        <f t="array" ref="FA319">IFERROR(INDEX(TABLACONSOLIDADA[Buff Act],MATCH("AGROINSUMOSVERONICALEDESMA"&amp;Tabla_Buffers_Agroinsumos[[#This Row],[CODIGO ]],TABLACONSOLIDADA[Bodega]&amp;TABLACONSOLIDADA[Codigo],0)),"")</f>
        <v/>
      </c>
      <c r="FB319" s="157" t="str">
        <f t="array" ref="FB319">IFERROR(INDEX(TABLACONSOLIDADA[Inv Fís Act],MATCH("AGROINSUMOSVERONICALEDESMA"&amp;Tabla_Buffers_Agroinsumos[[#This Row],[CODIGO ]],TABLACONSOLIDADA[Bodega]&amp;TABLACONSOLIDADA[Codigo],0)),"")</f>
        <v/>
      </c>
      <c r="FC319" s="157" t="str">
        <f t="array" ref="FC31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1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19" s="134">
        <f>IFERROR(SUM(Tabla_Buffers_Agroinsumos[[#This Row],[VL-MP]:[VL-LF]]),"")</f>
        <v>0</v>
      </c>
      <c r="FF319" s="92" t="str">
        <f>IFERROR(Tabla_Buffers_Agroinsumos[[#This Row],[INV FIS VL]]-Tabla_Buffers_Agroinsumos[[#This Row],[BUFFER VL]],"")</f>
        <v/>
      </c>
      <c r="FG31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19" s="134"/>
      <c r="FI319" s="134"/>
      <c r="FJ319" s="134"/>
      <c r="FK319" s="134"/>
      <c r="FL319" s="134"/>
      <c r="FM319" s="134"/>
      <c r="FN319" s="134"/>
      <c r="FO319" s="134"/>
      <c r="FP319" s="134"/>
    </row>
    <row r="320" spans="1:172">
      <c r="A320" s="20" t="s">
        <v>1263</v>
      </c>
      <c r="B320" s="7" t="s">
        <v>1267</v>
      </c>
      <c r="C320" s="7" t="s">
        <v>712</v>
      </c>
      <c r="D320" s="7" t="s">
        <v>720</v>
      </c>
      <c r="E320" s="7" t="s">
        <v>863</v>
      </c>
      <c r="F320" s="19" t="s">
        <v>814</v>
      </c>
      <c r="G320" s="19" t="s">
        <v>873</v>
      </c>
      <c r="H320" s="111" t="e">
        <f>VLOOKUP(Tabla_Buffers_Agroinsumos[[#This Row],[CODIGO ]],TABLACONSOLIDADA[[Codigo]:[PV]],6,0)</f>
        <v>#N/A</v>
      </c>
      <c r="I320" s="111" t="e">
        <f>VLOOKUP(Tabla_Buffers_Agroinsumos[[#This Row],[CODIGO ]],TABLACONSOLIDADA[[Codigo]:[PV]],5,0)</f>
        <v>#N/A</v>
      </c>
      <c r="J320" s="111"/>
      <c r="K320" s="111"/>
      <c r="L320" s="111">
        <f>IFERROR(Tabla_Buffers_Agroinsumos[[#This Row],[BUFFER CENTRAL]]/((Tabla_Buffers_Agroinsumos[[#This Row],[TIEMPO REPOSICION ]]/Tabla_Buffers_Agroinsumos[[#This Row],[FRECUENCIA]])+1),0)</f>
        <v>0</v>
      </c>
      <c r="M320" s="111">
        <v>3000</v>
      </c>
      <c r="N320" s="111" t="str">
        <f t="array" ref="N320">IFERROR(INDEX(TABLACONSOLIDADA[Inv Fís Act],MATCH("AGROINSUMOSMATERIAPRIMA"&amp;Tabla_Buffers_Agroinsumos[[#This Row],[CODIGO ]],TABLACONSOLIDADA[Bodega]&amp;TABLACONSOLIDADA[Codigo],0)),"")</f>
        <v/>
      </c>
      <c r="O320" s="183" t="str">
        <f t="array" ref="O32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20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20" s="111">
        <f>IFERROR(SUM(Tabla_Buffers_Agroinsumos[[#This Row],[MP-C]:[MP-VL]]),"")</f>
        <v>0</v>
      </c>
      <c r="R320" s="154" t="str">
        <f>IFERROR(Tabla_Buffers_Agroinsumos[[#This Row],[INV FIS MATERIA PRIMA]]-Tabla_Buffers_Agroinsumos[[#This Row],[BUFFER MATERIA PRIMA]],"")</f>
        <v/>
      </c>
      <c r="S320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20" s="111"/>
      <c r="U320" s="111"/>
      <c r="V320" s="111"/>
      <c r="W320" s="111"/>
      <c r="X320" s="111"/>
      <c r="Y320" s="111"/>
      <c r="Z320" s="111"/>
      <c r="AA320" s="111"/>
      <c r="AB320" s="111"/>
      <c r="AC320" s="152" t="str">
        <f t="array" ref="AC320">IFERROR(INDEX(TABLACONSOLIDADA[Buff Act],MATCH("AGROINSUMOSCENTRAL"&amp;Tabla_Buffers_Agroinsumos[[#This Row],[CODIGO ]],TABLACONSOLIDADA[Bodega]&amp;TABLACONSOLIDADA[Codigo],0)),"")</f>
        <v/>
      </c>
      <c r="AD320" s="111" t="str">
        <f t="array" ref="AD320">IFERROR(INDEX(TABLACONSOLIDADA[Inv Fís Act],MATCH("AGROINSUMOSCENTRAL"&amp;Tabla_Buffers_Agroinsumos[[#This Row],[CODIGO ]],TABLACONSOLIDADA[Bodega]&amp;TABLACONSOLIDADA[Codigo],0)),"")</f>
        <v/>
      </c>
      <c r="AE320" s="183" t="str">
        <f t="array" ref="AE32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20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20" s="153">
        <f>IFERROR(SUM(Tabla_Buffers_Agroinsumos[[#This Row],[C-MP]:[C-VL]]),"")</f>
        <v>0</v>
      </c>
      <c r="AH320" s="154" t="str">
        <f>IFERROR(Tabla_Buffers_Agroinsumos[[#This Row],[INV FIS CENTRAL]]-Tabla_Buffers_Agroinsumos[[#This Row],[BUFFER CENTRAL]],"")</f>
        <v/>
      </c>
      <c r="AI320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20" s="135"/>
      <c r="AK320" s="135"/>
      <c r="AL320" s="135"/>
      <c r="AM320" s="135"/>
      <c r="AN320" s="135"/>
      <c r="AO320" s="135"/>
      <c r="AP320" s="135"/>
      <c r="AQ320" s="135"/>
      <c r="AR320" s="135"/>
      <c r="AS320" s="135" t="str">
        <f t="array" ref="AS320">IFERROR(INDEX(TABLACONSOLIDADA[Buff Act],MATCH("AGROINSUMOScentralPROPIA"&amp;Tabla_Buffers_Agroinsumos[[#This Row],[CODIGO ]],TABLACONSOLIDADA[Bodega]&amp;TABLACONSOLIDADA[Codigo],0)),"")</f>
        <v/>
      </c>
      <c r="AT320" s="111" t="str">
        <f t="array" ref="AT320">IFERROR(INDEX(TABLACONSOLIDADA[Inv Fís Act],MATCH("AGROINSUMOScentralPROPIA"&amp;Tabla_Buffers_Agroinsumos[[#This Row],[CODIGO ]],TABLACONSOLIDADA[Bodega]&amp;TABLACONSOLIDADA[Codigo],0)),"")</f>
        <v/>
      </c>
      <c r="AU320" s="183" t="str">
        <f t="array" ref="AU32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20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20" s="135">
        <f>IFERROR(SUM(Tabla_Buffers_Agroinsumos[[#This Row],[P-MP]:[P-VL]]),"")</f>
        <v>0</v>
      </c>
      <c r="AX320" s="154" t="str">
        <f>IFERROR(Tabla_Buffers_Agroinsumos[[#This Row],[INV FIS PROPIA]]-Tabla_Buffers_Agroinsumos[[#This Row],[BUFFER PROPIA]],"")</f>
        <v/>
      </c>
      <c r="AY320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20" s="135"/>
      <c r="BA320" s="135"/>
      <c r="BB320" s="135"/>
      <c r="BC320" s="135"/>
      <c r="BD320" s="135"/>
      <c r="BE320" s="135"/>
      <c r="BF320" s="135"/>
      <c r="BG320" s="135"/>
      <c r="BH320" s="135"/>
      <c r="BI320" s="153" t="str">
        <f t="array" ref="BI320">IFERROR(INDEX(TABLACONSOLIDADA[Buff Act],MATCH("AGROINSUMOSSTODOMINGO"&amp;Tabla_Buffers_Agroinsumos[[#This Row],[CODIGO ]],TABLACONSOLIDADA[Bodega]&amp;TABLACONSOLIDADA[Codigo],0)),"")</f>
        <v/>
      </c>
      <c r="BJ320" s="111" t="str">
        <f t="array" ref="BJ320">IFERROR(INDEX(TABLACONSOLIDADA[Inv Fís Act],MATCH("AGROINSUMOSSTODOMINGO"&amp;Tabla_Buffers_Agroinsumos[[#This Row],[CODIGO ]],TABLACONSOLIDADA[Bodega]&amp;TABLACONSOLIDADA[Codigo],0)),"")</f>
        <v/>
      </c>
      <c r="BK320" s="183" t="str">
        <f t="array" ref="BK32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20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20" s="153">
        <f>IFERROR(SUM(Tabla_Buffers_Agroinsumos[[#This Row],[SD-MP]:[SD-VL]]),"")</f>
        <v>0</v>
      </c>
      <c r="BN320" s="154"/>
      <c r="BO320" s="154"/>
      <c r="BP320" s="135"/>
      <c r="BQ320" s="135"/>
      <c r="BR320" s="135"/>
      <c r="BS320" s="135"/>
      <c r="BT320" s="135"/>
      <c r="BU320" s="135"/>
      <c r="BV320" s="135"/>
      <c r="BW320" s="135"/>
      <c r="BX320" s="135"/>
      <c r="BY320" s="135" t="str">
        <f t="array" ref="BY320">IFERROR(INDEX(TABLACONSOLIDADA[Buff Act],MATCH("AGROINSUMOSMONCAYOLOPEZ"&amp;Tabla_Buffers_Agroinsumos[[#This Row],[CODIGO ]],TABLACONSOLIDADA[Bodega]&amp;TABLACONSOLIDADA[Codigo],0)),"")</f>
        <v/>
      </c>
      <c r="BZ320" s="111" t="str">
        <f t="array" ref="BZ320">IFERROR(INDEX(TABLACONSOLIDADA[Inv Fís Act],MATCH("AGROINSUMOSMONCAYOLOPEZ"&amp;Tabla_Buffers_Agroinsumos[[#This Row],[CODIGO ]],TABLACONSOLIDADA[Bodega]&amp;TABLACONSOLIDADA[Codigo],0)),"")</f>
        <v/>
      </c>
      <c r="CA320" s="183" t="str">
        <f t="array" ref="CA32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20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20" s="135">
        <f>IFERROR(SUM(Tabla_Buffers_Agroinsumos[[#This Row],[ML-MP]:[ML-VL]]),"")</f>
        <v>0</v>
      </c>
      <c r="CD320" s="154" t="str">
        <f>IFERROR(Tabla_Buffers_Agroinsumos[[#This Row],[INV FIS ML]]-Tabla_Buffers_Agroinsumos[[#This Row],[BUFFER ML]],"")</f>
        <v/>
      </c>
      <c r="CE320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20" s="135"/>
      <c r="CG320" s="135"/>
      <c r="CH320" s="135"/>
      <c r="CI320" s="135"/>
      <c r="CJ320" s="135"/>
      <c r="CK320" s="135"/>
      <c r="CL320" s="135"/>
      <c r="CM320" s="135"/>
      <c r="CN320" s="135"/>
      <c r="CO320" s="135" t="str">
        <f t="array" ref="CO320">IFERROR(INDEX(TABLACONSOLIDADA[Buff Act],MATCH("AGROINSUMOSAGROHERMANOSLEON"&amp;Tabla_Buffers_Agroinsumos[[#This Row],[CODIGO ]],TABLACONSOLIDADA[Bodega]&amp;TABLACONSOLIDADA[Codigo],0)),"")</f>
        <v/>
      </c>
      <c r="CP320" s="111" t="str">
        <f t="array" ref="CP320">IFERROR(INDEX(TABLACONSOLIDADA[Inv Fís Act],MATCH("AGROINSUMOSAGROHERMANOSLEON"&amp;Tabla_Buffers_Agroinsumos[[#This Row],[CODIGO ]],TABLACONSOLIDADA[Bodega]&amp;TABLACONSOLIDADA[Codigo],0)),"")</f>
        <v/>
      </c>
      <c r="CQ320" s="183" t="str">
        <f t="array" ref="CQ32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20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20" s="135">
        <f>IFERROR(SUM(Tabla_Buffers_Agroinsumos[[#This Row],[AL-MP]:[AL-VL]]),"")</f>
        <v>0</v>
      </c>
      <c r="CT320" s="154" t="str">
        <f>IFERROR(Tabla_Buffers_Agroinsumos[[#This Row],[INV FIS AL]]-Tabla_Buffers_Agroinsumos[[#This Row],[BUFFER AL]],"")</f>
        <v/>
      </c>
      <c r="CU320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20" s="135"/>
      <c r="CW320" s="135"/>
      <c r="CX320" s="135"/>
      <c r="CY320" s="135"/>
      <c r="CZ320" s="135"/>
      <c r="DA320" s="135"/>
      <c r="DB320" s="135"/>
      <c r="DC320" s="135"/>
      <c r="DD320" s="135"/>
      <c r="DE320" s="135" t="str">
        <f t="array" ref="DE320">IFERROR(INDEX(TABLACONSOLIDADA[Buff Act],MATCH("AGROINSUMOSAGRONUEVO"&amp;Tabla_Buffers_Agroinsumos[[#This Row],[CODIGO ]],TABLACONSOLIDADA[Bodega]&amp;TABLACONSOLIDADA[Codigo],0)),"")</f>
        <v/>
      </c>
      <c r="DF320" s="111" t="str">
        <f t="array" ref="DF320">IFERROR(INDEX(TABLACONSOLIDADA[Inv Fís Act],MATCH("AGROINSUMOSAGRONUEVO"&amp;Tabla_Buffers_Agroinsumos[[#This Row],[CODIGO ]],TABLACONSOLIDADA[Bodega]&amp;TABLACONSOLIDADA[Codigo],0)),"")</f>
        <v/>
      </c>
      <c r="DG320" s="183" t="str">
        <f t="array" ref="DG32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20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20" s="135">
        <f>IFERROR(SUM(Tabla_Buffers_Agroinsumos[[#This Row],[AN-MP]:[AN-VL]]),"")</f>
        <v>0</v>
      </c>
      <c r="DJ320" s="154" t="str">
        <f>IFERROR(Tabla_Buffers_Agroinsumos[[#This Row],[INV FIS AN]]-Tabla_Buffers_Agroinsumos[[#This Row],[BUFFER AN]],"")</f>
        <v/>
      </c>
      <c r="DK320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20" s="135"/>
      <c r="DM320" s="135"/>
      <c r="DN320" s="135"/>
      <c r="DO320" s="135"/>
      <c r="DP320" s="135"/>
      <c r="DQ320" s="135"/>
      <c r="DR320" s="135"/>
      <c r="DS320" s="135"/>
      <c r="DT320" s="135"/>
      <c r="DU320" s="135" t="str">
        <f t="array" ref="DU320">IFERROR(INDEX(TABLACONSOLIDADA[Buff Act],MATCH("AGROINSUMOSAGROQUIMICOSSUR"&amp;Tabla_Buffers_Agroinsumos[[#This Row],[CODIGO ]],TABLACONSOLIDADA[Bodega]&amp;TABLACONSOLIDADA[Codigo],0)),"")</f>
        <v/>
      </c>
      <c r="DV320" s="111" t="str">
        <f t="array" ref="DV320">IFERROR(INDEX(TABLACONSOLIDADA[Inv Fís Act],MATCH("AGROINSUMOSAGROQUIMICOSSUR"&amp;Tabla_Buffers_Agroinsumos[[#This Row],[CODIGO ]],TABLACONSOLIDADA[Bodega]&amp;TABLACONSOLIDADA[Codigo],0)),"")</f>
        <v/>
      </c>
      <c r="DW320" s="183" t="str">
        <f t="array" ref="DW32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20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20" s="135">
        <f>IFERROR(SUM(Tabla_Buffers_Agroinsumos[[#This Row],[AS-MP]:[AS-VL]]),"")</f>
        <v>0</v>
      </c>
      <c r="DZ320" s="154" t="str">
        <f>IFERROR(Tabla_Buffers_Agroinsumos[[#This Row],[INV FIS AS]]-Tabla_Buffers_Agroinsumos[[#This Row],[BUFFER AS]],"")</f>
        <v/>
      </c>
      <c r="EA320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20" s="135"/>
      <c r="EC320" s="135"/>
      <c r="ED320" s="135"/>
      <c r="EE320" s="135"/>
      <c r="EF320" s="135"/>
      <c r="EG320" s="135"/>
      <c r="EH320" s="135"/>
      <c r="EI320" s="135"/>
      <c r="EJ320" s="135"/>
      <c r="EK320" s="135" t="str">
        <f t="array" ref="EK320">IFERROR(INDEX(TABLACONSOLIDADA[Buff Act],MATCH("AGROINSUMOSLAFINCA"&amp;Tabla_Buffers_Agroinsumos[[#This Row],[CODIGO ]],TABLACONSOLIDADA[Bodega]&amp;TABLACONSOLIDADA[Codigo],0)),"")</f>
        <v/>
      </c>
      <c r="EL320" s="111" t="str">
        <f t="array" ref="EL320">IFERROR(INDEX(TABLACONSOLIDADA[Inv Fís Act],MATCH("AGROINSUMOSLAFINCA"&amp;Tabla_Buffers_Agroinsumos[[#This Row],[CODIGO ]],TABLACONSOLIDADA[Bodega]&amp;TABLACONSOLIDADA[Codigo],0)),"")</f>
        <v/>
      </c>
      <c r="EM320" s="183" t="str">
        <f t="array" ref="EM32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20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20" s="135">
        <f>IFERROR(SUM(Tabla_Buffers_Agroinsumos[[#This Row],[LF-MP]:[LF-VL]]),"")</f>
        <v>0</v>
      </c>
      <c r="EP320" s="154" t="str">
        <f>IFERROR(Tabla_Buffers_Agroinsumos[[#This Row],[INV FIS LF]]-Tabla_Buffers_Agroinsumos[[#This Row],[BUFFER LF]],"")</f>
        <v/>
      </c>
      <c r="EQ320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20" s="135"/>
      <c r="ES320" s="135"/>
      <c r="ET320" s="135"/>
      <c r="EU320" s="135"/>
      <c r="EV320" s="135"/>
      <c r="EW320" s="135"/>
      <c r="EX320" s="135"/>
      <c r="EY320" s="135"/>
      <c r="EZ320" s="135"/>
      <c r="FA320" s="135" t="str">
        <f t="array" ref="FA320">IFERROR(INDEX(TABLACONSOLIDADA[Buff Act],MATCH("AGROINSUMOSVERONICALEDESMA"&amp;Tabla_Buffers_Agroinsumos[[#This Row],[CODIGO ]],TABLACONSOLIDADA[Bodega]&amp;TABLACONSOLIDADA[Codigo],0)),"")</f>
        <v/>
      </c>
      <c r="FB320" s="111" t="str">
        <f t="array" ref="FB320">IFERROR(INDEX(TABLACONSOLIDADA[Inv Fís Act],MATCH("AGROINSUMOSVERONICALEDESMA"&amp;Tabla_Buffers_Agroinsumos[[#This Row],[CODIGO ]],TABLACONSOLIDADA[Bodega]&amp;TABLACONSOLIDADA[Codigo],0)),"")</f>
        <v/>
      </c>
      <c r="FC320" s="183" t="str">
        <f t="array" ref="FC32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20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20" s="135">
        <f>IFERROR(SUM(Tabla_Buffers_Agroinsumos[[#This Row],[VL-MP]:[VL-LF]]),"")</f>
        <v>0</v>
      </c>
      <c r="FF320" s="154" t="str">
        <f>IFERROR(Tabla_Buffers_Agroinsumos[[#This Row],[INV FIS VL]]-Tabla_Buffers_Agroinsumos[[#This Row],[BUFFER VL]],"")</f>
        <v/>
      </c>
      <c r="FG320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20" s="135"/>
      <c r="FI320" s="135"/>
      <c r="FJ320" s="135"/>
      <c r="FK320" s="135"/>
      <c r="FL320" s="135"/>
      <c r="FM320" s="135"/>
      <c r="FN320" s="135"/>
      <c r="FO320" s="135"/>
      <c r="FP320" s="135"/>
    </row>
    <row r="321" spans="1:172">
      <c r="A321" s="7" t="s">
        <v>542</v>
      </c>
      <c r="B321" s="7" t="s">
        <v>543</v>
      </c>
      <c r="C321" s="7" t="s">
        <v>707</v>
      </c>
      <c r="D321" s="7" t="s">
        <v>715</v>
      </c>
      <c r="E321" s="7" t="s">
        <v>975</v>
      </c>
      <c r="F321" s="19" t="s">
        <v>698</v>
      </c>
      <c r="G321" s="19" t="s">
        <v>698</v>
      </c>
      <c r="H321" s="19">
        <f>VLOOKUP(Tabla_Buffers_Agroinsumos[[#This Row],[CODIGO ]],TABLACONSOLIDADA[[Codigo]:[PV]],6,0)</f>
        <v>2.99</v>
      </c>
      <c r="I321" s="19">
        <f>VLOOKUP(Tabla_Buffers_Agroinsumos[[#This Row],[CODIGO ]],TABLACONSOLIDADA[[Codigo]:[PV]],5,0)</f>
        <v>1.24</v>
      </c>
      <c r="J321" s="19" t="s">
        <v>698</v>
      </c>
      <c r="K321" s="19" t="s">
        <v>698</v>
      </c>
      <c r="L321" s="19">
        <f>IFERROR(Tabla_Buffers_Agroinsumos[[#This Row],[BUFFER CENTRAL]]/((Tabla_Buffers_Agroinsumos[[#This Row],[TIEMPO REPOSICION ]]/Tabla_Buffers_Agroinsumos[[#This Row],[FRECUENCIA]])+1),0)</f>
        <v>0</v>
      </c>
      <c r="M321" s="19" t="str">
        <f t="array" ref="M321">IFERROR(INDEX(TABLACONSOLIDADA[Buff Act],MATCH("AGROINSUMOSMATERIAPRIMA"&amp;Tabla_Buffers_Agroinsumos[[#This Row],[CODIGO ]],TABLACONSOLIDADA[Bodega]&amp;TABLACONSOLIDADA[Codigo],0)),"")</f>
        <v/>
      </c>
      <c r="N321" s="157" t="str">
        <f t="array" ref="N321">IFERROR(INDEX(TABLACONSOLIDADA[Inv Fís Act],MATCH("AGROINSUMOSMATERIAPRIMA"&amp;Tabla_Buffers_Agroinsumos[[#This Row],[CODIGO ]],TABLACONSOLIDADA[Bodega]&amp;TABLACONSOLIDADA[Codigo],0)),"")</f>
        <v/>
      </c>
      <c r="O321" s="157" t="str">
        <f t="array" ref="O32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2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21" s="19">
        <f>IFERROR(SUM(Tabla_Buffers_Agroinsumos[[#This Row],[MP-C]:[MP-VL]]),"")</f>
        <v>0</v>
      </c>
      <c r="R321" s="92" t="str">
        <f>IFERROR(Tabla_Buffers_Agroinsumos[[#This Row],[INV FIS MATERIA PRIMA]]-Tabla_Buffers_Agroinsumos[[#This Row],[BUFFER MATERIA PRIMA]],"")</f>
        <v/>
      </c>
      <c r="S32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21" s="19"/>
      <c r="U321" s="19"/>
      <c r="V321" s="19"/>
      <c r="W321" s="19"/>
      <c r="X321" s="19"/>
      <c r="Y321" s="19"/>
      <c r="Z321" s="19"/>
      <c r="AA321" s="19"/>
      <c r="AB321" s="19"/>
      <c r="AC321" s="152">
        <f t="array" ref="AC321">IFERROR(INDEX(TABLACONSOLIDADA[Buff Act],MATCH("AGROINSUMOSCENTRAL"&amp;Tabla_Buffers_Agroinsumos[[#This Row],[CODIGO ]],TABLACONSOLIDADA[Bodega]&amp;TABLACONSOLIDADA[Codigo],0)),"")</f>
        <v>100</v>
      </c>
      <c r="AD321" s="157">
        <f t="array" ref="AD321">IFERROR(INDEX(TABLACONSOLIDADA[Inv Fís Act],MATCH("AGROINSUMOSCENTRAL"&amp;Tabla_Buffers_Agroinsumos[[#This Row],[CODIGO ]],TABLACONSOLIDADA[Bodega]&amp;TABLACONSOLIDADA[Codigo],0)),"")</f>
        <v>337</v>
      </c>
      <c r="AE321" s="157">
        <f t="array" ref="AE32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337</v>
      </c>
      <c r="AF32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21" s="91">
        <f>IFERROR(SUM(Tabla_Buffers_Agroinsumos[[#This Row],[C-MP]:[C-VL]]),"")</f>
        <v>0</v>
      </c>
      <c r="AH321" s="92">
        <f>IFERROR(Tabla_Buffers_Agroinsumos[[#This Row],[INV FIS CENTRAL]]-Tabla_Buffers_Agroinsumos[[#This Row],[BUFFER CENTRAL]],"")</f>
        <v>237</v>
      </c>
      <c r="AI32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237</v>
      </c>
      <c r="AJ321" s="134"/>
      <c r="AK321" s="134"/>
      <c r="AL321" s="134"/>
      <c r="AM321" s="134"/>
      <c r="AN321" s="134"/>
      <c r="AO321" s="134"/>
      <c r="AP321" s="134"/>
      <c r="AQ321" s="134"/>
      <c r="AR321" s="134"/>
      <c r="AS321" s="134">
        <f t="array" ref="AS321">IFERROR(INDEX(TABLACONSOLIDADA[Buff Act],MATCH("AGROINSUMOScentralPROPIA"&amp;Tabla_Buffers_Agroinsumos[[#This Row],[CODIGO ]],TABLACONSOLIDADA[Bodega]&amp;TABLACONSOLIDADA[Codigo],0)),"")</f>
        <v>30</v>
      </c>
      <c r="AT321" s="157">
        <f t="array" ref="AT321">IFERROR(INDEX(TABLACONSOLIDADA[Inv Fís Act],MATCH("AGROINSUMOScentralPROPIA"&amp;Tabla_Buffers_Agroinsumos[[#This Row],[CODIGO ]],TABLACONSOLIDADA[Bodega]&amp;TABLACONSOLIDADA[Codigo],0)),"")</f>
        <v>0</v>
      </c>
      <c r="AU321" s="157">
        <f t="array" ref="AU32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2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21" s="134">
        <f>IFERROR(SUM(Tabla_Buffers_Agroinsumos[[#This Row],[P-MP]:[P-VL]]),"")</f>
        <v>0</v>
      </c>
      <c r="AX321" s="92">
        <f>IFERROR(Tabla_Buffers_Agroinsumos[[#This Row],[INV FIS PROPIA]]-Tabla_Buffers_Agroinsumos[[#This Row],[BUFFER PROPIA]],"")</f>
        <v>-30</v>
      </c>
      <c r="AY32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</v>
      </c>
      <c r="AZ321" s="134"/>
      <c r="BA321" s="134"/>
      <c r="BB321" s="134"/>
      <c r="BC321" s="134"/>
      <c r="BD321" s="134"/>
      <c r="BE321" s="134"/>
      <c r="BF321" s="134"/>
      <c r="BG321" s="134"/>
      <c r="BH321" s="134"/>
      <c r="BI321" s="91">
        <f t="array" ref="BI321">IFERROR(INDEX(TABLACONSOLIDADA[Buff Act],MATCH("AGROINSUMOSSTODOMINGO"&amp;Tabla_Buffers_Agroinsumos[[#This Row],[CODIGO ]],TABLACONSOLIDADA[Bodega]&amp;TABLACONSOLIDADA[Codigo],0)),"")</f>
        <v>0</v>
      </c>
      <c r="BJ321" s="157">
        <f t="array" ref="BJ321">IFERROR(INDEX(TABLACONSOLIDADA[Inv Fís Act],MATCH("AGROINSUMOSSTODOMINGO"&amp;Tabla_Buffers_Agroinsumos[[#This Row],[CODIGO ]],TABLACONSOLIDADA[Bodega]&amp;TABLACONSOLIDADA[Codigo],0)),"")</f>
        <v>0</v>
      </c>
      <c r="BK321" s="157">
        <f t="array" ref="BK32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2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21" s="91">
        <f>IFERROR(SUM(Tabla_Buffers_Agroinsumos[[#This Row],[SD-MP]:[SD-VL]]),"")</f>
        <v>0</v>
      </c>
      <c r="BN321" s="92"/>
      <c r="BO321" s="92"/>
      <c r="BP321" s="134"/>
      <c r="BQ321" s="134"/>
      <c r="BR321" s="134"/>
      <c r="BS321" s="134"/>
      <c r="BT321" s="134"/>
      <c r="BU321" s="134"/>
      <c r="BV321" s="134"/>
      <c r="BW321" s="134"/>
      <c r="BX321" s="134"/>
      <c r="BY321" s="134">
        <f t="array" ref="BY321">IFERROR(INDEX(TABLACONSOLIDADA[Buff Act],MATCH("AGROINSUMOSMONCAYOLOPEZ"&amp;Tabla_Buffers_Agroinsumos[[#This Row],[CODIGO ]],TABLACONSOLIDADA[Bodega]&amp;TABLACONSOLIDADA[Codigo],0)),"")</f>
        <v>5</v>
      </c>
      <c r="BZ321" s="157">
        <f t="array" ref="BZ321">IFERROR(INDEX(TABLACONSOLIDADA[Inv Fís Act],MATCH("AGROINSUMOSMONCAYOLOPEZ"&amp;Tabla_Buffers_Agroinsumos[[#This Row],[CODIGO ]],TABLACONSOLIDADA[Bodega]&amp;TABLACONSOLIDADA[Codigo],0)),"")</f>
        <v>6</v>
      </c>
      <c r="CA321" s="157">
        <f t="array" ref="CA32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6</v>
      </c>
      <c r="CB32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21" s="134">
        <f>IFERROR(SUM(Tabla_Buffers_Agroinsumos[[#This Row],[ML-MP]:[ML-VL]]),"")</f>
        <v>0</v>
      </c>
      <c r="CD321" s="92">
        <f>IFERROR(Tabla_Buffers_Agroinsumos[[#This Row],[INV FIS ML]]-Tabla_Buffers_Agroinsumos[[#This Row],[BUFFER ML]],"")</f>
        <v>1</v>
      </c>
      <c r="CE321" s="92">
        <f>IFERROR(Tabla_Buffers_Agroinsumos[[#This Row],[INV FIS ML]]+Tabla_Buffers_Agroinsumos[[#This Row],[TRANSFERENCIAS A ML]]-Tabla_Buffers_Agroinsumos[[#This Row],[BUFFER ML]]-Tabla_Buffers_Agroinsumos[[#This Row],[TRANSFERENCIAS DE ML]],"")</f>
        <v>1</v>
      </c>
      <c r="CF321" s="134"/>
      <c r="CG321" s="134"/>
      <c r="CH321" s="134"/>
      <c r="CI321" s="134"/>
      <c r="CJ321" s="134"/>
      <c r="CK321" s="134"/>
      <c r="CL321" s="134"/>
      <c r="CM321" s="134"/>
      <c r="CN321" s="134"/>
      <c r="CO321" s="134">
        <f t="array" ref="CO321">IFERROR(INDEX(TABLACONSOLIDADA[Buff Act],MATCH("AGROINSUMOSAGROHERMANOSLEON"&amp;Tabla_Buffers_Agroinsumos[[#This Row],[CODIGO ]],TABLACONSOLIDADA[Bodega]&amp;TABLACONSOLIDADA[Codigo],0)),"")</f>
        <v>0</v>
      </c>
      <c r="CP321" s="157">
        <f t="array" ref="CP321">IFERROR(INDEX(TABLACONSOLIDADA[Inv Fís Act],MATCH("AGROINSUMOSAGROHERMANOSLEON"&amp;Tabla_Buffers_Agroinsumos[[#This Row],[CODIGO ]],TABLACONSOLIDADA[Bodega]&amp;TABLACONSOLIDADA[Codigo],0)),"")</f>
        <v>0</v>
      </c>
      <c r="CQ321" s="157">
        <f t="array" ref="CQ32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2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21" s="134">
        <f>IFERROR(SUM(Tabla_Buffers_Agroinsumos[[#This Row],[AL-MP]:[AL-VL]]),"")</f>
        <v>0</v>
      </c>
      <c r="CT321" s="92">
        <f>IFERROR(Tabla_Buffers_Agroinsumos[[#This Row],[INV FIS AL]]-Tabla_Buffers_Agroinsumos[[#This Row],[BUFFER AL]],"")</f>
        <v>0</v>
      </c>
      <c r="CU321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21" s="134"/>
      <c r="CW321" s="134"/>
      <c r="CX321" s="134"/>
      <c r="CY321" s="134"/>
      <c r="CZ321" s="134"/>
      <c r="DA321" s="134"/>
      <c r="DB321" s="134"/>
      <c r="DC321" s="134"/>
      <c r="DD321" s="134"/>
      <c r="DE321" s="134">
        <f t="array" ref="DE321">IFERROR(INDEX(TABLACONSOLIDADA[Buff Act],MATCH("AGROINSUMOSAGRONUEVO"&amp;Tabla_Buffers_Agroinsumos[[#This Row],[CODIGO ]],TABLACONSOLIDADA[Bodega]&amp;TABLACONSOLIDADA[Codigo],0)),"")</f>
        <v>0</v>
      </c>
      <c r="DF321" s="157">
        <f t="array" ref="DF321">IFERROR(INDEX(TABLACONSOLIDADA[Inv Fís Act],MATCH("AGROINSUMOSAGRONUEVO"&amp;Tabla_Buffers_Agroinsumos[[#This Row],[CODIGO ]],TABLACONSOLIDADA[Bodega]&amp;TABLACONSOLIDADA[Codigo],0)),"")</f>
        <v>0</v>
      </c>
      <c r="DG321" s="157">
        <f t="array" ref="DG32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2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21" s="134">
        <f>IFERROR(SUM(Tabla_Buffers_Agroinsumos[[#This Row],[AN-MP]:[AN-VL]]),"")</f>
        <v>0</v>
      </c>
      <c r="DJ321" s="92">
        <f>IFERROR(Tabla_Buffers_Agroinsumos[[#This Row],[INV FIS AN]]-Tabla_Buffers_Agroinsumos[[#This Row],[BUFFER AN]],"")</f>
        <v>0</v>
      </c>
      <c r="DK321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21" s="134"/>
      <c r="DM321" s="134"/>
      <c r="DN321" s="134"/>
      <c r="DO321" s="134"/>
      <c r="DP321" s="134"/>
      <c r="DQ321" s="134"/>
      <c r="DR321" s="134"/>
      <c r="DS321" s="134"/>
      <c r="DT321" s="134"/>
      <c r="DU321" s="134">
        <f t="array" ref="DU321">IFERROR(INDEX(TABLACONSOLIDADA[Buff Act],MATCH("AGROINSUMOSAGROQUIMICOSSUR"&amp;Tabla_Buffers_Agroinsumos[[#This Row],[CODIGO ]],TABLACONSOLIDADA[Bodega]&amp;TABLACONSOLIDADA[Codigo],0)),"")</f>
        <v>0</v>
      </c>
      <c r="DV321" s="157">
        <f t="array" ref="DV321">IFERROR(INDEX(TABLACONSOLIDADA[Inv Fís Act],MATCH("AGROINSUMOSAGROQUIMICOSSUR"&amp;Tabla_Buffers_Agroinsumos[[#This Row],[CODIGO ]],TABLACONSOLIDADA[Bodega]&amp;TABLACONSOLIDADA[Codigo],0)),"")</f>
        <v>0</v>
      </c>
      <c r="DW321" s="157">
        <f t="array" ref="DW32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2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21" s="134">
        <f>IFERROR(SUM(Tabla_Buffers_Agroinsumos[[#This Row],[AS-MP]:[AS-VL]]),"")</f>
        <v>0</v>
      </c>
      <c r="DZ321" s="92">
        <f>IFERROR(Tabla_Buffers_Agroinsumos[[#This Row],[INV FIS AS]]-Tabla_Buffers_Agroinsumos[[#This Row],[BUFFER AS]],"")</f>
        <v>0</v>
      </c>
      <c r="EA321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21" s="134"/>
      <c r="EC321" s="134"/>
      <c r="ED321" s="134"/>
      <c r="EE321" s="134"/>
      <c r="EF321" s="134"/>
      <c r="EG321" s="134"/>
      <c r="EH321" s="134"/>
      <c r="EI321" s="134"/>
      <c r="EJ321" s="134"/>
      <c r="EK321" s="134">
        <f t="array" ref="EK321">IFERROR(INDEX(TABLACONSOLIDADA[Buff Act],MATCH("AGROINSUMOSLAFINCA"&amp;Tabla_Buffers_Agroinsumos[[#This Row],[CODIGO ]],TABLACONSOLIDADA[Bodega]&amp;TABLACONSOLIDADA[Codigo],0)),"")</f>
        <v>0</v>
      </c>
      <c r="EL321" s="157">
        <f t="array" ref="EL321">IFERROR(INDEX(TABLACONSOLIDADA[Inv Fís Act],MATCH("AGROINSUMOSLAFINCA"&amp;Tabla_Buffers_Agroinsumos[[#This Row],[CODIGO ]],TABLACONSOLIDADA[Bodega]&amp;TABLACONSOLIDADA[Codigo],0)),"")</f>
        <v>0</v>
      </c>
      <c r="EM321" s="157">
        <f t="array" ref="EM32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2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21" s="134">
        <f>IFERROR(SUM(Tabla_Buffers_Agroinsumos[[#This Row],[LF-MP]:[LF-VL]]),"")</f>
        <v>0</v>
      </c>
      <c r="EP321" s="92">
        <f>IFERROR(Tabla_Buffers_Agroinsumos[[#This Row],[INV FIS LF]]-Tabla_Buffers_Agroinsumos[[#This Row],[BUFFER LF]],"")</f>
        <v>0</v>
      </c>
      <c r="EQ321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21" s="134"/>
      <c r="ES321" s="134"/>
      <c r="ET321" s="134"/>
      <c r="EU321" s="134"/>
      <c r="EV321" s="134"/>
      <c r="EW321" s="134"/>
      <c r="EX321" s="134"/>
      <c r="EY321" s="134"/>
      <c r="EZ321" s="134"/>
      <c r="FA321" s="134">
        <f t="array" ref="FA321">IFERROR(INDEX(TABLACONSOLIDADA[Buff Act],MATCH("AGROINSUMOSVERONICALEDESMA"&amp;Tabla_Buffers_Agroinsumos[[#This Row],[CODIGO ]],TABLACONSOLIDADA[Bodega]&amp;TABLACONSOLIDADA[Codigo],0)),"")</f>
        <v>0</v>
      </c>
      <c r="FB321" s="157">
        <f t="array" ref="FB321">IFERROR(INDEX(TABLACONSOLIDADA[Inv Fís Act],MATCH("AGROINSUMOSVERONICALEDESMA"&amp;Tabla_Buffers_Agroinsumos[[#This Row],[CODIGO ]],TABLACONSOLIDADA[Bodega]&amp;TABLACONSOLIDADA[Codigo],0)),"")</f>
        <v>0</v>
      </c>
      <c r="FC321" s="157">
        <f t="array" ref="FC32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2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21" s="134">
        <f>IFERROR(SUM(Tabla_Buffers_Agroinsumos[[#This Row],[VL-MP]:[VL-LF]]),"")</f>
        <v>0</v>
      </c>
      <c r="FF321" s="92">
        <f>IFERROR(Tabla_Buffers_Agroinsumos[[#This Row],[INV FIS VL]]-Tabla_Buffers_Agroinsumos[[#This Row],[BUFFER VL]],"")</f>
        <v>0</v>
      </c>
      <c r="FG321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21" s="134"/>
      <c r="FI321" s="134"/>
      <c r="FJ321" s="134"/>
      <c r="FK321" s="134"/>
      <c r="FL321" s="134"/>
      <c r="FM321" s="134"/>
      <c r="FN321" s="134"/>
      <c r="FO321" s="134"/>
      <c r="FP321" s="134"/>
    </row>
    <row r="322" spans="1:172">
      <c r="A322" s="7" t="s">
        <v>544</v>
      </c>
      <c r="B322" s="7" t="s">
        <v>545</v>
      </c>
      <c r="C322" s="7" t="s">
        <v>707</v>
      </c>
      <c r="D322" s="7" t="s">
        <v>715</v>
      </c>
      <c r="E322" s="7" t="s">
        <v>975</v>
      </c>
      <c r="F322" s="19" t="s">
        <v>698</v>
      </c>
      <c r="G322" s="19" t="s">
        <v>698</v>
      </c>
      <c r="H322" s="19">
        <f>VLOOKUP(Tabla_Buffers_Agroinsumos[[#This Row],[CODIGO ]],TABLACONSOLIDADA[[Codigo]:[PV]],6,0)</f>
        <v>4.99</v>
      </c>
      <c r="I322" s="19">
        <f>VLOOKUP(Tabla_Buffers_Agroinsumos[[#This Row],[CODIGO ]],TABLACONSOLIDADA[[Codigo]:[PV]],5,0)</f>
        <v>2.27</v>
      </c>
      <c r="J322" s="19" t="s">
        <v>698</v>
      </c>
      <c r="K322" s="19" t="s">
        <v>698</v>
      </c>
      <c r="L322" s="19">
        <f>IFERROR(Tabla_Buffers_Agroinsumos[[#This Row],[BUFFER CENTRAL]]/((Tabla_Buffers_Agroinsumos[[#This Row],[TIEMPO REPOSICION ]]/Tabla_Buffers_Agroinsumos[[#This Row],[FRECUENCIA]])+1),0)</f>
        <v>0</v>
      </c>
      <c r="M322" s="19" t="str">
        <f t="array" ref="M322">IFERROR(INDEX(TABLACONSOLIDADA[Buff Act],MATCH("AGROINSUMOSMATERIAPRIMA"&amp;Tabla_Buffers_Agroinsumos[[#This Row],[CODIGO ]],TABLACONSOLIDADA[Bodega]&amp;TABLACONSOLIDADA[Codigo],0)),"")</f>
        <v/>
      </c>
      <c r="N322" s="157" t="str">
        <f t="array" ref="N322">IFERROR(INDEX(TABLACONSOLIDADA[Inv Fís Act],MATCH("AGROINSUMOSMATERIAPRIMA"&amp;Tabla_Buffers_Agroinsumos[[#This Row],[CODIGO ]],TABLACONSOLIDADA[Bodega]&amp;TABLACONSOLIDADA[Codigo],0)),"")</f>
        <v/>
      </c>
      <c r="O322" s="157" t="str">
        <f t="array" ref="O32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2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22" s="19">
        <f>IFERROR(SUM(Tabla_Buffers_Agroinsumos[[#This Row],[MP-C]:[MP-VL]]),"")</f>
        <v>0</v>
      </c>
      <c r="R322" s="92" t="str">
        <f>IFERROR(Tabla_Buffers_Agroinsumos[[#This Row],[INV FIS MATERIA PRIMA]]-Tabla_Buffers_Agroinsumos[[#This Row],[BUFFER MATERIA PRIMA]],"")</f>
        <v/>
      </c>
      <c r="S322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22" s="19"/>
      <c r="U322" s="19"/>
      <c r="V322" s="19"/>
      <c r="W322" s="19"/>
      <c r="X322" s="19"/>
      <c r="Y322" s="19"/>
      <c r="Z322" s="19"/>
      <c r="AA322" s="19"/>
      <c r="AB322" s="19"/>
      <c r="AC322" s="152">
        <f t="array" ref="AC322">IFERROR(INDEX(TABLACONSOLIDADA[Buff Act],MATCH("AGROINSUMOSCENTRAL"&amp;Tabla_Buffers_Agroinsumos[[#This Row],[CODIGO ]],TABLACONSOLIDADA[Bodega]&amp;TABLACONSOLIDADA[Codigo],0)),"")</f>
        <v>150</v>
      </c>
      <c r="AD322" s="157">
        <f t="array" ref="AD322">IFERROR(INDEX(TABLACONSOLIDADA[Inv Fís Act],MATCH("AGROINSUMOSCENTRAL"&amp;Tabla_Buffers_Agroinsumos[[#This Row],[CODIGO ]],TABLACONSOLIDADA[Bodega]&amp;TABLACONSOLIDADA[Codigo],0)),"")</f>
        <v>258</v>
      </c>
      <c r="AE322" s="157">
        <f t="array" ref="AE32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263</v>
      </c>
      <c r="AF32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22" s="91">
        <f>IFERROR(SUM(Tabla_Buffers_Agroinsumos[[#This Row],[C-MP]:[C-VL]]),"")</f>
        <v>0</v>
      </c>
      <c r="AH322" s="92">
        <f>IFERROR(Tabla_Buffers_Agroinsumos[[#This Row],[INV FIS CENTRAL]]-Tabla_Buffers_Agroinsumos[[#This Row],[BUFFER CENTRAL]],"")</f>
        <v>108</v>
      </c>
      <c r="AI322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108</v>
      </c>
      <c r="AJ322" s="134"/>
      <c r="AK322" s="134"/>
      <c r="AL322" s="134"/>
      <c r="AM322" s="134"/>
      <c r="AN322" s="134"/>
      <c r="AO322" s="134"/>
      <c r="AP322" s="134"/>
      <c r="AQ322" s="134"/>
      <c r="AR322" s="134"/>
      <c r="AS322" s="134">
        <f t="array" ref="AS322">IFERROR(INDEX(TABLACONSOLIDADA[Buff Act],MATCH("AGROINSUMOScentralPROPIA"&amp;Tabla_Buffers_Agroinsumos[[#This Row],[CODIGO ]],TABLACONSOLIDADA[Bodega]&amp;TABLACONSOLIDADA[Codigo],0)),"")</f>
        <v>54</v>
      </c>
      <c r="AT322" s="157">
        <f t="array" ref="AT322">IFERROR(INDEX(TABLACONSOLIDADA[Inv Fís Act],MATCH("AGROINSUMOScentralPROPIA"&amp;Tabla_Buffers_Agroinsumos[[#This Row],[CODIGO ]],TABLACONSOLIDADA[Bodega]&amp;TABLACONSOLIDADA[Codigo],0)),"")</f>
        <v>0</v>
      </c>
      <c r="AU322" s="157">
        <f t="array" ref="AU32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2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22" s="134">
        <f>IFERROR(SUM(Tabla_Buffers_Agroinsumos[[#This Row],[P-MP]:[P-VL]]),"")</f>
        <v>0</v>
      </c>
      <c r="AX322" s="92">
        <f>IFERROR(Tabla_Buffers_Agroinsumos[[#This Row],[INV FIS PROPIA]]-Tabla_Buffers_Agroinsumos[[#This Row],[BUFFER PROPIA]],"")</f>
        <v>-54</v>
      </c>
      <c r="AY322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-54</v>
      </c>
      <c r="AZ322" s="134"/>
      <c r="BA322" s="134"/>
      <c r="BB322" s="134"/>
      <c r="BC322" s="134"/>
      <c r="BD322" s="134"/>
      <c r="BE322" s="134"/>
      <c r="BF322" s="134"/>
      <c r="BG322" s="134"/>
      <c r="BH322" s="134"/>
      <c r="BI322" s="91">
        <f t="array" ref="BI322">IFERROR(INDEX(TABLACONSOLIDADA[Buff Act],MATCH("AGROINSUMOSSTODOMINGO"&amp;Tabla_Buffers_Agroinsumos[[#This Row],[CODIGO ]],TABLACONSOLIDADA[Bodega]&amp;TABLACONSOLIDADA[Codigo],0)),"")</f>
        <v>0</v>
      </c>
      <c r="BJ322" s="157">
        <f t="array" ref="BJ322">IFERROR(INDEX(TABLACONSOLIDADA[Inv Fís Act],MATCH("AGROINSUMOSSTODOMINGO"&amp;Tabla_Buffers_Agroinsumos[[#This Row],[CODIGO ]],TABLACONSOLIDADA[Bodega]&amp;TABLACONSOLIDADA[Codigo],0)),"")</f>
        <v>0</v>
      </c>
      <c r="BK322" s="157">
        <f t="array" ref="BK32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2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22" s="91">
        <f>IFERROR(SUM(Tabla_Buffers_Agroinsumos[[#This Row],[SD-MP]:[SD-VL]]),"")</f>
        <v>0</v>
      </c>
      <c r="BN322" s="92"/>
      <c r="BO322" s="92"/>
      <c r="BP322" s="134"/>
      <c r="BQ322" s="134"/>
      <c r="BR322" s="134"/>
      <c r="BS322" s="134"/>
      <c r="BT322" s="134"/>
      <c r="BU322" s="134"/>
      <c r="BV322" s="134"/>
      <c r="BW322" s="134"/>
      <c r="BX322" s="134"/>
      <c r="BY322" s="134">
        <f t="array" ref="BY322">IFERROR(INDEX(TABLACONSOLIDADA[Buff Act],MATCH("AGROINSUMOSMONCAYOLOPEZ"&amp;Tabla_Buffers_Agroinsumos[[#This Row],[CODIGO ]],TABLACONSOLIDADA[Bodega]&amp;TABLACONSOLIDADA[Codigo],0)),"")</f>
        <v>0</v>
      </c>
      <c r="BZ322" s="157">
        <f t="array" ref="BZ322">IFERROR(INDEX(TABLACONSOLIDADA[Inv Fís Act],MATCH("AGROINSUMOSMONCAYOLOPEZ"&amp;Tabla_Buffers_Agroinsumos[[#This Row],[CODIGO ]],TABLACONSOLIDADA[Bodega]&amp;TABLACONSOLIDADA[Codigo],0)),"")</f>
        <v>0</v>
      </c>
      <c r="CA322" s="157">
        <f t="array" ref="CA32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2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22" s="134">
        <f>IFERROR(SUM(Tabla_Buffers_Agroinsumos[[#This Row],[ML-MP]:[ML-VL]]),"")</f>
        <v>0</v>
      </c>
      <c r="CD322" s="92">
        <f>IFERROR(Tabla_Buffers_Agroinsumos[[#This Row],[INV FIS ML]]-Tabla_Buffers_Agroinsumos[[#This Row],[BUFFER ML]],"")</f>
        <v>0</v>
      </c>
      <c r="CE322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22" s="134"/>
      <c r="CG322" s="134"/>
      <c r="CH322" s="134"/>
      <c r="CI322" s="134"/>
      <c r="CJ322" s="134"/>
      <c r="CK322" s="134"/>
      <c r="CL322" s="134"/>
      <c r="CM322" s="134"/>
      <c r="CN322" s="134"/>
      <c r="CO322" s="134">
        <f t="array" ref="CO322">IFERROR(INDEX(TABLACONSOLIDADA[Buff Act],MATCH("AGROINSUMOSAGROHERMANOSLEON"&amp;Tabla_Buffers_Agroinsumos[[#This Row],[CODIGO ]],TABLACONSOLIDADA[Bodega]&amp;TABLACONSOLIDADA[Codigo],0)),"")</f>
        <v>0</v>
      </c>
      <c r="CP322" s="157">
        <f t="array" ref="CP322">IFERROR(INDEX(TABLACONSOLIDADA[Inv Fís Act],MATCH("AGROINSUMOSAGROHERMANOSLEON"&amp;Tabla_Buffers_Agroinsumos[[#This Row],[CODIGO ]],TABLACONSOLIDADA[Bodega]&amp;TABLACONSOLIDADA[Codigo],0)),"")</f>
        <v>0</v>
      </c>
      <c r="CQ322" s="157">
        <f t="array" ref="CQ32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2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22" s="134">
        <f>IFERROR(SUM(Tabla_Buffers_Agroinsumos[[#This Row],[AL-MP]:[AL-VL]]),"")</f>
        <v>0</v>
      </c>
      <c r="CT322" s="92">
        <f>IFERROR(Tabla_Buffers_Agroinsumos[[#This Row],[INV FIS AL]]-Tabla_Buffers_Agroinsumos[[#This Row],[BUFFER AL]],"")</f>
        <v>0</v>
      </c>
      <c r="CU322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22" s="134"/>
      <c r="CW322" s="134"/>
      <c r="CX322" s="134"/>
      <c r="CY322" s="134"/>
      <c r="CZ322" s="134"/>
      <c r="DA322" s="134"/>
      <c r="DB322" s="134"/>
      <c r="DC322" s="134"/>
      <c r="DD322" s="134"/>
      <c r="DE322" s="134">
        <f t="array" ref="DE322">IFERROR(INDEX(TABLACONSOLIDADA[Buff Act],MATCH("AGROINSUMOSAGRONUEVO"&amp;Tabla_Buffers_Agroinsumos[[#This Row],[CODIGO ]],TABLACONSOLIDADA[Bodega]&amp;TABLACONSOLIDADA[Codigo],0)),"")</f>
        <v>0</v>
      </c>
      <c r="DF322" s="157">
        <f t="array" ref="DF322">IFERROR(INDEX(TABLACONSOLIDADA[Inv Fís Act],MATCH("AGROINSUMOSAGRONUEVO"&amp;Tabla_Buffers_Agroinsumos[[#This Row],[CODIGO ]],TABLACONSOLIDADA[Bodega]&amp;TABLACONSOLIDADA[Codigo],0)),"")</f>
        <v>0</v>
      </c>
      <c r="DG322" s="157">
        <f t="array" ref="DG32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2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22" s="134">
        <f>IFERROR(SUM(Tabla_Buffers_Agroinsumos[[#This Row],[AN-MP]:[AN-VL]]),"")</f>
        <v>0</v>
      </c>
      <c r="DJ322" s="92">
        <f>IFERROR(Tabla_Buffers_Agroinsumos[[#This Row],[INV FIS AN]]-Tabla_Buffers_Agroinsumos[[#This Row],[BUFFER AN]],"")</f>
        <v>0</v>
      </c>
      <c r="DK322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22" s="134"/>
      <c r="DM322" s="134"/>
      <c r="DN322" s="134"/>
      <c r="DO322" s="134"/>
      <c r="DP322" s="134"/>
      <c r="DQ322" s="134"/>
      <c r="DR322" s="134"/>
      <c r="DS322" s="134"/>
      <c r="DT322" s="134"/>
      <c r="DU322" s="134">
        <f t="array" ref="DU322">IFERROR(INDEX(TABLACONSOLIDADA[Buff Act],MATCH("AGROINSUMOSAGROQUIMICOSSUR"&amp;Tabla_Buffers_Agroinsumos[[#This Row],[CODIGO ]],TABLACONSOLIDADA[Bodega]&amp;TABLACONSOLIDADA[Codigo],0)),"")</f>
        <v>0</v>
      </c>
      <c r="DV322" s="157">
        <f t="array" ref="DV322">IFERROR(INDEX(TABLACONSOLIDADA[Inv Fís Act],MATCH("AGROINSUMOSAGROQUIMICOSSUR"&amp;Tabla_Buffers_Agroinsumos[[#This Row],[CODIGO ]],TABLACONSOLIDADA[Bodega]&amp;TABLACONSOLIDADA[Codigo],0)),"")</f>
        <v>0</v>
      </c>
      <c r="DW322" s="157">
        <f t="array" ref="DW32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2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22" s="134">
        <f>IFERROR(SUM(Tabla_Buffers_Agroinsumos[[#This Row],[AS-MP]:[AS-VL]]),"")</f>
        <v>0</v>
      </c>
      <c r="DZ322" s="92">
        <f>IFERROR(Tabla_Buffers_Agroinsumos[[#This Row],[INV FIS AS]]-Tabla_Buffers_Agroinsumos[[#This Row],[BUFFER AS]],"")</f>
        <v>0</v>
      </c>
      <c r="EA322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22" s="134"/>
      <c r="EC322" s="134"/>
      <c r="ED322" s="134"/>
      <c r="EE322" s="134"/>
      <c r="EF322" s="134"/>
      <c r="EG322" s="134"/>
      <c r="EH322" s="134"/>
      <c r="EI322" s="134"/>
      <c r="EJ322" s="134"/>
      <c r="EK322" s="134">
        <f t="array" ref="EK322">IFERROR(INDEX(TABLACONSOLIDADA[Buff Act],MATCH("AGROINSUMOSLAFINCA"&amp;Tabla_Buffers_Agroinsumos[[#This Row],[CODIGO ]],TABLACONSOLIDADA[Bodega]&amp;TABLACONSOLIDADA[Codigo],0)),"")</f>
        <v>0</v>
      </c>
      <c r="EL322" s="157">
        <f t="array" ref="EL322">IFERROR(INDEX(TABLACONSOLIDADA[Inv Fís Act],MATCH("AGROINSUMOSLAFINCA"&amp;Tabla_Buffers_Agroinsumos[[#This Row],[CODIGO ]],TABLACONSOLIDADA[Bodega]&amp;TABLACONSOLIDADA[Codigo],0)),"")</f>
        <v>0</v>
      </c>
      <c r="EM322" s="157">
        <f t="array" ref="EM32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2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22" s="134">
        <f>IFERROR(SUM(Tabla_Buffers_Agroinsumos[[#This Row],[LF-MP]:[LF-VL]]),"")</f>
        <v>0</v>
      </c>
      <c r="EP322" s="92">
        <f>IFERROR(Tabla_Buffers_Agroinsumos[[#This Row],[INV FIS LF]]-Tabla_Buffers_Agroinsumos[[#This Row],[BUFFER LF]],"")</f>
        <v>0</v>
      </c>
      <c r="EQ322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22" s="134"/>
      <c r="ES322" s="134"/>
      <c r="ET322" s="134"/>
      <c r="EU322" s="134"/>
      <c r="EV322" s="134"/>
      <c r="EW322" s="134"/>
      <c r="EX322" s="134"/>
      <c r="EY322" s="134"/>
      <c r="EZ322" s="134"/>
      <c r="FA322" s="134">
        <f t="array" ref="FA322">IFERROR(INDEX(TABLACONSOLIDADA[Buff Act],MATCH("AGROINSUMOSVERONICALEDESMA"&amp;Tabla_Buffers_Agroinsumos[[#This Row],[CODIGO ]],TABLACONSOLIDADA[Bodega]&amp;TABLACONSOLIDADA[Codigo],0)),"")</f>
        <v>0</v>
      </c>
      <c r="FB322" s="157">
        <f t="array" ref="FB322">IFERROR(INDEX(TABLACONSOLIDADA[Inv Fís Act],MATCH("AGROINSUMOSVERONICALEDESMA"&amp;Tabla_Buffers_Agroinsumos[[#This Row],[CODIGO ]],TABLACONSOLIDADA[Bodega]&amp;TABLACONSOLIDADA[Codigo],0)),"")</f>
        <v>0</v>
      </c>
      <c r="FC322" s="157">
        <f t="array" ref="FC32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2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22" s="134">
        <f>IFERROR(SUM(Tabla_Buffers_Agroinsumos[[#This Row],[VL-MP]:[VL-LF]]),"")</f>
        <v>0</v>
      </c>
      <c r="FF322" s="92">
        <f>IFERROR(Tabla_Buffers_Agroinsumos[[#This Row],[INV FIS VL]]-Tabla_Buffers_Agroinsumos[[#This Row],[BUFFER VL]],"")</f>
        <v>0</v>
      </c>
      <c r="FG322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22" s="134"/>
      <c r="FI322" s="134"/>
      <c r="FJ322" s="134"/>
      <c r="FK322" s="134"/>
      <c r="FL322" s="134"/>
      <c r="FM322" s="134"/>
      <c r="FN322" s="134"/>
      <c r="FO322" s="134"/>
      <c r="FP322" s="134"/>
    </row>
    <row r="323" spans="1:172">
      <c r="A323" s="7" t="s">
        <v>546</v>
      </c>
      <c r="B323" s="7" t="s">
        <v>547</v>
      </c>
      <c r="C323" s="7" t="s">
        <v>707</v>
      </c>
      <c r="D323" s="7" t="s">
        <v>715</v>
      </c>
      <c r="E323" s="7" t="s">
        <v>975</v>
      </c>
      <c r="F323" s="19" t="s">
        <v>698</v>
      </c>
      <c r="G323" s="19" t="s">
        <v>698</v>
      </c>
      <c r="H323" s="19">
        <f>VLOOKUP(Tabla_Buffers_Agroinsumos[[#This Row],[CODIGO ]],TABLACONSOLIDADA[[Codigo]:[PV]],6,0)</f>
        <v>29.9</v>
      </c>
      <c r="I323" s="19">
        <f>VLOOKUP(Tabla_Buffers_Agroinsumos[[#This Row],[CODIGO ]],TABLACONSOLIDADA[[Codigo]:[PV]],5,0)</f>
        <v>16.43</v>
      </c>
      <c r="J323" s="19" t="s">
        <v>698</v>
      </c>
      <c r="K323" s="19" t="s">
        <v>698</v>
      </c>
      <c r="L323" s="19">
        <f>IFERROR(Tabla_Buffers_Agroinsumos[[#This Row],[BUFFER CENTRAL]]/((Tabla_Buffers_Agroinsumos[[#This Row],[TIEMPO REPOSICION ]]/Tabla_Buffers_Agroinsumos[[#This Row],[FRECUENCIA]])+1),0)</f>
        <v>0</v>
      </c>
      <c r="M323" s="19" t="str">
        <f t="array" ref="M323">IFERROR(INDEX(TABLACONSOLIDADA[Buff Act],MATCH("AGROINSUMOSMATERIAPRIMA"&amp;Tabla_Buffers_Agroinsumos[[#This Row],[CODIGO ]],TABLACONSOLIDADA[Bodega]&amp;TABLACONSOLIDADA[Codigo],0)),"")</f>
        <v/>
      </c>
      <c r="N323" s="157" t="str">
        <f t="array" ref="N323">IFERROR(INDEX(TABLACONSOLIDADA[Inv Fís Act],MATCH("AGROINSUMOSMATERIAPRIMA"&amp;Tabla_Buffers_Agroinsumos[[#This Row],[CODIGO ]],TABLACONSOLIDADA[Bodega]&amp;TABLACONSOLIDADA[Codigo],0)),"")</f>
        <v/>
      </c>
      <c r="O323" s="157" t="str">
        <f t="array" ref="O32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2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23" s="19">
        <f>IFERROR(SUM(Tabla_Buffers_Agroinsumos[[#This Row],[MP-C]:[MP-VL]]),"")</f>
        <v>0</v>
      </c>
      <c r="R323" s="92" t="str">
        <f>IFERROR(Tabla_Buffers_Agroinsumos[[#This Row],[INV FIS MATERIA PRIMA]]-Tabla_Buffers_Agroinsumos[[#This Row],[BUFFER MATERIA PRIMA]],"")</f>
        <v/>
      </c>
      <c r="S32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23" s="19"/>
      <c r="U323" s="19"/>
      <c r="V323" s="19"/>
      <c r="W323" s="19"/>
      <c r="X323" s="19"/>
      <c r="Y323" s="19"/>
      <c r="Z323" s="19"/>
      <c r="AA323" s="19"/>
      <c r="AB323" s="19"/>
      <c r="AC323" s="152">
        <f t="array" ref="AC323">IFERROR(INDEX(TABLACONSOLIDADA[Buff Act],MATCH("AGROINSUMOSCENTRAL"&amp;Tabla_Buffers_Agroinsumos[[#This Row],[CODIGO ]],TABLACONSOLIDADA[Bodega]&amp;TABLACONSOLIDADA[Codigo],0)),"")</f>
        <v>0</v>
      </c>
      <c r="AD323" s="157">
        <f t="array" ref="AD323">IFERROR(INDEX(TABLACONSOLIDADA[Inv Fís Act],MATCH("AGROINSUMOSCENTRAL"&amp;Tabla_Buffers_Agroinsumos[[#This Row],[CODIGO ]],TABLACONSOLIDADA[Bodega]&amp;TABLACONSOLIDADA[Codigo],0)),"")</f>
        <v>0</v>
      </c>
      <c r="AE323" s="157">
        <f t="array" ref="AE32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2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23" s="91">
        <f>IFERROR(SUM(Tabla_Buffers_Agroinsumos[[#This Row],[C-MP]:[C-VL]]),"")</f>
        <v>0</v>
      </c>
      <c r="AH323" s="92">
        <f>IFERROR(Tabla_Buffers_Agroinsumos[[#This Row],[INV FIS CENTRAL]]-Tabla_Buffers_Agroinsumos[[#This Row],[BUFFER CENTRAL]],"")</f>
        <v>0</v>
      </c>
      <c r="AI32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23" s="134"/>
      <c r="AK323" s="134"/>
      <c r="AL323" s="134"/>
      <c r="AM323" s="134"/>
      <c r="AN323" s="134"/>
      <c r="AO323" s="134"/>
      <c r="AP323" s="134"/>
      <c r="AQ323" s="134"/>
      <c r="AR323" s="134"/>
      <c r="AS323" s="134">
        <f t="array" ref="AS323">IFERROR(INDEX(TABLACONSOLIDADA[Buff Act],MATCH("AGROINSUMOScentralPROPIA"&amp;Tabla_Buffers_Agroinsumos[[#This Row],[CODIGO ]],TABLACONSOLIDADA[Bodega]&amp;TABLACONSOLIDADA[Codigo],0)),"")</f>
        <v>0</v>
      </c>
      <c r="AT323" s="157">
        <f t="array" ref="AT323">IFERROR(INDEX(TABLACONSOLIDADA[Inv Fís Act],MATCH("AGROINSUMOScentralPROPIA"&amp;Tabla_Buffers_Agroinsumos[[#This Row],[CODIGO ]],TABLACONSOLIDADA[Bodega]&amp;TABLACONSOLIDADA[Codigo],0)),"")</f>
        <v>0</v>
      </c>
      <c r="AU323" s="157">
        <f t="array" ref="AU32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2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23" s="134">
        <f>IFERROR(SUM(Tabla_Buffers_Agroinsumos[[#This Row],[P-MP]:[P-VL]]),"")</f>
        <v>0</v>
      </c>
      <c r="AX323" s="92">
        <f>IFERROR(Tabla_Buffers_Agroinsumos[[#This Row],[INV FIS PROPIA]]-Tabla_Buffers_Agroinsumos[[#This Row],[BUFFER PROPIA]],"")</f>
        <v>0</v>
      </c>
      <c r="AY32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23" s="134"/>
      <c r="BA323" s="134"/>
      <c r="BB323" s="134"/>
      <c r="BC323" s="134"/>
      <c r="BD323" s="134"/>
      <c r="BE323" s="134"/>
      <c r="BF323" s="134"/>
      <c r="BG323" s="134"/>
      <c r="BH323" s="134"/>
      <c r="BI323" s="91">
        <f t="array" ref="BI323">IFERROR(INDEX(TABLACONSOLIDADA[Buff Act],MATCH("AGROINSUMOSSTODOMINGO"&amp;Tabla_Buffers_Agroinsumos[[#This Row],[CODIGO ]],TABLACONSOLIDADA[Bodega]&amp;TABLACONSOLIDADA[Codigo],0)),"")</f>
        <v>0</v>
      </c>
      <c r="BJ323" s="157">
        <f t="array" ref="BJ323">IFERROR(INDEX(TABLACONSOLIDADA[Inv Fís Act],MATCH("AGROINSUMOSSTODOMINGO"&amp;Tabla_Buffers_Agroinsumos[[#This Row],[CODIGO ]],TABLACONSOLIDADA[Bodega]&amp;TABLACONSOLIDADA[Codigo],0)),"")</f>
        <v>0</v>
      </c>
      <c r="BK323" s="157">
        <f t="array" ref="BK32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2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23" s="91">
        <f>IFERROR(SUM(Tabla_Buffers_Agroinsumos[[#This Row],[SD-MP]:[SD-VL]]),"")</f>
        <v>0</v>
      </c>
      <c r="BN323" s="92"/>
      <c r="BO323" s="92"/>
      <c r="BP323" s="134"/>
      <c r="BQ323" s="134"/>
      <c r="BR323" s="134"/>
      <c r="BS323" s="134"/>
      <c r="BT323" s="134"/>
      <c r="BU323" s="134"/>
      <c r="BV323" s="134"/>
      <c r="BW323" s="134"/>
      <c r="BX323" s="134"/>
      <c r="BY323" s="134">
        <f t="array" ref="BY323">IFERROR(INDEX(TABLACONSOLIDADA[Buff Act],MATCH("AGROINSUMOSMONCAYOLOPEZ"&amp;Tabla_Buffers_Agroinsumos[[#This Row],[CODIGO ]],TABLACONSOLIDADA[Bodega]&amp;TABLACONSOLIDADA[Codigo],0)),"")</f>
        <v>0</v>
      </c>
      <c r="BZ323" s="157">
        <f t="array" ref="BZ323">IFERROR(INDEX(TABLACONSOLIDADA[Inv Fís Act],MATCH("AGROINSUMOSMONCAYOLOPEZ"&amp;Tabla_Buffers_Agroinsumos[[#This Row],[CODIGO ]],TABLACONSOLIDADA[Bodega]&amp;TABLACONSOLIDADA[Codigo],0)),"")</f>
        <v>0</v>
      </c>
      <c r="CA323" s="157">
        <f t="array" ref="CA32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2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23" s="134">
        <f>IFERROR(SUM(Tabla_Buffers_Agroinsumos[[#This Row],[ML-MP]:[ML-VL]]),"")</f>
        <v>0</v>
      </c>
      <c r="CD323" s="92">
        <f>IFERROR(Tabla_Buffers_Agroinsumos[[#This Row],[INV FIS ML]]-Tabla_Buffers_Agroinsumos[[#This Row],[BUFFER ML]],"")</f>
        <v>0</v>
      </c>
      <c r="CE323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23" s="134"/>
      <c r="CG323" s="134"/>
      <c r="CH323" s="134"/>
      <c r="CI323" s="134"/>
      <c r="CJ323" s="134"/>
      <c r="CK323" s="134"/>
      <c r="CL323" s="134"/>
      <c r="CM323" s="134"/>
      <c r="CN323" s="134"/>
      <c r="CO323" s="134">
        <f t="array" ref="CO323">IFERROR(INDEX(TABLACONSOLIDADA[Buff Act],MATCH("AGROINSUMOSAGROHERMANOSLEON"&amp;Tabla_Buffers_Agroinsumos[[#This Row],[CODIGO ]],TABLACONSOLIDADA[Bodega]&amp;TABLACONSOLIDADA[Codigo],0)),"")</f>
        <v>0</v>
      </c>
      <c r="CP323" s="157">
        <f t="array" ref="CP323">IFERROR(INDEX(TABLACONSOLIDADA[Inv Fís Act],MATCH("AGROINSUMOSAGROHERMANOSLEON"&amp;Tabla_Buffers_Agroinsumos[[#This Row],[CODIGO ]],TABLACONSOLIDADA[Bodega]&amp;TABLACONSOLIDADA[Codigo],0)),"")</f>
        <v>0</v>
      </c>
      <c r="CQ323" s="157">
        <f t="array" ref="CQ32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2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23" s="134">
        <f>IFERROR(SUM(Tabla_Buffers_Agroinsumos[[#This Row],[AL-MP]:[AL-VL]]),"")</f>
        <v>0</v>
      </c>
      <c r="CT323" s="92">
        <f>IFERROR(Tabla_Buffers_Agroinsumos[[#This Row],[INV FIS AL]]-Tabla_Buffers_Agroinsumos[[#This Row],[BUFFER AL]],"")</f>
        <v>0</v>
      </c>
      <c r="CU323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23" s="134"/>
      <c r="CW323" s="134"/>
      <c r="CX323" s="134"/>
      <c r="CY323" s="134"/>
      <c r="CZ323" s="134"/>
      <c r="DA323" s="134"/>
      <c r="DB323" s="134"/>
      <c r="DC323" s="134"/>
      <c r="DD323" s="134"/>
      <c r="DE323" s="134">
        <f t="array" ref="DE323">IFERROR(INDEX(TABLACONSOLIDADA[Buff Act],MATCH("AGROINSUMOSAGRONUEVO"&amp;Tabla_Buffers_Agroinsumos[[#This Row],[CODIGO ]],TABLACONSOLIDADA[Bodega]&amp;TABLACONSOLIDADA[Codigo],0)),"")</f>
        <v>0</v>
      </c>
      <c r="DF323" s="157">
        <f t="array" ref="DF323">IFERROR(INDEX(TABLACONSOLIDADA[Inv Fís Act],MATCH("AGROINSUMOSAGRONUEVO"&amp;Tabla_Buffers_Agroinsumos[[#This Row],[CODIGO ]],TABLACONSOLIDADA[Bodega]&amp;TABLACONSOLIDADA[Codigo],0)),"")</f>
        <v>0</v>
      </c>
      <c r="DG323" s="157">
        <f t="array" ref="DG32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2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23" s="134">
        <f>IFERROR(SUM(Tabla_Buffers_Agroinsumos[[#This Row],[AN-MP]:[AN-VL]]),"")</f>
        <v>0</v>
      </c>
      <c r="DJ323" s="92">
        <f>IFERROR(Tabla_Buffers_Agroinsumos[[#This Row],[INV FIS AN]]-Tabla_Buffers_Agroinsumos[[#This Row],[BUFFER AN]],"")</f>
        <v>0</v>
      </c>
      <c r="DK323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23" s="134"/>
      <c r="DM323" s="134"/>
      <c r="DN323" s="134"/>
      <c r="DO323" s="134"/>
      <c r="DP323" s="134"/>
      <c r="DQ323" s="134"/>
      <c r="DR323" s="134"/>
      <c r="DS323" s="134"/>
      <c r="DT323" s="134"/>
      <c r="DU323" s="134">
        <f t="array" ref="DU323">IFERROR(INDEX(TABLACONSOLIDADA[Buff Act],MATCH("AGROINSUMOSAGROQUIMICOSSUR"&amp;Tabla_Buffers_Agroinsumos[[#This Row],[CODIGO ]],TABLACONSOLIDADA[Bodega]&amp;TABLACONSOLIDADA[Codigo],0)),"")</f>
        <v>0</v>
      </c>
      <c r="DV323" s="157">
        <f t="array" ref="DV323">IFERROR(INDEX(TABLACONSOLIDADA[Inv Fís Act],MATCH("AGROINSUMOSAGROQUIMICOSSUR"&amp;Tabla_Buffers_Agroinsumos[[#This Row],[CODIGO ]],TABLACONSOLIDADA[Bodega]&amp;TABLACONSOLIDADA[Codigo],0)),"")</f>
        <v>0</v>
      </c>
      <c r="DW323" s="157">
        <f t="array" ref="DW32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2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23" s="134">
        <f>IFERROR(SUM(Tabla_Buffers_Agroinsumos[[#This Row],[AS-MP]:[AS-VL]]),"")</f>
        <v>0</v>
      </c>
      <c r="DZ323" s="92">
        <f>IFERROR(Tabla_Buffers_Agroinsumos[[#This Row],[INV FIS AS]]-Tabla_Buffers_Agroinsumos[[#This Row],[BUFFER AS]],"")</f>
        <v>0</v>
      </c>
      <c r="EA323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23" s="134"/>
      <c r="EC323" s="134"/>
      <c r="ED323" s="134"/>
      <c r="EE323" s="134"/>
      <c r="EF323" s="134"/>
      <c r="EG323" s="134"/>
      <c r="EH323" s="134"/>
      <c r="EI323" s="134"/>
      <c r="EJ323" s="134"/>
      <c r="EK323" s="134">
        <f t="array" ref="EK323">IFERROR(INDEX(TABLACONSOLIDADA[Buff Act],MATCH("AGROINSUMOSLAFINCA"&amp;Tabla_Buffers_Agroinsumos[[#This Row],[CODIGO ]],TABLACONSOLIDADA[Bodega]&amp;TABLACONSOLIDADA[Codigo],0)),"")</f>
        <v>0</v>
      </c>
      <c r="EL323" s="157">
        <f t="array" ref="EL323">IFERROR(INDEX(TABLACONSOLIDADA[Inv Fís Act],MATCH("AGROINSUMOSLAFINCA"&amp;Tabla_Buffers_Agroinsumos[[#This Row],[CODIGO ]],TABLACONSOLIDADA[Bodega]&amp;TABLACONSOLIDADA[Codigo],0)),"")</f>
        <v>0</v>
      </c>
      <c r="EM323" s="157">
        <f t="array" ref="EM32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2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23" s="134">
        <f>IFERROR(SUM(Tabla_Buffers_Agroinsumos[[#This Row],[LF-MP]:[LF-VL]]),"")</f>
        <v>0</v>
      </c>
      <c r="EP323" s="92">
        <f>IFERROR(Tabla_Buffers_Agroinsumos[[#This Row],[INV FIS LF]]-Tabla_Buffers_Agroinsumos[[#This Row],[BUFFER LF]],"")</f>
        <v>0</v>
      </c>
      <c r="EQ32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23" s="134"/>
      <c r="ES323" s="134"/>
      <c r="ET323" s="134"/>
      <c r="EU323" s="134"/>
      <c r="EV323" s="134"/>
      <c r="EW323" s="134"/>
      <c r="EX323" s="134"/>
      <c r="EY323" s="134"/>
      <c r="EZ323" s="134"/>
      <c r="FA323" s="134">
        <f t="array" ref="FA323">IFERROR(INDEX(TABLACONSOLIDADA[Buff Act],MATCH("AGROINSUMOSVERONICALEDESMA"&amp;Tabla_Buffers_Agroinsumos[[#This Row],[CODIGO ]],TABLACONSOLIDADA[Bodega]&amp;TABLACONSOLIDADA[Codigo],0)),"")</f>
        <v>0</v>
      </c>
      <c r="FB323" s="157">
        <f t="array" ref="FB323">IFERROR(INDEX(TABLACONSOLIDADA[Inv Fís Act],MATCH("AGROINSUMOSVERONICALEDESMA"&amp;Tabla_Buffers_Agroinsumos[[#This Row],[CODIGO ]],TABLACONSOLIDADA[Bodega]&amp;TABLACONSOLIDADA[Codigo],0)),"")</f>
        <v>0</v>
      </c>
      <c r="FC323" s="157">
        <f t="array" ref="FC32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2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23" s="134">
        <f>IFERROR(SUM(Tabla_Buffers_Agroinsumos[[#This Row],[VL-MP]:[VL-LF]]),"")</f>
        <v>0</v>
      </c>
      <c r="FF323" s="92">
        <f>IFERROR(Tabla_Buffers_Agroinsumos[[#This Row],[INV FIS VL]]-Tabla_Buffers_Agroinsumos[[#This Row],[BUFFER VL]],"")</f>
        <v>0</v>
      </c>
      <c r="FG323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23" s="134"/>
      <c r="FI323" s="134"/>
      <c r="FJ323" s="134"/>
      <c r="FK323" s="134"/>
      <c r="FL323" s="134"/>
      <c r="FM323" s="134"/>
      <c r="FN323" s="134"/>
      <c r="FO323" s="134"/>
      <c r="FP323" s="134"/>
    </row>
    <row r="324" spans="1:172">
      <c r="A324" s="7" t="s">
        <v>548</v>
      </c>
      <c r="B324" s="7" t="s">
        <v>549</v>
      </c>
      <c r="C324" s="7" t="s">
        <v>707</v>
      </c>
      <c r="D324" s="7" t="s">
        <v>715</v>
      </c>
      <c r="E324" s="7" t="s">
        <v>975</v>
      </c>
      <c r="F324" s="19" t="s">
        <v>698</v>
      </c>
      <c r="G324" s="19" t="s">
        <v>698</v>
      </c>
      <c r="H324" s="19">
        <f>VLOOKUP(Tabla_Buffers_Agroinsumos[[#This Row],[CODIGO ]],TABLACONSOLIDADA[[Codigo]:[PV]],6,0)</f>
        <v>8.69</v>
      </c>
      <c r="I324" s="19">
        <f>VLOOKUP(Tabla_Buffers_Agroinsumos[[#This Row],[CODIGO ]],TABLACONSOLIDADA[[Codigo]:[PV]],5,0)</f>
        <v>3.66</v>
      </c>
      <c r="J324" s="19" t="s">
        <v>698</v>
      </c>
      <c r="K324" s="19" t="s">
        <v>698</v>
      </c>
      <c r="L324" s="19">
        <f>IFERROR(Tabla_Buffers_Agroinsumos[[#This Row],[BUFFER CENTRAL]]/((Tabla_Buffers_Agroinsumos[[#This Row],[TIEMPO REPOSICION ]]/Tabla_Buffers_Agroinsumos[[#This Row],[FRECUENCIA]])+1),0)</f>
        <v>0</v>
      </c>
      <c r="M324" s="19" t="str">
        <f t="array" ref="M324">IFERROR(INDEX(TABLACONSOLIDADA[Buff Act],MATCH("AGROINSUMOSMATERIAPRIMA"&amp;Tabla_Buffers_Agroinsumos[[#This Row],[CODIGO ]],TABLACONSOLIDADA[Bodega]&amp;TABLACONSOLIDADA[Codigo],0)),"")</f>
        <v/>
      </c>
      <c r="N324" s="157" t="str">
        <f t="array" ref="N324">IFERROR(INDEX(TABLACONSOLIDADA[Inv Fís Act],MATCH("AGROINSUMOSMATERIAPRIMA"&amp;Tabla_Buffers_Agroinsumos[[#This Row],[CODIGO ]],TABLACONSOLIDADA[Bodega]&amp;TABLACONSOLIDADA[Codigo],0)),"")</f>
        <v/>
      </c>
      <c r="O324" s="157" t="str">
        <f t="array" ref="O32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2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24" s="19">
        <f>IFERROR(SUM(Tabla_Buffers_Agroinsumos[[#This Row],[MP-C]:[MP-VL]]),"")</f>
        <v>0</v>
      </c>
      <c r="R324" s="92" t="str">
        <f>IFERROR(Tabla_Buffers_Agroinsumos[[#This Row],[INV FIS MATERIA PRIMA]]-Tabla_Buffers_Agroinsumos[[#This Row],[BUFFER MATERIA PRIMA]],"")</f>
        <v/>
      </c>
      <c r="S32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24" s="19"/>
      <c r="U324" s="19"/>
      <c r="V324" s="19"/>
      <c r="W324" s="19"/>
      <c r="X324" s="19"/>
      <c r="Y324" s="19"/>
      <c r="Z324" s="19"/>
      <c r="AA324" s="19"/>
      <c r="AB324" s="19"/>
      <c r="AC324" s="152">
        <f t="array" ref="AC324">IFERROR(INDEX(TABLACONSOLIDADA[Buff Act],MATCH("AGROINSUMOSCENTRAL"&amp;Tabla_Buffers_Agroinsumos[[#This Row],[CODIGO ]],TABLACONSOLIDADA[Bodega]&amp;TABLACONSOLIDADA[Codigo],0)),"")</f>
        <v>180</v>
      </c>
      <c r="AD324" s="157">
        <f t="array" ref="AD324">IFERROR(INDEX(TABLACONSOLIDADA[Inv Fís Act],MATCH("AGROINSUMOSCENTRAL"&amp;Tabla_Buffers_Agroinsumos[[#This Row],[CODIGO ]],TABLACONSOLIDADA[Bodega]&amp;TABLACONSOLIDADA[Codigo],0)),"")</f>
        <v>200</v>
      </c>
      <c r="AE324" s="157">
        <f t="array" ref="AE32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210</v>
      </c>
      <c r="AF32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24" s="91">
        <f>IFERROR(SUM(Tabla_Buffers_Agroinsumos[[#This Row],[C-MP]:[C-VL]]),"")</f>
        <v>0</v>
      </c>
      <c r="AH324" s="92">
        <f>IFERROR(Tabla_Buffers_Agroinsumos[[#This Row],[INV FIS CENTRAL]]-Tabla_Buffers_Agroinsumos[[#This Row],[BUFFER CENTRAL]],"")</f>
        <v>20</v>
      </c>
      <c r="AI32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20</v>
      </c>
      <c r="AJ324" s="134"/>
      <c r="AK324" s="134"/>
      <c r="AL324" s="134"/>
      <c r="AM324" s="134"/>
      <c r="AN324" s="134"/>
      <c r="AO324" s="134"/>
      <c r="AP324" s="134"/>
      <c r="AQ324" s="134"/>
      <c r="AR324" s="134"/>
      <c r="AS324" s="134">
        <f t="array" ref="AS324">IFERROR(INDEX(TABLACONSOLIDADA[Buff Act],MATCH("AGROINSUMOScentralPROPIA"&amp;Tabla_Buffers_Agroinsumos[[#This Row],[CODIGO ]],TABLACONSOLIDADA[Bodega]&amp;TABLACONSOLIDADA[Codigo],0)),"")</f>
        <v>48</v>
      </c>
      <c r="AT324" s="157">
        <f t="array" ref="AT324">IFERROR(INDEX(TABLACONSOLIDADA[Inv Fís Act],MATCH("AGROINSUMOScentralPROPIA"&amp;Tabla_Buffers_Agroinsumos[[#This Row],[CODIGO ]],TABLACONSOLIDADA[Bodega]&amp;TABLACONSOLIDADA[Codigo],0)),"")</f>
        <v>0</v>
      </c>
      <c r="AU324" s="157">
        <f t="array" ref="AU32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2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24" s="134">
        <f>IFERROR(SUM(Tabla_Buffers_Agroinsumos[[#This Row],[P-MP]:[P-VL]]),"")</f>
        <v>0</v>
      </c>
      <c r="AX324" s="92">
        <f>IFERROR(Tabla_Buffers_Agroinsumos[[#This Row],[INV FIS PROPIA]]-Tabla_Buffers_Agroinsumos[[#This Row],[BUFFER PROPIA]],"")</f>
        <v>-48</v>
      </c>
      <c r="AY32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-48</v>
      </c>
      <c r="AZ324" s="134"/>
      <c r="BA324" s="134"/>
      <c r="BB324" s="134"/>
      <c r="BC324" s="134"/>
      <c r="BD324" s="134"/>
      <c r="BE324" s="134"/>
      <c r="BF324" s="134"/>
      <c r="BG324" s="134"/>
      <c r="BH324" s="134"/>
      <c r="BI324" s="91">
        <f t="array" ref="BI324">IFERROR(INDEX(TABLACONSOLIDADA[Buff Act],MATCH("AGROINSUMOSSTODOMINGO"&amp;Tabla_Buffers_Agroinsumos[[#This Row],[CODIGO ]],TABLACONSOLIDADA[Bodega]&amp;TABLACONSOLIDADA[Codigo],0)),"")</f>
        <v>0</v>
      </c>
      <c r="BJ324" s="157">
        <f t="array" ref="BJ324">IFERROR(INDEX(TABLACONSOLIDADA[Inv Fís Act],MATCH("AGROINSUMOSSTODOMINGO"&amp;Tabla_Buffers_Agroinsumos[[#This Row],[CODIGO ]],TABLACONSOLIDADA[Bodega]&amp;TABLACONSOLIDADA[Codigo],0)),"")</f>
        <v>0</v>
      </c>
      <c r="BK324" s="157">
        <f t="array" ref="BK32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2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24" s="91">
        <f>IFERROR(SUM(Tabla_Buffers_Agroinsumos[[#This Row],[SD-MP]:[SD-VL]]),"")</f>
        <v>0</v>
      </c>
      <c r="BN324" s="92"/>
      <c r="BO324" s="92"/>
      <c r="BP324" s="134"/>
      <c r="BQ324" s="134"/>
      <c r="BR324" s="134"/>
      <c r="BS324" s="134"/>
      <c r="BT324" s="134"/>
      <c r="BU324" s="134"/>
      <c r="BV324" s="134"/>
      <c r="BW324" s="134"/>
      <c r="BX324" s="134"/>
      <c r="BY324" s="134">
        <f t="array" ref="BY324">IFERROR(INDEX(TABLACONSOLIDADA[Buff Act],MATCH("AGROINSUMOSMONCAYOLOPEZ"&amp;Tabla_Buffers_Agroinsumos[[#This Row],[CODIGO ]],TABLACONSOLIDADA[Bodega]&amp;TABLACONSOLIDADA[Codigo],0)),"")</f>
        <v>10</v>
      </c>
      <c r="BZ324" s="157">
        <f t="array" ref="BZ324">IFERROR(INDEX(TABLACONSOLIDADA[Inv Fís Act],MATCH("AGROINSUMOSMONCAYOLOPEZ"&amp;Tabla_Buffers_Agroinsumos[[#This Row],[CODIGO ]],TABLACONSOLIDADA[Bodega]&amp;TABLACONSOLIDADA[Codigo],0)),"")</f>
        <v>10</v>
      </c>
      <c r="CA324" s="157">
        <f t="array" ref="CA32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10</v>
      </c>
      <c r="CB32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24" s="134">
        <f>IFERROR(SUM(Tabla_Buffers_Agroinsumos[[#This Row],[ML-MP]:[ML-VL]]),"")</f>
        <v>0</v>
      </c>
      <c r="CD324" s="92">
        <f>IFERROR(Tabla_Buffers_Agroinsumos[[#This Row],[INV FIS ML]]-Tabla_Buffers_Agroinsumos[[#This Row],[BUFFER ML]],"")</f>
        <v>0</v>
      </c>
      <c r="CE324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24" s="134"/>
      <c r="CG324" s="134"/>
      <c r="CH324" s="134"/>
      <c r="CI324" s="134"/>
      <c r="CJ324" s="134"/>
      <c r="CK324" s="134"/>
      <c r="CL324" s="134"/>
      <c r="CM324" s="134"/>
      <c r="CN324" s="134"/>
      <c r="CO324" s="134">
        <f t="array" ref="CO324">IFERROR(INDEX(TABLACONSOLIDADA[Buff Act],MATCH("AGROINSUMOSAGROHERMANOSLEON"&amp;Tabla_Buffers_Agroinsumos[[#This Row],[CODIGO ]],TABLACONSOLIDADA[Bodega]&amp;TABLACONSOLIDADA[Codigo],0)),"")</f>
        <v>0</v>
      </c>
      <c r="CP324" s="157">
        <f t="array" ref="CP324">IFERROR(INDEX(TABLACONSOLIDADA[Inv Fís Act],MATCH("AGROINSUMOSAGROHERMANOSLEON"&amp;Tabla_Buffers_Agroinsumos[[#This Row],[CODIGO ]],TABLACONSOLIDADA[Bodega]&amp;TABLACONSOLIDADA[Codigo],0)),"")</f>
        <v>0</v>
      </c>
      <c r="CQ324" s="157">
        <f t="array" ref="CQ32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2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24" s="134">
        <f>IFERROR(SUM(Tabla_Buffers_Agroinsumos[[#This Row],[AL-MP]:[AL-VL]]),"")</f>
        <v>0</v>
      </c>
      <c r="CT324" s="92">
        <f>IFERROR(Tabla_Buffers_Agroinsumos[[#This Row],[INV FIS AL]]-Tabla_Buffers_Agroinsumos[[#This Row],[BUFFER AL]],"")</f>
        <v>0</v>
      </c>
      <c r="CU324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24" s="134"/>
      <c r="CW324" s="134"/>
      <c r="CX324" s="134"/>
      <c r="CY324" s="134"/>
      <c r="CZ324" s="134"/>
      <c r="DA324" s="134"/>
      <c r="DB324" s="134"/>
      <c r="DC324" s="134"/>
      <c r="DD324" s="134"/>
      <c r="DE324" s="134">
        <f t="array" ref="DE324">IFERROR(INDEX(TABLACONSOLIDADA[Buff Act],MATCH("AGROINSUMOSAGRONUEVO"&amp;Tabla_Buffers_Agroinsumos[[#This Row],[CODIGO ]],TABLACONSOLIDADA[Bodega]&amp;TABLACONSOLIDADA[Codigo],0)),"")</f>
        <v>0</v>
      </c>
      <c r="DF324" s="157">
        <f t="array" ref="DF324">IFERROR(INDEX(TABLACONSOLIDADA[Inv Fís Act],MATCH("AGROINSUMOSAGRONUEVO"&amp;Tabla_Buffers_Agroinsumos[[#This Row],[CODIGO ]],TABLACONSOLIDADA[Bodega]&amp;TABLACONSOLIDADA[Codigo],0)),"")</f>
        <v>0</v>
      </c>
      <c r="DG324" s="157">
        <f t="array" ref="DG32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2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24" s="134">
        <f>IFERROR(SUM(Tabla_Buffers_Agroinsumos[[#This Row],[AN-MP]:[AN-VL]]),"")</f>
        <v>0</v>
      </c>
      <c r="DJ324" s="92">
        <f>IFERROR(Tabla_Buffers_Agroinsumos[[#This Row],[INV FIS AN]]-Tabla_Buffers_Agroinsumos[[#This Row],[BUFFER AN]],"")</f>
        <v>0</v>
      </c>
      <c r="DK324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24" s="134"/>
      <c r="DM324" s="134"/>
      <c r="DN324" s="134"/>
      <c r="DO324" s="134"/>
      <c r="DP324" s="134"/>
      <c r="DQ324" s="134"/>
      <c r="DR324" s="134"/>
      <c r="DS324" s="134"/>
      <c r="DT324" s="134"/>
      <c r="DU324" s="134">
        <f t="array" ref="DU324">IFERROR(INDEX(TABLACONSOLIDADA[Buff Act],MATCH("AGROINSUMOSAGROQUIMICOSSUR"&amp;Tabla_Buffers_Agroinsumos[[#This Row],[CODIGO ]],TABLACONSOLIDADA[Bodega]&amp;TABLACONSOLIDADA[Codigo],0)),"")</f>
        <v>0</v>
      </c>
      <c r="DV324" s="157">
        <f t="array" ref="DV324">IFERROR(INDEX(TABLACONSOLIDADA[Inv Fís Act],MATCH("AGROINSUMOSAGROQUIMICOSSUR"&amp;Tabla_Buffers_Agroinsumos[[#This Row],[CODIGO ]],TABLACONSOLIDADA[Bodega]&amp;TABLACONSOLIDADA[Codigo],0)),"")</f>
        <v>0</v>
      </c>
      <c r="DW324" s="157">
        <f t="array" ref="DW32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2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24" s="134">
        <f>IFERROR(SUM(Tabla_Buffers_Agroinsumos[[#This Row],[AS-MP]:[AS-VL]]),"")</f>
        <v>0</v>
      </c>
      <c r="DZ324" s="92">
        <f>IFERROR(Tabla_Buffers_Agroinsumos[[#This Row],[INV FIS AS]]-Tabla_Buffers_Agroinsumos[[#This Row],[BUFFER AS]],"")</f>
        <v>0</v>
      </c>
      <c r="EA324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24" s="134"/>
      <c r="EC324" s="134"/>
      <c r="ED324" s="134"/>
      <c r="EE324" s="134"/>
      <c r="EF324" s="134"/>
      <c r="EG324" s="134"/>
      <c r="EH324" s="134"/>
      <c r="EI324" s="134"/>
      <c r="EJ324" s="134"/>
      <c r="EK324" s="134">
        <f t="array" ref="EK324">IFERROR(INDEX(TABLACONSOLIDADA[Buff Act],MATCH("AGROINSUMOSLAFINCA"&amp;Tabla_Buffers_Agroinsumos[[#This Row],[CODIGO ]],TABLACONSOLIDADA[Bodega]&amp;TABLACONSOLIDADA[Codigo],0)),"")</f>
        <v>0</v>
      </c>
      <c r="EL324" s="157">
        <f t="array" ref="EL324">IFERROR(INDEX(TABLACONSOLIDADA[Inv Fís Act],MATCH("AGROINSUMOSLAFINCA"&amp;Tabla_Buffers_Agroinsumos[[#This Row],[CODIGO ]],TABLACONSOLIDADA[Bodega]&amp;TABLACONSOLIDADA[Codigo],0)),"")</f>
        <v>0</v>
      </c>
      <c r="EM324" s="157">
        <f t="array" ref="EM32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2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24" s="134">
        <f>IFERROR(SUM(Tabla_Buffers_Agroinsumos[[#This Row],[LF-MP]:[LF-VL]]),"")</f>
        <v>0</v>
      </c>
      <c r="EP324" s="92">
        <f>IFERROR(Tabla_Buffers_Agroinsumos[[#This Row],[INV FIS LF]]-Tabla_Buffers_Agroinsumos[[#This Row],[BUFFER LF]],"")</f>
        <v>0</v>
      </c>
      <c r="EQ324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24" s="134"/>
      <c r="ES324" s="134"/>
      <c r="ET324" s="134"/>
      <c r="EU324" s="134"/>
      <c r="EV324" s="134"/>
      <c r="EW324" s="134"/>
      <c r="EX324" s="134"/>
      <c r="EY324" s="134"/>
      <c r="EZ324" s="134"/>
      <c r="FA324" s="134">
        <f t="array" ref="FA324">IFERROR(INDEX(TABLACONSOLIDADA[Buff Act],MATCH("AGROINSUMOSVERONICALEDESMA"&amp;Tabla_Buffers_Agroinsumos[[#This Row],[CODIGO ]],TABLACONSOLIDADA[Bodega]&amp;TABLACONSOLIDADA[Codigo],0)),"")</f>
        <v>0</v>
      </c>
      <c r="FB324" s="157">
        <f t="array" ref="FB324">IFERROR(INDEX(TABLACONSOLIDADA[Inv Fís Act],MATCH("AGROINSUMOSVERONICALEDESMA"&amp;Tabla_Buffers_Agroinsumos[[#This Row],[CODIGO ]],TABLACONSOLIDADA[Bodega]&amp;TABLACONSOLIDADA[Codigo],0)),"")</f>
        <v>0</v>
      </c>
      <c r="FC324" s="157">
        <f t="array" ref="FC32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2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24" s="134">
        <f>IFERROR(SUM(Tabla_Buffers_Agroinsumos[[#This Row],[VL-MP]:[VL-LF]]),"")</f>
        <v>0</v>
      </c>
      <c r="FF324" s="92">
        <f>IFERROR(Tabla_Buffers_Agroinsumos[[#This Row],[INV FIS VL]]-Tabla_Buffers_Agroinsumos[[#This Row],[BUFFER VL]],"")</f>
        <v>0</v>
      </c>
      <c r="FG324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24" s="134"/>
      <c r="FI324" s="134"/>
      <c r="FJ324" s="134"/>
      <c r="FK324" s="134"/>
      <c r="FL324" s="134"/>
      <c r="FM324" s="134"/>
      <c r="FN324" s="134"/>
      <c r="FO324" s="134"/>
      <c r="FP324" s="134"/>
    </row>
    <row r="325" spans="1:172">
      <c r="A325" s="7" t="s">
        <v>550</v>
      </c>
      <c r="B325" s="7" t="s">
        <v>914</v>
      </c>
      <c r="C325" s="7" t="s">
        <v>707</v>
      </c>
      <c r="D325" s="7" t="s">
        <v>717</v>
      </c>
      <c r="E325" s="7" t="s">
        <v>863</v>
      </c>
      <c r="F325" s="19" t="s">
        <v>804</v>
      </c>
      <c r="G325" s="19" t="s">
        <v>802</v>
      </c>
      <c r="H325" s="19">
        <f>VLOOKUP(Tabla_Buffers_Agroinsumos[[#This Row],[CODIGO ]],TABLACONSOLIDADA[[Codigo]:[PV]],6,0)</f>
        <v>0</v>
      </c>
      <c r="I325" s="19">
        <f>VLOOKUP(Tabla_Buffers_Agroinsumos[[#This Row],[CODIGO ]],TABLACONSOLIDADA[[Codigo]:[PV]],5,0)</f>
        <v>2.69</v>
      </c>
      <c r="J325" s="19">
        <v>4</v>
      </c>
      <c r="K325" s="19">
        <v>4</v>
      </c>
      <c r="L325" s="19">
        <f>IFERROR(Tabla_Buffers_Agroinsumos[[#This Row],[BUFFER CENTRAL]]/((Tabla_Buffers_Agroinsumos[[#This Row],[TIEMPO REPOSICION ]]/Tabla_Buffers_Agroinsumos[[#This Row],[FRECUENCIA]])+1),0)</f>
        <v>0</v>
      </c>
      <c r="M325" s="19">
        <f t="array" ref="M325">IFERROR(INDEX(TABLACONSOLIDADA[Buff Act],MATCH("AGROINSUMOSMATERIAPRIMA"&amp;Tabla_Buffers_Agroinsumos[[#This Row],[CODIGO ]],TABLACONSOLIDADA[Bodega]&amp;TABLACONSOLIDADA[Codigo],0)),"")</f>
        <v>600</v>
      </c>
      <c r="N325" s="157">
        <f t="array" ref="N325">IFERROR(INDEX(TABLACONSOLIDADA[Inv Fís Act],MATCH("AGROINSUMOSMATERIAPRIMA"&amp;Tabla_Buffers_Agroinsumos[[#This Row],[CODIGO ]],TABLACONSOLIDADA[Bodega]&amp;TABLACONSOLIDADA[Codigo],0)),"")</f>
        <v>953.245</v>
      </c>
      <c r="O325" s="157">
        <f t="array" ref="O32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953.245</v>
      </c>
      <c r="P32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25" s="19">
        <f>IFERROR(SUM(Tabla_Buffers_Agroinsumos[[#This Row],[MP-C]:[MP-VL]]),"")</f>
        <v>0</v>
      </c>
      <c r="R325" s="92">
        <f>IFERROR(Tabla_Buffers_Agroinsumos[[#This Row],[INV FIS MATERIA PRIMA]]-Tabla_Buffers_Agroinsumos[[#This Row],[BUFFER MATERIA PRIMA]],"")</f>
        <v>353.245</v>
      </c>
      <c r="S32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353.245</v>
      </c>
      <c r="T325" s="19"/>
      <c r="U325" s="19"/>
      <c r="V325" s="19"/>
      <c r="W325" s="19"/>
      <c r="X325" s="19"/>
      <c r="Y325" s="19"/>
      <c r="Z325" s="19"/>
      <c r="AA325" s="19"/>
      <c r="AB325" s="19"/>
      <c r="AC325" s="152" t="str">
        <f t="array" ref="AC325">IFERROR(INDEX(TABLACONSOLIDADA[Buff Act],MATCH("AGROINSUMOSCENTRAL"&amp;Tabla_Buffers_Agroinsumos[[#This Row],[CODIGO ]],TABLACONSOLIDADA[Bodega]&amp;TABLACONSOLIDADA[Codigo],0)),"")</f>
        <v/>
      </c>
      <c r="AD325" s="157" t="str">
        <f t="array" ref="AD325">IFERROR(INDEX(TABLACONSOLIDADA[Inv Fís Act],MATCH("AGROINSUMOSCENTRAL"&amp;Tabla_Buffers_Agroinsumos[[#This Row],[CODIGO ]],TABLACONSOLIDADA[Bodega]&amp;TABLACONSOLIDADA[Codigo],0)),"")</f>
        <v/>
      </c>
      <c r="AE325" s="157" t="str">
        <f t="array" ref="AE32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2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25" s="91">
        <f>IFERROR(SUM(Tabla_Buffers_Agroinsumos[[#This Row],[C-MP]:[C-VL]]),"")</f>
        <v>0</v>
      </c>
      <c r="AH325" s="92" t="str">
        <f>IFERROR(Tabla_Buffers_Agroinsumos[[#This Row],[INV FIS CENTRAL]]-Tabla_Buffers_Agroinsumos[[#This Row],[BUFFER CENTRAL]],"")</f>
        <v/>
      </c>
      <c r="AI32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25" s="134"/>
      <c r="AK325" s="134"/>
      <c r="AL325" s="134"/>
      <c r="AM325" s="134"/>
      <c r="AN325" s="134"/>
      <c r="AO325" s="134"/>
      <c r="AP325" s="134"/>
      <c r="AQ325" s="134"/>
      <c r="AR325" s="134"/>
      <c r="AS325" s="134" t="str">
        <f t="array" ref="AS325">IFERROR(INDEX(TABLACONSOLIDADA[Buff Act],MATCH("AGROINSUMOScentralPROPIA"&amp;Tabla_Buffers_Agroinsumos[[#This Row],[CODIGO ]],TABLACONSOLIDADA[Bodega]&amp;TABLACONSOLIDADA[Codigo],0)),"")</f>
        <v/>
      </c>
      <c r="AT325" s="157" t="str">
        <f t="array" ref="AT325">IFERROR(INDEX(TABLACONSOLIDADA[Inv Fís Act],MATCH("AGROINSUMOScentralPROPIA"&amp;Tabla_Buffers_Agroinsumos[[#This Row],[CODIGO ]],TABLACONSOLIDADA[Bodega]&amp;TABLACONSOLIDADA[Codigo],0)),"")</f>
        <v/>
      </c>
      <c r="AU325" s="157" t="str">
        <f t="array" ref="AU32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2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25" s="134">
        <f>IFERROR(SUM(Tabla_Buffers_Agroinsumos[[#This Row],[P-MP]:[P-VL]]),"")</f>
        <v>0</v>
      </c>
      <c r="AX325" s="92" t="str">
        <f>IFERROR(Tabla_Buffers_Agroinsumos[[#This Row],[INV FIS PROPIA]]-Tabla_Buffers_Agroinsumos[[#This Row],[BUFFER PROPIA]],"")</f>
        <v/>
      </c>
      <c r="AY32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25" s="134"/>
      <c r="BA325" s="134"/>
      <c r="BB325" s="134"/>
      <c r="BC325" s="134"/>
      <c r="BD325" s="134"/>
      <c r="BE325" s="134"/>
      <c r="BF325" s="134"/>
      <c r="BG325" s="134"/>
      <c r="BH325" s="134"/>
      <c r="BI325" s="91" t="str">
        <f t="array" ref="BI325">IFERROR(INDEX(TABLACONSOLIDADA[Buff Act],MATCH("AGROINSUMOSSTODOMINGO"&amp;Tabla_Buffers_Agroinsumos[[#This Row],[CODIGO ]],TABLACONSOLIDADA[Bodega]&amp;TABLACONSOLIDADA[Codigo],0)),"")</f>
        <v/>
      </c>
      <c r="BJ325" s="157" t="str">
        <f t="array" ref="BJ325">IFERROR(INDEX(TABLACONSOLIDADA[Inv Fís Act],MATCH("AGROINSUMOSSTODOMINGO"&amp;Tabla_Buffers_Agroinsumos[[#This Row],[CODIGO ]],TABLACONSOLIDADA[Bodega]&amp;TABLACONSOLIDADA[Codigo],0)),"")</f>
        <v/>
      </c>
      <c r="BK325" s="157" t="str">
        <f t="array" ref="BK32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2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25" s="91">
        <f>IFERROR(SUM(Tabla_Buffers_Agroinsumos[[#This Row],[SD-MP]:[SD-VL]]),"")</f>
        <v>0</v>
      </c>
      <c r="BN325" s="92"/>
      <c r="BO325" s="92"/>
      <c r="BP325" s="134"/>
      <c r="BQ325" s="134"/>
      <c r="BR325" s="134"/>
      <c r="BS325" s="134"/>
      <c r="BT325" s="134"/>
      <c r="BU325" s="134"/>
      <c r="BV325" s="134"/>
      <c r="BW325" s="134"/>
      <c r="BX325" s="134"/>
      <c r="BY325" s="134" t="str">
        <f t="array" ref="BY325">IFERROR(INDEX(TABLACONSOLIDADA[Buff Act],MATCH("AGROINSUMOSMONCAYOLOPEZ"&amp;Tabla_Buffers_Agroinsumos[[#This Row],[CODIGO ]],TABLACONSOLIDADA[Bodega]&amp;TABLACONSOLIDADA[Codigo],0)),"")</f>
        <v/>
      </c>
      <c r="BZ325" s="157" t="str">
        <f t="array" ref="BZ325">IFERROR(INDEX(TABLACONSOLIDADA[Inv Fís Act],MATCH("AGROINSUMOSMONCAYOLOPEZ"&amp;Tabla_Buffers_Agroinsumos[[#This Row],[CODIGO ]],TABLACONSOLIDADA[Bodega]&amp;TABLACONSOLIDADA[Codigo],0)),"")</f>
        <v/>
      </c>
      <c r="CA325" s="157" t="str">
        <f t="array" ref="CA32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2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25" s="134">
        <f>IFERROR(SUM(Tabla_Buffers_Agroinsumos[[#This Row],[ML-MP]:[ML-VL]]),"")</f>
        <v>0</v>
      </c>
      <c r="CD325" s="92" t="str">
        <f>IFERROR(Tabla_Buffers_Agroinsumos[[#This Row],[INV FIS ML]]-Tabla_Buffers_Agroinsumos[[#This Row],[BUFFER ML]],"")</f>
        <v/>
      </c>
      <c r="CE32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25" s="134"/>
      <c r="CG325" s="134"/>
      <c r="CH325" s="134"/>
      <c r="CI325" s="134"/>
      <c r="CJ325" s="134"/>
      <c r="CK325" s="134"/>
      <c r="CL325" s="134"/>
      <c r="CM325" s="134"/>
      <c r="CN325" s="134"/>
      <c r="CO325" s="134" t="str">
        <f t="array" ref="CO325">IFERROR(INDEX(TABLACONSOLIDADA[Buff Act],MATCH("AGROINSUMOSAGROHERMANOSLEON"&amp;Tabla_Buffers_Agroinsumos[[#This Row],[CODIGO ]],TABLACONSOLIDADA[Bodega]&amp;TABLACONSOLIDADA[Codigo],0)),"")</f>
        <v/>
      </c>
      <c r="CP325" s="157" t="str">
        <f t="array" ref="CP325">IFERROR(INDEX(TABLACONSOLIDADA[Inv Fís Act],MATCH("AGROINSUMOSAGROHERMANOSLEON"&amp;Tabla_Buffers_Agroinsumos[[#This Row],[CODIGO ]],TABLACONSOLIDADA[Bodega]&amp;TABLACONSOLIDADA[Codigo],0)),"")</f>
        <v/>
      </c>
      <c r="CQ325" s="157" t="str">
        <f t="array" ref="CQ32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2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25" s="134">
        <f>IFERROR(SUM(Tabla_Buffers_Agroinsumos[[#This Row],[AL-MP]:[AL-VL]]),"")</f>
        <v>0</v>
      </c>
      <c r="CT325" s="92" t="str">
        <f>IFERROR(Tabla_Buffers_Agroinsumos[[#This Row],[INV FIS AL]]-Tabla_Buffers_Agroinsumos[[#This Row],[BUFFER AL]],"")</f>
        <v/>
      </c>
      <c r="CU32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25" s="134"/>
      <c r="CW325" s="134"/>
      <c r="CX325" s="134"/>
      <c r="CY325" s="134"/>
      <c r="CZ325" s="134"/>
      <c r="DA325" s="134"/>
      <c r="DB325" s="134"/>
      <c r="DC325" s="134"/>
      <c r="DD325" s="134"/>
      <c r="DE325" s="134" t="str">
        <f t="array" ref="DE325">IFERROR(INDEX(TABLACONSOLIDADA[Buff Act],MATCH("AGROINSUMOSAGRONUEVO"&amp;Tabla_Buffers_Agroinsumos[[#This Row],[CODIGO ]],TABLACONSOLIDADA[Bodega]&amp;TABLACONSOLIDADA[Codigo],0)),"")</f>
        <v/>
      </c>
      <c r="DF325" s="157" t="str">
        <f t="array" ref="DF325">IFERROR(INDEX(TABLACONSOLIDADA[Inv Fís Act],MATCH("AGROINSUMOSAGRONUEVO"&amp;Tabla_Buffers_Agroinsumos[[#This Row],[CODIGO ]],TABLACONSOLIDADA[Bodega]&amp;TABLACONSOLIDADA[Codigo],0)),"")</f>
        <v/>
      </c>
      <c r="DG325" s="157" t="str">
        <f t="array" ref="DG32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2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25" s="134">
        <f>IFERROR(SUM(Tabla_Buffers_Agroinsumos[[#This Row],[AN-MP]:[AN-VL]]),"")</f>
        <v>0</v>
      </c>
      <c r="DJ325" s="92" t="str">
        <f>IFERROR(Tabla_Buffers_Agroinsumos[[#This Row],[INV FIS AN]]-Tabla_Buffers_Agroinsumos[[#This Row],[BUFFER AN]],"")</f>
        <v/>
      </c>
      <c r="DK32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25" s="134"/>
      <c r="DM325" s="134"/>
      <c r="DN325" s="134"/>
      <c r="DO325" s="134"/>
      <c r="DP325" s="134"/>
      <c r="DQ325" s="134"/>
      <c r="DR325" s="134"/>
      <c r="DS325" s="134"/>
      <c r="DT325" s="134"/>
      <c r="DU325" s="134" t="str">
        <f t="array" ref="DU325">IFERROR(INDEX(TABLACONSOLIDADA[Buff Act],MATCH("AGROINSUMOSAGROQUIMICOSSUR"&amp;Tabla_Buffers_Agroinsumos[[#This Row],[CODIGO ]],TABLACONSOLIDADA[Bodega]&amp;TABLACONSOLIDADA[Codigo],0)),"")</f>
        <v/>
      </c>
      <c r="DV325" s="157" t="str">
        <f t="array" ref="DV325">IFERROR(INDEX(TABLACONSOLIDADA[Inv Fís Act],MATCH("AGROINSUMOSAGROQUIMICOSSUR"&amp;Tabla_Buffers_Agroinsumos[[#This Row],[CODIGO ]],TABLACONSOLIDADA[Bodega]&amp;TABLACONSOLIDADA[Codigo],0)),"")</f>
        <v/>
      </c>
      <c r="DW325" s="157" t="str">
        <f t="array" ref="DW32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2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25" s="134">
        <f>IFERROR(SUM(Tabla_Buffers_Agroinsumos[[#This Row],[AS-MP]:[AS-VL]]),"")</f>
        <v>0</v>
      </c>
      <c r="DZ325" s="92" t="str">
        <f>IFERROR(Tabla_Buffers_Agroinsumos[[#This Row],[INV FIS AS]]-Tabla_Buffers_Agroinsumos[[#This Row],[BUFFER AS]],"")</f>
        <v/>
      </c>
      <c r="EA32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25" s="134"/>
      <c r="EC325" s="134"/>
      <c r="ED325" s="134"/>
      <c r="EE325" s="134"/>
      <c r="EF325" s="134"/>
      <c r="EG325" s="134"/>
      <c r="EH325" s="134"/>
      <c r="EI325" s="134"/>
      <c r="EJ325" s="134"/>
      <c r="EK325" s="134" t="str">
        <f t="array" ref="EK325">IFERROR(INDEX(TABLACONSOLIDADA[Buff Act],MATCH("AGROINSUMOSLAFINCA"&amp;Tabla_Buffers_Agroinsumos[[#This Row],[CODIGO ]],TABLACONSOLIDADA[Bodega]&amp;TABLACONSOLIDADA[Codigo],0)),"")</f>
        <v/>
      </c>
      <c r="EL325" s="157" t="str">
        <f t="array" ref="EL325">IFERROR(INDEX(TABLACONSOLIDADA[Inv Fís Act],MATCH("AGROINSUMOSLAFINCA"&amp;Tabla_Buffers_Agroinsumos[[#This Row],[CODIGO ]],TABLACONSOLIDADA[Bodega]&amp;TABLACONSOLIDADA[Codigo],0)),"")</f>
        <v/>
      </c>
      <c r="EM325" s="157" t="str">
        <f t="array" ref="EM32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2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25" s="134">
        <f>IFERROR(SUM(Tabla_Buffers_Agroinsumos[[#This Row],[LF-MP]:[LF-VL]]),"")</f>
        <v>0</v>
      </c>
      <c r="EP325" s="92" t="str">
        <f>IFERROR(Tabla_Buffers_Agroinsumos[[#This Row],[INV FIS LF]]-Tabla_Buffers_Agroinsumos[[#This Row],[BUFFER LF]],"")</f>
        <v/>
      </c>
      <c r="EQ32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25" s="134"/>
      <c r="ES325" s="134"/>
      <c r="ET325" s="134"/>
      <c r="EU325" s="134"/>
      <c r="EV325" s="134"/>
      <c r="EW325" s="134"/>
      <c r="EX325" s="134"/>
      <c r="EY325" s="134"/>
      <c r="EZ325" s="134"/>
      <c r="FA325" s="134" t="str">
        <f t="array" ref="FA325">IFERROR(INDEX(TABLACONSOLIDADA[Buff Act],MATCH("AGROINSUMOSVERONICALEDESMA"&amp;Tabla_Buffers_Agroinsumos[[#This Row],[CODIGO ]],TABLACONSOLIDADA[Bodega]&amp;TABLACONSOLIDADA[Codigo],0)),"")</f>
        <v/>
      </c>
      <c r="FB325" s="157" t="str">
        <f t="array" ref="FB325">IFERROR(INDEX(TABLACONSOLIDADA[Inv Fís Act],MATCH("AGROINSUMOSVERONICALEDESMA"&amp;Tabla_Buffers_Agroinsumos[[#This Row],[CODIGO ]],TABLACONSOLIDADA[Bodega]&amp;TABLACONSOLIDADA[Codigo],0)),"")</f>
        <v/>
      </c>
      <c r="FC325" s="157" t="str">
        <f t="array" ref="FC32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2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25" s="134">
        <f>IFERROR(SUM(Tabla_Buffers_Agroinsumos[[#This Row],[VL-MP]:[VL-LF]]),"")</f>
        <v>0</v>
      </c>
      <c r="FF325" s="92" t="str">
        <f>IFERROR(Tabla_Buffers_Agroinsumos[[#This Row],[INV FIS VL]]-Tabla_Buffers_Agroinsumos[[#This Row],[BUFFER VL]],"")</f>
        <v/>
      </c>
      <c r="FG32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25" s="134"/>
      <c r="FI325" s="134"/>
      <c r="FJ325" s="134"/>
      <c r="FK325" s="134"/>
      <c r="FL325" s="134"/>
      <c r="FM325" s="134"/>
      <c r="FN325" s="134"/>
      <c r="FO325" s="134"/>
      <c r="FP325" s="134"/>
    </row>
    <row r="326" spans="1:172">
      <c r="A326" s="7" t="s">
        <v>551</v>
      </c>
      <c r="B326" s="7" t="s">
        <v>552</v>
      </c>
      <c r="C326" s="7" t="s">
        <v>707</v>
      </c>
      <c r="D326" s="7" t="s">
        <v>717</v>
      </c>
      <c r="E326" s="7" t="s">
        <v>863</v>
      </c>
      <c r="F326" s="19" t="s">
        <v>804</v>
      </c>
      <c r="G326" s="19" t="s">
        <v>802</v>
      </c>
      <c r="H326" s="19">
        <f>VLOOKUP(Tabla_Buffers_Agroinsumos[[#This Row],[CODIGO ]],TABLACONSOLIDADA[[Codigo]:[PV]],6,0)</f>
        <v>0</v>
      </c>
      <c r="I326" s="19">
        <f>VLOOKUP(Tabla_Buffers_Agroinsumos[[#This Row],[CODIGO ]],TABLACONSOLIDADA[[Codigo]:[PV]],5,0)</f>
        <v>500</v>
      </c>
      <c r="J326" s="19">
        <v>4</v>
      </c>
      <c r="K326" s="19">
        <v>4</v>
      </c>
      <c r="L326" s="19">
        <f>IFERROR(Tabla_Buffers_Agroinsumos[[#This Row],[BUFFER CENTRAL]]/((Tabla_Buffers_Agroinsumos[[#This Row],[TIEMPO REPOSICION ]]/Tabla_Buffers_Agroinsumos[[#This Row],[FRECUENCIA]])+1),0)</f>
        <v>0</v>
      </c>
      <c r="M326" s="19">
        <f t="array" ref="M326">IFERROR(INDEX(TABLACONSOLIDADA[Buff Act],MATCH("AGROINSUMOSMATERIAPRIMA"&amp;Tabla_Buffers_Agroinsumos[[#This Row],[CODIGO ]],TABLACONSOLIDADA[Bodega]&amp;TABLACONSOLIDADA[Codigo],0)),"")</f>
        <v>2</v>
      </c>
      <c r="N326" s="157">
        <f t="array" ref="N326">IFERROR(INDEX(TABLACONSOLIDADA[Inv Fís Act],MATCH("AGROINSUMOSMATERIAPRIMA"&amp;Tabla_Buffers_Agroinsumos[[#This Row],[CODIGO ]],TABLACONSOLIDADA[Bodega]&amp;TABLACONSOLIDADA[Codigo],0)),"")</f>
        <v>2.0015999999999998</v>
      </c>
      <c r="O326" s="157">
        <f t="array" ref="O32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2.0015999999999998</v>
      </c>
      <c r="P32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26" s="19">
        <f>IFERROR(SUM(Tabla_Buffers_Agroinsumos[[#This Row],[MP-C]:[MP-VL]]),"")</f>
        <v>0</v>
      </c>
      <c r="R326" s="92">
        <f>IFERROR(Tabla_Buffers_Agroinsumos[[#This Row],[INV FIS MATERIA PRIMA]]-Tabla_Buffers_Agroinsumos[[#This Row],[BUFFER MATERIA PRIMA]],"")</f>
        <v>1.5999999999998238E-3</v>
      </c>
      <c r="S326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1.5999999999998238E-3</v>
      </c>
      <c r="T326" s="19"/>
      <c r="U326" s="19"/>
      <c r="V326" s="19"/>
      <c r="W326" s="19"/>
      <c r="X326" s="19"/>
      <c r="Y326" s="19"/>
      <c r="Z326" s="19"/>
      <c r="AA326" s="19"/>
      <c r="AB326" s="19"/>
      <c r="AC326" s="152" t="str">
        <f t="array" ref="AC326">IFERROR(INDEX(TABLACONSOLIDADA[Buff Act],MATCH("AGROINSUMOSCENTRAL"&amp;Tabla_Buffers_Agroinsumos[[#This Row],[CODIGO ]],TABLACONSOLIDADA[Bodega]&amp;TABLACONSOLIDADA[Codigo],0)),"")</f>
        <v/>
      </c>
      <c r="AD326" s="157" t="str">
        <f t="array" ref="AD326">IFERROR(INDEX(TABLACONSOLIDADA[Inv Fís Act],MATCH("AGROINSUMOSCENTRAL"&amp;Tabla_Buffers_Agroinsumos[[#This Row],[CODIGO ]],TABLACONSOLIDADA[Bodega]&amp;TABLACONSOLIDADA[Codigo],0)),"")</f>
        <v/>
      </c>
      <c r="AE326" s="157" t="str">
        <f t="array" ref="AE32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2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26" s="91">
        <f>IFERROR(SUM(Tabla_Buffers_Agroinsumos[[#This Row],[C-MP]:[C-VL]]),"")</f>
        <v>0</v>
      </c>
      <c r="AH326" s="92" t="str">
        <f>IFERROR(Tabla_Buffers_Agroinsumos[[#This Row],[INV FIS CENTRAL]]-Tabla_Buffers_Agroinsumos[[#This Row],[BUFFER CENTRAL]],"")</f>
        <v/>
      </c>
      <c r="AI32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26" s="134"/>
      <c r="AK326" s="134"/>
      <c r="AL326" s="134"/>
      <c r="AM326" s="134"/>
      <c r="AN326" s="134"/>
      <c r="AO326" s="134"/>
      <c r="AP326" s="134"/>
      <c r="AQ326" s="134"/>
      <c r="AR326" s="134"/>
      <c r="AS326" s="134" t="str">
        <f t="array" ref="AS326">IFERROR(INDEX(TABLACONSOLIDADA[Buff Act],MATCH("AGROINSUMOScentralPROPIA"&amp;Tabla_Buffers_Agroinsumos[[#This Row],[CODIGO ]],TABLACONSOLIDADA[Bodega]&amp;TABLACONSOLIDADA[Codigo],0)),"")</f>
        <v/>
      </c>
      <c r="AT326" s="157" t="str">
        <f t="array" ref="AT326">IFERROR(INDEX(TABLACONSOLIDADA[Inv Fís Act],MATCH("AGROINSUMOScentralPROPIA"&amp;Tabla_Buffers_Agroinsumos[[#This Row],[CODIGO ]],TABLACONSOLIDADA[Bodega]&amp;TABLACONSOLIDADA[Codigo],0)),"")</f>
        <v/>
      </c>
      <c r="AU326" s="157" t="str">
        <f t="array" ref="AU32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2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26" s="134">
        <f>IFERROR(SUM(Tabla_Buffers_Agroinsumos[[#This Row],[P-MP]:[P-VL]]),"")</f>
        <v>0</v>
      </c>
      <c r="AX326" s="92" t="str">
        <f>IFERROR(Tabla_Buffers_Agroinsumos[[#This Row],[INV FIS PROPIA]]-Tabla_Buffers_Agroinsumos[[#This Row],[BUFFER PROPIA]],"")</f>
        <v/>
      </c>
      <c r="AY32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26" s="134"/>
      <c r="BA326" s="134"/>
      <c r="BB326" s="134"/>
      <c r="BC326" s="134"/>
      <c r="BD326" s="134"/>
      <c r="BE326" s="134"/>
      <c r="BF326" s="134"/>
      <c r="BG326" s="134"/>
      <c r="BH326" s="134"/>
      <c r="BI326" s="91" t="str">
        <f t="array" ref="BI326">IFERROR(INDEX(TABLACONSOLIDADA[Buff Act],MATCH("AGROINSUMOSSTODOMINGO"&amp;Tabla_Buffers_Agroinsumos[[#This Row],[CODIGO ]],TABLACONSOLIDADA[Bodega]&amp;TABLACONSOLIDADA[Codigo],0)),"")</f>
        <v/>
      </c>
      <c r="BJ326" s="157" t="str">
        <f t="array" ref="BJ326">IFERROR(INDEX(TABLACONSOLIDADA[Inv Fís Act],MATCH("AGROINSUMOSSTODOMINGO"&amp;Tabla_Buffers_Agroinsumos[[#This Row],[CODIGO ]],TABLACONSOLIDADA[Bodega]&amp;TABLACONSOLIDADA[Codigo],0)),"")</f>
        <v/>
      </c>
      <c r="BK326" s="157" t="str">
        <f t="array" ref="BK32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2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26" s="91">
        <f>IFERROR(SUM(Tabla_Buffers_Agroinsumos[[#This Row],[SD-MP]:[SD-VL]]),"")</f>
        <v>0</v>
      </c>
      <c r="BN326" s="92"/>
      <c r="BO326" s="92"/>
      <c r="BP326" s="134"/>
      <c r="BQ326" s="134"/>
      <c r="BR326" s="134"/>
      <c r="BS326" s="134"/>
      <c r="BT326" s="134"/>
      <c r="BU326" s="134"/>
      <c r="BV326" s="134"/>
      <c r="BW326" s="134"/>
      <c r="BX326" s="134"/>
      <c r="BY326" s="134" t="str">
        <f t="array" ref="BY326">IFERROR(INDEX(TABLACONSOLIDADA[Buff Act],MATCH("AGROINSUMOSMONCAYOLOPEZ"&amp;Tabla_Buffers_Agroinsumos[[#This Row],[CODIGO ]],TABLACONSOLIDADA[Bodega]&amp;TABLACONSOLIDADA[Codigo],0)),"")</f>
        <v/>
      </c>
      <c r="BZ326" s="157" t="str">
        <f t="array" ref="BZ326">IFERROR(INDEX(TABLACONSOLIDADA[Inv Fís Act],MATCH("AGROINSUMOSMONCAYOLOPEZ"&amp;Tabla_Buffers_Agroinsumos[[#This Row],[CODIGO ]],TABLACONSOLIDADA[Bodega]&amp;TABLACONSOLIDADA[Codigo],0)),"")</f>
        <v/>
      </c>
      <c r="CA326" s="157" t="str">
        <f t="array" ref="CA32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2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26" s="134">
        <f>IFERROR(SUM(Tabla_Buffers_Agroinsumos[[#This Row],[ML-MP]:[ML-VL]]),"")</f>
        <v>0</v>
      </c>
      <c r="CD326" s="92" t="str">
        <f>IFERROR(Tabla_Buffers_Agroinsumos[[#This Row],[INV FIS ML]]-Tabla_Buffers_Agroinsumos[[#This Row],[BUFFER ML]],"")</f>
        <v/>
      </c>
      <c r="CE32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26" s="134"/>
      <c r="CG326" s="134"/>
      <c r="CH326" s="134"/>
      <c r="CI326" s="134"/>
      <c r="CJ326" s="134"/>
      <c r="CK326" s="134"/>
      <c r="CL326" s="134"/>
      <c r="CM326" s="134"/>
      <c r="CN326" s="134"/>
      <c r="CO326" s="134" t="str">
        <f t="array" ref="CO326">IFERROR(INDEX(TABLACONSOLIDADA[Buff Act],MATCH("AGROINSUMOSAGROHERMANOSLEON"&amp;Tabla_Buffers_Agroinsumos[[#This Row],[CODIGO ]],TABLACONSOLIDADA[Bodega]&amp;TABLACONSOLIDADA[Codigo],0)),"")</f>
        <v/>
      </c>
      <c r="CP326" s="157" t="str">
        <f t="array" ref="CP326">IFERROR(INDEX(TABLACONSOLIDADA[Inv Fís Act],MATCH("AGROINSUMOSAGROHERMANOSLEON"&amp;Tabla_Buffers_Agroinsumos[[#This Row],[CODIGO ]],TABLACONSOLIDADA[Bodega]&amp;TABLACONSOLIDADA[Codigo],0)),"")</f>
        <v/>
      </c>
      <c r="CQ326" s="157" t="str">
        <f t="array" ref="CQ32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2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26" s="134">
        <f>IFERROR(SUM(Tabla_Buffers_Agroinsumos[[#This Row],[AL-MP]:[AL-VL]]),"")</f>
        <v>0</v>
      </c>
      <c r="CT326" s="92" t="str">
        <f>IFERROR(Tabla_Buffers_Agroinsumos[[#This Row],[INV FIS AL]]-Tabla_Buffers_Agroinsumos[[#This Row],[BUFFER AL]],"")</f>
        <v/>
      </c>
      <c r="CU32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26" s="134"/>
      <c r="CW326" s="134"/>
      <c r="CX326" s="134"/>
      <c r="CY326" s="134"/>
      <c r="CZ326" s="134"/>
      <c r="DA326" s="134"/>
      <c r="DB326" s="134"/>
      <c r="DC326" s="134"/>
      <c r="DD326" s="134"/>
      <c r="DE326" s="134" t="str">
        <f t="array" ref="DE326">IFERROR(INDEX(TABLACONSOLIDADA[Buff Act],MATCH("AGROINSUMOSAGRONUEVO"&amp;Tabla_Buffers_Agroinsumos[[#This Row],[CODIGO ]],TABLACONSOLIDADA[Bodega]&amp;TABLACONSOLIDADA[Codigo],0)),"")</f>
        <v/>
      </c>
      <c r="DF326" s="157" t="str">
        <f t="array" ref="DF326">IFERROR(INDEX(TABLACONSOLIDADA[Inv Fís Act],MATCH("AGROINSUMOSAGRONUEVO"&amp;Tabla_Buffers_Agroinsumos[[#This Row],[CODIGO ]],TABLACONSOLIDADA[Bodega]&amp;TABLACONSOLIDADA[Codigo],0)),"")</f>
        <v/>
      </c>
      <c r="DG326" s="157" t="str">
        <f t="array" ref="DG32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2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26" s="134">
        <f>IFERROR(SUM(Tabla_Buffers_Agroinsumos[[#This Row],[AN-MP]:[AN-VL]]),"")</f>
        <v>0</v>
      </c>
      <c r="DJ326" s="92" t="str">
        <f>IFERROR(Tabla_Buffers_Agroinsumos[[#This Row],[INV FIS AN]]-Tabla_Buffers_Agroinsumos[[#This Row],[BUFFER AN]],"")</f>
        <v/>
      </c>
      <c r="DK32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26" s="134"/>
      <c r="DM326" s="134"/>
      <c r="DN326" s="134"/>
      <c r="DO326" s="134"/>
      <c r="DP326" s="134"/>
      <c r="DQ326" s="134"/>
      <c r="DR326" s="134"/>
      <c r="DS326" s="134"/>
      <c r="DT326" s="134"/>
      <c r="DU326" s="134" t="str">
        <f t="array" ref="DU326">IFERROR(INDEX(TABLACONSOLIDADA[Buff Act],MATCH("AGROINSUMOSAGROQUIMICOSSUR"&amp;Tabla_Buffers_Agroinsumos[[#This Row],[CODIGO ]],TABLACONSOLIDADA[Bodega]&amp;TABLACONSOLIDADA[Codigo],0)),"")</f>
        <v/>
      </c>
      <c r="DV326" s="157" t="str">
        <f t="array" ref="DV326">IFERROR(INDEX(TABLACONSOLIDADA[Inv Fís Act],MATCH("AGROINSUMOSAGROQUIMICOSSUR"&amp;Tabla_Buffers_Agroinsumos[[#This Row],[CODIGO ]],TABLACONSOLIDADA[Bodega]&amp;TABLACONSOLIDADA[Codigo],0)),"")</f>
        <v/>
      </c>
      <c r="DW326" s="157" t="str">
        <f t="array" ref="DW32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2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26" s="134">
        <f>IFERROR(SUM(Tabla_Buffers_Agroinsumos[[#This Row],[AS-MP]:[AS-VL]]),"")</f>
        <v>0</v>
      </c>
      <c r="DZ326" s="92" t="str">
        <f>IFERROR(Tabla_Buffers_Agroinsumos[[#This Row],[INV FIS AS]]-Tabla_Buffers_Agroinsumos[[#This Row],[BUFFER AS]],"")</f>
        <v/>
      </c>
      <c r="EA32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26" s="134"/>
      <c r="EC326" s="134"/>
      <c r="ED326" s="134"/>
      <c r="EE326" s="134"/>
      <c r="EF326" s="134"/>
      <c r="EG326" s="134"/>
      <c r="EH326" s="134"/>
      <c r="EI326" s="134"/>
      <c r="EJ326" s="134"/>
      <c r="EK326" s="134" t="str">
        <f t="array" ref="EK326">IFERROR(INDEX(TABLACONSOLIDADA[Buff Act],MATCH("AGROINSUMOSLAFINCA"&amp;Tabla_Buffers_Agroinsumos[[#This Row],[CODIGO ]],TABLACONSOLIDADA[Bodega]&amp;TABLACONSOLIDADA[Codigo],0)),"")</f>
        <v/>
      </c>
      <c r="EL326" s="157" t="str">
        <f t="array" ref="EL326">IFERROR(INDEX(TABLACONSOLIDADA[Inv Fís Act],MATCH("AGROINSUMOSLAFINCA"&amp;Tabla_Buffers_Agroinsumos[[#This Row],[CODIGO ]],TABLACONSOLIDADA[Bodega]&amp;TABLACONSOLIDADA[Codigo],0)),"")</f>
        <v/>
      </c>
      <c r="EM326" s="157" t="str">
        <f t="array" ref="EM32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2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26" s="134">
        <f>IFERROR(SUM(Tabla_Buffers_Agroinsumos[[#This Row],[LF-MP]:[LF-VL]]),"")</f>
        <v>0</v>
      </c>
      <c r="EP326" s="92" t="str">
        <f>IFERROR(Tabla_Buffers_Agroinsumos[[#This Row],[INV FIS LF]]-Tabla_Buffers_Agroinsumos[[#This Row],[BUFFER LF]],"")</f>
        <v/>
      </c>
      <c r="EQ32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26" s="134"/>
      <c r="ES326" s="134"/>
      <c r="ET326" s="134"/>
      <c r="EU326" s="134"/>
      <c r="EV326" s="134"/>
      <c r="EW326" s="134"/>
      <c r="EX326" s="134"/>
      <c r="EY326" s="134"/>
      <c r="EZ326" s="134"/>
      <c r="FA326" s="134" t="str">
        <f t="array" ref="FA326">IFERROR(INDEX(TABLACONSOLIDADA[Buff Act],MATCH("AGROINSUMOSVERONICALEDESMA"&amp;Tabla_Buffers_Agroinsumos[[#This Row],[CODIGO ]],TABLACONSOLIDADA[Bodega]&amp;TABLACONSOLIDADA[Codigo],0)),"")</f>
        <v/>
      </c>
      <c r="FB326" s="157" t="str">
        <f t="array" ref="FB326">IFERROR(INDEX(TABLACONSOLIDADA[Inv Fís Act],MATCH("AGROINSUMOSVERONICALEDESMA"&amp;Tabla_Buffers_Agroinsumos[[#This Row],[CODIGO ]],TABLACONSOLIDADA[Bodega]&amp;TABLACONSOLIDADA[Codigo],0)),"")</f>
        <v/>
      </c>
      <c r="FC326" s="157" t="str">
        <f t="array" ref="FC32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2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26" s="134">
        <f>IFERROR(SUM(Tabla_Buffers_Agroinsumos[[#This Row],[VL-MP]:[VL-LF]]),"")</f>
        <v>0</v>
      </c>
      <c r="FF326" s="92" t="str">
        <f>IFERROR(Tabla_Buffers_Agroinsumos[[#This Row],[INV FIS VL]]-Tabla_Buffers_Agroinsumos[[#This Row],[BUFFER VL]],"")</f>
        <v/>
      </c>
      <c r="FG32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26" s="134"/>
      <c r="FI326" s="134"/>
      <c r="FJ326" s="134"/>
      <c r="FK326" s="134"/>
      <c r="FL326" s="134"/>
      <c r="FM326" s="134"/>
      <c r="FN326" s="134"/>
      <c r="FO326" s="134"/>
      <c r="FP326" s="134"/>
    </row>
    <row r="327" spans="1:172">
      <c r="A327" s="7" t="s">
        <v>553</v>
      </c>
      <c r="B327" s="7" t="s">
        <v>554</v>
      </c>
      <c r="C327" s="7" t="s">
        <v>712</v>
      </c>
      <c r="D327" s="7" t="s">
        <v>715</v>
      </c>
      <c r="E327" s="7" t="s">
        <v>975</v>
      </c>
      <c r="F327" s="19" t="s">
        <v>698</v>
      </c>
      <c r="G327" s="19" t="s">
        <v>698</v>
      </c>
      <c r="H327" s="19">
        <f>VLOOKUP(Tabla_Buffers_Agroinsumos[[#This Row],[CODIGO ]],TABLACONSOLIDADA[[Codigo]:[PV]],6,0)</f>
        <v>7.59</v>
      </c>
      <c r="I327" s="19">
        <f>VLOOKUP(Tabla_Buffers_Agroinsumos[[#This Row],[CODIGO ]],TABLACONSOLIDADA[[Codigo]:[PV]],5,0)</f>
        <v>4.62</v>
      </c>
      <c r="J327" s="19" t="s">
        <v>698</v>
      </c>
      <c r="K327" s="19" t="s">
        <v>698</v>
      </c>
      <c r="L327" s="19">
        <f>IFERROR(Tabla_Buffers_Agroinsumos[[#This Row],[BUFFER CENTRAL]]/((Tabla_Buffers_Agroinsumos[[#This Row],[TIEMPO REPOSICION ]]/Tabla_Buffers_Agroinsumos[[#This Row],[FRECUENCIA]])+1),0)</f>
        <v>0</v>
      </c>
      <c r="M327" s="19" t="str">
        <f t="array" ref="M327">IFERROR(INDEX(TABLACONSOLIDADA[Buff Act],MATCH("AGROINSUMOSMATERIAPRIMA"&amp;Tabla_Buffers_Agroinsumos[[#This Row],[CODIGO ]],TABLACONSOLIDADA[Bodega]&amp;TABLACONSOLIDADA[Codigo],0)),"")</f>
        <v/>
      </c>
      <c r="N327" s="157" t="str">
        <f t="array" ref="N327">IFERROR(INDEX(TABLACONSOLIDADA[Inv Fís Act],MATCH("AGROINSUMOSMATERIAPRIMA"&amp;Tabla_Buffers_Agroinsumos[[#This Row],[CODIGO ]],TABLACONSOLIDADA[Bodega]&amp;TABLACONSOLIDADA[Codigo],0)),"")</f>
        <v/>
      </c>
      <c r="O327" s="157" t="str">
        <f t="array" ref="O32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2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27" s="19">
        <f>IFERROR(SUM(Tabla_Buffers_Agroinsumos[[#This Row],[MP-C]:[MP-VL]]),"")</f>
        <v>0</v>
      </c>
      <c r="R327" s="92" t="str">
        <f>IFERROR(Tabla_Buffers_Agroinsumos[[#This Row],[INV FIS MATERIA PRIMA]]-Tabla_Buffers_Agroinsumos[[#This Row],[BUFFER MATERIA PRIMA]],"")</f>
        <v/>
      </c>
      <c r="S32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27" s="19"/>
      <c r="U327" s="19"/>
      <c r="V327" s="19"/>
      <c r="W327" s="19"/>
      <c r="X327" s="19"/>
      <c r="Y327" s="19"/>
      <c r="Z327" s="19"/>
      <c r="AA327" s="19"/>
      <c r="AB327" s="19"/>
      <c r="AC327" s="152">
        <f t="array" ref="AC327">IFERROR(INDEX(TABLACONSOLIDADA[Buff Act],MATCH("AGROINSUMOSCENTRAL"&amp;Tabla_Buffers_Agroinsumos[[#This Row],[CODIGO ]],TABLACONSOLIDADA[Bodega]&amp;TABLACONSOLIDADA[Codigo],0)),"")</f>
        <v>0</v>
      </c>
      <c r="AD327" s="157">
        <f t="array" ref="AD327">IFERROR(INDEX(TABLACONSOLIDADA[Inv Fís Act],MATCH("AGROINSUMOSCENTRAL"&amp;Tabla_Buffers_Agroinsumos[[#This Row],[CODIGO ]],TABLACONSOLIDADA[Bodega]&amp;TABLACONSOLIDADA[Codigo],0)),"")</f>
        <v>0</v>
      </c>
      <c r="AE327" s="157">
        <f t="array" ref="AE32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2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27" s="91">
        <f>IFERROR(SUM(Tabla_Buffers_Agroinsumos[[#This Row],[C-MP]:[C-VL]]),"")</f>
        <v>0</v>
      </c>
      <c r="AH327" s="92">
        <f>IFERROR(Tabla_Buffers_Agroinsumos[[#This Row],[INV FIS CENTRAL]]-Tabla_Buffers_Agroinsumos[[#This Row],[BUFFER CENTRAL]],"")</f>
        <v>0</v>
      </c>
      <c r="AI32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27" s="134"/>
      <c r="AK327" s="134"/>
      <c r="AL327" s="134"/>
      <c r="AM327" s="134"/>
      <c r="AN327" s="134"/>
      <c r="AO327" s="134"/>
      <c r="AP327" s="134"/>
      <c r="AQ327" s="134"/>
      <c r="AR327" s="134"/>
      <c r="AS327" s="134">
        <f t="array" ref="AS327">IFERROR(INDEX(TABLACONSOLIDADA[Buff Act],MATCH("AGROINSUMOScentralPROPIA"&amp;Tabla_Buffers_Agroinsumos[[#This Row],[CODIGO ]],TABLACONSOLIDADA[Bodega]&amp;TABLACONSOLIDADA[Codigo],0)),"")</f>
        <v>120</v>
      </c>
      <c r="AT327" s="157">
        <f t="array" ref="AT327">IFERROR(INDEX(TABLACONSOLIDADA[Inv Fís Act],MATCH("AGROINSUMOScentralPROPIA"&amp;Tabla_Buffers_Agroinsumos[[#This Row],[CODIGO ]],TABLACONSOLIDADA[Bodega]&amp;TABLACONSOLIDADA[Codigo],0)),"")</f>
        <v>0</v>
      </c>
      <c r="AU327" s="157">
        <f t="array" ref="AU32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2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27" s="134">
        <f>IFERROR(SUM(Tabla_Buffers_Agroinsumos[[#This Row],[P-MP]:[P-VL]]),"")</f>
        <v>0</v>
      </c>
      <c r="AX327" s="92">
        <f>IFERROR(Tabla_Buffers_Agroinsumos[[#This Row],[INV FIS PROPIA]]-Tabla_Buffers_Agroinsumos[[#This Row],[BUFFER PROPIA]],"")</f>
        <v>-120</v>
      </c>
      <c r="AY32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-120</v>
      </c>
      <c r="AZ327" s="134"/>
      <c r="BA327" s="134"/>
      <c r="BB327" s="134"/>
      <c r="BC327" s="134"/>
      <c r="BD327" s="134"/>
      <c r="BE327" s="134"/>
      <c r="BF327" s="134"/>
      <c r="BG327" s="134"/>
      <c r="BH327" s="134"/>
      <c r="BI327" s="91">
        <f t="array" ref="BI327">IFERROR(INDEX(TABLACONSOLIDADA[Buff Act],MATCH("AGROINSUMOSSTODOMINGO"&amp;Tabla_Buffers_Agroinsumos[[#This Row],[CODIGO ]],TABLACONSOLIDADA[Bodega]&amp;TABLACONSOLIDADA[Codigo],0)),"")</f>
        <v>0</v>
      </c>
      <c r="BJ327" s="157">
        <f t="array" ref="BJ327">IFERROR(INDEX(TABLACONSOLIDADA[Inv Fís Act],MATCH("AGROINSUMOSSTODOMINGO"&amp;Tabla_Buffers_Agroinsumos[[#This Row],[CODIGO ]],TABLACONSOLIDADA[Bodega]&amp;TABLACONSOLIDADA[Codigo],0)),"")</f>
        <v>0</v>
      </c>
      <c r="BK327" s="157">
        <f t="array" ref="BK32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2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27" s="91">
        <f>IFERROR(SUM(Tabla_Buffers_Agroinsumos[[#This Row],[SD-MP]:[SD-VL]]),"")</f>
        <v>0</v>
      </c>
      <c r="BN327" s="92"/>
      <c r="BO327" s="92"/>
      <c r="BP327" s="134"/>
      <c r="BQ327" s="134"/>
      <c r="BR327" s="134"/>
      <c r="BS327" s="134"/>
      <c r="BT327" s="134"/>
      <c r="BU327" s="134"/>
      <c r="BV327" s="134"/>
      <c r="BW327" s="134"/>
      <c r="BX327" s="134"/>
      <c r="BY327" s="134">
        <f t="array" ref="BY327">IFERROR(INDEX(TABLACONSOLIDADA[Buff Act],MATCH("AGROINSUMOSMONCAYOLOPEZ"&amp;Tabla_Buffers_Agroinsumos[[#This Row],[CODIGO ]],TABLACONSOLIDADA[Bodega]&amp;TABLACONSOLIDADA[Codigo],0)),"")</f>
        <v>0</v>
      </c>
      <c r="BZ327" s="157">
        <f t="array" ref="BZ327">IFERROR(INDEX(TABLACONSOLIDADA[Inv Fís Act],MATCH("AGROINSUMOSMONCAYOLOPEZ"&amp;Tabla_Buffers_Agroinsumos[[#This Row],[CODIGO ]],TABLACONSOLIDADA[Bodega]&amp;TABLACONSOLIDADA[Codigo],0)),"")</f>
        <v>0</v>
      </c>
      <c r="CA327" s="157">
        <f t="array" ref="CA32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2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27" s="134">
        <f>IFERROR(SUM(Tabla_Buffers_Agroinsumos[[#This Row],[ML-MP]:[ML-VL]]),"")</f>
        <v>0</v>
      </c>
      <c r="CD327" s="92">
        <f>IFERROR(Tabla_Buffers_Agroinsumos[[#This Row],[INV FIS ML]]-Tabla_Buffers_Agroinsumos[[#This Row],[BUFFER ML]],"")</f>
        <v>0</v>
      </c>
      <c r="CE327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27" s="134"/>
      <c r="CG327" s="134"/>
      <c r="CH327" s="134"/>
      <c r="CI327" s="134"/>
      <c r="CJ327" s="134"/>
      <c r="CK327" s="134"/>
      <c r="CL327" s="134"/>
      <c r="CM327" s="134"/>
      <c r="CN327" s="134"/>
      <c r="CO327" s="134">
        <f t="array" ref="CO327">IFERROR(INDEX(TABLACONSOLIDADA[Buff Act],MATCH("AGROINSUMOSAGROHERMANOSLEON"&amp;Tabla_Buffers_Agroinsumos[[#This Row],[CODIGO ]],TABLACONSOLIDADA[Bodega]&amp;TABLACONSOLIDADA[Codigo],0)),"")</f>
        <v>0</v>
      </c>
      <c r="CP327" s="157">
        <f t="array" ref="CP327">IFERROR(INDEX(TABLACONSOLIDADA[Inv Fís Act],MATCH("AGROINSUMOSAGROHERMANOSLEON"&amp;Tabla_Buffers_Agroinsumos[[#This Row],[CODIGO ]],TABLACONSOLIDADA[Bodega]&amp;TABLACONSOLIDADA[Codigo],0)),"")</f>
        <v>0</v>
      </c>
      <c r="CQ327" s="157">
        <f t="array" ref="CQ32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2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27" s="134">
        <f>IFERROR(SUM(Tabla_Buffers_Agroinsumos[[#This Row],[AL-MP]:[AL-VL]]),"")</f>
        <v>0</v>
      </c>
      <c r="CT327" s="92">
        <f>IFERROR(Tabla_Buffers_Agroinsumos[[#This Row],[INV FIS AL]]-Tabla_Buffers_Agroinsumos[[#This Row],[BUFFER AL]],"")</f>
        <v>0</v>
      </c>
      <c r="CU32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27" s="134"/>
      <c r="CW327" s="134"/>
      <c r="CX327" s="134"/>
      <c r="CY327" s="134"/>
      <c r="CZ327" s="134"/>
      <c r="DA327" s="134"/>
      <c r="DB327" s="134"/>
      <c r="DC327" s="134"/>
      <c r="DD327" s="134"/>
      <c r="DE327" s="134">
        <f t="array" ref="DE327">IFERROR(INDEX(TABLACONSOLIDADA[Buff Act],MATCH("AGROINSUMOSAGRONUEVO"&amp;Tabla_Buffers_Agroinsumos[[#This Row],[CODIGO ]],TABLACONSOLIDADA[Bodega]&amp;TABLACONSOLIDADA[Codigo],0)),"")</f>
        <v>100</v>
      </c>
      <c r="DF327" s="157">
        <f t="array" ref="DF327">IFERROR(INDEX(TABLACONSOLIDADA[Inv Fís Act],MATCH("AGROINSUMOSAGRONUEVO"&amp;Tabla_Buffers_Agroinsumos[[#This Row],[CODIGO ]],TABLACONSOLIDADA[Bodega]&amp;TABLACONSOLIDADA[Codigo],0)),"")</f>
        <v>0</v>
      </c>
      <c r="DG327" s="157">
        <f t="array" ref="DG32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2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27" s="134">
        <f>IFERROR(SUM(Tabla_Buffers_Agroinsumos[[#This Row],[AN-MP]:[AN-VL]]),"")</f>
        <v>0</v>
      </c>
      <c r="DJ327" s="92">
        <f>IFERROR(Tabla_Buffers_Agroinsumos[[#This Row],[INV FIS AN]]-Tabla_Buffers_Agroinsumos[[#This Row],[BUFFER AN]],"")</f>
        <v>-100</v>
      </c>
      <c r="DK327" s="92">
        <f>IFERROR(Tabla_Buffers_Agroinsumos[[#This Row],[INV FIS AN]]+Tabla_Buffers_Agroinsumos[[#This Row],[TRANSFERENCIAS A AN]]-Tabla_Buffers_Agroinsumos[[#This Row],[BUFFER AN]]-Tabla_Buffers_Agroinsumos[[#This Row],[TRANSFERENCIAS DE AN]],"")</f>
        <v>-100</v>
      </c>
      <c r="DL327" s="134"/>
      <c r="DM327" s="134"/>
      <c r="DN327" s="134"/>
      <c r="DO327" s="134"/>
      <c r="DP327" s="134"/>
      <c r="DQ327" s="134"/>
      <c r="DR327" s="134"/>
      <c r="DS327" s="134"/>
      <c r="DT327" s="134"/>
      <c r="DU327" s="134">
        <f t="array" ref="DU327">IFERROR(INDEX(TABLACONSOLIDADA[Buff Act],MATCH("AGROINSUMOSAGROQUIMICOSSUR"&amp;Tabla_Buffers_Agroinsumos[[#This Row],[CODIGO ]],TABLACONSOLIDADA[Bodega]&amp;TABLACONSOLIDADA[Codigo],0)),"")</f>
        <v>0</v>
      </c>
      <c r="DV327" s="157">
        <f t="array" ref="DV327">IFERROR(INDEX(TABLACONSOLIDADA[Inv Fís Act],MATCH("AGROINSUMOSAGROQUIMICOSSUR"&amp;Tabla_Buffers_Agroinsumos[[#This Row],[CODIGO ]],TABLACONSOLIDADA[Bodega]&amp;TABLACONSOLIDADA[Codigo],0)),"")</f>
        <v>0</v>
      </c>
      <c r="DW327" s="157">
        <f t="array" ref="DW32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2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27" s="134">
        <f>IFERROR(SUM(Tabla_Buffers_Agroinsumos[[#This Row],[AS-MP]:[AS-VL]]),"")</f>
        <v>0</v>
      </c>
      <c r="DZ327" s="92">
        <f>IFERROR(Tabla_Buffers_Agroinsumos[[#This Row],[INV FIS AS]]-Tabla_Buffers_Agroinsumos[[#This Row],[BUFFER AS]],"")</f>
        <v>0</v>
      </c>
      <c r="EA32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27" s="134"/>
      <c r="EC327" s="134"/>
      <c r="ED327" s="134"/>
      <c r="EE327" s="134"/>
      <c r="EF327" s="134"/>
      <c r="EG327" s="134"/>
      <c r="EH327" s="134"/>
      <c r="EI327" s="134"/>
      <c r="EJ327" s="134"/>
      <c r="EK327" s="134">
        <f t="array" ref="EK327">IFERROR(INDEX(TABLACONSOLIDADA[Buff Act],MATCH("AGROINSUMOSLAFINCA"&amp;Tabla_Buffers_Agroinsumos[[#This Row],[CODIGO ]],TABLACONSOLIDADA[Bodega]&amp;TABLACONSOLIDADA[Codigo],0)),"")</f>
        <v>0</v>
      </c>
      <c r="EL327" s="157">
        <f t="array" ref="EL327">IFERROR(INDEX(TABLACONSOLIDADA[Inv Fís Act],MATCH("AGROINSUMOSLAFINCA"&amp;Tabla_Buffers_Agroinsumos[[#This Row],[CODIGO ]],TABLACONSOLIDADA[Bodega]&amp;TABLACONSOLIDADA[Codigo],0)),"")</f>
        <v>0</v>
      </c>
      <c r="EM327" s="157">
        <f t="array" ref="EM32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2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27" s="134">
        <f>IFERROR(SUM(Tabla_Buffers_Agroinsumos[[#This Row],[LF-MP]:[LF-VL]]),"")</f>
        <v>0</v>
      </c>
      <c r="EP327" s="92">
        <f>IFERROR(Tabla_Buffers_Agroinsumos[[#This Row],[INV FIS LF]]-Tabla_Buffers_Agroinsumos[[#This Row],[BUFFER LF]],"")</f>
        <v>0</v>
      </c>
      <c r="EQ32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27" s="134"/>
      <c r="ES327" s="134"/>
      <c r="ET327" s="134"/>
      <c r="EU327" s="134"/>
      <c r="EV327" s="134"/>
      <c r="EW327" s="134"/>
      <c r="EX327" s="134"/>
      <c r="EY327" s="134"/>
      <c r="EZ327" s="134"/>
      <c r="FA327" s="134">
        <f t="array" ref="FA327">IFERROR(INDEX(TABLACONSOLIDADA[Buff Act],MATCH("AGROINSUMOSVERONICALEDESMA"&amp;Tabla_Buffers_Agroinsumos[[#This Row],[CODIGO ]],TABLACONSOLIDADA[Bodega]&amp;TABLACONSOLIDADA[Codigo],0)),"")</f>
        <v>21</v>
      </c>
      <c r="FB327" s="157">
        <f t="array" ref="FB327">IFERROR(INDEX(TABLACONSOLIDADA[Inv Fís Act],MATCH("AGROINSUMOSVERONICALEDESMA"&amp;Tabla_Buffers_Agroinsumos[[#This Row],[CODIGO ]],TABLACONSOLIDADA[Bodega]&amp;TABLACONSOLIDADA[Codigo],0)),"")</f>
        <v>21</v>
      </c>
      <c r="FC327" s="157">
        <f t="array" ref="FC32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21</v>
      </c>
      <c r="FD32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27" s="134">
        <f>IFERROR(SUM(Tabla_Buffers_Agroinsumos[[#This Row],[VL-MP]:[VL-LF]]),"")</f>
        <v>0</v>
      </c>
      <c r="FF327" s="92">
        <f>IFERROR(Tabla_Buffers_Agroinsumos[[#This Row],[INV FIS VL]]-Tabla_Buffers_Agroinsumos[[#This Row],[BUFFER VL]],"")</f>
        <v>0</v>
      </c>
      <c r="FG32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27" s="134"/>
      <c r="FI327" s="134"/>
      <c r="FJ327" s="134"/>
      <c r="FK327" s="134"/>
      <c r="FL327" s="134"/>
      <c r="FM327" s="134"/>
      <c r="FN327" s="134"/>
      <c r="FO327" s="134"/>
      <c r="FP327" s="134"/>
    </row>
    <row r="328" spans="1:172">
      <c r="A328" s="7" t="s">
        <v>555</v>
      </c>
      <c r="B328" s="7" t="s">
        <v>556</v>
      </c>
      <c r="C328" s="7" t="s">
        <v>712</v>
      </c>
      <c r="D328" s="7" t="s">
        <v>719</v>
      </c>
      <c r="E328" s="7" t="s">
        <v>975</v>
      </c>
      <c r="F328" s="19" t="s">
        <v>698</v>
      </c>
      <c r="G328" s="19" t="s">
        <v>698</v>
      </c>
      <c r="H328" s="19">
        <f>VLOOKUP(Tabla_Buffers_Agroinsumos[[#This Row],[CODIGO ]],TABLACONSOLIDADA[[Codigo]:[PV]],6,0)</f>
        <v>0</v>
      </c>
      <c r="I328" s="19">
        <f>VLOOKUP(Tabla_Buffers_Agroinsumos[[#This Row],[CODIGO ]],TABLACONSOLIDADA[[Codigo]:[PV]],5,0)</f>
        <v>2.59</v>
      </c>
      <c r="J328" s="19" t="s">
        <v>698</v>
      </c>
      <c r="K328" s="19" t="s">
        <v>698</v>
      </c>
      <c r="L328" s="19">
        <f>IFERROR(Tabla_Buffers_Agroinsumos[[#This Row],[BUFFER CENTRAL]]/((Tabla_Buffers_Agroinsumos[[#This Row],[TIEMPO REPOSICION ]]/Tabla_Buffers_Agroinsumos[[#This Row],[FRECUENCIA]])+1),0)</f>
        <v>0</v>
      </c>
      <c r="M328" s="19" t="str">
        <f t="array" ref="M328">IFERROR(INDEX(TABLACONSOLIDADA[Buff Act],MATCH("AGROINSUMOSMATERIAPRIMA"&amp;Tabla_Buffers_Agroinsumos[[#This Row],[CODIGO ]],TABLACONSOLIDADA[Bodega]&amp;TABLACONSOLIDADA[Codigo],0)),"")</f>
        <v/>
      </c>
      <c r="N328" s="157" t="str">
        <f t="array" ref="N328">IFERROR(INDEX(TABLACONSOLIDADA[Inv Fís Act],MATCH("AGROINSUMOSMATERIAPRIMA"&amp;Tabla_Buffers_Agroinsumos[[#This Row],[CODIGO ]],TABLACONSOLIDADA[Bodega]&amp;TABLACONSOLIDADA[Codigo],0)),"")</f>
        <v/>
      </c>
      <c r="O328" s="157" t="str">
        <f t="array" ref="O32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2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28" s="19">
        <f>IFERROR(SUM(Tabla_Buffers_Agroinsumos[[#This Row],[MP-C]:[MP-VL]]),"")</f>
        <v>0</v>
      </c>
      <c r="R328" s="92" t="str">
        <f>IFERROR(Tabla_Buffers_Agroinsumos[[#This Row],[INV FIS MATERIA PRIMA]]-Tabla_Buffers_Agroinsumos[[#This Row],[BUFFER MATERIA PRIMA]],"")</f>
        <v/>
      </c>
      <c r="S32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28" s="19"/>
      <c r="U328" s="19"/>
      <c r="V328" s="19"/>
      <c r="W328" s="19"/>
      <c r="X328" s="19"/>
      <c r="Y328" s="19"/>
      <c r="Z328" s="19"/>
      <c r="AA328" s="19"/>
      <c r="AB328" s="19"/>
      <c r="AC328" s="152">
        <f t="array" ref="AC328">IFERROR(INDEX(TABLACONSOLIDADA[Buff Act],MATCH("AGROINSUMOSCENTRAL"&amp;Tabla_Buffers_Agroinsumos[[#This Row],[CODIGO ]],TABLACONSOLIDADA[Bodega]&amp;TABLACONSOLIDADA[Codigo],0)),"")</f>
        <v>1000</v>
      </c>
      <c r="AD328" s="157">
        <f t="array" ref="AD328">IFERROR(INDEX(TABLACONSOLIDADA[Inv Fís Act],MATCH("AGROINSUMOSCENTRAL"&amp;Tabla_Buffers_Agroinsumos[[#This Row],[CODIGO ]],TABLACONSOLIDADA[Bodega]&amp;TABLACONSOLIDADA[Codigo],0)),"")</f>
        <v>1140</v>
      </c>
      <c r="AE328" s="157">
        <f t="array" ref="AE32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1246</v>
      </c>
      <c r="AF32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28" s="91">
        <f>IFERROR(SUM(Tabla_Buffers_Agroinsumos[[#This Row],[C-MP]:[C-VL]]),"")</f>
        <v>0</v>
      </c>
      <c r="AH328" s="92">
        <f>IFERROR(Tabla_Buffers_Agroinsumos[[#This Row],[INV FIS CENTRAL]]-Tabla_Buffers_Agroinsumos[[#This Row],[BUFFER CENTRAL]],"")</f>
        <v>140</v>
      </c>
      <c r="AI32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140</v>
      </c>
      <c r="AJ328" s="134"/>
      <c r="AK328" s="134"/>
      <c r="AL328" s="134"/>
      <c r="AM328" s="134"/>
      <c r="AN328" s="134"/>
      <c r="AO328" s="134"/>
      <c r="AP328" s="134"/>
      <c r="AQ328" s="134"/>
      <c r="AR328" s="134"/>
      <c r="AS328" s="134">
        <f t="array" ref="AS328">IFERROR(INDEX(TABLACONSOLIDADA[Buff Act],MATCH("AGROINSUMOScentralPROPIA"&amp;Tabla_Buffers_Agroinsumos[[#This Row],[CODIGO ]],TABLACONSOLIDADA[Bodega]&amp;TABLACONSOLIDADA[Codigo],0)),"")</f>
        <v>300</v>
      </c>
      <c r="AT328" s="157">
        <f t="array" ref="AT328">IFERROR(INDEX(TABLACONSOLIDADA[Inv Fís Act],MATCH("AGROINSUMOScentralPROPIA"&amp;Tabla_Buffers_Agroinsumos[[#This Row],[CODIGO ]],TABLACONSOLIDADA[Bodega]&amp;TABLACONSOLIDADA[Codigo],0)),"")</f>
        <v>0</v>
      </c>
      <c r="AU328" s="157">
        <f t="array" ref="AU32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2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28" s="134">
        <f>IFERROR(SUM(Tabla_Buffers_Agroinsumos[[#This Row],[P-MP]:[P-VL]]),"")</f>
        <v>0</v>
      </c>
      <c r="AX328" s="92">
        <f>IFERROR(Tabla_Buffers_Agroinsumos[[#This Row],[INV FIS PROPIA]]-Tabla_Buffers_Agroinsumos[[#This Row],[BUFFER PROPIA]],"")</f>
        <v>-300</v>
      </c>
      <c r="AY32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-300</v>
      </c>
      <c r="AZ328" s="134"/>
      <c r="BA328" s="134"/>
      <c r="BB328" s="134"/>
      <c r="BC328" s="134"/>
      <c r="BD328" s="134"/>
      <c r="BE328" s="134"/>
      <c r="BF328" s="134"/>
      <c r="BG328" s="134"/>
      <c r="BH328" s="134"/>
      <c r="BI328" s="91">
        <f t="array" ref="BI328">IFERROR(INDEX(TABLACONSOLIDADA[Buff Act],MATCH("AGROINSUMOSSTODOMINGO"&amp;Tabla_Buffers_Agroinsumos[[#This Row],[CODIGO ]],TABLACONSOLIDADA[Bodega]&amp;TABLACONSOLIDADA[Codigo],0)),"")</f>
        <v>0</v>
      </c>
      <c r="BJ328" s="157">
        <f t="array" ref="BJ328">IFERROR(INDEX(TABLACONSOLIDADA[Inv Fís Act],MATCH("AGROINSUMOSSTODOMINGO"&amp;Tabla_Buffers_Agroinsumos[[#This Row],[CODIGO ]],TABLACONSOLIDADA[Bodega]&amp;TABLACONSOLIDADA[Codigo],0)),"")</f>
        <v>0</v>
      </c>
      <c r="BK328" s="157">
        <f t="array" ref="BK32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2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28" s="91">
        <f>IFERROR(SUM(Tabla_Buffers_Agroinsumos[[#This Row],[SD-MP]:[SD-VL]]),"")</f>
        <v>0</v>
      </c>
      <c r="BN328" s="92"/>
      <c r="BO328" s="92"/>
      <c r="BP328" s="134"/>
      <c r="BQ328" s="134"/>
      <c r="BR328" s="134"/>
      <c r="BS328" s="134"/>
      <c r="BT328" s="134"/>
      <c r="BU328" s="134"/>
      <c r="BV328" s="134"/>
      <c r="BW328" s="134"/>
      <c r="BX328" s="134"/>
      <c r="BY328" s="134">
        <f t="array" ref="BY328">IFERROR(INDEX(TABLACONSOLIDADA[Buff Act],MATCH("AGROINSUMOSMONCAYOLOPEZ"&amp;Tabla_Buffers_Agroinsumos[[#This Row],[CODIGO ]],TABLACONSOLIDADA[Bodega]&amp;TABLACONSOLIDADA[Codigo],0)),"")</f>
        <v>0</v>
      </c>
      <c r="BZ328" s="157">
        <f t="array" ref="BZ328">IFERROR(INDEX(TABLACONSOLIDADA[Inv Fís Act],MATCH("AGROINSUMOSMONCAYOLOPEZ"&amp;Tabla_Buffers_Agroinsumos[[#This Row],[CODIGO ]],TABLACONSOLIDADA[Bodega]&amp;TABLACONSOLIDADA[Codigo],0)),"")</f>
        <v>0</v>
      </c>
      <c r="CA328" s="157">
        <f t="array" ref="CA32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2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28" s="134">
        <f>IFERROR(SUM(Tabla_Buffers_Agroinsumos[[#This Row],[ML-MP]:[ML-VL]]),"")</f>
        <v>0</v>
      </c>
      <c r="CD328" s="92">
        <f>IFERROR(Tabla_Buffers_Agroinsumos[[#This Row],[INV FIS ML]]-Tabla_Buffers_Agroinsumos[[#This Row],[BUFFER ML]],"")</f>
        <v>0</v>
      </c>
      <c r="CE32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28" s="134"/>
      <c r="CG328" s="134"/>
      <c r="CH328" s="134"/>
      <c r="CI328" s="134"/>
      <c r="CJ328" s="134"/>
      <c r="CK328" s="134"/>
      <c r="CL328" s="134"/>
      <c r="CM328" s="134"/>
      <c r="CN328" s="134"/>
      <c r="CO328" s="134">
        <f t="array" ref="CO328">IFERROR(INDEX(TABLACONSOLIDADA[Buff Act],MATCH("AGROINSUMOSAGROHERMANOSLEON"&amp;Tabla_Buffers_Agroinsumos[[#This Row],[CODIGO ]],TABLACONSOLIDADA[Bodega]&amp;TABLACONSOLIDADA[Codigo],0)),"")</f>
        <v>0</v>
      </c>
      <c r="CP328" s="157">
        <f t="array" ref="CP328">IFERROR(INDEX(TABLACONSOLIDADA[Inv Fís Act],MATCH("AGROINSUMOSAGROHERMANOSLEON"&amp;Tabla_Buffers_Agroinsumos[[#This Row],[CODIGO ]],TABLACONSOLIDADA[Bodega]&amp;TABLACONSOLIDADA[Codigo],0)),"")</f>
        <v>0</v>
      </c>
      <c r="CQ328" s="157">
        <f t="array" ref="CQ32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2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28" s="134">
        <f>IFERROR(SUM(Tabla_Buffers_Agroinsumos[[#This Row],[AL-MP]:[AL-VL]]),"")</f>
        <v>0</v>
      </c>
      <c r="CT328" s="92">
        <f>IFERROR(Tabla_Buffers_Agroinsumos[[#This Row],[INV FIS AL]]-Tabla_Buffers_Agroinsumos[[#This Row],[BUFFER AL]],"")</f>
        <v>0</v>
      </c>
      <c r="CU32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28" s="134"/>
      <c r="CW328" s="134"/>
      <c r="CX328" s="134"/>
      <c r="CY328" s="134"/>
      <c r="CZ328" s="134"/>
      <c r="DA328" s="134"/>
      <c r="DB328" s="134"/>
      <c r="DC328" s="134"/>
      <c r="DD328" s="134"/>
      <c r="DE328" s="134">
        <f t="array" ref="DE328">IFERROR(INDEX(TABLACONSOLIDADA[Buff Act],MATCH("AGROINSUMOSAGRONUEVO"&amp;Tabla_Buffers_Agroinsumos[[#This Row],[CODIGO ]],TABLACONSOLIDADA[Bodega]&amp;TABLACONSOLIDADA[Codigo],0)),"")</f>
        <v>0</v>
      </c>
      <c r="DF328" s="157">
        <f t="array" ref="DF328">IFERROR(INDEX(TABLACONSOLIDADA[Inv Fís Act],MATCH("AGROINSUMOSAGRONUEVO"&amp;Tabla_Buffers_Agroinsumos[[#This Row],[CODIGO ]],TABLACONSOLIDADA[Bodega]&amp;TABLACONSOLIDADA[Codigo],0)),"")</f>
        <v>0</v>
      </c>
      <c r="DG328" s="157">
        <f t="array" ref="DG32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2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28" s="134">
        <f>IFERROR(SUM(Tabla_Buffers_Agroinsumos[[#This Row],[AN-MP]:[AN-VL]]),"")</f>
        <v>0</v>
      </c>
      <c r="DJ328" s="92">
        <f>IFERROR(Tabla_Buffers_Agroinsumos[[#This Row],[INV FIS AN]]-Tabla_Buffers_Agroinsumos[[#This Row],[BUFFER AN]],"")</f>
        <v>0</v>
      </c>
      <c r="DK32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28" s="134"/>
      <c r="DM328" s="134"/>
      <c r="DN328" s="134"/>
      <c r="DO328" s="134"/>
      <c r="DP328" s="134"/>
      <c r="DQ328" s="134"/>
      <c r="DR328" s="134"/>
      <c r="DS328" s="134"/>
      <c r="DT328" s="134"/>
      <c r="DU328" s="134">
        <f t="array" ref="DU328">IFERROR(INDEX(TABLACONSOLIDADA[Buff Act],MATCH("AGROINSUMOSAGROQUIMICOSSUR"&amp;Tabla_Buffers_Agroinsumos[[#This Row],[CODIGO ]],TABLACONSOLIDADA[Bodega]&amp;TABLACONSOLIDADA[Codigo],0)),"")</f>
        <v>0</v>
      </c>
      <c r="DV328" s="157">
        <f t="array" ref="DV328">IFERROR(INDEX(TABLACONSOLIDADA[Inv Fís Act],MATCH("AGROINSUMOSAGROQUIMICOSSUR"&amp;Tabla_Buffers_Agroinsumos[[#This Row],[CODIGO ]],TABLACONSOLIDADA[Bodega]&amp;TABLACONSOLIDADA[Codigo],0)),"")</f>
        <v>0</v>
      </c>
      <c r="DW328" s="157">
        <f t="array" ref="DW32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2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28" s="134">
        <f>IFERROR(SUM(Tabla_Buffers_Agroinsumos[[#This Row],[AS-MP]:[AS-VL]]),"")</f>
        <v>0</v>
      </c>
      <c r="DZ328" s="92">
        <f>IFERROR(Tabla_Buffers_Agroinsumos[[#This Row],[INV FIS AS]]-Tabla_Buffers_Agroinsumos[[#This Row],[BUFFER AS]],"")</f>
        <v>0</v>
      </c>
      <c r="EA32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28" s="134"/>
      <c r="EC328" s="134"/>
      <c r="ED328" s="134"/>
      <c r="EE328" s="134"/>
      <c r="EF328" s="134"/>
      <c r="EG328" s="134"/>
      <c r="EH328" s="134"/>
      <c r="EI328" s="134"/>
      <c r="EJ328" s="134"/>
      <c r="EK328" s="134">
        <f t="array" ref="EK328">IFERROR(INDEX(TABLACONSOLIDADA[Buff Act],MATCH("AGROINSUMOSLAFINCA"&amp;Tabla_Buffers_Agroinsumos[[#This Row],[CODIGO ]],TABLACONSOLIDADA[Bodega]&amp;TABLACONSOLIDADA[Codigo],0)),"")</f>
        <v>0</v>
      </c>
      <c r="EL328" s="157">
        <f t="array" ref="EL328">IFERROR(INDEX(TABLACONSOLIDADA[Inv Fís Act],MATCH("AGROINSUMOSLAFINCA"&amp;Tabla_Buffers_Agroinsumos[[#This Row],[CODIGO ]],TABLACONSOLIDADA[Bodega]&amp;TABLACONSOLIDADA[Codigo],0)),"")</f>
        <v>0</v>
      </c>
      <c r="EM328" s="157">
        <f t="array" ref="EM32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2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28" s="134">
        <f>IFERROR(SUM(Tabla_Buffers_Agroinsumos[[#This Row],[LF-MP]:[LF-VL]]),"")</f>
        <v>0</v>
      </c>
      <c r="EP328" s="92">
        <f>IFERROR(Tabla_Buffers_Agroinsumos[[#This Row],[INV FIS LF]]-Tabla_Buffers_Agroinsumos[[#This Row],[BUFFER LF]],"")</f>
        <v>0</v>
      </c>
      <c r="EQ32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28" s="134"/>
      <c r="ES328" s="134"/>
      <c r="ET328" s="134"/>
      <c r="EU328" s="134"/>
      <c r="EV328" s="134"/>
      <c r="EW328" s="134"/>
      <c r="EX328" s="134"/>
      <c r="EY328" s="134"/>
      <c r="EZ328" s="134"/>
      <c r="FA328" s="134">
        <f t="array" ref="FA328">IFERROR(INDEX(TABLACONSOLIDADA[Buff Act],MATCH("AGROINSUMOSVERONICALEDESMA"&amp;Tabla_Buffers_Agroinsumos[[#This Row],[CODIGO ]],TABLACONSOLIDADA[Bodega]&amp;TABLACONSOLIDADA[Codigo],0)),"")</f>
        <v>42</v>
      </c>
      <c r="FB328" s="157">
        <f t="array" ref="FB328">IFERROR(INDEX(TABLACONSOLIDADA[Inv Fís Act],MATCH("AGROINSUMOSVERONICALEDESMA"&amp;Tabla_Buffers_Agroinsumos[[#This Row],[CODIGO ]],TABLACONSOLIDADA[Bodega]&amp;TABLACONSOLIDADA[Codigo],0)),"")</f>
        <v>42</v>
      </c>
      <c r="FC328" s="157">
        <f t="array" ref="FC32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42</v>
      </c>
      <c r="FD32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28" s="134">
        <f>IFERROR(SUM(Tabla_Buffers_Agroinsumos[[#This Row],[VL-MP]:[VL-LF]]),"")</f>
        <v>0</v>
      </c>
      <c r="FF328" s="92">
        <f>IFERROR(Tabla_Buffers_Agroinsumos[[#This Row],[INV FIS VL]]-Tabla_Buffers_Agroinsumos[[#This Row],[BUFFER VL]],"")</f>
        <v>0</v>
      </c>
      <c r="FG32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28" s="134"/>
      <c r="FI328" s="134"/>
      <c r="FJ328" s="134"/>
      <c r="FK328" s="134"/>
      <c r="FL328" s="134"/>
      <c r="FM328" s="134"/>
      <c r="FN328" s="134"/>
      <c r="FO328" s="134"/>
      <c r="FP328" s="134"/>
    </row>
    <row r="329" spans="1:172">
      <c r="A329" s="7" t="s">
        <v>557</v>
      </c>
      <c r="B329" s="7" t="s">
        <v>558</v>
      </c>
      <c r="C329" s="7" t="s">
        <v>712</v>
      </c>
      <c r="D329" s="7" t="s">
        <v>719</v>
      </c>
      <c r="E329" s="7" t="s">
        <v>975</v>
      </c>
      <c r="F329" s="19" t="s">
        <v>698</v>
      </c>
      <c r="G329" s="19" t="s">
        <v>698</v>
      </c>
      <c r="H329" s="19">
        <f>VLOOKUP(Tabla_Buffers_Agroinsumos[[#This Row],[CODIGO ]],TABLACONSOLIDADA[[Codigo]:[PV]],6,0)</f>
        <v>0</v>
      </c>
      <c r="I329" s="19">
        <f>VLOOKUP(Tabla_Buffers_Agroinsumos[[#This Row],[CODIGO ]],TABLACONSOLIDADA[[Codigo]:[PV]],5,0)</f>
        <v>4.75</v>
      </c>
      <c r="J329" s="19" t="s">
        <v>698</v>
      </c>
      <c r="K329" s="19" t="s">
        <v>698</v>
      </c>
      <c r="L329" s="19">
        <f>IFERROR(Tabla_Buffers_Agroinsumos[[#This Row],[BUFFER CENTRAL]]/((Tabla_Buffers_Agroinsumos[[#This Row],[TIEMPO REPOSICION ]]/Tabla_Buffers_Agroinsumos[[#This Row],[FRECUENCIA]])+1),0)</f>
        <v>0</v>
      </c>
      <c r="M329" s="19" t="str">
        <f t="array" ref="M329">IFERROR(INDEX(TABLACONSOLIDADA[Buff Act],MATCH("AGROINSUMOSMATERIAPRIMA"&amp;Tabla_Buffers_Agroinsumos[[#This Row],[CODIGO ]],TABLACONSOLIDADA[Bodega]&amp;TABLACONSOLIDADA[Codigo],0)),"")</f>
        <v/>
      </c>
      <c r="N329" s="157" t="str">
        <f t="array" ref="N329">IFERROR(INDEX(TABLACONSOLIDADA[Inv Fís Act],MATCH("AGROINSUMOSMATERIAPRIMA"&amp;Tabla_Buffers_Agroinsumos[[#This Row],[CODIGO ]],TABLACONSOLIDADA[Bodega]&amp;TABLACONSOLIDADA[Codigo],0)),"")</f>
        <v/>
      </c>
      <c r="O329" s="157" t="str">
        <f t="array" ref="O32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2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29" s="19">
        <f>IFERROR(SUM(Tabla_Buffers_Agroinsumos[[#This Row],[MP-C]:[MP-VL]]),"")</f>
        <v>0</v>
      </c>
      <c r="R329" s="92" t="str">
        <f>IFERROR(Tabla_Buffers_Agroinsumos[[#This Row],[INV FIS MATERIA PRIMA]]-Tabla_Buffers_Agroinsumos[[#This Row],[BUFFER MATERIA PRIMA]],"")</f>
        <v/>
      </c>
      <c r="S32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29" s="19"/>
      <c r="U329" s="19"/>
      <c r="V329" s="19"/>
      <c r="W329" s="19"/>
      <c r="X329" s="19"/>
      <c r="Y329" s="19"/>
      <c r="Z329" s="19"/>
      <c r="AA329" s="19"/>
      <c r="AB329" s="19"/>
      <c r="AC329" s="152">
        <f t="array" ref="AC329">IFERROR(INDEX(TABLACONSOLIDADA[Buff Act],MATCH("AGROINSUMOSCENTRAL"&amp;Tabla_Buffers_Agroinsumos[[#This Row],[CODIGO ]],TABLACONSOLIDADA[Bodega]&amp;TABLACONSOLIDADA[Codigo],0)),"")</f>
        <v>1000</v>
      </c>
      <c r="AD329" s="157">
        <f t="array" ref="AD329">IFERROR(INDEX(TABLACONSOLIDADA[Inv Fís Act],MATCH("AGROINSUMOSCENTRAL"&amp;Tabla_Buffers_Agroinsumos[[#This Row],[CODIGO ]],TABLACONSOLIDADA[Bodega]&amp;TABLACONSOLIDADA[Codigo],0)),"")</f>
        <v>2670</v>
      </c>
      <c r="AE329" s="157">
        <f t="array" ref="AE32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2670</v>
      </c>
      <c r="AF32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29" s="91">
        <f>IFERROR(SUM(Tabla_Buffers_Agroinsumos[[#This Row],[C-MP]:[C-VL]]),"")</f>
        <v>0</v>
      </c>
      <c r="AH329" s="92">
        <f>IFERROR(Tabla_Buffers_Agroinsumos[[#This Row],[INV FIS CENTRAL]]-Tabla_Buffers_Agroinsumos[[#This Row],[BUFFER CENTRAL]],"")</f>
        <v>1670</v>
      </c>
      <c r="AI32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1670</v>
      </c>
      <c r="AJ329" s="134"/>
      <c r="AK329" s="134"/>
      <c r="AL329" s="134"/>
      <c r="AM329" s="134"/>
      <c r="AN329" s="134"/>
      <c r="AO329" s="134"/>
      <c r="AP329" s="134"/>
      <c r="AQ329" s="134"/>
      <c r="AR329" s="134"/>
      <c r="AS329" s="134">
        <f t="array" ref="AS329">IFERROR(INDEX(TABLACONSOLIDADA[Buff Act],MATCH("AGROINSUMOScentralPROPIA"&amp;Tabla_Buffers_Agroinsumos[[#This Row],[CODIGO ]],TABLACONSOLIDADA[Bodega]&amp;TABLACONSOLIDADA[Codigo],0)),"")</f>
        <v>600</v>
      </c>
      <c r="AT329" s="157">
        <f t="array" ref="AT329">IFERROR(INDEX(TABLACONSOLIDADA[Inv Fís Act],MATCH("AGROINSUMOScentralPROPIA"&amp;Tabla_Buffers_Agroinsumos[[#This Row],[CODIGO ]],TABLACONSOLIDADA[Bodega]&amp;TABLACONSOLIDADA[Codigo],0)),"")</f>
        <v>0</v>
      </c>
      <c r="AU329" s="157">
        <f t="array" ref="AU32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2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29" s="134">
        <f>IFERROR(SUM(Tabla_Buffers_Agroinsumos[[#This Row],[P-MP]:[P-VL]]),"")</f>
        <v>0</v>
      </c>
      <c r="AX329" s="92">
        <f>IFERROR(Tabla_Buffers_Agroinsumos[[#This Row],[INV FIS PROPIA]]-Tabla_Buffers_Agroinsumos[[#This Row],[BUFFER PROPIA]],"")</f>
        <v>-600</v>
      </c>
      <c r="AY32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-600</v>
      </c>
      <c r="AZ329" s="134"/>
      <c r="BA329" s="134"/>
      <c r="BB329" s="134"/>
      <c r="BC329" s="134"/>
      <c r="BD329" s="134"/>
      <c r="BE329" s="134"/>
      <c r="BF329" s="134"/>
      <c r="BG329" s="134"/>
      <c r="BH329" s="134"/>
      <c r="BI329" s="91">
        <f t="array" ref="BI329">IFERROR(INDEX(TABLACONSOLIDADA[Buff Act],MATCH("AGROINSUMOSSTODOMINGO"&amp;Tabla_Buffers_Agroinsumos[[#This Row],[CODIGO ]],TABLACONSOLIDADA[Bodega]&amp;TABLACONSOLIDADA[Codigo],0)),"")</f>
        <v>0</v>
      </c>
      <c r="BJ329" s="157">
        <f t="array" ref="BJ329">IFERROR(INDEX(TABLACONSOLIDADA[Inv Fís Act],MATCH("AGROINSUMOSSTODOMINGO"&amp;Tabla_Buffers_Agroinsumos[[#This Row],[CODIGO ]],TABLACONSOLIDADA[Bodega]&amp;TABLACONSOLIDADA[Codigo],0)),"")</f>
        <v>30</v>
      </c>
      <c r="BK329" s="157">
        <f t="array" ref="BK32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30</v>
      </c>
      <c r="BL32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29" s="91">
        <f>IFERROR(SUM(Tabla_Buffers_Agroinsumos[[#This Row],[SD-MP]:[SD-VL]]),"")</f>
        <v>0</v>
      </c>
      <c r="BN329" s="92"/>
      <c r="BO329" s="92"/>
      <c r="BP329" s="134"/>
      <c r="BQ329" s="134"/>
      <c r="BR329" s="134"/>
      <c r="BS329" s="134"/>
      <c r="BT329" s="134"/>
      <c r="BU329" s="134"/>
      <c r="BV329" s="134"/>
      <c r="BW329" s="134"/>
      <c r="BX329" s="134"/>
      <c r="BY329" s="134">
        <f t="array" ref="BY329">IFERROR(INDEX(TABLACONSOLIDADA[Buff Act],MATCH("AGROINSUMOSMONCAYOLOPEZ"&amp;Tabla_Buffers_Agroinsumos[[#This Row],[CODIGO ]],TABLACONSOLIDADA[Bodega]&amp;TABLACONSOLIDADA[Codigo],0)),"")</f>
        <v>0</v>
      </c>
      <c r="BZ329" s="157">
        <f t="array" ref="BZ329">IFERROR(INDEX(TABLACONSOLIDADA[Inv Fís Act],MATCH("AGROINSUMOSMONCAYOLOPEZ"&amp;Tabla_Buffers_Agroinsumos[[#This Row],[CODIGO ]],TABLACONSOLIDADA[Bodega]&amp;TABLACONSOLIDADA[Codigo],0)),"")</f>
        <v>0</v>
      </c>
      <c r="CA329" s="157">
        <f t="array" ref="CA32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2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29" s="134">
        <f>IFERROR(SUM(Tabla_Buffers_Agroinsumos[[#This Row],[ML-MP]:[ML-VL]]),"")</f>
        <v>0</v>
      </c>
      <c r="CD329" s="92">
        <f>IFERROR(Tabla_Buffers_Agroinsumos[[#This Row],[INV FIS ML]]-Tabla_Buffers_Agroinsumos[[#This Row],[BUFFER ML]],"")</f>
        <v>0</v>
      </c>
      <c r="CE32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29" s="134"/>
      <c r="CG329" s="134"/>
      <c r="CH329" s="134"/>
      <c r="CI329" s="134"/>
      <c r="CJ329" s="134"/>
      <c r="CK329" s="134"/>
      <c r="CL329" s="134"/>
      <c r="CM329" s="134"/>
      <c r="CN329" s="134"/>
      <c r="CO329" s="134">
        <f t="array" ref="CO329">IFERROR(INDEX(TABLACONSOLIDADA[Buff Act],MATCH("AGROINSUMOSAGROHERMANOSLEON"&amp;Tabla_Buffers_Agroinsumos[[#This Row],[CODIGO ]],TABLACONSOLIDADA[Bodega]&amp;TABLACONSOLIDADA[Codigo],0)),"")</f>
        <v>20</v>
      </c>
      <c r="CP329" s="157">
        <f t="array" ref="CP329">IFERROR(INDEX(TABLACONSOLIDADA[Inv Fís Act],MATCH("AGROINSUMOSAGROHERMANOSLEON"&amp;Tabla_Buffers_Agroinsumos[[#This Row],[CODIGO ]],TABLACONSOLIDADA[Bodega]&amp;TABLACONSOLIDADA[Codigo],0)),"")</f>
        <v>20</v>
      </c>
      <c r="CQ329" s="157">
        <f t="array" ref="CQ32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20</v>
      </c>
      <c r="CR32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29" s="134">
        <f>IFERROR(SUM(Tabla_Buffers_Agroinsumos[[#This Row],[AL-MP]:[AL-VL]]),"")</f>
        <v>0</v>
      </c>
      <c r="CT329" s="92">
        <f>IFERROR(Tabla_Buffers_Agroinsumos[[#This Row],[INV FIS AL]]-Tabla_Buffers_Agroinsumos[[#This Row],[BUFFER AL]],"")</f>
        <v>0</v>
      </c>
      <c r="CU329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29" s="134"/>
      <c r="CW329" s="134"/>
      <c r="CX329" s="134"/>
      <c r="CY329" s="134"/>
      <c r="CZ329" s="134"/>
      <c r="DA329" s="134"/>
      <c r="DB329" s="134"/>
      <c r="DC329" s="134"/>
      <c r="DD329" s="134"/>
      <c r="DE329" s="134">
        <f t="array" ref="DE329">IFERROR(INDEX(TABLACONSOLIDADA[Buff Act],MATCH("AGROINSUMOSAGRONUEVO"&amp;Tabla_Buffers_Agroinsumos[[#This Row],[CODIGO ]],TABLACONSOLIDADA[Bodega]&amp;TABLACONSOLIDADA[Codigo],0)),"")</f>
        <v>0</v>
      </c>
      <c r="DF329" s="157">
        <f t="array" ref="DF329">IFERROR(INDEX(TABLACONSOLIDADA[Inv Fís Act],MATCH("AGROINSUMOSAGRONUEVO"&amp;Tabla_Buffers_Agroinsumos[[#This Row],[CODIGO ]],TABLACONSOLIDADA[Bodega]&amp;TABLACONSOLIDADA[Codigo],0)),"")</f>
        <v>0</v>
      </c>
      <c r="DG329" s="157">
        <f t="array" ref="DG32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2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29" s="134">
        <f>IFERROR(SUM(Tabla_Buffers_Agroinsumos[[#This Row],[AN-MP]:[AN-VL]]),"")</f>
        <v>0</v>
      </c>
      <c r="DJ329" s="92">
        <f>IFERROR(Tabla_Buffers_Agroinsumos[[#This Row],[INV FIS AN]]-Tabla_Buffers_Agroinsumos[[#This Row],[BUFFER AN]],"")</f>
        <v>0</v>
      </c>
      <c r="DK32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29" s="134"/>
      <c r="DM329" s="134"/>
      <c r="DN329" s="134"/>
      <c r="DO329" s="134"/>
      <c r="DP329" s="134"/>
      <c r="DQ329" s="134"/>
      <c r="DR329" s="134"/>
      <c r="DS329" s="134"/>
      <c r="DT329" s="134"/>
      <c r="DU329" s="134">
        <f t="array" ref="DU329">IFERROR(INDEX(TABLACONSOLIDADA[Buff Act],MATCH("AGROINSUMOSAGROQUIMICOSSUR"&amp;Tabla_Buffers_Agroinsumos[[#This Row],[CODIGO ]],TABLACONSOLIDADA[Bodega]&amp;TABLACONSOLIDADA[Codigo],0)),"")</f>
        <v>0</v>
      </c>
      <c r="DV329" s="157">
        <f t="array" ref="DV329">IFERROR(INDEX(TABLACONSOLIDADA[Inv Fís Act],MATCH("AGROINSUMOSAGROQUIMICOSSUR"&amp;Tabla_Buffers_Agroinsumos[[#This Row],[CODIGO ]],TABLACONSOLIDADA[Bodega]&amp;TABLACONSOLIDADA[Codigo],0)),"")</f>
        <v>0</v>
      </c>
      <c r="DW329" s="157">
        <f t="array" ref="DW32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2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29" s="134">
        <f>IFERROR(SUM(Tabla_Buffers_Agroinsumos[[#This Row],[AS-MP]:[AS-VL]]),"")</f>
        <v>0</v>
      </c>
      <c r="DZ329" s="92">
        <f>IFERROR(Tabla_Buffers_Agroinsumos[[#This Row],[INV FIS AS]]-Tabla_Buffers_Agroinsumos[[#This Row],[BUFFER AS]],"")</f>
        <v>0</v>
      </c>
      <c r="EA32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29" s="134"/>
      <c r="EC329" s="134"/>
      <c r="ED329" s="134"/>
      <c r="EE329" s="134"/>
      <c r="EF329" s="134"/>
      <c r="EG329" s="134"/>
      <c r="EH329" s="134"/>
      <c r="EI329" s="134"/>
      <c r="EJ329" s="134"/>
      <c r="EK329" s="134">
        <f t="array" ref="EK329">IFERROR(INDEX(TABLACONSOLIDADA[Buff Act],MATCH("AGROINSUMOSLAFINCA"&amp;Tabla_Buffers_Agroinsumos[[#This Row],[CODIGO ]],TABLACONSOLIDADA[Bodega]&amp;TABLACONSOLIDADA[Codigo],0)),"")</f>
        <v>0</v>
      </c>
      <c r="EL329" s="157">
        <f t="array" ref="EL329">IFERROR(INDEX(TABLACONSOLIDADA[Inv Fís Act],MATCH("AGROINSUMOSLAFINCA"&amp;Tabla_Buffers_Agroinsumos[[#This Row],[CODIGO ]],TABLACONSOLIDADA[Bodega]&amp;TABLACONSOLIDADA[Codigo],0)),"")</f>
        <v>0</v>
      </c>
      <c r="EM329" s="157">
        <f t="array" ref="EM32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2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29" s="134">
        <f>IFERROR(SUM(Tabla_Buffers_Agroinsumos[[#This Row],[LF-MP]:[LF-VL]]),"")</f>
        <v>0</v>
      </c>
      <c r="EP329" s="92">
        <f>IFERROR(Tabla_Buffers_Agroinsumos[[#This Row],[INV FIS LF]]-Tabla_Buffers_Agroinsumos[[#This Row],[BUFFER LF]],"")</f>
        <v>0</v>
      </c>
      <c r="EQ32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29" s="134"/>
      <c r="ES329" s="134"/>
      <c r="ET329" s="134"/>
      <c r="EU329" s="134"/>
      <c r="EV329" s="134"/>
      <c r="EW329" s="134"/>
      <c r="EX329" s="134"/>
      <c r="EY329" s="134"/>
      <c r="EZ329" s="134"/>
      <c r="FA329" s="134">
        <f t="array" ref="FA329">IFERROR(INDEX(TABLACONSOLIDADA[Buff Act],MATCH("AGROINSUMOSVERONICALEDESMA"&amp;Tabla_Buffers_Agroinsumos[[#This Row],[CODIGO ]],TABLACONSOLIDADA[Bodega]&amp;TABLACONSOLIDADA[Codigo],0)),"")</f>
        <v>42</v>
      </c>
      <c r="FB329" s="157">
        <f t="array" ref="FB329">IFERROR(INDEX(TABLACONSOLIDADA[Inv Fís Act],MATCH("AGROINSUMOSVERONICALEDESMA"&amp;Tabla_Buffers_Agroinsumos[[#This Row],[CODIGO ]],TABLACONSOLIDADA[Bodega]&amp;TABLACONSOLIDADA[Codigo],0)),"")</f>
        <v>42</v>
      </c>
      <c r="FC329" s="157">
        <f t="array" ref="FC32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42</v>
      </c>
      <c r="FD32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29" s="134">
        <f>IFERROR(SUM(Tabla_Buffers_Agroinsumos[[#This Row],[VL-MP]:[VL-LF]]),"")</f>
        <v>0</v>
      </c>
      <c r="FF329" s="92">
        <f>IFERROR(Tabla_Buffers_Agroinsumos[[#This Row],[INV FIS VL]]-Tabla_Buffers_Agroinsumos[[#This Row],[BUFFER VL]],"")</f>
        <v>0</v>
      </c>
      <c r="FG32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29" s="134"/>
      <c r="FI329" s="134"/>
      <c r="FJ329" s="134"/>
      <c r="FK329" s="134"/>
      <c r="FL329" s="134"/>
      <c r="FM329" s="134"/>
      <c r="FN329" s="134"/>
      <c r="FO329" s="134"/>
      <c r="FP329" s="134"/>
    </row>
    <row r="330" spans="1:172">
      <c r="A330" s="7" t="s">
        <v>559</v>
      </c>
      <c r="B330" s="7" t="s">
        <v>560</v>
      </c>
      <c r="C330" s="7" t="s">
        <v>712</v>
      </c>
      <c r="D330" s="7" t="s">
        <v>719</v>
      </c>
      <c r="E330" s="7" t="s">
        <v>975</v>
      </c>
      <c r="F330" s="19" t="s">
        <v>698</v>
      </c>
      <c r="G330" s="19" t="s">
        <v>698</v>
      </c>
      <c r="H330" s="19">
        <f>VLOOKUP(Tabla_Buffers_Agroinsumos[[#This Row],[CODIGO ]],TABLACONSOLIDADA[[Codigo]:[PV]],6,0)</f>
        <v>4.8899999999999997</v>
      </c>
      <c r="I330" s="19">
        <f>VLOOKUP(Tabla_Buffers_Agroinsumos[[#This Row],[CODIGO ]],TABLACONSOLIDADA[[Codigo]:[PV]],5,0)</f>
        <v>2.4</v>
      </c>
      <c r="J330" s="19" t="s">
        <v>698</v>
      </c>
      <c r="K330" s="19" t="s">
        <v>698</v>
      </c>
      <c r="L330" s="19">
        <f>IFERROR(Tabla_Buffers_Agroinsumos[[#This Row],[BUFFER CENTRAL]]/((Tabla_Buffers_Agroinsumos[[#This Row],[TIEMPO REPOSICION ]]/Tabla_Buffers_Agroinsumos[[#This Row],[FRECUENCIA]])+1),0)</f>
        <v>0</v>
      </c>
      <c r="M330" s="19" t="str">
        <f t="array" ref="M330">IFERROR(INDEX(TABLACONSOLIDADA[Buff Act],MATCH("AGROINSUMOSMATERIAPRIMA"&amp;Tabla_Buffers_Agroinsumos[[#This Row],[CODIGO ]],TABLACONSOLIDADA[Bodega]&amp;TABLACONSOLIDADA[Codigo],0)),"")</f>
        <v/>
      </c>
      <c r="N330" s="157" t="str">
        <f t="array" ref="N330">IFERROR(INDEX(TABLACONSOLIDADA[Inv Fís Act],MATCH("AGROINSUMOSMATERIAPRIMA"&amp;Tabla_Buffers_Agroinsumos[[#This Row],[CODIGO ]],TABLACONSOLIDADA[Bodega]&amp;TABLACONSOLIDADA[Codigo],0)),"")</f>
        <v/>
      </c>
      <c r="O330" s="157" t="str">
        <f t="array" ref="O33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3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30" s="19">
        <f>IFERROR(SUM(Tabla_Buffers_Agroinsumos[[#This Row],[MP-C]:[MP-VL]]),"")</f>
        <v>0</v>
      </c>
      <c r="R330" s="92" t="str">
        <f>IFERROR(Tabla_Buffers_Agroinsumos[[#This Row],[INV FIS MATERIA PRIMA]]-Tabla_Buffers_Agroinsumos[[#This Row],[BUFFER MATERIA PRIMA]],"")</f>
        <v/>
      </c>
      <c r="S33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30" s="19"/>
      <c r="U330" s="19"/>
      <c r="V330" s="19"/>
      <c r="W330" s="19"/>
      <c r="X330" s="19"/>
      <c r="Y330" s="19"/>
      <c r="Z330" s="19"/>
      <c r="AA330" s="19"/>
      <c r="AB330" s="19"/>
      <c r="AC330" s="152">
        <f t="array" ref="AC330">IFERROR(INDEX(TABLACONSOLIDADA[Buff Act],MATCH("AGROINSUMOSCENTRAL"&amp;Tabla_Buffers_Agroinsumos[[#This Row],[CODIGO ]],TABLACONSOLIDADA[Bodega]&amp;TABLACONSOLIDADA[Codigo],0)),"")</f>
        <v>600</v>
      </c>
      <c r="AD330" s="157">
        <f t="array" ref="AD330">IFERROR(INDEX(TABLACONSOLIDADA[Inv Fís Act],MATCH("AGROINSUMOSCENTRAL"&amp;Tabla_Buffers_Agroinsumos[[#This Row],[CODIGO ]],TABLACONSOLIDADA[Bodega]&amp;TABLACONSOLIDADA[Codigo],0)),"")</f>
        <v>274</v>
      </c>
      <c r="AE330" s="157">
        <f t="array" ref="AE33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450</v>
      </c>
      <c r="AF33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30" s="91">
        <f>IFERROR(SUM(Tabla_Buffers_Agroinsumos[[#This Row],[C-MP]:[C-VL]]),"")</f>
        <v>0</v>
      </c>
      <c r="AH330" s="92">
        <f>IFERROR(Tabla_Buffers_Agroinsumos[[#This Row],[INV FIS CENTRAL]]-Tabla_Buffers_Agroinsumos[[#This Row],[BUFFER CENTRAL]],"")</f>
        <v>-326</v>
      </c>
      <c r="AI33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-326</v>
      </c>
      <c r="AJ330" s="134"/>
      <c r="AK330" s="134"/>
      <c r="AL330" s="134"/>
      <c r="AM330" s="134"/>
      <c r="AN330" s="134"/>
      <c r="AO330" s="134"/>
      <c r="AP330" s="134"/>
      <c r="AQ330" s="134"/>
      <c r="AR330" s="134"/>
      <c r="AS330" s="134">
        <f t="array" ref="AS330">IFERROR(INDEX(TABLACONSOLIDADA[Buff Act],MATCH("AGROINSUMOScentralPROPIA"&amp;Tabla_Buffers_Agroinsumos[[#This Row],[CODIGO ]],TABLACONSOLIDADA[Bodega]&amp;TABLACONSOLIDADA[Codigo],0)),"")</f>
        <v>180</v>
      </c>
      <c r="AT330" s="157">
        <f t="array" ref="AT330">IFERROR(INDEX(TABLACONSOLIDADA[Inv Fís Act],MATCH("AGROINSUMOScentralPROPIA"&amp;Tabla_Buffers_Agroinsumos[[#This Row],[CODIGO ]],TABLACONSOLIDADA[Bodega]&amp;TABLACONSOLIDADA[Codigo],0)),"")</f>
        <v>0</v>
      </c>
      <c r="AU330" s="157">
        <f t="array" ref="AU33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3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30" s="134">
        <f>IFERROR(SUM(Tabla_Buffers_Agroinsumos[[#This Row],[P-MP]:[P-VL]]),"")</f>
        <v>0</v>
      </c>
      <c r="AX330" s="92">
        <f>IFERROR(Tabla_Buffers_Agroinsumos[[#This Row],[INV FIS PROPIA]]-Tabla_Buffers_Agroinsumos[[#This Row],[BUFFER PROPIA]],"")</f>
        <v>-180</v>
      </c>
      <c r="AY33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-180</v>
      </c>
      <c r="AZ330" s="134"/>
      <c r="BA330" s="134"/>
      <c r="BB330" s="134"/>
      <c r="BC330" s="134"/>
      <c r="BD330" s="134"/>
      <c r="BE330" s="134"/>
      <c r="BF330" s="134"/>
      <c r="BG330" s="134"/>
      <c r="BH330" s="134"/>
      <c r="BI330" s="91">
        <f t="array" ref="BI330">IFERROR(INDEX(TABLACONSOLIDADA[Buff Act],MATCH("AGROINSUMOSSTODOMINGO"&amp;Tabla_Buffers_Agroinsumos[[#This Row],[CODIGO ]],TABLACONSOLIDADA[Bodega]&amp;TABLACONSOLIDADA[Codigo],0)),"")</f>
        <v>0</v>
      </c>
      <c r="BJ330" s="157">
        <f t="array" ref="BJ330">IFERROR(INDEX(TABLACONSOLIDADA[Inv Fís Act],MATCH("AGROINSUMOSSTODOMINGO"&amp;Tabla_Buffers_Agroinsumos[[#This Row],[CODIGO ]],TABLACONSOLIDADA[Bodega]&amp;TABLACONSOLIDADA[Codigo],0)),"")</f>
        <v>0</v>
      </c>
      <c r="BK330" s="157">
        <f t="array" ref="BK33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3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30" s="91">
        <f>IFERROR(SUM(Tabla_Buffers_Agroinsumos[[#This Row],[SD-MP]:[SD-VL]]),"")</f>
        <v>0</v>
      </c>
      <c r="BN330" s="92"/>
      <c r="BO330" s="92"/>
      <c r="BP330" s="134"/>
      <c r="BQ330" s="134"/>
      <c r="BR330" s="134"/>
      <c r="BS330" s="134"/>
      <c r="BT330" s="134"/>
      <c r="BU330" s="134"/>
      <c r="BV330" s="134"/>
      <c r="BW330" s="134"/>
      <c r="BX330" s="134"/>
      <c r="BY330" s="134">
        <f t="array" ref="BY330">IFERROR(INDEX(TABLACONSOLIDADA[Buff Act],MATCH("AGROINSUMOSMONCAYOLOPEZ"&amp;Tabla_Buffers_Agroinsumos[[#This Row],[CODIGO ]],TABLACONSOLIDADA[Bodega]&amp;TABLACONSOLIDADA[Codigo],0)),"")</f>
        <v>0</v>
      </c>
      <c r="BZ330" s="157">
        <f t="array" ref="BZ330">IFERROR(INDEX(TABLACONSOLIDADA[Inv Fís Act],MATCH("AGROINSUMOSMONCAYOLOPEZ"&amp;Tabla_Buffers_Agroinsumos[[#This Row],[CODIGO ]],TABLACONSOLIDADA[Bodega]&amp;TABLACONSOLIDADA[Codigo],0)),"")</f>
        <v>0</v>
      </c>
      <c r="CA330" s="157">
        <f t="array" ref="CA33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3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30" s="134">
        <f>IFERROR(SUM(Tabla_Buffers_Agroinsumos[[#This Row],[ML-MP]:[ML-VL]]),"")</f>
        <v>0</v>
      </c>
      <c r="CD330" s="92">
        <f>IFERROR(Tabla_Buffers_Agroinsumos[[#This Row],[INV FIS ML]]-Tabla_Buffers_Agroinsumos[[#This Row],[BUFFER ML]],"")</f>
        <v>0</v>
      </c>
      <c r="CE33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30" s="134"/>
      <c r="CG330" s="134"/>
      <c r="CH330" s="134"/>
      <c r="CI330" s="134"/>
      <c r="CJ330" s="134"/>
      <c r="CK330" s="134"/>
      <c r="CL330" s="134"/>
      <c r="CM330" s="134"/>
      <c r="CN330" s="134"/>
      <c r="CO330" s="134">
        <f t="array" ref="CO330">IFERROR(INDEX(TABLACONSOLIDADA[Buff Act],MATCH("AGROINSUMOSAGROHERMANOSLEON"&amp;Tabla_Buffers_Agroinsumos[[#This Row],[CODIGO ]],TABLACONSOLIDADA[Bodega]&amp;TABLACONSOLIDADA[Codigo],0)),"")</f>
        <v>0</v>
      </c>
      <c r="CP330" s="157">
        <f t="array" ref="CP330">IFERROR(INDEX(TABLACONSOLIDADA[Inv Fís Act],MATCH("AGROINSUMOSAGROHERMANOSLEON"&amp;Tabla_Buffers_Agroinsumos[[#This Row],[CODIGO ]],TABLACONSOLIDADA[Bodega]&amp;TABLACONSOLIDADA[Codigo],0)),"")</f>
        <v>0</v>
      </c>
      <c r="CQ330" s="157">
        <f t="array" ref="CQ33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3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30" s="134">
        <f>IFERROR(SUM(Tabla_Buffers_Agroinsumos[[#This Row],[AL-MP]:[AL-VL]]),"")</f>
        <v>0</v>
      </c>
      <c r="CT330" s="92">
        <f>IFERROR(Tabla_Buffers_Agroinsumos[[#This Row],[INV FIS AL]]-Tabla_Buffers_Agroinsumos[[#This Row],[BUFFER AL]],"")</f>
        <v>0</v>
      </c>
      <c r="CU330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30" s="134"/>
      <c r="CW330" s="134"/>
      <c r="CX330" s="134"/>
      <c r="CY330" s="134"/>
      <c r="CZ330" s="134"/>
      <c r="DA330" s="134"/>
      <c r="DB330" s="134"/>
      <c r="DC330" s="134"/>
      <c r="DD330" s="134"/>
      <c r="DE330" s="134">
        <f t="array" ref="DE330">IFERROR(INDEX(TABLACONSOLIDADA[Buff Act],MATCH("AGROINSUMOSAGRONUEVO"&amp;Tabla_Buffers_Agroinsumos[[#This Row],[CODIGO ]],TABLACONSOLIDADA[Bodega]&amp;TABLACONSOLIDADA[Codigo],0)),"")</f>
        <v>0</v>
      </c>
      <c r="DF330" s="157">
        <f t="array" ref="DF330">IFERROR(INDEX(TABLACONSOLIDADA[Inv Fís Act],MATCH("AGROINSUMOSAGRONUEVO"&amp;Tabla_Buffers_Agroinsumos[[#This Row],[CODIGO ]],TABLACONSOLIDADA[Bodega]&amp;TABLACONSOLIDADA[Codigo],0)),"")</f>
        <v>0</v>
      </c>
      <c r="DG330" s="157">
        <f t="array" ref="DG33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3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30" s="134">
        <f>IFERROR(SUM(Tabla_Buffers_Agroinsumos[[#This Row],[AN-MP]:[AN-VL]]),"")</f>
        <v>0</v>
      </c>
      <c r="DJ330" s="92">
        <f>IFERROR(Tabla_Buffers_Agroinsumos[[#This Row],[INV FIS AN]]-Tabla_Buffers_Agroinsumos[[#This Row],[BUFFER AN]],"")</f>
        <v>0</v>
      </c>
      <c r="DK33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30" s="134"/>
      <c r="DM330" s="134"/>
      <c r="DN330" s="134"/>
      <c r="DO330" s="134"/>
      <c r="DP330" s="134"/>
      <c r="DQ330" s="134"/>
      <c r="DR330" s="134"/>
      <c r="DS330" s="134"/>
      <c r="DT330" s="134"/>
      <c r="DU330" s="134">
        <f t="array" ref="DU330">IFERROR(INDEX(TABLACONSOLIDADA[Buff Act],MATCH("AGROINSUMOSAGROQUIMICOSSUR"&amp;Tabla_Buffers_Agroinsumos[[#This Row],[CODIGO ]],TABLACONSOLIDADA[Bodega]&amp;TABLACONSOLIDADA[Codigo],0)),"")</f>
        <v>0</v>
      </c>
      <c r="DV330" s="157">
        <f t="array" ref="DV330">IFERROR(INDEX(TABLACONSOLIDADA[Inv Fís Act],MATCH("AGROINSUMOSAGROQUIMICOSSUR"&amp;Tabla_Buffers_Agroinsumos[[#This Row],[CODIGO ]],TABLACONSOLIDADA[Bodega]&amp;TABLACONSOLIDADA[Codigo],0)),"")</f>
        <v>0</v>
      </c>
      <c r="DW330" s="157">
        <f t="array" ref="DW33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3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30" s="134">
        <f>IFERROR(SUM(Tabla_Buffers_Agroinsumos[[#This Row],[AS-MP]:[AS-VL]]),"")</f>
        <v>0</v>
      </c>
      <c r="DZ330" s="92">
        <f>IFERROR(Tabla_Buffers_Agroinsumos[[#This Row],[INV FIS AS]]-Tabla_Buffers_Agroinsumos[[#This Row],[BUFFER AS]],"")</f>
        <v>0</v>
      </c>
      <c r="EA33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30" s="134"/>
      <c r="EC330" s="134"/>
      <c r="ED330" s="134"/>
      <c r="EE330" s="134"/>
      <c r="EF330" s="134"/>
      <c r="EG330" s="134"/>
      <c r="EH330" s="134"/>
      <c r="EI330" s="134"/>
      <c r="EJ330" s="134"/>
      <c r="EK330" s="134">
        <f t="array" ref="EK330">IFERROR(INDEX(TABLACONSOLIDADA[Buff Act],MATCH("AGROINSUMOSLAFINCA"&amp;Tabla_Buffers_Agroinsumos[[#This Row],[CODIGO ]],TABLACONSOLIDADA[Bodega]&amp;TABLACONSOLIDADA[Codigo],0)),"")</f>
        <v>0</v>
      </c>
      <c r="EL330" s="157">
        <f t="array" ref="EL330">IFERROR(INDEX(TABLACONSOLIDADA[Inv Fís Act],MATCH("AGROINSUMOSLAFINCA"&amp;Tabla_Buffers_Agroinsumos[[#This Row],[CODIGO ]],TABLACONSOLIDADA[Bodega]&amp;TABLACONSOLIDADA[Codigo],0)),"")</f>
        <v>0</v>
      </c>
      <c r="EM330" s="157">
        <f t="array" ref="EM33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3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30" s="134">
        <f>IFERROR(SUM(Tabla_Buffers_Agroinsumos[[#This Row],[LF-MP]:[LF-VL]]),"")</f>
        <v>0</v>
      </c>
      <c r="EP330" s="92">
        <f>IFERROR(Tabla_Buffers_Agroinsumos[[#This Row],[INV FIS LF]]-Tabla_Buffers_Agroinsumos[[#This Row],[BUFFER LF]],"")</f>
        <v>0</v>
      </c>
      <c r="EQ330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30" s="134"/>
      <c r="ES330" s="134"/>
      <c r="ET330" s="134"/>
      <c r="EU330" s="134"/>
      <c r="EV330" s="134"/>
      <c r="EW330" s="134"/>
      <c r="EX330" s="134"/>
      <c r="EY330" s="134"/>
      <c r="EZ330" s="134"/>
      <c r="FA330" s="134">
        <f t="array" ref="FA330">IFERROR(INDEX(TABLACONSOLIDADA[Buff Act],MATCH("AGROINSUMOSVERONICALEDESMA"&amp;Tabla_Buffers_Agroinsumos[[#This Row],[CODIGO ]],TABLACONSOLIDADA[Bodega]&amp;TABLACONSOLIDADA[Codigo],0)),"")</f>
        <v>0</v>
      </c>
      <c r="FB330" s="157">
        <f t="array" ref="FB330">IFERROR(INDEX(TABLACONSOLIDADA[Inv Fís Act],MATCH("AGROINSUMOSVERONICALEDESMA"&amp;Tabla_Buffers_Agroinsumos[[#This Row],[CODIGO ]],TABLACONSOLIDADA[Bodega]&amp;TABLACONSOLIDADA[Codigo],0)),"")</f>
        <v>0</v>
      </c>
      <c r="FC330" s="157">
        <f t="array" ref="FC33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3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30" s="134">
        <f>IFERROR(SUM(Tabla_Buffers_Agroinsumos[[#This Row],[VL-MP]:[VL-LF]]),"")</f>
        <v>0</v>
      </c>
      <c r="FF330" s="92">
        <f>IFERROR(Tabla_Buffers_Agroinsumos[[#This Row],[INV FIS VL]]-Tabla_Buffers_Agroinsumos[[#This Row],[BUFFER VL]],"")</f>
        <v>0</v>
      </c>
      <c r="FG33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30" s="134"/>
      <c r="FI330" s="134"/>
      <c r="FJ330" s="134"/>
      <c r="FK330" s="134"/>
      <c r="FL330" s="134"/>
      <c r="FM330" s="134"/>
      <c r="FN330" s="134"/>
      <c r="FO330" s="134"/>
      <c r="FP330" s="134"/>
    </row>
    <row r="331" spans="1:172">
      <c r="A331" s="7" t="s">
        <v>561</v>
      </c>
      <c r="B331" s="7" t="s">
        <v>562</v>
      </c>
      <c r="C331" s="7" t="s">
        <v>712</v>
      </c>
      <c r="D331" s="7" t="s">
        <v>719</v>
      </c>
      <c r="E331" s="7" t="s">
        <v>975</v>
      </c>
      <c r="F331" s="19" t="s">
        <v>698</v>
      </c>
      <c r="G331" s="19" t="s">
        <v>698</v>
      </c>
      <c r="H331" s="19">
        <f>VLOOKUP(Tabla_Buffers_Agroinsumos[[#This Row],[CODIGO ]],TABLACONSOLIDADA[[Codigo]:[PV]],6,0)</f>
        <v>9.2899999999999991</v>
      </c>
      <c r="I331" s="19">
        <f>VLOOKUP(Tabla_Buffers_Agroinsumos[[#This Row],[CODIGO ]],TABLACONSOLIDADA[[Codigo]:[PV]],5,0)</f>
        <v>4.47</v>
      </c>
      <c r="J331" s="19" t="s">
        <v>698</v>
      </c>
      <c r="K331" s="19" t="s">
        <v>698</v>
      </c>
      <c r="L331" s="19">
        <f>IFERROR(Tabla_Buffers_Agroinsumos[[#This Row],[BUFFER CENTRAL]]/((Tabla_Buffers_Agroinsumos[[#This Row],[TIEMPO REPOSICION ]]/Tabla_Buffers_Agroinsumos[[#This Row],[FRECUENCIA]])+1),0)</f>
        <v>0</v>
      </c>
      <c r="M331" s="19" t="str">
        <f t="array" ref="M331">IFERROR(INDEX(TABLACONSOLIDADA[Buff Act],MATCH("AGROINSUMOSMATERIAPRIMA"&amp;Tabla_Buffers_Agroinsumos[[#This Row],[CODIGO ]],TABLACONSOLIDADA[Bodega]&amp;TABLACONSOLIDADA[Codigo],0)),"")</f>
        <v/>
      </c>
      <c r="N331" s="157" t="str">
        <f t="array" ref="N331">IFERROR(INDEX(TABLACONSOLIDADA[Inv Fís Act],MATCH("AGROINSUMOSMATERIAPRIMA"&amp;Tabla_Buffers_Agroinsumos[[#This Row],[CODIGO ]],TABLACONSOLIDADA[Bodega]&amp;TABLACONSOLIDADA[Codigo],0)),"")</f>
        <v/>
      </c>
      <c r="O331" s="157" t="str">
        <f t="array" ref="O33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3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31" s="19">
        <f>IFERROR(SUM(Tabla_Buffers_Agroinsumos[[#This Row],[MP-C]:[MP-VL]]),"")</f>
        <v>0</v>
      </c>
      <c r="R331" s="92" t="str">
        <f>IFERROR(Tabla_Buffers_Agroinsumos[[#This Row],[INV FIS MATERIA PRIMA]]-Tabla_Buffers_Agroinsumos[[#This Row],[BUFFER MATERIA PRIMA]],"")</f>
        <v/>
      </c>
      <c r="S33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31" s="19"/>
      <c r="U331" s="19"/>
      <c r="V331" s="19"/>
      <c r="W331" s="19"/>
      <c r="X331" s="19"/>
      <c r="Y331" s="19"/>
      <c r="Z331" s="19"/>
      <c r="AA331" s="19"/>
      <c r="AB331" s="19"/>
      <c r="AC331" s="152">
        <f t="array" ref="AC331">IFERROR(INDEX(TABLACONSOLIDADA[Buff Act],MATCH("AGROINSUMOSCENTRAL"&amp;Tabla_Buffers_Agroinsumos[[#This Row],[CODIGO ]],TABLACONSOLIDADA[Bodega]&amp;TABLACONSOLIDADA[Codigo],0)),"")</f>
        <v>1000</v>
      </c>
      <c r="AD331" s="157">
        <f t="array" ref="AD331">IFERROR(INDEX(TABLACONSOLIDADA[Inv Fís Act],MATCH("AGROINSUMOSCENTRAL"&amp;Tabla_Buffers_Agroinsumos[[#This Row],[CODIGO ]],TABLACONSOLIDADA[Bodega]&amp;TABLACONSOLIDADA[Codigo],0)),"")</f>
        <v>964</v>
      </c>
      <c r="AE331" s="157">
        <f t="array" ref="AE33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1000</v>
      </c>
      <c r="AF33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31" s="91">
        <f>IFERROR(SUM(Tabla_Buffers_Agroinsumos[[#This Row],[C-MP]:[C-VL]]),"")</f>
        <v>0</v>
      </c>
      <c r="AH331" s="92">
        <f>IFERROR(Tabla_Buffers_Agroinsumos[[#This Row],[INV FIS CENTRAL]]-Tabla_Buffers_Agroinsumos[[#This Row],[BUFFER CENTRAL]],"")</f>
        <v>-36</v>
      </c>
      <c r="AI33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-36</v>
      </c>
      <c r="AJ331" s="134"/>
      <c r="AK331" s="134"/>
      <c r="AL331" s="134"/>
      <c r="AM331" s="134"/>
      <c r="AN331" s="134"/>
      <c r="AO331" s="134"/>
      <c r="AP331" s="134"/>
      <c r="AQ331" s="134"/>
      <c r="AR331" s="134"/>
      <c r="AS331" s="134">
        <f t="array" ref="AS331">IFERROR(INDEX(TABLACONSOLIDADA[Buff Act],MATCH("AGROINSUMOScentralPROPIA"&amp;Tabla_Buffers_Agroinsumos[[#This Row],[CODIGO ]],TABLACONSOLIDADA[Bodega]&amp;TABLACONSOLIDADA[Codigo],0)),"")</f>
        <v>300</v>
      </c>
      <c r="AT331" s="157">
        <f t="array" ref="AT331">IFERROR(INDEX(TABLACONSOLIDADA[Inv Fís Act],MATCH("AGROINSUMOScentralPROPIA"&amp;Tabla_Buffers_Agroinsumos[[#This Row],[CODIGO ]],TABLACONSOLIDADA[Bodega]&amp;TABLACONSOLIDADA[Codigo],0)),"")</f>
        <v>0</v>
      </c>
      <c r="AU331" s="157">
        <f t="array" ref="AU33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3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31" s="134">
        <f>IFERROR(SUM(Tabla_Buffers_Agroinsumos[[#This Row],[P-MP]:[P-VL]]),"")</f>
        <v>0</v>
      </c>
      <c r="AX331" s="92">
        <f>IFERROR(Tabla_Buffers_Agroinsumos[[#This Row],[INV FIS PROPIA]]-Tabla_Buffers_Agroinsumos[[#This Row],[BUFFER PROPIA]],"")</f>
        <v>-300</v>
      </c>
      <c r="AY33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-300</v>
      </c>
      <c r="AZ331" s="134"/>
      <c r="BA331" s="134"/>
      <c r="BB331" s="134"/>
      <c r="BC331" s="134"/>
      <c r="BD331" s="134"/>
      <c r="BE331" s="134"/>
      <c r="BF331" s="134"/>
      <c r="BG331" s="134"/>
      <c r="BH331" s="134"/>
      <c r="BI331" s="91">
        <f t="array" ref="BI331">IFERROR(INDEX(TABLACONSOLIDADA[Buff Act],MATCH("AGROINSUMOSSTODOMINGO"&amp;Tabla_Buffers_Agroinsumos[[#This Row],[CODIGO ]],TABLACONSOLIDADA[Bodega]&amp;TABLACONSOLIDADA[Codigo],0)),"")</f>
        <v>0</v>
      </c>
      <c r="BJ331" s="157">
        <f t="array" ref="BJ331">IFERROR(INDEX(TABLACONSOLIDADA[Inv Fís Act],MATCH("AGROINSUMOSSTODOMINGO"&amp;Tabla_Buffers_Agroinsumos[[#This Row],[CODIGO ]],TABLACONSOLIDADA[Bodega]&amp;TABLACONSOLIDADA[Codigo],0)),"")</f>
        <v>25</v>
      </c>
      <c r="BK331" s="157">
        <f t="array" ref="BK33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25</v>
      </c>
      <c r="BL33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31" s="91">
        <f>IFERROR(SUM(Tabla_Buffers_Agroinsumos[[#This Row],[SD-MP]:[SD-VL]]),"")</f>
        <v>0</v>
      </c>
      <c r="BN331" s="92"/>
      <c r="BO331" s="92"/>
      <c r="BP331" s="134"/>
      <c r="BQ331" s="134"/>
      <c r="BR331" s="134"/>
      <c r="BS331" s="134"/>
      <c r="BT331" s="134"/>
      <c r="BU331" s="134"/>
      <c r="BV331" s="134"/>
      <c r="BW331" s="134"/>
      <c r="BX331" s="134"/>
      <c r="BY331" s="134">
        <f t="array" ref="BY331">IFERROR(INDEX(TABLACONSOLIDADA[Buff Act],MATCH("AGROINSUMOSMONCAYOLOPEZ"&amp;Tabla_Buffers_Agroinsumos[[#This Row],[CODIGO ]],TABLACONSOLIDADA[Bodega]&amp;TABLACONSOLIDADA[Codigo],0)),"")</f>
        <v>5</v>
      </c>
      <c r="BZ331" s="157">
        <f t="array" ref="BZ331">IFERROR(INDEX(TABLACONSOLIDADA[Inv Fís Act],MATCH("AGROINSUMOSMONCAYOLOPEZ"&amp;Tabla_Buffers_Agroinsumos[[#This Row],[CODIGO ]],TABLACONSOLIDADA[Bodega]&amp;TABLACONSOLIDADA[Codigo],0)),"")</f>
        <v>3</v>
      </c>
      <c r="CA331" s="157">
        <f t="array" ref="CA33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3</v>
      </c>
      <c r="CB33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31" s="134">
        <f>IFERROR(SUM(Tabla_Buffers_Agroinsumos[[#This Row],[ML-MP]:[ML-VL]]),"")</f>
        <v>0</v>
      </c>
      <c r="CD331" s="92">
        <f>IFERROR(Tabla_Buffers_Agroinsumos[[#This Row],[INV FIS ML]]-Tabla_Buffers_Agroinsumos[[#This Row],[BUFFER ML]],"")</f>
        <v>-2</v>
      </c>
      <c r="CE331" s="92">
        <f>IFERROR(Tabla_Buffers_Agroinsumos[[#This Row],[INV FIS ML]]+Tabla_Buffers_Agroinsumos[[#This Row],[TRANSFERENCIAS A ML]]-Tabla_Buffers_Agroinsumos[[#This Row],[BUFFER ML]]-Tabla_Buffers_Agroinsumos[[#This Row],[TRANSFERENCIAS DE ML]],"")</f>
        <v>-2</v>
      </c>
      <c r="CF331" s="134"/>
      <c r="CG331" s="134"/>
      <c r="CH331" s="134"/>
      <c r="CI331" s="134"/>
      <c r="CJ331" s="134"/>
      <c r="CK331" s="134"/>
      <c r="CL331" s="134"/>
      <c r="CM331" s="134"/>
      <c r="CN331" s="134"/>
      <c r="CO331" s="134">
        <f t="array" ref="CO331">IFERROR(INDEX(TABLACONSOLIDADA[Buff Act],MATCH("AGROINSUMOSAGROHERMANOSLEON"&amp;Tabla_Buffers_Agroinsumos[[#This Row],[CODIGO ]],TABLACONSOLIDADA[Bodega]&amp;TABLACONSOLIDADA[Codigo],0)),"")</f>
        <v>40</v>
      </c>
      <c r="CP331" s="157">
        <f t="array" ref="CP331">IFERROR(INDEX(TABLACONSOLIDADA[Inv Fís Act],MATCH("AGROINSUMOSAGROHERMANOSLEON"&amp;Tabla_Buffers_Agroinsumos[[#This Row],[CODIGO ]],TABLACONSOLIDADA[Bodega]&amp;TABLACONSOLIDADA[Codigo],0)),"")</f>
        <v>40</v>
      </c>
      <c r="CQ331" s="157">
        <f t="array" ref="CQ33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40</v>
      </c>
      <c r="CR33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31" s="134">
        <f>IFERROR(SUM(Tabla_Buffers_Agroinsumos[[#This Row],[AL-MP]:[AL-VL]]),"")</f>
        <v>0</v>
      </c>
      <c r="CT331" s="92">
        <f>IFERROR(Tabla_Buffers_Agroinsumos[[#This Row],[INV FIS AL]]-Tabla_Buffers_Agroinsumos[[#This Row],[BUFFER AL]],"")</f>
        <v>0</v>
      </c>
      <c r="CU331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31" s="134"/>
      <c r="CW331" s="134"/>
      <c r="CX331" s="134"/>
      <c r="CY331" s="134"/>
      <c r="CZ331" s="134"/>
      <c r="DA331" s="134"/>
      <c r="DB331" s="134"/>
      <c r="DC331" s="134"/>
      <c r="DD331" s="134"/>
      <c r="DE331" s="134">
        <f t="array" ref="DE331">IFERROR(INDEX(TABLACONSOLIDADA[Buff Act],MATCH("AGROINSUMOSAGRONUEVO"&amp;Tabla_Buffers_Agroinsumos[[#This Row],[CODIGO ]],TABLACONSOLIDADA[Bodega]&amp;TABLACONSOLIDADA[Codigo],0)),"")</f>
        <v>0</v>
      </c>
      <c r="DF331" s="157">
        <f t="array" ref="DF331">IFERROR(INDEX(TABLACONSOLIDADA[Inv Fís Act],MATCH("AGROINSUMOSAGRONUEVO"&amp;Tabla_Buffers_Agroinsumos[[#This Row],[CODIGO ]],TABLACONSOLIDADA[Bodega]&amp;TABLACONSOLIDADA[Codigo],0)),"")</f>
        <v>0</v>
      </c>
      <c r="DG331" s="157">
        <f t="array" ref="DG33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3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31" s="134">
        <f>IFERROR(SUM(Tabla_Buffers_Agroinsumos[[#This Row],[AN-MP]:[AN-VL]]),"")</f>
        <v>0</v>
      </c>
      <c r="DJ331" s="92">
        <f>IFERROR(Tabla_Buffers_Agroinsumos[[#This Row],[INV FIS AN]]-Tabla_Buffers_Agroinsumos[[#This Row],[BUFFER AN]],"")</f>
        <v>0</v>
      </c>
      <c r="DK331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31" s="134"/>
      <c r="DM331" s="134"/>
      <c r="DN331" s="134"/>
      <c r="DO331" s="134"/>
      <c r="DP331" s="134"/>
      <c r="DQ331" s="134"/>
      <c r="DR331" s="134"/>
      <c r="DS331" s="134"/>
      <c r="DT331" s="134"/>
      <c r="DU331" s="134">
        <f t="array" ref="DU331">IFERROR(INDEX(TABLACONSOLIDADA[Buff Act],MATCH("AGROINSUMOSAGROQUIMICOSSUR"&amp;Tabla_Buffers_Agroinsumos[[#This Row],[CODIGO ]],TABLACONSOLIDADA[Bodega]&amp;TABLACONSOLIDADA[Codigo],0)),"")</f>
        <v>0</v>
      </c>
      <c r="DV331" s="157">
        <f t="array" ref="DV331">IFERROR(INDEX(TABLACONSOLIDADA[Inv Fís Act],MATCH("AGROINSUMOSAGROQUIMICOSSUR"&amp;Tabla_Buffers_Agroinsumos[[#This Row],[CODIGO ]],TABLACONSOLIDADA[Bodega]&amp;TABLACONSOLIDADA[Codigo],0)),"")</f>
        <v>0</v>
      </c>
      <c r="DW331" s="157">
        <f t="array" ref="DW33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3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31" s="134">
        <f>IFERROR(SUM(Tabla_Buffers_Agroinsumos[[#This Row],[AS-MP]:[AS-VL]]),"")</f>
        <v>0</v>
      </c>
      <c r="DZ331" s="92">
        <f>IFERROR(Tabla_Buffers_Agroinsumos[[#This Row],[INV FIS AS]]-Tabla_Buffers_Agroinsumos[[#This Row],[BUFFER AS]],"")</f>
        <v>0</v>
      </c>
      <c r="EA331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31" s="134"/>
      <c r="EC331" s="134"/>
      <c r="ED331" s="134"/>
      <c r="EE331" s="134"/>
      <c r="EF331" s="134"/>
      <c r="EG331" s="134"/>
      <c r="EH331" s="134"/>
      <c r="EI331" s="134"/>
      <c r="EJ331" s="134"/>
      <c r="EK331" s="134">
        <f t="array" ref="EK331">IFERROR(INDEX(TABLACONSOLIDADA[Buff Act],MATCH("AGROINSUMOSLAFINCA"&amp;Tabla_Buffers_Agroinsumos[[#This Row],[CODIGO ]],TABLACONSOLIDADA[Bodega]&amp;TABLACONSOLIDADA[Codigo],0)),"")</f>
        <v>6</v>
      </c>
      <c r="EL331" s="157">
        <f t="array" ref="EL331">IFERROR(INDEX(TABLACONSOLIDADA[Inv Fís Act],MATCH("AGROINSUMOSLAFINCA"&amp;Tabla_Buffers_Agroinsumos[[#This Row],[CODIGO ]],TABLACONSOLIDADA[Bodega]&amp;TABLACONSOLIDADA[Codigo],0)),"")</f>
        <v>10</v>
      </c>
      <c r="EM331" s="157">
        <f t="array" ref="EM33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10</v>
      </c>
      <c r="EN33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31" s="134">
        <f>IFERROR(SUM(Tabla_Buffers_Agroinsumos[[#This Row],[LF-MP]:[LF-VL]]),"")</f>
        <v>0</v>
      </c>
      <c r="EP331" s="92">
        <f>IFERROR(Tabla_Buffers_Agroinsumos[[#This Row],[INV FIS LF]]-Tabla_Buffers_Agroinsumos[[#This Row],[BUFFER LF]],"")</f>
        <v>4</v>
      </c>
      <c r="EQ331" s="92">
        <f>IFERROR(Tabla_Buffers_Agroinsumos[[#This Row],[INV FIS LF]]+Tabla_Buffers_Agroinsumos[[#This Row],[TRANSFERENCIAS A LF]]-Tabla_Buffers_Agroinsumos[[#This Row],[BUFFER LF]]-Tabla_Buffers_Agroinsumos[[#This Row],[TRANSFERENCIAS DE LF]],"")</f>
        <v>4</v>
      </c>
      <c r="ER331" s="134"/>
      <c r="ES331" s="134"/>
      <c r="ET331" s="134"/>
      <c r="EU331" s="134"/>
      <c r="EV331" s="134"/>
      <c r="EW331" s="134"/>
      <c r="EX331" s="134"/>
      <c r="EY331" s="134"/>
      <c r="EZ331" s="134"/>
      <c r="FA331" s="134">
        <f t="array" ref="FA331">IFERROR(INDEX(TABLACONSOLIDADA[Buff Act],MATCH("AGROINSUMOSVERONICALEDESMA"&amp;Tabla_Buffers_Agroinsumos[[#This Row],[CODIGO ]],TABLACONSOLIDADA[Bodega]&amp;TABLACONSOLIDADA[Codigo],0)),"")</f>
        <v>0</v>
      </c>
      <c r="FB331" s="157">
        <f t="array" ref="FB331">IFERROR(INDEX(TABLACONSOLIDADA[Inv Fís Act],MATCH("AGROINSUMOSVERONICALEDESMA"&amp;Tabla_Buffers_Agroinsumos[[#This Row],[CODIGO ]],TABLACONSOLIDADA[Bodega]&amp;TABLACONSOLIDADA[Codigo],0)),"")</f>
        <v>0</v>
      </c>
      <c r="FC331" s="157">
        <f t="array" ref="FC33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3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31" s="134">
        <f>IFERROR(SUM(Tabla_Buffers_Agroinsumos[[#This Row],[VL-MP]:[VL-LF]]),"")</f>
        <v>0</v>
      </c>
      <c r="FF331" s="92">
        <f>IFERROR(Tabla_Buffers_Agroinsumos[[#This Row],[INV FIS VL]]-Tabla_Buffers_Agroinsumos[[#This Row],[BUFFER VL]],"")</f>
        <v>0</v>
      </c>
      <c r="FG331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31" s="134"/>
      <c r="FI331" s="134"/>
      <c r="FJ331" s="134"/>
      <c r="FK331" s="134"/>
      <c r="FL331" s="134"/>
      <c r="FM331" s="134"/>
      <c r="FN331" s="134"/>
      <c r="FO331" s="134"/>
      <c r="FP331" s="134"/>
    </row>
    <row r="332" spans="1:172">
      <c r="A332" s="7" t="s">
        <v>563</v>
      </c>
      <c r="B332" s="7" t="s">
        <v>564</v>
      </c>
      <c r="C332" s="7" t="s">
        <v>708</v>
      </c>
      <c r="D332" s="7" t="s">
        <v>717</v>
      </c>
      <c r="E332" s="7" t="s">
        <v>863</v>
      </c>
      <c r="F332" s="19" t="s">
        <v>804</v>
      </c>
      <c r="G332" s="19" t="s">
        <v>802</v>
      </c>
      <c r="H332" s="19">
        <f>VLOOKUP(Tabla_Buffers_Agroinsumos[[#This Row],[CODIGO ]],TABLACONSOLIDADA[[Codigo]:[PV]],6,0)</f>
        <v>0</v>
      </c>
      <c r="I332" s="19">
        <f>VLOOKUP(Tabla_Buffers_Agroinsumos[[#This Row],[CODIGO ]],TABLACONSOLIDADA[[Codigo]:[PV]],5,0)</f>
        <v>56.2</v>
      </c>
      <c r="J332" s="19">
        <v>4</v>
      </c>
      <c r="K332" s="19">
        <v>4</v>
      </c>
      <c r="L332" s="19">
        <f>IFERROR(Tabla_Buffers_Agroinsumos[[#This Row],[BUFFER CENTRAL]]/((Tabla_Buffers_Agroinsumos[[#This Row],[TIEMPO REPOSICION ]]/Tabla_Buffers_Agroinsumos[[#This Row],[FRECUENCIA]])+1),0)</f>
        <v>0</v>
      </c>
      <c r="M332" s="19">
        <f t="array" ref="M332">IFERROR(INDEX(TABLACONSOLIDADA[Buff Act],MATCH("AGROINSUMOSMATERIAPRIMA"&amp;Tabla_Buffers_Agroinsumos[[#This Row],[CODIGO ]],TABLACONSOLIDADA[Bodega]&amp;TABLACONSOLIDADA[Codigo],0)),"")</f>
        <v>10</v>
      </c>
      <c r="N332" s="157">
        <f t="array" ref="N332">IFERROR(INDEX(TABLACONSOLIDADA[Inv Fís Act],MATCH("AGROINSUMOSMATERIAPRIMA"&amp;Tabla_Buffers_Agroinsumos[[#This Row],[CODIGO ]],TABLACONSOLIDADA[Bodega]&amp;TABLACONSOLIDADA[Codigo],0)),"")</f>
        <v>0</v>
      </c>
      <c r="O332" s="157">
        <f t="array" ref="O33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8</v>
      </c>
      <c r="P33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32" s="19">
        <f>IFERROR(SUM(Tabla_Buffers_Agroinsumos[[#This Row],[MP-C]:[MP-VL]]),"")</f>
        <v>0</v>
      </c>
      <c r="R332" s="92">
        <f>IFERROR(Tabla_Buffers_Agroinsumos[[#This Row],[INV FIS MATERIA PRIMA]]-Tabla_Buffers_Agroinsumos[[#This Row],[BUFFER MATERIA PRIMA]],"")</f>
        <v>-10</v>
      </c>
      <c r="S33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-10</v>
      </c>
      <c r="T332" s="19"/>
      <c r="U332" s="19"/>
      <c r="V332" s="19"/>
      <c r="W332" s="19"/>
      <c r="X332" s="19"/>
      <c r="Y332" s="19"/>
      <c r="Z332" s="19"/>
      <c r="AA332" s="19"/>
      <c r="AB332" s="19"/>
      <c r="AC332" s="152" t="str">
        <f t="array" ref="AC332">IFERROR(INDEX(TABLACONSOLIDADA[Buff Act],MATCH("AGROINSUMOSCENTRAL"&amp;Tabla_Buffers_Agroinsumos[[#This Row],[CODIGO ]],TABLACONSOLIDADA[Bodega]&amp;TABLACONSOLIDADA[Codigo],0)),"")</f>
        <v/>
      </c>
      <c r="AD332" s="157" t="str">
        <f t="array" ref="AD332">IFERROR(INDEX(TABLACONSOLIDADA[Inv Fís Act],MATCH("AGROINSUMOSCENTRAL"&amp;Tabla_Buffers_Agroinsumos[[#This Row],[CODIGO ]],TABLACONSOLIDADA[Bodega]&amp;TABLACONSOLIDADA[Codigo],0)),"")</f>
        <v/>
      </c>
      <c r="AE332" s="157" t="str">
        <f t="array" ref="AE33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3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32" s="91">
        <f>IFERROR(SUM(Tabla_Buffers_Agroinsumos[[#This Row],[C-MP]:[C-VL]]),"")</f>
        <v>0</v>
      </c>
      <c r="AH332" s="92" t="str">
        <f>IFERROR(Tabla_Buffers_Agroinsumos[[#This Row],[INV FIS CENTRAL]]-Tabla_Buffers_Agroinsumos[[#This Row],[BUFFER CENTRAL]],"")</f>
        <v/>
      </c>
      <c r="AI33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32" s="134"/>
      <c r="AK332" s="134"/>
      <c r="AL332" s="134"/>
      <c r="AM332" s="134"/>
      <c r="AN332" s="134"/>
      <c r="AO332" s="134"/>
      <c r="AP332" s="134"/>
      <c r="AQ332" s="134"/>
      <c r="AR332" s="134"/>
      <c r="AS332" s="134" t="str">
        <f t="array" ref="AS332">IFERROR(INDEX(TABLACONSOLIDADA[Buff Act],MATCH("AGROINSUMOScentralPROPIA"&amp;Tabla_Buffers_Agroinsumos[[#This Row],[CODIGO ]],TABLACONSOLIDADA[Bodega]&amp;TABLACONSOLIDADA[Codigo],0)),"")</f>
        <v/>
      </c>
      <c r="AT332" s="157" t="str">
        <f t="array" ref="AT332">IFERROR(INDEX(TABLACONSOLIDADA[Inv Fís Act],MATCH("AGROINSUMOScentralPROPIA"&amp;Tabla_Buffers_Agroinsumos[[#This Row],[CODIGO ]],TABLACONSOLIDADA[Bodega]&amp;TABLACONSOLIDADA[Codigo],0)),"")</f>
        <v/>
      </c>
      <c r="AU332" s="157" t="str">
        <f t="array" ref="AU33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3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32" s="134">
        <f>IFERROR(SUM(Tabla_Buffers_Agroinsumos[[#This Row],[P-MP]:[P-VL]]),"")</f>
        <v>0</v>
      </c>
      <c r="AX332" s="92" t="str">
        <f>IFERROR(Tabla_Buffers_Agroinsumos[[#This Row],[INV FIS PROPIA]]-Tabla_Buffers_Agroinsumos[[#This Row],[BUFFER PROPIA]],"")</f>
        <v/>
      </c>
      <c r="AY33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32" s="134"/>
      <c r="BA332" s="134"/>
      <c r="BB332" s="134"/>
      <c r="BC332" s="134"/>
      <c r="BD332" s="134"/>
      <c r="BE332" s="134"/>
      <c r="BF332" s="134"/>
      <c r="BG332" s="134"/>
      <c r="BH332" s="134"/>
      <c r="BI332" s="91" t="str">
        <f t="array" ref="BI332">IFERROR(INDEX(TABLACONSOLIDADA[Buff Act],MATCH("AGROINSUMOSSTODOMINGO"&amp;Tabla_Buffers_Agroinsumos[[#This Row],[CODIGO ]],TABLACONSOLIDADA[Bodega]&amp;TABLACONSOLIDADA[Codigo],0)),"")</f>
        <v/>
      </c>
      <c r="BJ332" s="157" t="str">
        <f t="array" ref="BJ332">IFERROR(INDEX(TABLACONSOLIDADA[Inv Fís Act],MATCH("AGROINSUMOSSTODOMINGO"&amp;Tabla_Buffers_Agroinsumos[[#This Row],[CODIGO ]],TABLACONSOLIDADA[Bodega]&amp;TABLACONSOLIDADA[Codigo],0)),"")</f>
        <v/>
      </c>
      <c r="BK332" s="157" t="str">
        <f t="array" ref="BK33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3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32" s="91">
        <f>IFERROR(SUM(Tabla_Buffers_Agroinsumos[[#This Row],[SD-MP]:[SD-VL]]),"")</f>
        <v>0</v>
      </c>
      <c r="BN332" s="92"/>
      <c r="BO332" s="92"/>
      <c r="BP332" s="134"/>
      <c r="BQ332" s="134"/>
      <c r="BR332" s="134"/>
      <c r="BS332" s="134"/>
      <c r="BT332" s="134"/>
      <c r="BU332" s="134"/>
      <c r="BV332" s="134"/>
      <c r="BW332" s="134"/>
      <c r="BX332" s="134"/>
      <c r="BY332" s="134" t="str">
        <f t="array" ref="BY332">IFERROR(INDEX(TABLACONSOLIDADA[Buff Act],MATCH("AGROINSUMOSMONCAYOLOPEZ"&amp;Tabla_Buffers_Agroinsumos[[#This Row],[CODIGO ]],TABLACONSOLIDADA[Bodega]&amp;TABLACONSOLIDADA[Codigo],0)),"")</f>
        <v/>
      </c>
      <c r="BZ332" s="157" t="str">
        <f t="array" ref="BZ332">IFERROR(INDEX(TABLACONSOLIDADA[Inv Fís Act],MATCH("AGROINSUMOSMONCAYOLOPEZ"&amp;Tabla_Buffers_Agroinsumos[[#This Row],[CODIGO ]],TABLACONSOLIDADA[Bodega]&amp;TABLACONSOLIDADA[Codigo],0)),"")</f>
        <v/>
      </c>
      <c r="CA332" s="157" t="str">
        <f t="array" ref="CA33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3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32" s="134">
        <f>IFERROR(SUM(Tabla_Buffers_Agroinsumos[[#This Row],[ML-MP]:[ML-VL]]),"")</f>
        <v>0</v>
      </c>
      <c r="CD332" s="92" t="str">
        <f>IFERROR(Tabla_Buffers_Agroinsumos[[#This Row],[INV FIS ML]]-Tabla_Buffers_Agroinsumos[[#This Row],[BUFFER ML]],"")</f>
        <v/>
      </c>
      <c r="CE33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32" s="134"/>
      <c r="CG332" s="134"/>
      <c r="CH332" s="134"/>
      <c r="CI332" s="134"/>
      <c r="CJ332" s="134"/>
      <c r="CK332" s="134"/>
      <c r="CL332" s="134"/>
      <c r="CM332" s="134"/>
      <c r="CN332" s="134"/>
      <c r="CO332" s="134" t="str">
        <f t="array" ref="CO332">IFERROR(INDEX(TABLACONSOLIDADA[Buff Act],MATCH("AGROINSUMOSAGROHERMANOSLEON"&amp;Tabla_Buffers_Agroinsumos[[#This Row],[CODIGO ]],TABLACONSOLIDADA[Bodega]&amp;TABLACONSOLIDADA[Codigo],0)),"")</f>
        <v/>
      </c>
      <c r="CP332" s="157" t="str">
        <f t="array" ref="CP332">IFERROR(INDEX(TABLACONSOLIDADA[Inv Fís Act],MATCH("AGROINSUMOSAGROHERMANOSLEON"&amp;Tabla_Buffers_Agroinsumos[[#This Row],[CODIGO ]],TABLACONSOLIDADA[Bodega]&amp;TABLACONSOLIDADA[Codigo],0)),"")</f>
        <v/>
      </c>
      <c r="CQ332" s="157" t="str">
        <f t="array" ref="CQ33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3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32" s="134">
        <f>IFERROR(SUM(Tabla_Buffers_Agroinsumos[[#This Row],[AL-MP]:[AL-VL]]),"")</f>
        <v>0</v>
      </c>
      <c r="CT332" s="92" t="str">
        <f>IFERROR(Tabla_Buffers_Agroinsumos[[#This Row],[INV FIS AL]]-Tabla_Buffers_Agroinsumos[[#This Row],[BUFFER AL]],"")</f>
        <v/>
      </c>
      <c r="CU33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32" s="134"/>
      <c r="CW332" s="134"/>
      <c r="CX332" s="134"/>
      <c r="CY332" s="134"/>
      <c r="CZ332" s="134"/>
      <c r="DA332" s="134"/>
      <c r="DB332" s="134"/>
      <c r="DC332" s="134"/>
      <c r="DD332" s="134"/>
      <c r="DE332" s="134" t="str">
        <f t="array" ref="DE332">IFERROR(INDEX(TABLACONSOLIDADA[Buff Act],MATCH("AGROINSUMOSAGRONUEVO"&amp;Tabla_Buffers_Agroinsumos[[#This Row],[CODIGO ]],TABLACONSOLIDADA[Bodega]&amp;TABLACONSOLIDADA[Codigo],0)),"")</f>
        <v/>
      </c>
      <c r="DF332" s="157" t="str">
        <f t="array" ref="DF332">IFERROR(INDEX(TABLACONSOLIDADA[Inv Fís Act],MATCH("AGROINSUMOSAGRONUEVO"&amp;Tabla_Buffers_Agroinsumos[[#This Row],[CODIGO ]],TABLACONSOLIDADA[Bodega]&amp;TABLACONSOLIDADA[Codigo],0)),"")</f>
        <v/>
      </c>
      <c r="DG332" s="157" t="str">
        <f t="array" ref="DG33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3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32" s="134">
        <f>IFERROR(SUM(Tabla_Buffers_Agroinsumos[[#This Row],[AN-MP]:[AN-VL]]),"")</f>
        <v>0</v>
      </c>
      <c r="DJ332" s="92" t="str">
        <f>IFERROR(Tabla_Buffers_Agroinsumos[[#This Row],[INV FIS AN]]-Tabla_Buffers_Agroinsumos[[#This Row],[BUFFER AN]],"")</f>
        <v/>
      </c>
      <c r="DK33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32" s="134"/>
      <c r="DM332" s="134"/>
      <c r="DN332" s="134"/>
      <c r="DO332" s="134"/>
      <c r="DP332" s="134"/>
      <c r="DQ332" s="134"/>
      <c r="DR332" s="134"/>
      <c r="DS332" s="134"/>
      <c r="DT332" s="134"/>
      <c r="DU332" s="134" t="str">
        <f t="array" ref="DU332">IFERROR(INDEX(TABLACONSOLIDADA[Buff Act],MATCH("AGROINSUMOSAGROQUIMICOSSUR"&amp;Tabla_Buffers_Agroinsumos[[#This Row],[CODIGO ]],TABLACONSOLIDADA[Bodega]&amp;TABLACONSOLIDADA[Codigo],0)),"")</f>
        <v/>
      </c>
      <c r="DV332" s="157" t="str">
        <f t="array" ref="DV332">IFERROR(INDEX(TABLACONSOLIDADA[Inv Fís Act],MATCH("AGROINSUMOSAGROQUIMICOSSUR"&amp;Tabla_Buffers_Agroinsumos[[#This Row],[CODIGO ]],TABLACONSOLIDADA[Bodega]&amp;TABLACONSOLIDADA[Codigo],0)),"")</f>
        <v/>
      </c>
      <c r="DW332" s="157" t="str">
        <f t="array" ref="DW33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3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32" s="134">
        <f>IFERROR(SUM(Tabla_Buffers_Agroinsumos[[#This Row],[AS-MP]:[AS-VL]]),"")</f>
        <v>0</v>
      </c>
      <c r="DZ332" s="92" t="str">
        <f>IFERROR(Tabla_Buffers_Agroinsumos[[#This Row],[INV FIS AS]]-Tabla_Buffers_Agroinsumos[[#This Row],[BUFFER AS]],"")</f>
        <v/>
      </c>
      <c r="EA33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32" s="134"/>
      <c r="EC332" s="134"/>
      <c r="ED332" s="134"/>
      <c r="EE332" s="134"/>
      <c r="EF332" s="134"/>
      <c r="EG332" s="134"/>
      <c r="EH332" s="134"/>
      <c r="EI332" s="134"/>
      <c r="EJ332" s="134"/>
      <c r="EK332" s="134" t="str">
        <f t="array" ref="EK332">IFERROR(INDEX(TABLACONSOLIDADA[Buff Act],MATCH("AGROINSUMOSLAFINCA"&amp;Tabla_Buffers_Agroinsumos[[#This Row],[CODIGO ]],TABLACONSOLIDADA[Bodega]&amp;TABLACONSOLIDADA[Codigo],0)),"")</f>
        <v/>
      </c>
      <c r="EL332" s="157" t="str">
        <f t="array" ref="EL332">IFERROR(INDEX(TABLACONSOLIDADA[Inv Fís Act],MATCH("AGROINSUMOSLAFINCA"&amp;Tabla_Buffers_Agroinsumos[[#This Row],[CODIGO ]],TABLACONSOLIDADA[Bodega]&amp;TABLACONSOLIDADA[Codigo],0)),"")</f>
        <v/>
      </c>
      <c r="EM332" s="157" t="str">
        <f t="array" ref="EM33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3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32" s="134">
        <f>IFERROR(SUM(Tabla_Buffers_Agroinsumos[[#This Row],[LF-MP]:[LF-VL]]),"")</f>
        <v>0</v>
      </c>
      <c r="EP332" s="92" t="str">
        <f>IFERROR(Tabla_Buffers_Agroinsumos[[#This Row],[INV FIS LF]]-Tabla_Buffers_Agroinsumos[[#This Row],[BUFFER LF]],"")</f>
        <v/>
      </c>
      <c r="EQ33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32" s="134"/>
      <c r="ES332" s="134"/>
      <c r="ET332" s="134"/>
      <c r="EU332" s="134"/>
      <c r="EV332" s="134"/>
      <c r="EW332" s="134"/>
      <c r="EX332" s="134"/>
      <c r="EY332" s="134"/>
      <c r="EZ332" s="134"/>
      <c r="FA332" s="134" t="str">
        <f t="array" ref="FA332">IFERROR(INDEX(TABLACONSOLIDADA[Buff Act],MATCH("AGROINSUMOSVERONICALEDESMA"&amp;Tabla_Buffers_Agroinsumos[[#This Row],[CODIGO ]],TABLACONSOLIDADA[Bodega]&amp;TABLACONSOLIDADA[Codigo],0)),"")</f>
        <v/>
      </c>
      <c r="FB332" s="157" t="str">
        <f t="array" ref="FB332">IFERROR(INDEX(TABLACONSOLIDADA[Inv Fís Act],MATCH("AGROINSUMOSVERONICALEDESMA"&amp;Tabla_Buffers_Agroinsumos[[#This Row],[CODIGO ]],TABLACONSOLIDADA[Bodega]&amp;TABLACONSOLIDADA[Codigo],0)),"")</f>
        <v/>
      </c>
      <c r="FC332" s="157" t="str">
        <f t="array" ref="FC33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3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32" s="134">
        <f>IFERROR(SUM(Tabla_Buffers_Agroinsumos[[#This Row],[VL-MP]:[VL-LF]]),"")</f>
        <v>0</v>
      </c>
      <c r="FF332" s="92" t="str">
        <f>IFERROR(Tabla_Buffers_Agroinsumos[[#This Row],[INV FIS VL]]-Tabla_Buffers_Agroinsumos[[#This Row],[BUFFER VL]],"")</f>
        <v/>
      </c>
      <c r="FG33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32" s="134"/>
      <c r="FI332" s="134"/>
      <c r="FJ332" s="134"/>
      <c r="FK332" s="134"/>
      <c r="FL332" s="134"/>
      <c r="FM332" s="134"/>
      <c r="FN332" s="134"/>
      <c r="FO332" s="134"/>
      <c r="FP332" s="134"/>
    </row>
    <row r="333" spans="1:172">
      <c r="A333" s="7" t="s">
        <v>565</v>
      </c>
      <c r="B333" s="7" t="s">
        <v>566</v>
      </c>
      <c r="C333" s="7" t="s">
        <v>708</v>
      </c>
      <c r="D333" s="7" t="s">
        <v>717</v>
      </c>
      <c r="E333" s="7" t="s">
        <v>863</v>
      </c>
      <c r="F333" s="19" t="s">
        <v>804</v>
      </c>
      <c r="G333" s="19" t="s">
        <v>802</v>
      </c>
      <c r="H333" s="19">
        <f>VLOOKUP(Tabla_Buffers_Agroinsumos[[#This Row],[CODIGO ]],TABLACONSOLIDADA[[Codigo]:[PV]],6,0)</f>
        <v>0</v>
      </c>
      <c r="I333" s="19">
        <f>VLOOKUP(Tabla_Buffers_Agroinsumos[[#This Row],[CODIGO ]],TABLACONSOLIDADA[[Codigo]:[PV]],5,0)</f>
        <v>518.41999999999996</v>
      </c>
      <c r="J333" s="19">
        <v>4</v>
      </c>
      <c r="K333" s="19">
        <v>4</v>
      </c>
      <c r="L333" s="19">
        <f>IFERROR(Tabla_Buffers_Agroinsumos[[#This Row],[BUFFER CENTRAL]]/((Tabla_Buffers_Agroinsumos[[#This Row],[TIEMPO REPOSICION ]]/Tabla_Buffers_Agroinsumos[[#This Row],[FRECUENCIA]])+1),0)</f>
        <v>0</v>
      </c>
      <c r="M333" s="19">
        <f t="array" ref="M333">IFERROR(INDEX(TABLACONSOLIDADA[Buff Act],MATCH("AGROINSUMOSMATERIAPRIMA"&amp;Tabla_Buffers_Agroinsumos[[#This Row],[CODIGO ]],TABLACONSOLIDADA[Bodega]&amp;TABLACONSOLIDADA[Codigo],0)),"")</f>
        <v>3</v>
      </c>
      <c r="N333" s="157">
        <f t="array" ref="N333">IFERROR(INDEX(TABLACONSOLIDADA[Inv Fís Act],MATCH("AGROINSUMOSMATERIAPRIMA"&amp;Tabla_Buffers_Agroinsumos[[#This Row],[CODIGO ]],TABLACONSOLIDADA[Bodega]&amp;TABLACONSOLIDADA[Codigo],0)),"")</f>
        <v>5.8769999999999998</v>
      </c>
      <c r="O333" s="157">
        <f t="array" ref="O33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5.8769999999999998</v>
      </c>
      <c r="P33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33" s="19">
        <f>IFERROR(SUM(Tabla_Buffers_Agroinsumos[[#This Row],[MP-C]:[MP-VL]]),"")</f>
        <v>0</v>
      </c>
      <c r="R333" s="92">
        <f>IFERROR(Tabla_Buffers_Agroinsumos[[#This Row],[INV FIS MATERIA PRIMA]]-Tabla_Buffers_Agroinsumos[[#This Row],[BUFFER MATERIA PRIMA]],"")</f>
        <v>2.8769999999999998</v>
      </c>
      <c r="S333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2.8769999999999998</v>
      </c>
      <c r="T333" s="19"/>
      <c r="U333" s="19"/>
      <c r="V333" s="19"/>
      <c r="W333" s="19"/>
      <c r="X333" s="19"/>
      <c r="Y333" s="19"/>
      <c r="Z333" s="19"/>
      <c r="AA333" s="19"/>
      <c r="AB333" s="19"/>
      <c r="AC333" s="152" t="str">
        <f t="array" ref="AC333">IFERROR(INDEX(TABLACONSOLIDADA[Buff Act],MATCH("AGROINSUMOSCENTRAL"&amp;Tabla_Buffers_Agroinsumos[[#This Row],[CODIGO ]],TABLACONSOLIDADA[Bodega]&amp;TABLACONSOLIDADA[Codigo],0)),"")</f>
        <v/>
      </c>
      <c r="AD333" s="157" t="str">
        <f t="array" ref="AD333">IFERROR(INDEX(TABLACONSOLIDADA[Inv Fís Act],MATCH("AGROINSUMOSCENTRAL"&amp;Tabla_Buffers_Agroinsumos[[#This Row],[CODIGO ]],TABLACONSOLIDADA[Bodega]&amp;TABLACONSOLIDADA[Codigo],0)),"")</f>
        <v/>
      </c>
      <c r="AE333" s="157" t="str">
        <f t="array" ref="AE33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3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33" s="91">
        <f>IFERROR(SUM(Tabla_Buffers_Agroinsumos[[#This Row],[C-MP]:[C-VL]]),"")</f>
        <v>0</v>
      </c>
      <c r="AH333" s="92" t="str">
        <f>IFERROR(Tabla_Buffers_Agroinsumos[[#This Row],[INV FIS CENTRAL]]-Tabla_Buffers_Agroinsumos[[#This Row],[BUFFER CENTRAL]],"")</f>
        <v/>
      </c>
      <c r="AI333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33" s="134"/>
      <c r="AK333" s="134"/>
      <c r="AL333" s="134"/>
      <c r="AM333" s="134"/>
      <c r="AN333" s="134"/>
      <c r="AO333" s="134"/>
      <c r="AP333" s="134"/>
      <c r="AQ333" s="134"/>
      <c r="AR333" s="134"/>
      <c r="AS333" s="134" t="str">
        <f t="array" ref="AS333">IFERROR(INDEX(TABLACONSOLIDADA[Buff Act],MATCH("AGROINSUMOScentralPROPIA"&amp;Tabla_Buffers_Agroinsumos[[#This Row],[CODIGO ]],TABLACONSOLIDADA[Bodega]&amp;TABLACONSOLIDADA[Codigo],0)),"")</f>
        <v/>
      </c>
      <c r="AT333" s="157" t="str">
        <f t="array" ref="AT333">IFERROR(INDEX(TABLACONSOLIDADA[Inv Fís Act],MATCH("AGROINSUMOScentralPROPIA"&amp;Tabla_Buffers_Agroinsumos[[#This Row],[CODIGO ]],TABLACONSOLIDADA[Bodega]&amp;TABLACONSOLIDADA[Codigo],0)),"")</f>
        <v/>
      </c>
      <c r="AU333" s="157" t="str">
        <f t="array" ref="AU33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3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33" s="134">
        <f>IFERROR(SUM(Tabla_Buffers_Agroinsumos[[#This Row],[P-MP]:[P-VL]]),"")</f>
        <v>0</v>
      </c>
      <c r="AX333" s="92" t="str">
        <f>IFERROR(Tabla_Buffers_Agroinsumos[[#This Row],[INV FIS PROPIA]]-Tabla_Buffers_Agroinsumos[[#This Row],[BUFFER PROPIA]],"")</f>
        <v/>
      </c>
      <c r="AY333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33" s="134"/>
      <c r="BA333" s="134"/>
      <c r="BB333" s="134"/>
      <c r="BC333" s="134"/>
      <c r="BD333" s="134"/>
      <c r="BE333" s="134"/>
      <c r="BF333" s="134"/>
      <c r="BG333" s="134"/>
      <c r="BH333" s="134"/>
      <c r="BI333" s="91" t="str">
        <f t="array" ref="BI333">IFERROR(INDEX(TABLACONSOLIDADA[Buff Act],MATCH("AGROINSUMOSSTODOMINGO"&amp;Tabla_Buffers_Agroinsumos[[#This Row],[CODIGO ]],TABLACONSOLIDADA[Bodega]&amp;TABLACONSOLIDADA[Codigo],0)),"")</f>
        <v/>
      </c>
      <c r="BJ333" s="157" t="str">
        <f t="array" ref="BJ333">IFERROR(INDEX(TABLACONSOLIDADA[Inv Fís Act],MATCH("AGROINSUMOSSTODOMINGO"&amp;Tabla_Buffers_Agroinsumos[[#This Row],[CODIGO ]],TABLACONSOLIDADA[Bodega]&amp;TABLACONSOLIDADA[Codigo],0)),"")</f>
        <v/>
      </c>
      <c r="BK333" s="157" t="str">
        <f t="array" ref="BK33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3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33" s="91">
        <f>IFERROR(SUM(Tabla_Buffers_Agroinsumos[[#This Row],[SD-MP]:[SD-VL]]),"")</f>
        <v>0</v>
      </c>
      <c r="BN333" s="92"/>
      <c r="BO333" s="92"/>
      <c r="BP333" s="134"/>
      <c r="BQ333" s="134"/>
      <c r="BR333" s="134"/>
      <c r="BS333" s="134"/>
      <c r="BT333" s="134"/>
      <c r="BU333" s="134"/>
      <c r="BV333" s="134"/>
      <c r="BW333" s="134"/>
      <c r="BX333" s="134"/>
      <c r="BY333" s="134" t="str">
        <f t="array" ref="BY333">IFERROR(INDEX(TABLACONSOLIDADA[Buff Act],MATCH("AGROINSUMOSMONCAYOLOPEZ"&amp;Tabla_Buffers_Agroinsumos[[#This Row],[CODIGO ]],TABLACONSOLIDADA[Bodega]&amp;TABLACONSOLIDADA[Codigo],0)),"")</f>
        <v/>
      </c>
      <c r="BZ333" s="157" t="str">
        <f t="array" ref="BZ333">IFERROR(INDEX(TABLACONSOLIDADA[Inv Fís Act],MATCH("AGROINSUMOSMONCAYOLOPEZ"&amp;Tabla_Buffers_Agroinsumos[[#This Row],[CODIGO ]],TABLACONSOLIDADA[Bodega]&amp;TABLACONSOLIDADA[Codigo],0)),"")</f>
        <v/>
      </c>
      <c r="CA333" s="157" t="str">
        <f t="array" ref="CA33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3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33" s="134">
        <f>IFERROR(SUM(Tabla_Buffers_Agroinsumos[[#This Row],[ML-MP]:[ML-VL]]),"")</f>
        <v>0</v>
      </c>
      <c r="CD333" s="92" t="str">
        <f>IFERROR(Tabla_Buffers_Agroinsumos[[#This Row],[INV FIS ML]]-Tabla_Buffers_Agroinsumos[[#This Row],[BUFFER ML]],"")</f>
        <v/>
      </c>
      <c r="CE333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33" s="134"/>
      <c r="CG333" s="134"/>
      <c r="CH333" s="134"/>
      <c r="CI333" s="134"/>
      <c r="CJ333" s="134"/>
      <c r="CK333" s="134"/>
      <c r="CL333" s="134"/>
      <c r="CM333" s="134"/>
      <c r="CN333" s="134"/>
      <c r="CO333" s="134" t="str">
        <f t="array" ref="CO333">IFERROR(INDEX(TABLACONSOLIDADA[Buff Act],MATCH("AGROINSUMOSAGROHERMANOSLEON"&amp;Tabla_Buffers_Agroinsumos[[#This Row],[CODIGO ]],TABLACONSOLIDADA[Bodega]&amp;TABLACONSOLIDADA[Codigo],0)),"")</f>
        <v/>
      </c>
      <c r="CP333" s="157" t="str">
        <f t="array" ref="CP333">IFERROR(INDEX(TABLACONSOLIDADA[Inv Fís Act],MATCH("AGROINSUMOSAGROHERMANOSLEON"&amp;Tabla_Buffers_Agroinsumos[[#This Row],[CODIGO ]],TABLACONSOLIDADA[Bodega]&amp;TABLACONSOLIDADA[Codigo],0)),"")</f>
        <v/>
      </c>
      <c r="CQ333" s="157" t="str">
        <f t="array" ref="CQ33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3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33" s="134">
        <f>IFERROR(SUM(Tabla_Buffers_Agroinsumos[[#This Row],[AL-MP]:[AL-VL]]),"")</f>
        <v>0</v>
      </c>
      <c r="CT333" s="92" t="str">
        <f>IFERROR(Tabla_Buffers_Agroinsumos[[#This Row],[INV FIS AL]]-Tabla_Buffers_Agroinsumos[[#This Row],[BUFFER AL]],"")</f>
        <v/>
      </c>
      <c r="CU333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33" s="134"/>
      <c r="CW333" s="134"/>
      <c r="CX333" s="134"/>
      <c r="CY333" s="134"/>
      <c r="CZ333" s="134"/>
      <c r="DA333" s="134"/>
      <c r="DB333" s="134"/>
      <c r="DC333" s="134"/>
      <c r="DD333" s="134"/>
      <c r="DE333" s="134" t="str">
        <f t="array" ref="DE333">IFERROR(INDEX(TABLACONSOLIDADA[Buff Act],MATCH("AGROINSUMOSAGRONUEVO"&amp;Tabla_Buffers_Agroinsumos[[#This Row],[CODIGO ]],TABLACONSOLIDADA[Bodega]&amp;TABLACONSOLIDADA[Codigo],0)),"")</f>
        <v/>
      </c>
      <c r="DF333" s="157" t="str">
        <f t="array" ref="DF333">IFERROR(INDEX(TABLACONSOLIDADA[Inv Fís Act],MATCH("AGROINSUMOSAGRONUEVO"&amp;Tabla_Buffers_Agroinsumos[[#This Row],[CODIGO ]],TABLACONSOLIDADA[Bodega]&amp;TABLACONSOLIDADA[Codigo],0)),"")</f>
        <v/>
      </c>
      <c r="DG333" s="157" t="str">
        <f t="array" ref="DG33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3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33" s="134">
        <f>IFERROR(SUM(Tabla_Buffers_Agroinsumos[[#This Row],[AN-MP]:[AN-VL]]),"")</f>
        <v>0</v>
      </c>
      <c r="DJ333" s="92" t="str">
        <f>IFERROR(Tabla_Buffers_Agroinsumos[[#This Row],[INV FIS AN]]-Tabla_Buffers_Agroinsumos[[#This Row],[BUFFER AN]],"")</f>
        <v/>
      </c>
      <c r="DK333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33" s="134"/>
      <c r="DM333" s="134"/>
      <c r="DN333" s="134"/>
      <c r="DO333" s="134"/>
      <c r="DP333" s="134"/>
      <c r="DQ333" s="134"/>
      <c r="DR333" s="134"/>
      <c r="DS333" s="134"/>
      <c r="DT333" s="134"/>
      <c r="DU333" s="134" t="str">
        <f t="array" ref="DU333">IFERROR(INDEX(TABLACONSOLIDADA[Buff Act],MATCH("AGROINSUMOSAGROQUIMICOSSUR"&amp;Tabla_Buffers_Agroinsumos[[#This Row],[CODIGO ]],TABLACONSOLIDADA[Bodega]&amp;TABLACONSOLIDADA[Codigo],0)),"")</f>
        <v/>
      </c>
      <c r="DV333" s="157" t="str">
        <f t="array" ref="DV333">IFERROR(INDEX(TABLACONSOLIDADA[Inv Fís Act],MATCH("AGROINSUMOSAGROQUIMICOSSUR"&amp;Tabla_Buffers_Agroinsumos[[#This Row],[CODIGO ]],TABLACONSOLIDADA[Bodega]&amp;TABLACONSOLIDADA[Codigo],0)),"")</f>
        <v/>
      </c>
      <c r="DW333" s="157" t="str">
        <f t="array" ref="DW33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3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33" s="134">
        <f>IFERROR(SUM(Tabla_Buffers_Agroinsumos[[#This Row],[AS-MP]:[AS-VL]]),"")</f>
        <v>0</v>
      </c>
      <c r="DZ333" s="92" t="str">
        <f>IFERROR(Tabla_Buffers_Agroinsumos[[#This Row],[INV FIS AS]]-Tabla_Buffers_Agroinsumos[[#This Row],[BUFFER AS]],"")</f>
        <v/>
      </c>
      <c r="EA333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33" s="134"/>
      <c r="EC333" s="134"/>
      <c r="ED333" s="134"/>
      <c r="EE333" s="134"/>
      <c r="EF333" s="134"/>
      <c r="EG333" s="134"/>
      <c r="EH333" s="134"/>
      <c r="EI333" s="134"/>
      <c r="EJ333" s="134"/>
      <c r="EK333" s="134" t="str">
        <f t="array" ref="EK333">IFERROR(INDEX(TABLACONSOLIDADA[Buff Act],MATCH("AGROINSUMOSLAFINCA"&amp;Tabla_Buffers_Agroinsumos[[#This Row],[CODIGO ]],TABLACONSOLIDADA[Bodega]&amp;TABLACONSOLIDADA[Codigo],0)),"")</f>
        <v/>
      </c>
      <c r="EL333" s="157" t="str">
        <f t="array" ref="EL333">IFERROR(INDEX(TABLACONSOLIDADA[Inv Fís Act],MATCH("AGROINSUMOSLAFINCA"&amp;Tabla_Buffers_Agroinsumos[[#This Row],[CODIGO ]],TABLACONSOLIDADA[Bodega]&amp;TABLACONSOLIDADA[Codigo],0)),"")</f>
        <v/>
      </c>
      <c r="EM333" s="157" t="str">
        <f t="array" ref="EM33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3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33" s="134">
        <f>IFERROR(SUM(Tabla_Buffers_Agroinsumos[[#This Row],[LF-MP]:[LF-VL]]),"")</f>
        <v>0</v>
      </c>
      <c r="EP333" s="92" t="str">
        <f>IFERROR(Tabla_Buffers_Agroinsumos[[#This Row],[INV FIS LF]]-Tabla_Buffers_Agroinsumos[[#This Row],[BUFFER LF]],"")</f>
        <v/>
      </c>
      <c r="EQ333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33" s="134"/>
      <c r="ES333" s="134"/>
      <c r="ET333" s="134"/>
      <c r="EU333" s="134"/>
      <c r="EV333" s="134"/>
      <c r="EW333" s="134"/>
      <c r="EX333" s="134"/>
      <c r="EY333" s="134"/>
      <c r="EZ333" s="134"/>
      <c r="FA333" s="134" t="str">
        <f t="array" ref="FA333">IFERROR(INDEX(TABLACONSOLIDADA[Buff Act],MATCH("AGROINSUMOSVERONICALEDESMA"&amp;Tabla_Buffers_Agroinsumos[[#This Row],[CODIGO ]],TABLACONSOLIDADA[Bodega]&amp;TABLACONSOLIDADA[Codigo],0)),"")</f>
        <v/>
      </c>
      <c r="FB333" s="157" t="str">
        <f t="array" ref="FB333">IFERROR(INDEX(TABLACONSOLIDADA[Inv Fís Act],MATCH("AGROINSUMOSVERONICALEDESMA"&amp;Tabla_Buffers_Agroinsumos[[#This Row],[CODIGO ]],TABLACONSOLIDADA[Bodega]&amp;TABLACONSOLIDADA[Codigo],0)),"")</f>
        <v/>
      </c>
      <c r="FC333" s="157" t="str">
        <f t="array" ref="FC33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3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33" s="134">
        <f>IFERROR(SUM(Tabla_Buffers_Agroinsumos[[#This Row],[VL-MP]:[VL-LF]]),"")</f>
        <v>0</v>
      </c>
      <c r="FF333" s="92" t="str">
        <f>IFERROR(Tabla_Buffers_Agroinsumos[[#This Row],[INV FIS VL]]-Tabla_Buffers_Agroinsumos[[#This Row],[BUFFER VL]],"")</f>
        <v/>
      </c>
      <c r="FG333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33" s="134"/>
      <c r="FI333" s="134"/>
      <c r="FJ333" s="134"/>
      <c r="FK333" s="134"/>
      <c r="FL333" s="134"/>
      <c r="FM333" s="134"/>
      <c r="FN333" s="134"/>
      <c r="FO333" s="134"/>
      <c r="FP333" s="134"/>
    </row>
    <row r="334" spans="1:172">
      <c r="A334" s="7" t="s">
        <v>567</v>
      </c>
      <c r="B334" s="7" t="s">
        <v>568</v>
      </c>
      <c r="C334" s="7" t="s">
        <v>707</v>
      </c>
      <c r="D334" s="7" t="s">
        <v>761</v>
      </c>
      <c r="E334" s="7" t="s">
        <v>863</v>
      </c>
      <c r="F334" s="19" t="s">
        <v>805</v>
      </c>
      <c r="G334" s="19" t="s">
        <v>802</v>
      </c>
      <c r="H334" s="19">
        <f>VLOOKUP(Tabla_Buffers_Agroinsumos[[#This Row],[CODIGO ]],TABLACONSOLIDADA[[Codigo]:[PV]],6,0)</f>
        <v>0</v>
      </c>
      <c r="I334" s="19">
        <f>VLOOKUP(Tabla_Buffers_Agroinsumos[[#This Row],[CODIGO ]],TABLACONSOLIDADA[[Codigo]:[PV]],5,0)</f>
        <v>22.75</v>
      </c>
      <c r="J334" s="19">
        <v>4</v>
      </c>
      <c r="K334" s="19">
        <v>4</v>
      </c>
      <c r="L334" s="19">
        <f>IFERROR(Tabla_Buffers_Agroinsumos[[#This Row],[BUFFER CENTRAL]]/((Tabla_Buffers_Agroinsumos[[#This Row],[TIEMPO REPOSICION ]]/Tabla_Buffers_Agroinsumos[[#This Row],[FRECUENCIA]])+1),0)</f>
        <v>0</v>
      </c>
      <c r="M334" s="19">
        <f t="array" ref="M334">IFERROR(INDEX(TABLACONSOLIDADA[Buff Act],MATCH("AGROINSUMOSMATERIAPRIMA"&amp;Tabla_Buffers_Agroinsumos[[#This Row],[CODIGO ]],TABLACONSOLIDADA[Bodega]&amp;TABLACONSOLIDADA[Codigo],0)),"")</f>
        <v>120</v>
      </c>
      <c r="N334" s="157">
        <f t="array" ref="N334">IFERROR(INDEX(TABLACONSOLIDADA[Inv Fís Act],MATCH("AGROINSUMOSMATERIAPRIMA"&amp;Tabla_Buffers_Agroinsumos[[#This Row],[CODIGO ]],TABLACONSOLIDADA[Bodega]&amp;TABLACONSOLIDADA[Codigo],0)),"")</f>
        <v>105.35420000000001</v>
      </c>
      <c r="O334" s="157">
        <f t="array" ref="O33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105.35420000000001</v>
      </c>
      <c r="P33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34" s="19">
        <f>IFERROR(SUM(Tabla_Buffers_Agroinsumos[[#This Row],[MP-C]:[MP-VL]]),"")</f>
        <v>0</v>
      </c>
      <c r="R334" s="92">
        <f>IFERROR(Tabla_Buffers_Agroinsumos[[#This Row],[INV FIS MATERIA PRIMA]]-Tabla_Buffers_Agroinsumos[[#This Row],[BUFFER MATERIA PRIMA]],"")</f>
        <v>-14.645799999999994</v>
      </c>
      <c r="S33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-14.645799999999994</v>
      </c>
      <c r="T334" s="19"/>
      <c r="U334" s="19"/>
      <c r="V334" s="19"/>
      <c r="W334" s="19"/>
      <c r="X334" s="19"/>
      <c r="Y334" s="19"/>
      <c r="Z334" s="19"/>
      <c r="AA334" s="19"/>
      <c r="AB334" s="19"/>
      <c r="AC334" s="152" t="str">
        <f t="array" ref="AC334">IFERROR(INDEX(TABLACONSOLIDADA[Buff Act],MATCH("AGROINSUMOSCENTRAL"&amp;Tabla_Buffers_Agroinsumos[[#This Row],[CODIGO ]],TABLACONSOLIDADA[Bodega]&amp;TABLACONSOLIDADA[Codigo],0)),"")</f>
        <v/>
      </c>
      <c r="AD334" s="157" t="str">
        <f t="array" ref="AD334">IFERROR(INDEX(TABLACONSOLIDADA[Inv Fís Act],MATCH("AGROINSUMOSCENTRAL"&amp;Tabla_Buffers_Agroinsumos[[#This Row],[CODIGO ]],TABLACONSOLIDADA[Bodega]&amp;TABLACONSOLIDADA[Codigo],0)),"")</f>
        <v/>
      </c>
      <c r="AE334" s="157" t="str">
        <f t="array" ref="AE33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3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34" s="91">
        <f>IFERROR(SUM(Tabla_Buffers_Agroinsumos[[#This Row],[C-MP]:[C-VL]]),"")</f>
        <v>0</v>
      </c>
      <c r="AH334" s="92" t="str">
        <f>IFERROR(Tabla_Buffers_Agroinsumos[[#This Row],[INV FIS CENTRAL]]-Tabla_Buffers_Agroinsumos[[#This Row],[BUFFER CENTRAL]],"")</f>
        <v/>
      </c>
      <c r="AI33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34" s="134"/>
      <c r="AK334" s="134"/>
      <c r="AL334" s="134"/>
      <c r="AM334" s="134"/>
      <c r="AN334" s="134"/>
      <c r="AO334" s="134"/>
      <c r="AP334" s="134"/>
      <c r="AQ334" s="134"/>
      <c r="AR334" s="134"/>
      <c r="AS334" s="134" t="str">
        <f t="array" ref="AS334">IFERROR(INDEX(TABLACONSOLIDADA[Buff Act],MATCH("AGROINSUMOScentralPROPIA"&amp;Tabla_Buffers_Agroinsumos[[#This Row],[CODIGO ]],TABLACONSOLIDADA[Bodega]&amp;TABLACONSOLIDADA[Codigo],0)),"")</f>
        <v/>
      </c>
      <c r="AT334" s="157" t="str">
        <f t="array" ref="AT334">IFERROR(INDEX(TABLACONSOLIDADA[Inv Fís Act],MATCH("AGROINSUMOScentralPROPIA"&amp;Tabla_Buffers_Agroinsumos[[#This Row],[CODIGO ]],TABLACONSOLIDADA[Bodega]&amp;TABLACONSOLIDADA[Codigo],0)),"")</f>
        <v/>
      </c>
      <c r="AU334" s="157" t="str">
        <f t="array" ref="AU33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3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34" s="134">
        <f>IFERROR(SUM(Tabla_Buffers_Agroinsumos[[#This Row],[P-MP]:[P-VL]]),"")</f>
        <v>0</v>
      </c>
      <c r="AX334" s="92" t="str">
        <f>IFERROR(Tabla_Buffers_Agroinsumos[[#This Row],[INV FIS PROPIA]]-Tabla_Buffers_Agroinsumos[[#This Row],[BUFFER PROPIA]],"")</f>
        <v/>
      </c>
      <c r="AY33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34" s="134"/>
      <c r="BA334" s="134"/>
      <c r="BB334" s="134"/>
      <c r="BC334" s="134"/>
      <c r="BD334" s="134"/>
      <c r="BE334" s="134"/>
      <c r="BF334" s="134"/>
      <c r="BG334" s="134"/>
      <c r="BH334" s="134"/>
      <c r="BI334" s="91" t="str">
        <f t="array" ref="BI334">IFERROR(INDEX(TABLACONSOLIDADA[Buff Act],MATCH("AGROINSUMOSSTODOMINGO"&amp;Tabla_Buffers_Agroinsumos[[#This Row],[CODIGO ]],TABLACONSOLIDADA[Bodega]&amp;TABLACONSOLIDADA[Codigo],0)),"")</f>
        <v/>
      </c>
      <c r="BJ334" s="157" t="str">
        <f t="array" ref="BJ334">IFERROR(INDEX(TABLACONSOLIDADA[Inv Fís Act],MATCH("AGROINSUMOSSTODOMINGO"&amp;Tabla_Buffers_Agroinsumos[[#This Row],[CODIGO ]],TABLACONSOLIDADA[Bodega]&amp;TABLACONSOLIDADA[Codigo],0)),"")</f>
        <v/>
      </c>
      <c r="BK334" s="157" t="str">
        <f t="array" ref="BK33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3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34" s="91">
        <f>IFERROR(SUM(Tabla_Buffers_Agroinsumos[[#This Row],[SD-MP]:[SD-VL]]),"")</f>
        <v>0</v>
      </c>
      <c r="BN334" s="92"/>
      <c r="BO334" s="92"/>
      <c r="BP334" s="134"/>
      <c r="BQ334" s="134"/>
      <c r="BR334" s="134"/>
      <c r="BS334" s="134"/>
      <c r="BT334" s="134"/>
      <c r="BU334" s="134"/>
      <c r="BV334" s="134"/>
      <c r="BW334" s="134"/>
      <c r="BX334" s="134"/>
      <c r="BY334" s="134" t="str">
        <f t="array" ref="BY334">IFERROR(INDEX(TABLACONSOLIDADA[Buff Act],MATCH("AGROINSUMOSMONCAYOLOPEZ"&amp;Tabla_Buffers_Agroinsumos[[#This Row],[CODIGO ]],TABLACONSOLIDADA[Bodega]&amp;TABLACONSOLIDADA[Codigo],0)),"")</f>
        <v/>
      </c>
      <c r="BZ334" s="157" t="str">
        <f t="array" ref="BZ334">IFERROR(INDEX(TABLACONSOLIDADA[Inv Fís Act],MATCH("AGROINSUMOSMONCAYOLOPEZ"&amp;Tabla_Buffers_Agroinsumos[[#This Row],[CODIGO ]],TABLACONSOLIDADA[Bodega]&amp;TABLACONSOLIDADA[Codigo],0)),"")</f>
        <v/>
      </c>
      <c r="CA334" s="157" t="str">
        <f t="array" ref="CA33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3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34" s="134">
        <f>IFERROR(SUM(Tabla_Buffers_Agroinsumos[[#This Row],[ML-MP]:[ML-VL]]),"")</f>
        <v>0</v>
      </c>
      <c r="CD334" s="92" t="str">
        <f>IFERROR(Tabla_Buffers_Agroinsumos[[#This Row],[INV FIS ML]]-Tabla_Buffers_Agroinsumos[[#This Row],[BUFFER ML]],"")</f>
        <v/>
      </c>
      <c r="CE33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34" s="134"/>
      <c r="CG334" s="134"/>
      <c r="CH334" s="134"/>
      <c r="CI334" s="134"/>
      <c r="CJ334" s="134"/>
      <c r="CK334" s="134"/>
      <c r="CL334" s="134"/>
      <c r="CM334" s="134"/>
      <c r="CN334" s="134"/>
      <c r="CO334" s="134" t="str">
        <f t="array" ref="CO334">IFERROR(INDEX(TABLACONSOLIDADA[Buff Act],MATCH("AGROINSUMOSAGROHERMANOSLEON"&amp;Tabla_Buffers_Agroinsumos[[#This Row],[CODIGO ]],TABLACONSOLIDADA[Bodega]&amp;TABLACONSOLIDADA[Codigo],0)),"")</f>
        <v/>
      </c>
      <c r="CP334" s="157" t="str">
        <f t="array" ref="CP334">IFERROR(INDEX(TABLACONSOLIDADA[Inv Fís Act],MATCH("AGROINSUMOSAGROHERMANOSLEON"&amp;Tabla_Buffers_Agroinsumos[[#This Row],[CODIGO ]],TABLACONSOLIDADA[Bodega]&amp;TABLACONSOLIDADA[Codigo],0)),"")</f>
        <v/>
      </c>
      <c r="CQ334" s="157" t="str">
        <f t="array" ref="CQ33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3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34" s="134">
        <f>IFERROR(SUM(Tabla_Buffers_Agroinsumos[[#This Row],[AL-MP]:[AL-VL]]),"")</f>
        <v>0</v>
      </c>
      <c r="CT334" s="92" t="str">
        <f>IFERROR(Tabla_Buffers_Agroinsumos[[#This Row],[INV FIS AL]]-Tabla_Buffers_Agroinsumos[[#This Row],[BUFFER AL]],"")</f>
        <v/>
      </c>
      <c r="CU33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34" s="134"/>
      <c r="CW334" s="134"/>
      <c r="CX334" s="134"/>
      <c r="CY334" s="134"/>
      <c r="CZ334" s="134"/>
      <c r="DA334" s="134"/>
      <c r="DB334" s="134"/>
      <c r="DC334" s="134"/>
      <c r="DD334" s="134"/>
      <c r="DE334" s="134" t="str">
        <f t="array" ref="DE334">IFERROR(INDEX(TABLACONSOLIDADA[Buff Act],MATCH("AGROINSUMOSAGRONUEVO"&amp;Tabla_Buffers_Agroinsumos[[#This Row],[CODIGO ]],TABLACONSOLIDADA[Bodega]&amp;TABLACONSOLIDADA[Codigo],0)),"")</f>
        <v/>
      </c>
      <c r="DF334" s="157" t="str">
        <f t="array" ref="DF334">IFERROR(INDEX(TABLACONSOLIDADA[Inv Fís Act],MATCH("AGROINSUMOSAGRONUEVO"&amp;Tabla_Buffers_Agroinsumos[[#This Row],[CODIGO ]],TABLACONSOLIDADA[Bodega]&amp;TABLACONSOLIDADA[Codigo],0)),"")</f>
        <v/>
      </c>
      <c r="DG334" s="157" t="str">
        <f t="array" ref="DG33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3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34" s="134">
        <f>IFERROR(SUM(Tabla_Buffers_Agroinsumos[[#This Row],[AN-MP]:[AN-VL]]),"")</f>
        <v>0</v>
      </c>
      <c r="DJ334" s="92" t="str">
        <f>IFERROR(Tabla_Buffers_Agroinsumos[[#This Row],[INV FIS AN]]-Tabla_Buffers_Agroinsumos[[#This Row],[BUFFER AN]],"")</f>
        <v/>
      </c>
      <c r="DK33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34" s="134"/>
      <c r="DM334" s="134"/>
      <c r="DN334" s="134"/>
      <c r="DO334" s="134"/>
      <c r="DP334" s="134"/>
      <c r="DQ334" s="134"/>
      <c r="DR334" s="134"/>
      <c r="DS334" s="134"/>
      <c r="DT334" s="134"/>
      <c r="DU334" s="134" t="str">
        <f t="array" ref="DU334">IFERROR(INDEX(TABLACONSOLIDADA[Buff Act],MATCH("AGROINSUMOSAGROQUIMICOSSUR"&amp;Tabla_Buffers_Agroinsumos[[#This Row],[CODIGO ]],TABLACONSOLIDADA[Bodega]&amp;TABLACONSOLIDADA[Codigo],0)),"")</f>
        <v/>
      </c>
      <c r="DV334" s="157" t="str">
        <f t="array" ref="DV334">IFERROR(INDEX(TABLACONSOLIDADA[Inv Fís Act],MATCH("AGROINSUMOSAGROQUIMICOSSUR"&amp;Tabla_Buffers_Agroinsumos[[#This Row],[CODIGO ]],TABLACONSOLIDADA[Bodega]&amp;TABLACONSOLIDADA[Codigo],0)),"")</f>
        <v/>
      </c>
      <c r="DW334" s="157" t="str">
        <f t="array" ref="DW33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3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34" s="134">
        <f>IFERROR(SUM(Tabla_Buffers_Agroinsumos[[#This Row],[AS-MP]:[AS-VL]]),"")</f>
        <v>0</v>
      </c>
      <c r="DZ334" s="92" t="str">
        <f>IFERROR(Tabla_Buffers_Agroinsumos[[#This Row],[INV FIS AS]]-Tabla_Buffers_Agroinsumos[[#This Row],[BUFFER AS]],"")</f>
        <v/>
      </c>
      <c r="EA33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34" s="134"/>
      <c r="EC334" s="134"/>
      <c r="ED334" s="134"/>
      <c r="EE334" s="134"/>
      <c r="EF334" s="134"/>
      <c r="EG334" s="134"/>
      <c r="EH334" s="134"/>
      <c r="EI334" s="134"/>
      <c r="EJ334" s="134"/>
      <c r="EK334" s="134" t="str">
        <f t="array" ref="EK334">IFERROR(INDEX(TABLACONSOLIDADA[Buff Act],MATCH("AGROINSUMOSLAFINCA"&amp;Tabla_Buffers_Agroinsumos[[#This Row],[CODIGO ]],TABLACONSOLIDADA[Bodega]&amp;TABLACONSOLIDADA[Codigo],0)),"")</f>
        <v/>
      </c>
      <c r="EL334" s="157" t="str">
        <f t="array" ref="EL334">IFERROR(INDEX(TABLACONSOLIDADA[Inv Fís Act],MATCH("AGROINSUMOSLAFINCA"&amp;Tabla_Buffers_Agroinsumos[[#This Row],[CODIGO ]],TABLACONSOLIDADA[Bodega]&amp;TABLACONSOLIDADA[Codigo],0)),"")</f>
        <v/>
      </c>
      <c r="EM334" s="157" t="str">
        <f t="array" ref="EM33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3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34" s="134">
        <f>IFERROR(SUM(Tabla_Buffers_Agroinsumos[[#This Row],[LF-MP]:[LF-VL]]),"")</f>
        <v>0</v>
      </c>
      <c r="EP334" s="92" t="str">
        <f>IFERROR(Tabla_Buffers_Agroinsumos[[#This Row],[INV FIS LF]]-Tabla_Buffers_Agroinsumos[[#This Row],[BUFFER LF]],"")</f>
        <v/>
      </c>
      <c r="EQ33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34" s="134"/>
      <c r="ES334" s="134"/>
      <c r="ET334" s="134"/>
      <c r="EU334" s="134"/>
      <c r="EV334" s="134"/>
      <c r="EW334" s="134"/>
      <c r="EX334" s="134"/>
      <c r="EY334" s="134"/>
      <c r="EZ334" s="134"/>
      <c r="FA334" s="134" t="str">
        <f t="array" ref="FA334">IFERROR(INDEX(TABLACONSOLIDADA[Buff Act],MATCH("AGROINSUMOSVERONICALEDESMA"&amp;Tabla_Buffers_Agroinsumos[[#This Row],[CODIGO ]],TABLACONSOLIDADA[Bodega]&amp;TABLACONSOLIDADA[Codigo],0)),"")</f>
        <v/>
      </c>
      <c r="FB334" s="157" t="str">
        <f t="array" ref="FB334">IFERROR(INDEX(TABLACONSOLIDADA[Inv Fís Act],MATCH("AGROINSUMOSVERONICALEDESMA"&amp;Tabla_Buffers_Agroinsumos[[#This Row],[CODIGO ]],TABLACONSOLIDADA[Bodega]&amp;TABLACONSOLIDADA[Codigo],0)),"")</f>
        <v/>
      </c>
      <c r="FC334" s="157" t="str">
        <f t="array" ref="FC33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3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34" s="134">
        <f>IFERROR(SUM(Tabla_Buffers_Agroinsumos[[#This Row],[VL-MP]:[VL-LF]]),"")</f>
        <v>0</v>
      </c>
      <c r="FF334" s="92" t="str">
        <f>IFERROR(Tabla_Buffers_Agroinsumos[[#This Row],[INV FIS VL]]-Tabla_Buffers_Agroinsumos[[#This Row],[BUFFER VL]],"")</f>
        <v/>
      </c>
      <c r="FG33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34" s="134"/>
      <c r="FI334" s="134"/>
      <c r="FJ334" s="134"/>
      <c r="FK334" s="134"/>
      <c r="FL334" s="134"/>
      <c r="FM334" s="134"/>
      <c r="FN334" s="134"/>
      <c r="FO334" s="134"/>
      <c r="FP334" s="134"/>
    </row>
    <row r="335" spans="1:172">
      <c r="A335" s="7" t="s">
        <v>569</v>
      </c>
      <c r="B335" s="7" t="s">
        <v>868</v>
      </c>
      <c r="C335" s="7" t="s">
        <v>712</v>
      </c>
      <c r="D335" s="7" t="s">
        <v>717</v>
      </c>
      <c r="E335" s="7" t="s">
        <v>863</v>
      </c>
      <c r="F335" s="19" t="s">
        <v>816</v>
      </c>
      <c r="G335" s="19" t="s">
        <v>802</v>
      </c>
      <c r="H335" s="19">
        <f>VLOOKUP(Tabla_Buffers_Agroinsumos[[#This Row],[CODIGO ]],TABLACONSOLIDADA[[Codigo]:[PV]],6,0)</f>
        <v>0</v>
      </c>
      <c r="I335" s="19">
        <f>VLOOKUP(Tabla_Buffers_Agroinsumos[[#This Row],[CODIGO ]],TABLACONSOLIDADA[[Codigo]:[PV]],5,0)</f>
        <v>2400</v>
      </c>
      <c r="J335" s="19">
        <v>4</v>
      </c>
      <c r="K335" s="19">
        <v>4</v>
      </c>
      <c r="L335" s="19">
        <f>IFERROR(Tabla_Buffers_Agroinsumos[[#This Row],[BUFFER CENTRAL]]/((Tabla_Buffers_Agroinsumos[[#This Row],[TIEMPO REPOSICION ]]/Tabla_Buffers_Agroinsumos[[#This Row],[FRECUENCIA]])+1),0)</f>
        <v>0</v>
      </c>
      <c r="M335" s="19">
        <f t="array" ref="M335">IFERROR(INDEX(TABLACONSOLIDADA[Buff Act],MATCH("AGROINSUMOSMATERIAPRIMA"&amp;Tabla_Buffers_Agroinsumos[[#This Row],[CODIGO ]],TABLACONSOLIDADA[Bodega]&amp;TABLACONSOLIDADA[Codigo],0)),"")</f>
        <v>2</v>
      </c>
      <c r="N335" s="157">
        <f t="array" ref="N335">IFERROR(INDEX(TABLACONSOLIDADA[Inv Fís Act],MATCH("AGROINSUMOSMATERIAPRIMA"&amp;Tabla_Buffers_Agroinsumos[[#This Row],[CODIGO ]],TABLACONSOLIDADA[Bodega]&amp;TABLACONSOLIDADA[Codigo],0)),"")</f>
        <v>1.91825</v>
      </c>
      <c r="O335" s="157">
        <f t="array" ref="O33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1.91825</v>
      </c>
      <c r="P33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35" s="19">
        <f>IFERROR(SUM(Tabla_Buffers_Agroinsumos[[#This Row],[MP-C]:[MP-VL]]),"")</f>
        <v>0</v>
      </c>
      <c r="R335" s="92">
        <f>IFERROR(Tabla_Buffers_Agroinsumos[[#This Row],[INV FIS MATERIA PRIMA]]-Tabla_Buffers_Agroinsumos[[#This Row],[BUFFER MATERIA PRIMA]],"")</f>
        <v>-8.1749999999999989E-2</v>
      </c>
      <c r="S33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-8.1749999999999989E-2</v>
      </c>
      <c r="T335" s="19"/>
      <c r="U335" s="19"/>
      <c r="V335" s="19"/>
      <c r="W335" s="19"/>
      <c r="X335" s="19"/>
      <c r="Y335" s="19"/>
      <c r="Z335" s="19"/>
      <c r="AA335" s="19"/>
      <c r="AB335" s="19"/>
      <c r="AC335" s="152" t="str">
        <f t="array" ref="AC335">IFERROR(INDEX(TABLACONSOLIDADA[Buff Act],MATCH("AGROINSUMOSCENTRAL"&amp;Tabla_Buffers_Agroinsumos[[#This Row],[CODIGO ]],TABLACONSOLIDADA[Bodega]&amp;TABLACONSOLIDADA[Codigo],0)),"")</f>
        <v/>
      </c>
      <c r="AD335" s="157" t="str">
        <f t="array" ref="AD335">IFERROR(INDEX(TABLACONSOLIDADA[Inv Fís Act],MATCH("AGROINSUMOSCENTRAL"&amp;Tabla_Buffers_Agroinsumos[[#This Row],[CODIGO ]],TABLACONSOLIDADA[Bodega]&amp;TABLACONSOLIDADA[Codigo],0)),"")</f>
        <v/>
      </c>
      <c r="AE335" s="157" t="str">
        <f t="array" ref="AE33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3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35" s="91">
        <f>IFERROR(SUM(Tabla_Buffers_Agroinsumos[[#This Row],[C-MP]:[C-VL]]),"")</f>
        <v>0</v>
      </c>
      <c r="AH335" s="92" t="str">
        <f>IFERROR(Tabla_Buffers_Agroinsumos[[#This Row],[INV FIS CENTRAL]]-Tabla_Buffers_Agroinsumos[[#This Row],[BUFFER CENTRAL]],"")</f>
        <v/>
      </c>
      <c r="AI33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35" s="134"/>
      <c r="AK335" s="134"/>
      <c r="AL335" s="134"/>
      <c r="AM335" s="134"/>
      <c r="AN335" s="134"/>
      <c r="AO335" s="134"/>
      <c r="AP335" s="134"/>
      <c r="AQ335" s="134"/>
      <c r="AR335" s="134"/>
      <c r="AS335" s="134" t="str">
        <f t="array" ref="AS335">IFERROR(INDEX(TABLACONSOLIDADA[Buff Act],MATCH("AGROINSUMOScentralPROPIA"&amp;Tabla_Buffers_Agroinsumos[[#This Row],[CODIGO ]],TABLACONSOLIDADA[Bodega]&amp;TABLACONSOLIDADA[Codigo],0)),"")</f>
        <v/>
      </c>
      <c r="AT335" s="157" t="str">
        <f t="array" ref="AT335">IFERROR(INDEX(TABLACONSOLIDADA[Inv Fís Act],MATCH("AGROINSUMOScentralPROPIA"&amp;Tabla_Buffers_Agroinsumos[[#This Row],[CODIGO ]],TABLACONSOLIDADA[Bodega]&amp;TABLACONSOLIDADA[Codigo],0)),"")</f>
        <v/>
      </c>
      <c r="AU335" s="157" t="str">
        <f t="array" ref="AU33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3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35" s="134">
        <f>IFERROR(SUM(Tabla_Buffers_Agroinsumos[[#This Row],[P-MP]:[P-VL]]),"")</f>
        <v>0</v>
      </c>
      <c r="AX335" s="92" t="str">
        <f>IFERROR(Tabla_Buffers_Agroinsumos[[#This Row],[INV FIS PROPIA]]-Tabla_Buffers_Agroinsumos[[#This Row],[BUFFER PROPIA]],"")</f>
        <v/>
      </c>
      <c r="AY33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35" s="134"/>
      <c r="BA335" s="134"/>
      <c r="BB335" s="134"/>
      <c r="BC335" s="134"/>
      <c r="BD335" s="134"/>
      <c r="BE335" s="134"/>
      <c r="BF335" s="134"/>
      <c r="BG335" s="134"/>
      <c r="BH335" s="134"/>
      <c r="BI335" s="91" t="str">
        <f t="array" ref="BI335">IFERROR(INDEX(TABLACONSOLIDADA[Buff Act],MATCH("AGROINSUMOSSTODOMINGO"&amp;Tabla_Buffers_Agroinsumos[[#This Row],[CODIGO ]],TABLACONSOLIDADA[Bodega]&amp;TABLACONSOLIDADA[Codigo],0)),"")</f>
        <v/>
      </c>
      <c r="BJ335" s="157" t="str">
        <f t="array" ref="BJ335">IFERROR(INDEX(TABLACONSOLIDADA[Inv Fís Act],MATCH("AGROINSUMOSSTODOMINGO"&amp;Tabla_Buffers_Agroinsumos[[#This Row],[CODIGO ]],TABLACONSOLIDADA[Bodega]&amp;TABLACONSOLIDADA[Codigo],0)),"")</f>
        <v/>
      </c>
      <c r="BK335" s="157" t="str">
        <f t="array" ref="BK33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3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35" s="91">
        <f>IFERROR(SUM(Tabla_Buffers_Agroinsumos[[#This Row],[SD-MP]:[SD-VL]]),"")</f>
        <v>0</v>
      </c>
      <c r="BN335" s="92"/>
      <c r="BO335" s="92"/>
      <c r="BP335" s="134"/>
      <c r="BQ335" s="134"/>
      <c r="BR335" s="134"/>
      <c r="BS335" s="134"/>
      <c r="BT335" s="134"/>
      <c r="BU335" s="134"/>
      <c r="BV335" s="134"/>
      <c r="BW335" s="134"/>
      <c r="BX335" s="134"/>
      <c r="BY335" s="134" t="str">
        <f t="array" ref="BY335">IFERROR(INDEX(TABLACONSOLIDADA[Buff Act],MATCH("AGROINSUMOSMONCAYOLOPEZ"&amp;Tabla_Buffers_Agroinsumos[[#This Row],[CODIGO ]],TABLACONSOLIDADA[Bodega]&amp;TABLACONSOLIDADA[Codigo],0)),"")</f>
        <v/>
      </c>
      <c r="BZ335" s="157" t="str">
        <f t="array" ref="BZ335">IFERROR(INDEX(TABLACONSOLIDADA[Inv Fís Act],MATCH("AGROINSUMOSMONCAYOLOPEZ"&amp;Tabla_Buffers_Agroinsumos[[#This Row],[CODIGO ]],TABLACONSOLIDADA[Bodega]&amp;TABLACONSOLIDADA[Codigo],0)),"")</f>
        <v/>
      </c>
      <c r="CA335" s="157" t="str">
        <f t="array" ref="CA33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3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35" s="134">
        <f>IFERROR(SUM(Tabla_Buffers_Agroinsumos[[#This Row],[ML-MP]:[ML-VL]]),"")</f>
        <v>0</v>
      </c>
      <c r="CD335" s="92" t="str">
        <f>IFERROR(Tabla_Buffers_Agroinsumos[[#This Row],[INV FIS ML]]-Tabla_Buffers_Agroinsumos[[#This Row],[BUFFER ML]],"")</f>
        <v/>
      </c>
      <c r="CE33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35" s="134"/>
      <c r="CG335" s="134"/>
      <c r="CH335" s="134"/>
      <c r="CI335" s="134"/>
      <c r="CJ335" s="134"/>
      <c r="CK335" s="134"/>
      <c r="CL335" s="134"/>
      <c r="CM335" s="134"/>
      <c r="CN335" s="134"/>
      <c r="CO335" s="134" t="str">
        <f t="array" ref="CO335">IFERROR(INDEX(TABLACONSOLIDADA[Buff Act],MATCH("AGROINSUMOSAGROHERMANOSLEON"&amp;Tabla_Buffers_Agroinsumos[[#This Row],[CODIGO ]],TABLACONSOLIDADA[Bodega]&amp;TABLACONSOLIDADA[Codigo],0)),"")</f>
        <v/>
      </c>
      <c r="CP335" s="157" t="str">
        <f t="array" ref="CP335">IFERROR(INDEX(TABLACONSOLIDADA[Inv Fís Act],MATCH("AGROINSUMOSAGROHERMANOSLEON"&amp;Tabla_Buffers_Agroinsumos[[#This Row],[CODIGO ]],TABLACONSOLIDADA[Bodega]&amp;TABLACONSOLIDADA[Codigo],0)),"")</f>
        <v/>
      </c>
      <c r="CQ335" s="157" t="str">
        <f t="array" ref="CQ33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3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35" s="134">
        <f>IFERROR(SUM(Tabla_Buffers_Agroinsumos[[#This Row],[AL-MP]:[AL-VL]]),"")</f>
        <v>0</v>
      </c>
      <c r="CT335" s="92" t="str">
        <f>IFERROR(Tabla_Buffers_Agroinsumos[[#This Row],[INV FIS AL]]-Tabla_Buffers_Agroinsumos[[#This Row],[BUFFER AL]],"")</f>
        <v/>
      </c>
      <c r="CU33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35" s="134"/>
      <c r="CW335" s="134"/>
      <c r="CX335" s="134"/>
      <c r="CY335" s="134"/>
      <c r="CZ335" s="134"/>
      <c r="DA335" s="134"/>
      <c r="DB335" s="134"/>
      <c r="DC335" s="134"/>
      <c r="DD335" s="134"/>
      <c r="DE335" s="134" t="str">
        <f t="array" ref="DE335">IFERROR(INDEX(TABLACONSOLIDADA[Buff Act],MATCH("AGROINSUMOSAGRONUEVO"&amp;Tabla_Buffers_Agroinsumos[[#This Row],[CODIGO ]],TABLACONSOLIDADA[Bodega]&amp;TABLACONSOLIDADA[Codigo],0)),"")</f>
        <v/>
      </c>
      <c r="DF335" s="157" t="str">
        <f t="array" ref="DF335">IFERROR(INDEX(TABLACONSOLIDADA[Inv Fís Act],MATCH("AGROINSUMOSAGRONUEVO"&amp;Tabla_Buffers_Agroinsumos[[#This Row],[CODIGO ]],TABLACONSOLIDADA[Bodega]&amp;TABLACONSOLIDADA[Codigo],0)),"")</f>
        <v/>
      </c>
      <c r="DG335" s="157" t="str">
        <f t="array" ref="DG33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3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35" s="134">
        <f>IFERROR(SUM(Tabla_Buffers_Agroinsumos[[#This Row],[AN-MP]:[AN-VL]]),"")</f>
        <v>0</v>
      </c>
      <c r="DJ335" s="92" t="str">
        <f>IFERROR(Tabla_Buffers_Agroinsumos[[#This Row],[INV FIS AN]]-Tabla_Buffers_Agroinsumos[[#This Row],[BUFFER AN]],"")</f>
        <v/>
      </c>
      <c r="DK33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35" s="134"/>
      <c r="DM335" s="134"/>
      <c r="DN335" s="134"/>
      <c r="DO335" s="134"/>
      <c r="DP335" s="134"/>
      <c r="DQ335" s="134"/>
      <c r="DR335" s="134"/>
      <c r="DS335" s="134"/>
      <c r="DT335" s="134"/>
      <c r="DU335" s="134" t="str">
        <f t="array" ref="DU335">IFERROR(INDEX(TABLACONSOLIDADA[Buff Act],MATCH("AGROINSUMOSAGROQUIMICOSSUR"&amp;Tabla_Buffers_Agroinsumos[[#This Row],[CODIGO ]],TABLACONSOLIDADA[Bodega]&amp;TABLACONSOLIDADA[Codigo],0)),"")</f>
        <v/>
      </c>
      <c r="DV335" s="157" t="str">
        <f t="array" ref="DV335">IFERROR(INDEX(TABLACONSOLIDADA[Inv Fís Act],MATCH("AGROINSUMOSAGROQUIMICOSSUR"&amp;Tabla_Buffers_Agroinsumos[[#This Row],[CODIGO ]],TABLACONSOLIDADA[Bodega]&amp;TABLACONSOLIDADA[Codigo],0)),"")</f>
        <v/>
      </c>
      <c r="DW335" s="157" t="str">
        <f t="array" ref="DW33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3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35" s="134">
        <f>IFERROR(SUM(Tabla_Buffers_Agroinsumos[[#This Row],[AS-MP]:[AS-VL]]),"")</f>
        <v>0</v>
      </c>
      <c r="DZ335" s="92" t="str">
        <f>IFERROR(Tabla_Buffers_Agroinsumos[[#This Row],[INV FIS AS]]-Tabla_Buffers_Agroinsumos[[#This Row],[BUFFER AS]],"")</f>
        <v/>
      </c>
      <c r="EA33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35" s="134"/>
      <c r="EC335" s="134"/>
      <c r="ED335" s="134"/>
      <c r="EE335" s="134"/>
      <c r="EF335" s="134"/>
      <c r="EG335" s="134"/>
      <c r="EH335" s="134"/>
      <c r="EI335" s="134"/>
      <c r="EJ335" s="134"/>
      <c r="EK335" s="134" t="str">
        <f t="array" ref="EK335">IFERROR(INDEX(TABLACONSOLIDADA[Buff Act],MATCH("AGROINSUMOSLAFINCA"&amp;Tabla_Buffers_Agroinsumos[[#This Row],[CODIGO ]],TABLACONSOLIDADA[Bodega]&amp;TABLACONSOLIDADA[Codigo],0)),"")</f>
        <v/>
      </c>
      <c r="EL335" s="157" t="str">
        <f t="array" ref="EL335">IFERROR(INDEX(TABLACONSOLIDADA[Inv Fís Act],MATCH("AGROINSUMOSLAFINCA"&amp;Tabla_Buffers_Agroinsumos[[#This Row],[CODIGO ]],TABLACONSOLIDADA[Bodega]&amp;TABLACONSOLIDADA[Codigo],0)),"")</f>
        <v/>
      </c>
      <c r="EM335" s="157" t="str">
        <f t="array" ref="EM33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3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35" s="134">
        <f>IFERROR(SUM(Tabla_Buffers_Agroinsumos[[#This Row],[LF-MP]:[LF-VL]]),"")</f>
        <v>0</v>
      </c>
      <c r="EP335" s="92" t="str">
        <f>IFERROR(Tabla_Buffers_Agroinsumos[[#This Row],[INV FIS LF]]-Tabla_Buffers_Agroinsumos[[#This Row],[BUFFER LF]],"")</f>
        <v/>
      </c>
      <c r="EQ33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35" s="134"/>
      <c r="ES335" s="134"/>
      <c r="ET335" s="134"/>
      <c r="EU335" s="134"/>
      <c r="EV335" s="134"/>
      <c r="EW335" s="134"/>
      <c r="EX335" s="134"/>
      <c r="EY335" s="134"/>
      <c r="EZ335" s="134"/>
      <c r="FA335" s="134" t="str">
        <f t="array" ref="FA335">IFERROR(INDEX(TABLACONSOLIDADA[Buff Act],MATCH("AGROINSUMOSVERONICALEDESMA"&amp;Tabla_Buffers_Agroinsumos[[#This Row],[CODIGO ]],TABLACONSOLIDADA[Bodega]&amp;TABLACONSOLIDADA[Codigo],0)),"")</f>
        <v/>
      </c>
      <c r="FB335" s="157" t="str">
        <f t="array" ref="FB335">IFERROR(INDEX(TABLACONSOLIDADA[Inv Fís Act],MATCH("AGROINSUMOSVERONICALEDESMA"&amp;Tabla_Buffers_Agroinsumos[[#This Row],[CODIGO ]],TABLACONSOLIDADA[Bodega]&amp;TABLACONSOLIDADA[Codigo],0)),"")</f>
        <v/>
      </c>
      <c r="FC335" s="157" t="str">
        <f t="array" ref="FC33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3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35" s="134">
        <f>IFERROR(SUM(Tabla_Buffers_Agroinsumos[[#This Row],[VL-MP]:[VL-LF]]),"")</f>
        <v>0</v>
      </c>
      <c r="FF335" s="92" t="str">
        <f>IFERROR(Tabla_Buffers_Agroinsumos[[#This Row],[INV FIS VL]]-Tabla_Buffers_Agroinsumos[[#This Row],[BUFFER VL]],"")</f>
        <v/>
      </c>
      <c r="FG33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35" s="134"/>
      <c r="FI335" s="134"/>
      <c r="FJ335" s="134"/>
      <c r="FK335" s="134"/>
      <c r="FL335" s="134"/>
      <c r="FM335" s="134"/>
      <c r="FN335" s="134"/>
      <c r="FO335" s="134"/>
      <c r="FP335" s="134"/>
    </row>
    <row r="336" spans="1:172">
      <c r="A336" s="20" t="s">
        <v>1194</v>
      </c>
      <c r="B336" s="20" t="s">
        <v>1195</v>
      </c>
      <c r="C336" s="20" t="s">
        <v>1196</v>
      </c>
      <c r="D336" s="20" t="s">
        <v>1197</v>
      </c>
      <c r="E336" s="20" t="s">
        <v>863</v>
      </c>
      <c r="F336" s="111" t="s">
        <v>1198</v>
      </c>
      <c r="G336" s="111" t="s">
        <v>802</v>
      </c>
      <c r="H336" s="111">
        <f>VLOOKUP(Tabla_Buffers_Agroinsumos[[#This Row],[CODIGO ]],TABLACONSOLIDADA[[Codigo]:[PV]],6,0)</f>
        <v>0</v>
      </c>
      <c r="I336" s="111">
        <f>VLOOKUP(Tabla_Buffers_Agroinsumos[[#This Row],[CODIGO ]],TABLACONSOLIDADA[[Codigo]:[PV]],5,0)</f>
        <v>0</v>
      </c>
      <c r="J336" s="111"/>
      <c r="K336" s="111"/>
      <c r="L336" s="111">
        <f>IFERROR(Tabla_Buffers_Agroinsumos[[#This Row],[BUFFER CENTRAL]]/((Tabla_Buffers_Agroinsumos[[#This Row],[TIEMPO REPOSICION ]]/Tabla_Buffers_Agroinsumos[[#This Row],[FRECUENCIA]])+1),0)</f>
        <v>0</v>
      </c>
      <c r="M336" s="111">
        <v>50</v>
      </c>
      <c r="N336" s="111">
        <f t="array" ref="N336">IFERROR(INDEX(TABLACONSOLIDADA[Inv Fís Act],MATCH("AGROINSUMOSMATERIAPRIMA"&amp;Tabla_Buffers_Agroinsumos[[#This Row],[CODIGO ]],TABLACONSOLIDADA[Bodega]&amp;TABLACONSOLIDADA[Codigo],0)),"")</f>
        <v>0</v>
      </c>
      <c r="O336" s="161">
        <f t="array" ref="O33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336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36" s="111">
        <f>IFERROR(SUM(Tabla_Buffers_Agroinsumos[[#This Row],[MP-C]:[MP-VL]]),"")</f>
        <v>0</v>
      </c>
      <c r="R336" s="154">
        <f>IFERROR(Tabla_Buffers_Agroinsumos[[#This Row],[INV FIS MATERIA PRIMA]]-Tabla_Buffers_Agroinsumos[[#This Row],[BUFFER MATERIA PRIMA]],"")</f>
        <v>-50</v>
      </c>
      <c r="S336" s="154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-50</v>
      </c>
      <c r="T336" s="111"/>
      <c r="U336" s="111"/>
      <c r="V336" s="111"/>
      <c r="W336" s="111"/>
      <c r="X336" s="111"/>
      <c r="Y336" s="111"/>
      <c r="Z336" s="111"/>
      <c r="AA336" s="111"/>
      <c r="AB336" s="111"/>
      <c r="AC336" s="152">
        <v>80</v>
      </c>
      <c r="AD336" s="111" t="str">
        <f t="array" ref="AD336">IFERROR(INDEX(TABLACONSOLIDADA[Inv Fís Act],MATCH("AGROINSUMOSCENTRAL"&amp;Tabla_Buffers_Agroinsumos[[#This Row],[CODIGO ]],TABLACONSOLIDADA[Bodega]&amp;TABLACONSOLIDADA[Codigo],0)),"")</f>
        <v/>
      </c>
      <c r="AE336" s="161" t="str">
        <f t="array" ref="AE33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36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36" s="153">
        <f>IFERROR(SUM(Tabla_Buffers_Agroinsumos[[#This Row],[C-MP]:[C-VL]]),"")</f>
        <v>0</v>
      </c>
      <c r="AH336" s="154" t="str">
        <f>IFERROR(Tabla_Buffers_Agroinsumos[[#This Row],[INV FIS CENTRAL]]-Tabla_Buffers_Agroinsumos[[#This Row],[BUFFER CENTRAL]],"")</f>
        <v/>
      </c>
      <c r="AI336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36" s="135"/>
      <c r="AK336" s="135"/>
      <c r="AL336" s="135"/>
      <c r="AM336" s="135"/>
      <c r="AN336" s="135"/>
      <c r="AO336" s="135"/>
      <c r="AP336" s="135"/>
      <c r="AQ336" s="135"/>
      <c r="AR336" s="135"/>
      <c r="AS336" s="135" t="str">
        <f t="array" ref="AS336">IFERROR(INDEX(TABLACONSOLIDADA[Buff Act],MATCH("AGROINSUMOScentralPROPIA"&amp;Tabla_Buffers_Agroinsumos[[#This Row],[CODIGO ]],TABLACONSOLIDADA[Bodega]&amp;TABLACONSOLIDADA[Codigo],0)),"")</f>
        <v/>
      </c>
      <c r="AT336" s="111" t="str">
        <f t="array" ref="AT336">IFERROR(INDEX(TABLACONSOLIDADA[Inv Fís Act],MATCH("AGROINSUMOScentralPROPIA"&amp;Tabla_Buffers_Agroinsumos[[#This Row],[CODIGO ]],TABLACONSOLIDADA[Bodega]&amp;TABLACONSOLIDADA[Codigo],0)),"")</f>
        <v/>
      </c>
      <c r="AU336" s="161" t="str">
        <f t="array" ref="AU33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36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36" s="135">
        <f>IFERROR(SUM(Tabla_Buffers_Agroinsumos[[#This Row],[P-MP]:[P-VL]]),"")</f>
        <v>0</v>
      </c>
      <c r="AX336" s="154" t="str">
        <f>IFERROR(Tabla_Buffers_Agroinsumos[[#This Row],[INV FIS PROPIA]]-Tabla_Buffers_Agroinsumos[[#This Row],[BUFFER PROPIA]],"")</f>
        <v/>
      </c>
      <c r="AY336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36" s="135"/>
      <c r="BA336" s="135"/>
      <c r="BB336" s="135"/>
      <c r="BC336" s="135"/>
      <c r="BD336" s="135"/>
      <c r="BE336" s="135"/>
      <c r="BF336" s="135"/>
      <c r="BG336" s="135"/>
      <c r="BH336" s="135"/>
      <c r="BI336" s="153" t="str">
        <f t="array" ref="BI336">IFERROR(INDEX(TABLACONSOLIDADA[Buff Act],MATCH("AGROINSUMOSSTODOMINGO"&amp;Tabla_Buffers_Agroinsumos[[#This Row],[CODIGO ]],TABLACONSOLIDADA[Bodega]&amp;TABLACONSOLIDADA[Codigo],0)),"")</f>
        <v/>
      </c>
      <c r="BJ336" s="111" t="str">
        <f t="array" ref="BJ336">IFERROR(INDEX(TABLACONSOLIDADA[Inv Fís Act],MATCH("AGROINSUMOSSTODOMINGO"&amp;Tabla_Buffers_Agroinsumos[[#This Row],[CODIGO ]],TABLACONSOLIDADA[Bodega]&amp;TABLACONSOLIDADA[Codigo],0)),"")</f>
        <v/>
      </c>
      <c r="BK336" s="161" t="str">
        <f t="array" ref="BK33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36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36" s="153">
        <f>IFERROR(SUM(Tabla_Buffers_Agroinsumos[[#This Row],[SD-MP]:[SD-VL]]),"")</f>
        <v>0</v>
      </c>
      <c r="BN336" s="154"/>
      <c r="BO336" s="154"/>
      <c r="BP336" s="135"/>
      <c r="BQ336" s="135"/>
      <c r="BR336" s="135"/>
      <c r="BS336" s="135"/>
      <c r="BT336" s="135"/>
      <c r="BU336" s="135"/>
      <c r="BV336" s="135"/>
      <c r="BW336" s="135"/>
      <c r="BX336" s="135"/>
      <c r="BY336" s="135" t="str">
        <f t="array" ref="BY336">IFERROR(INDEX(TABLACONSOLIDADA[Buff Act],MATCH("AGROINSUMOSMONCAYOLOPEZ"&amp;Tabla_Buffers_Agroinsumos[[#This Row],[CODIGO ]],TABLACONSOLIDADA[Bodega]&amp;TABLACONSOLIDADA[Codigo],0)),"")</f>
        <v/>
      </c>
      <c r="BZ336" s="111" t="str">
        <f t="array" ref="BZ336">IFERROR(INDEX(TABLACONSOLIDADA[Inv Fís Act],MATCH("AGROINSUMOSMONCAYOLOPEZ"&amp;Tabla_Buffers_Agroinsumos[[#This Row],[CODIGO ]],TABLACONSOLIDADA[Bodega]&amp;TABLACONSOLIDADA[Codigo],0)),"")</f>
        <v/>
      </c>
      <c r="CA336" s="161" t="str">
        <f t="array" ref="CA33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36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36" s="135">
        <f>IFERROR(SUM(Tabla_Buffers_Agroinsumos[[#This Row],[ML-MP]:[ML-VL]]),"")</f>
        <v>0</v>
      </c>
      <c r="CD336" s="154" t="str">
        <f>IFERROR(Tabla_Buffers_Agroinsumos[[#This Row],[INV FIS ML]]-Tabla_Buffers_Agroinsumos[[#This Row],[BUFFER ML]],"")</f>
        <v/>
      </c>
      <c r="CE336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36" s="135"/>
      <c r="CG336" s="135"/>
      <c r="CH336" s="135"/>
      <c r="CI336" s="135"/>
      <c r="CJ336" s="135"/>
      <c r="CK336" s="135"/>
      <c r="CL336" s="135"/>
      <c r="CM336" s="135"/>
      <c r="CN336" s="135"/>
      <c r="CO336" s="135" t="str">
        <f t="array" ref="CO336">IFERROR(INDEX(TABLACONSOLIDADA[Buff Act],MATCH("AGROINSUMOSAGROHERMANOSLEON"&amp;Tabla_Buffers_Agroinsumos[[#This Row],[CODIGO ]],TABLACONSOLIDADA[Bodega]&amp;TABLACONSOLIDADA[Codigo],0)),"")</f>
        <v/>
      </c>
      <c r="CP336" s="111" t="str">
        <f t="array" ref="CP336">IFERROR(INDEX(TABLACONSOLIDADA[Inv Fís Act],MATCH("AGROINSUMOSAGROHERMANOSLEON"&amp;Tabla_Buffers_Agroinsumos[[#This Row],[CODIGO ]],TABLACONSOLIDADA[Bodega]&amp;TABLACONSOLIDADA[Codigo],0)),"")</f>
        <v/>
      </c>
      <c r="CQ336" s="161" t="str">
        <f t="array" ref="CQ33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36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36" s="135">
        <f>IFERROR(SUM(Tabla_Buffers_Agroinsumos[[#This Row],[AL-MP]:[AL-VL]]),"")</f>
        <v>0</v>
      </c>
      <c r="CT336" s="154" t="str">
        <f>IFERROR(Tabla_Buffers_Agroinsumos[[#This Row],[INV FIS AL]]-Tabla_Buffers_Agroinsumos[[#This Row],[BUFFER AL]],"")</f>
        <v/>
      </c>
      <c r="CU336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36" s="135"/>
      <c r="CW336" s="135"/>
      <c r="CX336" s="135"/>
      <c r="CY336" s="135"/>
      <c r="CZ336" s="135"/>
      <c r="DA336" s="135"/>
      <c r="DB336" s="135"/>
      <c r="DC336" s="135"/>
      <c r="DD336" s="135"/>
      <c r="DE336" s="135" t="str">
        <f t="array" ref="DE336">IFERROR(INDEX(TABLACONSOLIDADA[Buff Act],MATCH("AGROINSUMOSAGRONUEVO"&amp;Tabla_Buffers_Agroinsumos[[#This Row],[CODIGO ]],TABLACONSOLIDADA[Bodega]&amp;TABLACONSOLIDADA[Codigo],0)),"")</f>
        <v/>
      </c>
      <c r="DF336" s="111" t="str">
        <f t="array" ref="DF336">IFERROR(INDEX(TABLACONSOLIDADA[Inv Fís Act],MATCH("AGROINSUMOSAGRONUEVO"&amp;Tabla_Buffers_Agroinsumos[[#This Row],[CODIGO ]],TABLACONSOLIDADA[Bodega]&amp;TABLACONSOLIDADA[Codigo],0)),"")</f>
        <v/>
      </c>
      <c r="DG336" s="161" t="str">
        <f t="array" ref="DG33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36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36" s="135">
        <f>IFERROR(SUM(Tabla_Buffers_Agroinsumos[[#This Row],[AN-MP]:[AN-VL]]),"")</f>
        <v>0</v>
      </c>
      <c r="DJ336" s="154" t="str">
        <f>IFERROR(Tabla_Buffers_Agroinsumos[[#This Row],[INV FIS AN]]-Tabla_Buffers_Agroinsumos[[#This Row],[BUFFER AN]],"")</f>
        <v/>
      </c>
      <c r="DK336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36" s="135"/>
      <c r="DM336" s="135"/>
      <c r="DN336" s="135"/>
      <c r="DO336" s="135"/>
      <c r="DP336" s="135"/>
      <c r="DQ336" s="135"/>
      <c r="DR336" s="135"/>
      <c r="DS336" s="135"/>
      <c r="DT336" s="135"/>
      <c r="DU336" s="135" t="str">
        <f t="array" ref="DU336">IFERROR(INDEX(TABLACONSOLIDADA[Buff Act],MATCH("AGROINSUMOSAGROQUIMICOSSUR"&amp;Tabla_Buffers_Agroinsumos[[#This Row],[CODIGO ]],TABLACONSOLIDADA[Bodega]&amp;TABLACONSOLIDADA[Codigo],0)),"")</f>
        <v/>
      </c>
      <c r="DV336" s="111" t="str">
        <f t="array" ref="DV336">IFERROR(INDEX(TABLACONSOLIDADA[Inv Fís Act],MATCH("AGROINSUMOSAGROQUIMICOSSUR"&amp;Tabla_Buffers_Agroinsumos[[#This Row],[CODIGO ]],TABLACONSOLIDADA[Bodega]&amp;TABLACONSOLIDADA[Codigo],0)),"")</f>
        <v/>
      </c>
      <c r="DW336" s="161" t="str">
        <f t="array" ref="DW33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36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36" s="135">
        <f>IFERROR(SUM(Tabla_Buffers_Agroinsumos[[#This Row],[AS-MP]:[AS-VL]]),"")</f>
        <v>0</v>
      </c>
      <c r="DZ336" s="154" t="str">
        <f>IFERROR(Tabla_Buffers_Agroinsumos[[#This Row],[INV FIS AS]]-Tabla_Buffers_Agroinsumos[[#This Row],[BUFFER AS]],"")</f>
        <v/>
      </c>
      <c r="EA336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36" s="135"/>
      <c r="EC336" s="135"/>
      <c r="ED336" s="135"/>
      <c r="EE336" s="135"/>
      <c r="EF336" s="135"/>
      <c r="EG336" s="135"/>
      <c r="EH336" s="135"/>
      <c r="EI336" s="135"/>
      <c r="EJ336" s="135"/>
      <c r="EK336" s="135" t="str">
        <f t="array" ref="EK336">IFERROR(INDEX(TABLACONSOLIDADA[Buff Act],MATCH("AGROINSUMOSLAFINCA"&amp;Tabla_Buffers_Agroinsumos[[#This Row],[CODIGO ]],TABLACONSOLIDADA[Bodega]&amp;TABLACONSOLIDADA[Codigo],0)),"")</f>
        <v/>
      </c>
      <c r="EL336" s="111" t="str">
        <f t="array" ref="EL336">IFERROR(INDEX(TABLACONSOLIDADA[Inv Fís Act],MATCH("AGROINSUMOSLAFINCA"&amp;Tabla_Buffers_Agroinsumos[[#This Row],[CODIGO ]],TABLACONSOLIDADA[Bodega]&amp;TABLACONSOLIDADA[Codigo],0)),"")</f>
        <v/>
      </c>
      <c r="EM336" s="161" t="str">
        <f t="array" ref="EM33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36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36" s="135">
        <f>IFERROR(SUM(Tabla_Buffers_Agroinsumos[[#This Row],[LF-MP]:[LF-VL]]),"")</f>
        <v>0</v>
      </c>
      <c r="EP336" s="154" t="str">
        <f>IFERROR(Tabla_Buffers_Agroinsumos[[#This Row],[INV FIS LF]]-Tabla_Buffers_Agroinsumos[[#This Row],[BUFFER LF]],"")</f>
        <v/>
      </c>
      <c r="EQ336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36" s="135"/>
      <c r="ES336" s="135"/>
      <c r="ET336" s="135"/>
      <c r="EU336" s="135"/>
      <c r="EV336" s="135"/>
      <c r="EW336" s="135"/>
      <c r="EX336" s="135"/>
      <c r="EY336" s="135"/>
      <c r="EZ336" s="135"/>
      <c r="FA336" s="135" t="str">
        <f t="array" ref="FA336">IFERROR(INDEX(TABLACONSOLIDADA[Buff Act],MATCH("AGROINSUMOSVERONICALEDESMA"&amp;Tabla_Buffers_Agroinsumos[[#This Row],[CODIGO ]],TABLACONSOLIDADA[Bodega]&amp;TABLACONSOLIDADA[Codigo],0)),"")</f>
        <v/>
      </c>
      <c r="FB336" s="111" t="str">
        <f t="array" ref="FB336">IFERROR(INDEX(TABLACONSOLIDADA[Inv Fís Act],MATCH("AGROINSUMOSVERONICALEDESMA"&amp;Tabla_Buffers_Agroinsumos[[#This Row],[CODIGO ]],TABLACONSOLIDADA[Bodega]&amp;TABLACONSOLIDADA[Codigo],0)),"")</f>
        <v/>
      </c>
      <c r="FC336" s="161" t="str">
        <f t="array" ref="FC33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36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36" s="135">
        <f>IFERROR(SUM(Tabla_Buffers_Agroinsumos[[#This Row],[VL-MP]:[VL-LF]]),"")</f>
        <v>0</v>
      </c>
      <c r="FF336" s="154" t="str">
        <f>IFERROR(Tabla_Buffers_Agroinsumos[[#This Row],[INV FIS VL]]-Tabla_Buffers_Agroinsumos[[#This Row],[BUFFER VL]],"")</f>
        <v/>
      </c>
      <c r="FG336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36" s="135"/>
      <c r="FI336" s="135"/>
      <c r="FJ336" s="135"/>
      <c r="FK336" s="135"/>
      <c r="FL336" s="135"/>
      <c r="FM336" s="135"/>
      <c r="FN336" s="135"/>
      <c r="FO336" s="135"/>
      <c r="FP336" s="135"/>
    </row>
    <row r="337" spans="1:172">
      <c r="A337" s="7" t="s">
        <v>883</v>
      </c>
      <c r="B337" s="7" t="s">
        <v>969</v>
      </c>
      <c r="C337" s="7" t="s">
        <v>712</v>
      </c>
      <c r="D337" s="7" t="s">
        <v>715</v>
      </c>
      <c r="E337" s="7" t="s">
        <v>975</v>
      </c>
      <c r="F337" s="19" t="s">
        <v>698</v>
      </c>
      <c r="G337" s="19" t="s">
        <v>698</v>
      </c>
      <c r="H337" s="19">
        <f>VLOOKUP(Tabla_Buffers_Agroinsumos[[#This Row],[CODIGO ]],TABLACONSOLIDADA[[Codigo]:[PV]],6,0)</f>
        <v>2.99</v>
      </c>
      <c r="I337" s="19">
        <f>VLOOKUP(Tabla_Buffers_Agroinsumos[[#This Row],[CODIGO ]],TABLACONSOLIDADA[[Codigo]:[PV]],5,0)</f>
        <v>1.66</v>
      </c>
      <c r="J337" s="19" t="s">
        <v>698</v>
      </c>
      <c r="K337" s="19" t="s">
        <v>698</v>
      </c>
      <c r="L337" s="19">
        <f>IFERROR(Tabla_Buffers_Agroinsumos[[#This Row],[BUFFER CENTRAL]]/((Tabla_Buffers_Agroinsumos[[#This Row],[TIEMPO REPOSICION ]]/Tabla_Buffers_Agroinsumos[[#This Row],[FRECUENCIA]])+1),0)</f>
        <v>0</v>
      </c>
      <c r="M337" s="19" t="str">
        <f t="array" ref="M337">IFERROR(INDEX(TABLACONSOLIDADA[Buff Act],MATCH("AGROINSUMOSMATERIAPRIMA"&amp;Tabla_Buffers_Agroinsumos[[#This Row],[CODIGO ]],TABLACONSOLIDADA[Bodega]&amp;TABLACONSOLIDADA[Codigo],0)),"")</f>
        <v/>
      </c>
      <c r="N337" s="157" t="str">
        <f t="array" ref="N337">IFERROR(INDEX(TABLACONSOLIDADA[Inv Fís Act],MATCH("AGROINSUMOSMATERIAPRIMA"&amp;Tabla_Buffers_Agroinsumos[[#This Row],[CODIGO ]],TABLACONSOLIDADA[Bodega]&amp;TABLACONSOLIDADA[Codigo],0)),"")</f>
        <v/>
      </c>
      <c r="O337" s="157" t="str">
        <f t="array" ref="O33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3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37" s="19">
        <f>IFERROR(SUM(Tabla_Buffers_Agroinsumos[[#This Row],[MP-C]:[MP-VL]]),"")</f>
        <v>0</v>
      </c>
      <c r="R337" s="92" t="str">
        <f>IFERROR(Tabla_Buffers_Agroinsumos[[#This Row],[INV FIS MATERIA PRIMA]]-Tabla_Buffers_Agroinsumos[[#This Row],[BUFFER MATERIA PRIMA]],"")</f>
        <v/>
      </c>
      <c r="S33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37" s="19"/>
      <c r="U337" s="19"/>
      <c r="V337" s="19"/>
      <c r="W337" s="19"/>
      <c r="X337" s="19"/>
      <c r="Y337" s="19"/>
      <c r="Z337" s="19"/>
      <c r="AA337" s="19"/>
      <c r="AB337" s="19"/>
      <c r="AC337" s="152">
        <f t="array" ref="AC337">IFERROR(INDEX(TABLACONSOLIDADA[Buff Act],MATCH("AGROINSUMOSCENTRAL"&amp;Tabla_Buffers_Agroinsumos[[#This Row],[CODIGO ]],TABLACONSOLIDADA[Bodega]&amp;TABLACONSOLIDADA[Codigo],0)),"")</f>
        <v>200</v>
      </c>
      <c r="AD337" s="157">
        <f t="array" ref="AD337">IFERROR(INDEX(TABLACONSOLIDADA[Inv Fís Act],MATCH("AGROINSUMOSCENTRAL"&amp;Tabla_Buffers_Agroinsumos[[#This Row],[CODIGO ]],TABLACONSOLIDADA[Bodega]&amp;TABLACONSOLIDADA[Codigo],0)),"")</f>
        <v>197</v>
      </c>
      <c r="AE337" s="157">
        <f t="array" ref="AE33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242</v>
      </c>
      <c r="AF33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37" s="91">
        <f>IFERROR(SUM(Tabla_Buffers_Agroinsumos[[#This Row],[C-MP]:[C-VL]]),"")</f>
        <v>0</v>
      </c>
      <c r="AH337" s="92">
        <f>IFERROR(Tabla_Buffers_Agroinsumos[[#This Row],[INV FIS CENTRAL]]-Tabla_Buffers_Agroinsumos[[#This Row],[BUFFER CENTRAL]],"")</f>
        <v>-3</v>
      </c>
      <c r="AI33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-3</v>
      </c>
      <c r="AJ337" s="134"/>
      <c r="AK337" s="134"/>
      <c r="AL337" s="134"/>
      <c r="AM337" s="134"/>
      <c r="AN337" s="134"/>
      <c r="AO337" s="134"/>
      <c r="AP337" s="134"/>
      <c r="AQ337" s="134"/>
      <c r="AR337" s="134"/>
      <c r="AS337" s="134">
        <f t="array" ref="AS337">IFERROR(INDEX(TABLACONSOLIDADA[Buff Act],MATCH("AGROINSUMOScentralPROPIA"&amp;Tabla_Buffers_Agroinsumos[[#This Row],[CODIGO ]],TABLACONSOLIDADA[Bodega]&amp;TABLACONSOLIDADA[Codigo],0)),"")</f>
        <v>60</v>
      </c>
      <c r="AT337" s="157">
        <f t="array" ref="AT337">IFERROR(INDEX(TABLACONSOLIDADA[Inv Fís Act],MATCH("AGROINSUMOScentralPROPIA"&amp;Tabla_Buffers_Agroinsumos[[#This Row],[CODIGO ]],TABLACONSOLIDADA[Bodega]&amp;TABLACONSOLIDADA[Codigo],0)),"")</f>
        <v>0</v>
      </c>
      <c r="AU337" s="157">
        <f t="array" ref="AU33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3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37" s="134">
        <f>IFERROR(SUM(Tabla_Buffers_Agroinsumos[[#This Row],[P-MP]:[P-VL]]),"")</f>
        <v>0</v>
      </c>
      <c r="AX337" s="92">
        <f>IFERROR(Tabla_Buffers_Agroinsumos[[#This Row],[INV FIS PROPIA]]-Tabla_Buffers_Agroinsumos[[#This Row],[BUFFER PROPIA]],"")</f>
        <v>-60</v>
      </c>
      <c r="AY33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-60</v>
      </c>
      <c r="AZ337" s="134"/>
      <c r="BA337" s="134"/>
      <c r="BB337" s="134"/>
      <c r="BC337" s="134"/>
      <c r="BD337" s="134"/>
      <c r="BE337" s="134"/>
      <c r="BF337" s="134"/>
      <c r="BG337" s="134"/>
      <c r="BH337" s="134"/>
      <c r="BI337" s="91">
        <f t="array" ref="BI337">IFERROR(INDEX(TABLACONSOLIDADA[Buff Act],MATCH("AGROINSUMOSSTODOMINGO"&amp;Tabla_Buffers_Agroinsumos[[#This Row],[CODIGO ]],TABLACONSOLIDADA[Bodega]&amp;TABLACONSOLIDADA[Codigo],0)),"")</f>
        <v>0</v>
      </c>
      <c r="BJ337" s="157">
        <f t="array" ref="BJ337">IFERROR(INDEX(TABLACONSOLIDADA[Inv Fís Act],MATCH("AGROINSUMOSSTODOMINGO"&amp;Tabla_Buffers_Agroinsumos[[#This Row],[CODIGO ]],TABLACONSOLIDADA[Bodega]&amp;TABLACONSOLIDADA[Codigo],0)),"")</f>
        <v>0</v>
      </c>
      <c r="BK337" s="157">
        <f t="array" ref="BK33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3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37" s="91">
        <f>IFERROR(SUM(Tabla_Buffers_Agroinsumos[[#This Row],[SD-MP]:[SD-VL]]),"")</f>
        <v>0</v>
      </c>
      <c r="BN337" s="92"/>
      <c r="BO337" s="92"/>
      <c r="BP337" s="134"/>
      <c r="BQ337" s="134"/>
      <c r="BR337" s="134"/>
      <c r="BS337" s="134"/>
      <c r="BT337" s="134"/>
      <c r="BU337" s="134"/>
      <c r="BV337" s="134"/>
      <c r="BW337" s="134"/>
      <c r="BX337" s="134"/>
      <c r="BY337" s="134">
        <f t="array" ref="BY337">IFERROR(INDEX(TABLACONSOLIDADA[Buff Act],MATCH("AGROINSUMOSMONCAYOLOPEZ"&amp;Tabla_Buffers_Agroinsumos[[#This Row],[CODIGO ]],TABLACONSOLIDADA[Bodega]&amp;TABLACONSOLIDADA[Codigo],0)),"")</f>
        <v>0</v>
      </c>
      <c r="BZ337" s="157">
        <f t="array" ref="BZ337">IFERROR(INDEX(TABLACONSOLIDADA[Inv Fís Act],MATCH("AGROINSUMOSMONCAYOLOPEZ"&amp;Tabla_Buffers_Agroinsumos[[#This Row],[CODIGO ]],TABLACONSOLIDADA[Bodega]&amp;TABLACONSOLIDADA[Codigo],0)),"")</f>
        <v>0</v>
      </c>
      <c r="CA337" s="157">
        <f t="array" ref="CA33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3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37" s="134">
        <f>IFERROR(SUM(Tabla_Buffers_Agroinsumos[[#This Row],[ML-MP]:[ML-VL]]),"")</f>
        <v>0</v>
      </c>
      <c r="CD337" s="92">
        <f>IFERROR(Tabla_Buffers_Agroinsumos[[#This Row],[INV FIS ML]]-Tabla_Buffers_Agroinsumos[[#This Row],[BUFFER ML]],"")</f>
        <v>0</v>
      </c>
      <c r="CE337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37" s="134"/>
      <c r="CG337" s="134"/>
      <c r="CH337" s="134"/>
      <c r="CI337" s="134"/>
      <c r="CJ337" s="134"/>
      <c r="CK337" s="134"/>
      <c r="CL337" s="134"/>
      <c r="CM337" s="134"/>
      <c r="CN337" s="134"/>
      <c r="CO337" s="134">
        <f t="array" ref="CO337">IFERROR(INDEX(TABLACONSOLIDADA[Buff Act],MATCH("AGROINSUMOSAGROHERMANOSLEON"&amp;Tabla_Buffers_Agroinsumos[[#This Row],[CODIGO ]],TABLACONSOLIDADA[Bodega]&amp;TABLACONSOLIDADA[Codigo],0)),"")</f>
        <v>0</v>
      </c>
      <c r="CP337" s="157">
        <f t="array" ref="CP337">IFERROR(INDEX(TABLACONSOLIDADA[Inv Fís Act],MATCH("AGROINSUMOSAGROHERMANOSLEON"&amp;Tabla_Buffers_Agroinsumos[[#This Row],[CODIGO ]],TABLACONSOLIDADA[Bodega]&amp;TABLACONSOLIDADA[Codigo],0)),"")</f>
        <v>0</v>
      </c>
      <c r="CQ337" s="157">
        <f t="array" ref="CQ33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3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37" s="134">
        <f>IFERROR(SUM(Tabla_Buffers_Agroinsumos[[#This Row],[AL-MP]:[AL-VL]]),"")</f>
        <v>0</v>
      </c>
      <c r="CT337" s="92">
        <f>IFERROR(Tabla_Buffers_Agroinsumos[[#This Row],[INV FIS AL]]-Tabla_Buffers_Agroinsumos[[#This Row],[BUFFER AL]],"")</f>
        <v>0</v>
      </c>
      <c r="CU33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37" s="134"/>
      <c r="CW337" s="134"/>
      <c r="CX337" s="134"/>
      <c r="CY337" s="134"/>
      <c r="CZ337" s="134"/>
      <c r="DA337" s="134"/>
      <c r="DB337" s="134"/>
      <c r="DC337" s="134"/>
      <c r="DD337" s="134"/>
      <c r="DE337" s="134">
        <f t="array" ref="DE337">IFERROR(INDEX(TABLACONSOLIDADA[Buff Act],MATCH("AGROINSUMOSAGRONUEVO"&amp;Tabla_Buffers_Agroinsumos[[#This Row],[CODIGO ]],TABLACONSOLIDADA[Bodega]&amp;TABLACONSOLIDADA[Codigo],0)),"")</f>
        <v>0</v>
      </c>
      <c r="DF337" s="157">
        <f t="array" ref="DF337">IFERROR(INDEX(TABLACONSOLIDADA[Inv Fís Act],MATCH("AGROINSUMOSAGRONUEVO"&amp;Tabla_Buffers_Agroinsumos[[#This Row],[CODIGO ]],TABLACONSOLIDADA[Bodega]&amp;TABLACONSOLIDADA[Codigo],0)),"")</f>
        <v>0</v>
      </c>
      <c r="DG337" s="157">
        <f t="array" ref="DG33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3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37" s="134">
        <f>IFERROR(SUM(Tabla_Buffers_Agroinsumos[[#This Row],[AN-MP]:[AN-VL]]),"")</f>
        <v>0</v>
      </c>
      <c r="DJ337" s="92">
        <f>IFERROR(Tabla_Buffers_Agroinsumos[[#This Row],[INV FIS AN]]-Tabla_Buffers_Agroinsumos[[#This Row],[BUFFER AN]],"")</f>
        <v>0</v>
      </c>
      <c r="DK33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37" s="134"/>
      <c r="DM337" s="134"/>
      <c r="DN337" s="134"/>
      <c r="DO337" s="134"/>
      <c r="DP337" s="134"/>
      <c r="DQ337" s="134"/>
      <c r="DR337" s="134"/>
      <c r="DS337" s="134"/>
      <c r="DT337" s="134"/>
      <c r="DU337" s="134">
        <f t="array" ref="DU337">IFERROR(INDEX(TABLACONSOLIDADA[Buff Act],MATCH("AGROINSUMOSAGROQUIMICOSSUR"&amp;Tabla_Buffers_Agroinsumos[[#This Row],[CODIGO ]],TABLACONSOLIDADA[Bodega]&amp;TABLACONSOLIDADA[Codigo],0)),"")</f>
        <v>0</v>
      </c>
      <c r="DV337" s="157">
        <f t="array" ref="DV337">IFERROR(INDEX(TABLACONSOLIDADA[Inv Fís Act],MATCH("AGROINSUMOSAGROQUIMICOSSUR"&amp;Tabla_Buffers_Agroinsumos[[#This Row],[CODIGO ]],TABLACONSOLIDADA[Bodega]&amp;TABLACONSOLIDADA[Codigo],0)),"")</f>
        <v>0</v>
      </c>
      <c r="DW337" s="157">
        <f t="array" ref="DW33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3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37" s="134">
        <f>IFERROR(SUM(Tabla_Buffers_Agroinsumos[[#This Row],[AS-MP]:[AS-VL]]),"")</f>
        <v>0</v>
      </c>
      <c r="DZ337" s="92">
        <f>IFERROR(Tabla_Buffers_Agroinsumos[[#This Row],[INV FIS AS]]-Tabla_Buffers_Agroinsumos[[#This Row],[BUFFER AS]],"")</f>
        <v>0</v>
      </c>
      <c r="EA33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37" s="134"/>
      <c r="EC337" s="134"/>
      <c r="ED337" s="134"/>
      <c r="EE337" s="134"/>
      <c r="EF337" s="134"/>
      <c r="EG337" s="134"/>
      <c r="EH337" s="134"/>
      <c r="EI337" s="134"/>
      <c r="EJ337" s="134"/>
      <c r="EK337" s="134">
        <f t="array" ref="EK337">IFERROR(INDEX(TABLACONSOLIDADA[Buff Act],MATCH("AGROINSUMOSLAFINCA"&amp;Tabla_Buffers_Agroinsumos[[#This Row],[CODIGO ]],TABLACONSOLIDADA[Bodega]&amp;TABLACONSOLIDADA[Codigo],0)),"")</f>
        <v>0</v>
      </c>
      <c r="EL337" s="157">
        <f t="array" ref="EL337">IFERROR(INDEX(TABLACONSOLIDADA[Inv Fís Act],MATCH("AGROINSUMOSLAFINCA"&amp;Tabla_Buffers_Agroinsumos[[#This Row],[CODIGO ]],TABLACONSOLIDADA[Bodega]&amp;TABLACONSOLIDADA[Codigo],0)),"")</f>
        <v>0</v>
      </c>
      <c r="EM337" s="157">
        <f t="array" ref="EM33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3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37" s="134">
        <f>IFERROR(SUM(Tabla_Buffers_Agroinsumos[[#This Row],[LF-MP]:[LF-VL]]),"")</f>
        <v>0</v>
      </c>
      <c r="EP337" s="92">
        <f>IFERROR(Tabla_Buffers_Agroinsumos[[#This Row],[INV FIS LF]]-Tabla_Buffers_Agroinsumos[[#This Row],[BUFFER LF]],"")</f>
        <v>0</v>
      </c>
      <c r="EQ33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37" s="134"/>
      <c r="ES337" s="134"/>
      <c r="ET337" s="134"/>
      <c r="EU337" s="134"/>
      <c r="EV337" s="134"/>
      <c r="EW337" s="134"/>
      <c r="EX337" s="134"/>
      <c r="EY337" s="134"/>
      <c r="EZ337" s="134"/>
      <c r="FA337" s="134">
        <f t="array" ref="FA337">IFERROR(INDEX(TABLACONSOLIDADA[Buff Act],MATCH("AGROINSUMOSVERONICALEDESMA"&amp;Tabla_Buffers_Agroinsumos[[#This Row],[CODIGO ]],TABLACONSOLIDADA[Bodega]&amp;TABLACONSOLIDADA[Codigo],0)),"")</f>
        <v>0</v>
      </c>
      <c r="FB337" s="157">
        <f t="array" ref="FB337">IFERROR(INDEX(TABLACONSOLIDADA[Inv Fís Act],MATCH("AGROINSUMOSVERONICALEDESMA"&amp;Tabla_Buffers_Agroinsumos[[#This Row],[CODIGO ]],TABLACONSOLIDADA[Bodega]&amp;TABLACONSOLIDADA[Codigo],0)),"")</f>
        <v>0</v>
      </c>
      <c r="FC337" s="157">
        <f t="array" ref="FC33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3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37" s="134">
        <f>IFERROR(SUM(Tabla_Buffers_Agroinsumos[[#This Row],[VL-MP]:[VL-LF]]),"")</f>
        <v>0</v>
      </c>
      <c r="FF337" s="92">
        <f>IFERROR(Tabla_Buffers_Agroinsumos[[#This Row],[INV FIS VL]]-Tabla_Buffers_Agroinsumos[[#This Row],[BUFFER VL]],"")</f>
        <v>0</v>
      </c>
      <c r="FG33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37" s="134"/>
      <c r="FI337" s="134"/>
      <c r="FJ337" s="134"/>
      <c r="FK337" s="134"/>
      <c r="FL337" s="134"/>
      <c r="FM337" s="134"/>
      <c r="FN337" s="134"/>
      <c r="FO337" s="134"/>
      <c r="FP337" s="134"/>
    </row>
    <row r="338" spans="1:172">
      <c r="A338" s="7" t="s">
        <v>884</v>
      </c>
      <c r="B338" s="7" t="s">
        <v>970</v>
      </c>
      <c r="C338" s="7" t="s">
        <v>712</v>
      </c>
      <c r="D338" s="7" t="s">
        <v>715</v>
      </c>
      <c r="E338" s="7" t="s">
        <v>975</v>
      </c>
      <c r="F338" s="19" t="s">
        <v>698</v>
      </c>
      <c r="G338" s="19" t="s">
        <v>698</v>
      </c>
      <c r="H338" s="19">
        <f>VLOOKUP(Tabla_Buffers_Agroinsumos[[#This Row],[CODIGO ]],TABLACONSOLIDADA[[Codigo]:[PV]],6,0)</f>
        <v>24.9</v>
      </c>
      <c r="I338" s="19">
        <f>VLOOKUP(Tabla_Buffers_Agroinsumos[[#This Row],[CODIGO ]],TABLACONSOLIDADA[[Codigo]:[PV]],5,0)</f>
        <v>13.56</v>
      </c>
      <c r="J338" s="19" t="s">
        <v>698</v>
      </c>
      <c r="K338" s="19" t="s">
        <v>698</v>
      </c>
      <c r="L338" s="19">
        <f>IFERROR(Tabla_Buffers_Agroinsumos[[#This Row],[BUFFER CENTRAL]]/((Tabla_Buffers_Agroinsumos[[#This Row],[TIEMPO REPOSICION ]]/Tabla_Buffers_Agroinsumos[[#This Row],[FRECUENCIA]])+1),0)</f>
        <v>0</v>
      </c>
      <c r="M338" s="19" t="str">
        <f t="array" ref="M338">IFERROR(INDEX(TABLACONSOLIDADA[Buff Act],MATCH("AGROINSUMOSMATERIAPRIMA"&amp;Tabla_Buffers_Agroinsumos[[#This Row],[CODIGO ]],TABLACONSOLIDADA[Bodega]&amp;TABLACONSOLIDADA[Codigo],0)),"")</f>
        <v/>
      </c>
      <c r="N338" s="157" t="str">
        <f t="array" ref="N338">IFERROR(INDEX(TABLACONSOLIDADA[Inv Fís Act],MATCH("AGROINSUMOSMATERIAPRIMA"&amp;Tabla_Buffers_Agroinsumos[[#This Row],[CODIGO ]],TABLACONSOLIDADA[Bodega]&amp;TABLACONSOLIDADA[Codigo],0)),"")</f>
        <v/>
      </c>
      <c r="O338" s="157" t="str">
        <f t="array" ref="O33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3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38" s="19">
        <f>IFERROR(SUM(Tabla_Buffers_Agroinsumos[[#This Row],[MP-C]:[MP-VL]]),"")</f>
        <v>0</v>
      </c>
      <c r="R338" s="92" t="str">
        <f>IFERROR(Tabla_Buffers_Agroinsumos[[#This Row],[INV FIS MATERIA PRIMA]]-Tabla_Buffers_Agroinsumos[[#This Row],[BUFFER MATERIA PRIMA]],"")</f>
        <v/>
      </c>
      <c r="S33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38" s="19"/>
      <c r="U338" s="19"/>
      <c r="V338" s="19"/>
      <c r="W338" s="19"/>
      <c r="X338" s="19"/>
      <c r="Y338" s="19"/>
      <c r="Z338" s="19"/>
      <c r="AA338" s="19"/>
      <c r="AB338" s="19"/>
      <c r="AC338" s="152">
        <f t="array" ref="AC338">IFERROR(INDEX(TABLACONSOLIDADA[Buff Act],MATCH("AGROINSUMOSCENTRAL"&amp;Tabla_Buffers_Agroinsumos[[#This Row],[CODIGO ]],TABLACONSOLIDADA[Bodega]&amp;TABLACONSOLIDADA[Codigo],0)),"")</f>
        <v>100</v>
      </c>
      <c r="AD338" s="157">
        <f t="array" ref="AD338">IFERROR(INDEX(TABLACONSOLIDADA[Inv Fís Act],MATCH("AGROINSUMOSCENTRAL"&amp;Tabla_Buffers_Agroinsumos[[#This Row],[CODIGO ]],TABLACONSOLIDADA[Bodega]&amp;TABLACONSOLIDADA[Codigo],0)),"")</f>
        <v>141</v>
      </c>
      <c r="AE338" s="157">
        <f t="array" ref="AE33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141</v>
      </c>
      <c r="AF33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38" s="91">
        <f>IFERROR(SUM(Tabla_Buffers_Agroinsumos[[#This Row],[C-MP]:[C-VL]]),"")</f>
        <v>0</v>
      </c>
      <c r="AH338" s="92">
        <f>IFERROR(Tabla_Buffers_Agroinsumos[[#This Row],[INV FIS CENTRAL]]-Tabla_Buffers_Agroinsumos[[#This Row],[BUFFER CENTRAL]],"")</f>
        <v>41</v>
      </c>
      <c r="AI33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41</v>
      </c>
      <c r="AJ338" s="134"/>
      <c r="AK338" s="134"/>
      <c r="AL338" s="134"/>
      <c r="AM338" s="134"/>
      <c r="AN338" s="134"/>
      <c r="AO338" s="134"/>
      <c r="AP338" s="134"/>
      <c r="AQ338" s="134"/>
      <c r="AR338" s="134"/>
      <c r="AS338" s="134">
        <f t="array" ref="AS338">IFERROR(INDEX(TABLACONSOLIDADA[Buff Act],MATCH("AGROINSUMOScentralPROPIA"&amp;Tabla_Buffers_Agroinsumos[[#This Row],[CODIGO ]],TABLACONSOLIDADA[Bodega]&amp;TABLACONSOLIDADA[Codigo],0)),"")</f>
        <v>30</v>
      </c>
      <c r="AT338" s="157">
        <f t="array" ref="AT338">IFERROR(INDEX(TABLACONSOLIDADA[Inv Fís Act],MATCH("AGROINSUMOScentralPROPIA"&amp;Tabla_Buffers_Agroinsumos[[#This Row],[CODIGO ]],TABLACONSOLIDADA[Bodega]&amp;TABLACONSOLIDADA[Codigo],0)),"")</f>
        <v>0</v>
      </c>
      <c r="AU338" s="157">
        <f t="array" ref="AU33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3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38" s="134">
        <f>IFERROR(SUM(Tabla_Buffers_Agroinsumos[[#This Row],[P-MP]:[P-VL]]),"")</f>
        <v>0</v>
      </c>
      <c r="AX338" s="92">
        <f>IFERROR(Tabla_Buffers_Agroinsumos[[#This Row],[INV FIS PROPIA]]-Tabla_Buffers_Agroinsumos[[#This Row],[BUFFER PROPIA]],"")</f>
        <v>-30</v>
      </c>
      <c r="AY33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</v>
      </c>
      <c r="AZ338" s="134"/>
      <c r="BA338" s="134"/>
      <c r="BB338" s="134"/>
      <c r="BC338" s="134"/>
      <c r="BD338" s="134"/>
      <c r="BE338" s="134"/>
      <c r="BF338" s="134"/>
      <c r="BG338" s="134"/>
      <c r="BH338" s="134"/>
      <c r="BI338" s="91">
        <f t="array" ref="BI338">IFERROR(INDEX(TABLACONSOLIDADA[Buff Act],MATCH("AGROINSUMOSSTODOMINGO"&amp;Tabla_Buffers_Agroinsumos[[#This Row],[CODIGO ]],TABLACONSOLIDADA[Bodega]&amp;TABLACONSOLIDADA[Codigo],0)),"")</f>
        <v>0</v>
      </c>
      <c r="BJ338" s="157">
        <f t="array" ref="BJ338">IFERROR(INDEX(TABLACONSOLIDADA[Inv Fís Act],MATCH("AGROINSUMOSSTODOMINGO"&amp;Tabla_Buffers_Agroinsumos[[#This Row],[CODIGO ]],TABLACONSOLIDADA[Bodega]&amp;TABLACONSOLIDADA[Codigo],0)),"")</f>
        <v>0</v>
      </c>
      <c r="BK338" s="157">
        <f t="array" ref="BK33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3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38" s="91">
        <f>IFERROR(SUM(Tabla_Buffers_Agroinsumos[[#This Row],[SD-MP]:[SD-VL]]),"")</f>
        <v>0</v>
      </c>
      <c r="BN338" s="92"/>
      <c r="BO338" s="92"/>
      <c r="BP338" s="134"/>
      <c r="BQ338" s="134"/>
      <c r="BR338" s="134"/>
      <c r="BS338" s="134"/>
      <c r="BT338" s="134"/>
      <c r="BU338" s="134"/>
      <c r="BV338" s="134"/>
      <c r="BW338" s="134"/>
      <c r="BX338" s="134"/>
      <c r="BY338" s="134">
        <f t="array" ref="BY338">IFERROR(INDEX(TABLACONSOLIDADA[Buff Act],MATCH("AGROINSUMOSMONCAYOLOPEZ"&amp;Tabla_Buffers_Agroinsumos[[#This Row],[CODIGO ]],TABLACONSOLIDADA[Bodega]&amp;TABLACONSOLIDADA[Codigo],0)),"")</f>
        <v>0</v>
      </c>
      <c r="BZ338" s="157">
        <f t="array" ref="BZ338">IFERROR(INDEX(TABLACONSOLIDADA[Inv Fís Act],MATCH("AGROINSUMOSMONCAYOLOPEZ"&amp;Tabla_Buffers_Agroinsumos[[#This Row],[CODIGO ]],TABLACONSOLIDADA[Bodega]&amp;TABLACONSOLIDADA[Codigo],0)),"")</f>
        <v>0</v>
      </c>
      <c r="CA338" s="157">
        <f t="array" ref="CA33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3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38" s="134">
        <f>IFERROR(SUM(Tabla_Buffers_Agroinsumos[[#This Row],[ML-MP]:[ML-VL]]),"")</f>
        <v>0</v>
      </c>
      <c r="CD338" s="92">
        <f>IFERROR(Tabla_Buffers_Agroinsumos[[#This Row],[INV FIS ML]]-Tabla_Buffers_Agroinsumos[[#This Row],[BUFFER ML]],"")</f>
        <v>0</v>
      </c>
      <c r="CE33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38" s="134"/>
      <c r="CG338" s="134"/>
      <c r="CH338" s="134"/>
      <c r="CI338" s="134"/>
      <c r="CJ338" s="134"/>
      <c r="CK338" s="134"/>
      <c r="CL338" s="134"/>
      <c r="CM338" s="134"/>
      <c r="CN338" s="134"/>
      <c r="CO338" s="134">
        <f t="array" ref="CO338">IFERROR(INDEX(TABLACONSOLIDADA[Buff Act],MATCH("AGROINSUMOSAGROHERMANOSLEON"&amp;Tabla_Buffers_Agroinsumos[[#This Row],[CODIGO ]],TABLACONSOLIDADA[Bodega]&amp;TABLACONSOLIDADA[Codigo],0)),"")</f>
        <v>10</v>
      </c>
      <c r="CP338" s="157">
        <f t="array" ref="CP338">IFERROR(INDEX(TABLACONSOLIDADA[Inv Fís Act],MATCH("AGROINSUMOSAGROHERMANOSLEON"&amp;Tabla_Buffers_Agroinsumos[[#This Row],[CODIGO ]],TABLACONSOLIDADA[Bodega]&amp;TABLACONSOLIDADA[Codigo],0)),"")</f>
        <v>10</v>
      </c>
      <c r="CQ338" s="157">
        <f t="array" ref="CQ33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10</v>
      </c>
      <c r="CR33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38" s="134">
        <f>IFERROR(SUM(Tabla_Buffers_Agroinsumos[[#This Row],[AL-MP]:[AL-VL]]),"")</f>
        <v>0</v>
      </c>
      <c r="CT338" s="92">
        <f>IFERROR(Tabla_Buffers_Agroinsumos[[#This Row],[INV FIS AL]]-Tabla_Buffers_Agroinsumos[[#This Row],[BUFFER AL]],"")</f>
        <v>0</v>
      </c>
      <c r="CU33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38" s="134"/>
      <c r="CW338" s="134"/>
      <c r="CX338" s="134"/>
      <c r="CY338" s="134"/>
      <c r="CZ338" s="134"/>
      <c r="DA338" s="134"/>
      <c r="DB338" s="134"/>
      <c r="DC338" s="134"/>
      <c r="DD338" s="134"/>
      <c r="DE338" s="134">
        <f t="array" ref="DE338">IFERROR(INDEX(TABLACONSOLIDADA[Buff Act],MATCH("AGROINSUMOSAGRONUEVO"&amp;Tabla_Buffers_Agroinsumos[[#This Row],[CODIGO ]],TABLACONSOLIDADA[Bodega]&amp;TABLACONSOLIDADA[Codigo],0)),"")</f>
        <v>0</v>
      </c>
      <c r="DF338" s="157">
        <f t="array" ref="DF338">IFERROR(INDEX(TABLACONSOLIDADA[Inv Fís Act],MATCH("AGROINSUMOSAGRONUEVO"&amp;Tabla_Buffers_Agroinsumos[[#This Row],[CODIGO ]],TABLACONSOLIDADA[Bodega]&amp;TABLACONSOLIDADA[Codigo],0)),"")</f>
        <v>0</v>
      </c>
      <c r="DG338" s="157">
        <f t="array" ref="DG33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3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38" s="134">
        <f>IFERROR(SUM(Tabla_Buffers_Agroinsumos[[#This Row],[AN-MP]:[AN-VL]]),"")</f>
        <v>0</v>
      </c>
      <c r="DJ338" s="92">
        <f>IFERROR(Tabla_Buffers_Agroinsumos[[#This Row],[INV FIS AN]]-Tabla_Buffers_Agroinsumos[[#This Row],[BUFFER AN]],"")</f>
        <v>0</v>
      </c>
      <c r="DK33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38" s="134"/>
      <c r="DM338" s="134"/>
      <c r="DN338" s="134"/>
      <c r="DO338" s="134"/>
      <c r="DP338" s="134"/>
      <c r="DQ338" s="134"/>
      <c r="DR338" s="134"/>
      <c r="DS338" s="134"/>
      <c r="DT338" s="134"/>
      <c r="DU338" s="134">
        <f t="array" ref="DU338">IFERROR(INDEX(TABLACONSOLIDADA[Buff Act],MATCH("AGROINSUMOSAGROQUIMICOSSUR"&amp;Tabla_Buffers_Agroinsumos[[#This Row],[CODIGO ]],TABLACONSOLIDADA[Bodega]&amp;TABLACONSOLIDADA[Codigo],0)),"")</f>
        <v>0</v>
      </c>
      <c r="DV338" s="157">
        <f t="array" ref="DV338">IFERROR(INDEX(TABLACONSOLIDADA[Inv Fís Act],MATCH("AGROINSUMOSAGROQUIMICOSSUR"&amp;Tabla_Buffers_Agroinsumos[[#This Row],[CODIGO ]],TABLACONSOLIDADA[Bodega]&amp;TABLACONSOLIDADA[Codigo],0)),"")</f>
        <v>0</v>
      </c>
      <c r="DW338" s="157">
        <f t="array" ref="DW33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3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38" s="134">
        <f>IFERROR(SUM(Tabla_Buffers_Agroinsumos[[#This Row],[AS-MP]:[AS-VL]]),"")</f>
        <v>0</v>
      </c>
      <c r="DZ338" s="92">
        <f>IFERROR(Tabla_Buffers_Agroinsumos[[#This Row],[INV FIS AS]]-Tabla_Buffers_Agroinsumos[[#This Row],[BUFFER AS]],"")</f>
        <v>0</v>
      </c>
      <c r="EA33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38" s="134"/>
      <c r="EC338" s="134"/>
      <c r="ED338" s="134"/>
      <c r="EE338" s="134"/>
      <c r="EF338" s="134"/>
      <c r="EG338" s="134"/>
      <c r="EH338" s="134"/>
      <c r="EI338" s="134"/>
      <c r="EJ338" s="134"/>
      <c r="EK338" s="134">
        <f t="array" ref="EK338">IFERROR(INDEX(TABLACONSOLIDADA[Buff Act],MATCH("AGROINSUMOSLAFINCA"&amp;Tabla_Buffers_Agroinsumos[[#This Row],[CODIGO ]],TABLACONSOLIDADA[Bodega]&amp;TABLACONSOLIDADA[Codigo],0)),"")</f>
        <v>0</v>
      </c>
      <c r="EL338" s="157">
        <f t="array" ref="EL338">IFERROR(INDEX(TABLACONSOLIDADA[Inv Fís Act],MATCH("AGROINSUMOSLAFINCA"&amp;Tabla_Buffers_Agroinsumos[[#This Row],[CODIGO ]],TABLACONSOLIDADA[Bodega]&amp;TABLACONSOLIDADA[Codigo],0)),"")</f>
        <v>0</v>
      </c>
      <c r="EM338" s="157">
        <f t="array" ref="EM33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3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38" s="134">
        <f>IFERROR(SUM(Tabla_Buffers_Agroinsumos[[#This Row],[LF-MP]:[LF-VL]]),"")</f>
        <v>0</v>
      </c>
      <c r="EP338" s="92">
        <f>IFERROR(Tabla_Buffers_Agroinsumos[[#This Row],[INV FIS LF]]-Tabla_Buffers_Agroinsumos[[#This Row],[BUFFER LF]],"")</f>
        <v>0</v>
      </c>
      <c r="EQ33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38" s="134"/>
      <c r="ES338" s="134"/>
      <c r="ET338" s="134"/>
      <c r="EU338" s="134"/>
      <c r="EV338" s="134"/>
      <c r="EW338" s="134"/>
      <c r="EX338" s="134"/>
      <c r="EY338" s="134"/>
      <c r="EZ338" s="134"/>
      <c r="FA338" s="134">
        <f t="array" ref="FA338">IFERROR(INDEX(TABLACONSOLIDADA[Buff Act],MATCH("AGROINSUMOSVERONICALEDESMA"&amp;Tabla_Buffers_Agroinsumos[[#This Row],[CODIGO ]],TABLACONSOLIDADA[Bodega]&amp;TABLACONSOLIDADA[Codigo],0)),"")</f>
        <v>0</v>
      </c>
      <c r="FB338" s="157">
        <f t="array" ref="FB338">IFERROR(INDEX(TABLACONSOLIDADA[Inv Fís Act],MATCH("AGROINSUMOSVERONICALEDESMA"&amp;Tabla_Buffers_Agroinsumos[[#This Row],[CODIGO ]],TABLACONSOLIDADA[Bodega]&amp;TABLACONSOLIDADA[Codigo],0)),"")</f>
        <v>0</v>
      </c>
      <c r="FC338" s="157">
        <f t="array" ref="FC33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3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38" s="134">
        <f>IFERROR(SUM(Tabla_Buffers_Agroinsumos[[#This Row],[VL-MP]:[VL-LF]]),"")</f>
        <v>0</v>
      </c>
      <c r="FF338" s="92">
        <f>IFERROR(Tabla_Buffers_Agroinsumos[[#This Row],[INV FIS VL]]-Tabla_Buffers_Agroinsumos[[#This Row],[BUFFER VL]],"")</f>
        <v>0</v>
      </c>
      <c r="FG33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38" s="134"/>
      <c r="FI338" s="134"/>
      <c r="FJ338" s="134"/>
      <c r="FK338" s="134"/>
      <c r="FL338" s="134"/>
      <c r="FM338" s="134"/>
      <c r="FN338" s="134"/>
      <c r="FO338" s="134"/>
      <c r="FP338" s="134"/>
    </row>
    <row r="339" spans="1:172">
      <c r="A339" s="7" t="s">
        <v>570</v>
      </c>
      <c r="B339" s="7" t="s">
        <v>571</v>
      </c>
      <c r="C339" s="7" t="s">
        <v>712</v>
      </c>
      <c r="D339" s="7" t="s">
        <v>717</v>
      </c>
      <c r="E339" s="7" t="s">
        <v>863</v>
      </c>
      <c r="F339" s="19" t="s">
        <v>713</v>
      </c>
      <c r="G339" s="19" t="s">
        <v>802</v>
      </c>
      <c r="H339" s="19">
        <f>VLOOKUP(Tabla_Buffers_Agroinsumos[[#This Row],[CODIGO ]],TABLACONSOLIDADA[[Codigo]:[PV]],6,0)</f>
        <v>0</v>
      </c>
      <c r="I339" s="19">
        <f>VLOOKUP(Tabla_Buffers_Agroinsumos[[#This Row],[CODIGO ]],TABLACONSOLIDADA[[Codigo]:[PV]],5,0)</f>
        <v>4.5199999999999996</v>
      </c>
      <c r="J339" s="19">
        <v>4</v>
      </c>
      <c r="K339" s="19">
        <v>4</v>
      </c>
      <c r="L339" s="19">
        <f>IFERROR(Tabla_Buffers_Agroinsumos[[#This Row],[BUFFER CENTRAL]]/((Tabla_Buffers_Agroinsumos[[#This Row],[TIEMPO REPOSICION ]]/Tabla_Buffers_Agroinsumos[[#This Row],[FRECUENCIA]])+1),0)</f>
        <v>0</v>
      </c>
      <c r="M339" s="19">
        <f t="array" ref="M339">IFERROR(INDEX(TABLACONSOLIDADA[Buff Act],MATCH("AGROINSUMOSMATERIAPRIMA"&amp;Tabla_Buffers_Agroinsumos[[#This Row],[CODIGO ]],TABLACONSOLIDADA[Bodega]&amp;TABLACONSOLIDADA[Codigo],0)),"")</f>
        <v>0</v>
      </c>
      <c r="N339" s="157">
        <f t="array" ref="N339">IFERROR(INDEX(TABLACONSOLIDADA[Inv Fís Act],MATCH("AGROINSUMOSMATERIAPRIMA"&amp;Tabla_Buffers_Agroinsumos[[#This Row],[CODIGO ]],TABLACONSOLIDADA[Bodega]&amp;TABLACONSOLIDADA[Codigo],0)),"")</f>
        <v>100</v>
      </c>
      <c r="O339" s="157">
        <f t="array" ref="O33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100</v>
      </c>
      <c r="P33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39" s="19">
        <f>IFERROR(SUM(Tabla_Buffers_Agroinsumos[[#This Row],[MP-C]:[MP-VL]]),"")</f>
        <v>0</v>
      </c>
      <c r="R339" s="92">
        <f>IFERROR(Tabla_Buffers_Agroinsumos[[#This Row],[INV FIS MATERIA PRIMA]]-Tabla_Buffers_Agroinsumos[[#This Row],[BUFFER MATERIA PRIMA]],"")</f>
        <v>100</v>
      </c>
      <c r="S339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100</v>
      </c>
      <c r="T339" s="19"/>
      <c r="U339" s="19"/>
      <c r="V339" s="19"/>
      <c r="W339" s="19"/>
      <c r="X339" s="19"/>
      <c r="Y339" s="19"/>
      <c r="Z339" s="19"/>
      <c r="AA339" s="19"/>
      <c r="AB339" s="19"/>
      <c r="AC339" s="152" t="str">
        <f t="array" ref="AC339">IFERROR(INDEX(TABLACONSOLIDADA[Buff Act],MATCH("AGROINSUMOSCENTRAL"&amp;Tabla_Buffers_Agroinsumos[[#This Row],[CODIGO ]],TABLACONSOLIDADA[Bodega]&amp;TABLACONSOLIDADA[Codigo],0)),"")</f>
        <v/>
      </c>
      <c r="AD339" s="157" t="str">
        <f t="array" ref="AD339">IFERROR(INDEX(TABLACONSOLIDADA[Inv Fís Act],MATCH("AGROINSUMOSCENTRAL"&amp;Tabla_Buffers_Agroinsumos[[#This Row],[CODIGO ]],TABLACONSOLIDADA[Bodega]&amp;TABLACONSOLIDADA[Codigo],0)),"")</f>
        <v/>
      </c>
      <c r="AE339" s="157" t="str">
        <f t="array" ref="AE33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3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39" s="91">
        <f>IFERROR(SUM(Tabla_Buffers_Agroinsumos[[#This Row],[C-MP]:[C-VL]]),"")</f>
        <v>0</v>
      </c>
      <c r="AH339" s="92" t="str">
        <f>IFERROR(Tabla_Buffers_Agroinsumos[[#This Row],[INV FIS CENTRAL]]-Tabla_Buffers_Agroinsumos[[#This Row],[BUFFER CENTRAL]],"")</f>
        <v/>
      </c>
      <c r="AI33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39" s="134"/>
      <c r="AK339" s="134"/>
      <c r="AL339" s="134"/>
      <c r="AM339" s="134"/>
      <c r="AN339" s="134"/>
      <c r="AO339" s="134"/>
      <c r="AP339" s="134"/>
      <c r="AQ339" s="134"/>
      <c r="AR339" s="134"/>
      <c r="AS339" s="134" t="str">
        <f t="array" ref="AS339">IFERROR(INDEX(TABLACONSOLIDADA[Buff Act],MATCH("AGROINSUMOScentralPROPIA"&amp;Tabla_Buffers_Agroinsumos[[#This Row],[CODIGO ]],TABLACONSOLIDADA[Bodega]&amp;TABLACONSOLIDADA[Codigo],0)),"")</f>
        <v/>
      </c>
      <c r="AT339" s="157" t="str">
        <f t="array" ref="AT339">IFERROR(INDEX(TABLACONSOLIDADA[Inv Fís Act],MATCH("AGROINSUMOScentralPROPIA"&amp;Tabla_Buffers_Agroinsumos[[#This Row],[CODIGO ]],TABLACONSOLIDADA[Bodega]&amp;TABLACONSOLIDADA[Codigo],0)),"")</f>
        <v/>
      </c>
      <c r="AU339" s="157" t="str">
        <f t="array" ref="AU33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3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39" s="134">
        <f>IFERROR(SUM(Tabla_Buffers_Agroinsumos[[#This Row],[P-MP]:[P-VL]]),"")</f>
        <v>0</v>
      </c>
      <c r="AX339" s="92" t="str">
        <f>IFERROR(Tabla_Buffers_Agroinsumos[[#This Row],[INV FIS PROPIA]]-Tabla_Buffers_Agroinsumos[[#This Row],[BUFFER PROPIA]],"")</f>
        <v/>
      </c>
      <c r="AY33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39" s="134"/>
      <c r="BA339" s="134"/>
      <c r="BB339" s="134"/>
      <c r="BC339" s="134"/>
      <c r="BD339" s="134"/>
      <c r="BE339" s="134"/>
      <c r="BF339" s="134"/>
      <c r="BG339" s="134"/>
      <c r="BH339" s="134"/>
      <c r="BI339" s="91" t="str">
        <f t="array" ref="BI339">IFERROR(INDEX(TABLACONSOLIDADA[Buff Act],MATCH("AGROINSUMOSSTODOMINGO"&amp;Tabla_Buffers_Agroinsumos[[#This Row],[CODIGO ]],TABLACONSOLIDADA[Bodega]&amp;TABLACONSOLIDADA[Codigo],0)),"")</f>
        <v/>
      </c>
      <c r="BJ339" s="157" t="str">
        <f t="array" ref="BJ339">IFERROR(INDEX(TABLACONSOLIDADA[Inv Fís Act],MATCH("AGROINSUMOSSTODOMINGO"&amp;Tabla_Buffers_Agroinsumos[[#This Row],[CODIGO ]],TABLACONSOLIDADA[Bodega]&amp;TABLACONSOLIDADA[Codigo],0)),"")</f>
        <v/>
      </c>
      <c r="BK339" s="157" t="str">
        <f t="array" ref="BK33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3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39" s="91">
        <f>IFERROR(SUM(Tabla_Buffers_Agroinsumos[[#This Row],[SD-MP]:[SD-VL]]),"")</f>
        <v>0</v>
      </c>
      <c r="BN339" s="92"/>
      <c r="BO339" s="92"/>
      <c r="BP339" s="134"/>
      <c r="BQ339" s="134"/>
      <c r="BR339" s="134"/>
      <c r="BS339" s="134"/>
      <c r="BT339" s="134"/>
      <c r="BU339" s="134"/>
      <c r="BV339" s="134"/>
      <c r="BW339" s="134"/>
      <c r="BX339" s="134"/>
      <c r="BY339" s="134" t="str">
        <f t="array" ref="BY339">IFERROR(INDEX(TABLACONSOLIDADA[Buff Act],MATCH("AGROINSUMOSMONCAYOLOPEZ"&amp;Tabla_Buffers_Agroinsumos[[#This Row],[CODIGO ]],TABLACONSOLIDADA[Bodega]&amp;TABLACONSOLIDADA[Codigo],0)),"")</f>
        <v/>
      </c>
      <c r="BZ339" s="157" t="str">
        <f t="array" ref="BZ339">IFERROR(INDEX(TABLACONSOLIDADA[Inv Fís Act],MATCH("AGROINSUMOSMONCAYOLOPEZ"&amp;Tabla_Buffers_Agroinsumos[[#This Row],[CODIGO ]],TABLACONSOLIDADA[Bodega]&amp;TABLACONSOLIDADA[Codigo],0)),"")</f>
        <v/>
      </c>
      <c r="CA339" s="157" t="str">
        <f t="array" ref="CA33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3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39" s="134">
        <f>IFERROR(SUM(Tabla_Buffers_Agroinsumos[[#This Row],[ML-MP]:[ML-VL]]),"")</f>
        <v>0</v>
      </c>
      <c r="CD339" s="92" t="str">
        <f>IFERROR(Tabla_Buffers_Agroinsumos[[#This Row],[INV FIS ML]]-Tabla_Buffers_Agroinsumos[[#This Row],[BUFFER ML]],"")</f>
        <v/>
      </c>
      <c r="CE33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39" s="134"/>
      <c r="CG339" s="134"/>
      <c r="CH339" s="134"/>
      <c r="CI339" s="134"/>
      <c r="CJ339" s="134"/>
      <c r="CK339" s="134"/>
      <c r="CL339" s="134"/>
      <c r="CM339" s="134"/>
      <c r="CN339" s="134"/>
      <c r="CO339" s="134" t="str">
        <f t="array" ref="CO339">IFERROR(INDEX(TABLACONSOLIDADA[Buff Act],MATCH("AGROINSUMOSAGROHERMANOSLEON"&amp;Tabla_Buffers_Agroinsumos[[#This Row],[CODIGO ]],TABLACONSOLIDADA[Bodega]&amp;TABLACONSOLIDADA[Codigo],0)),"")</f>
        <v/>
      </c>
      <c r="CP339" s="157" t="str">
        <f t="array" ref="CP339">IFERROR(INDEX(TABLACONSOLIDADA[Inv Fís Act],MATCH("AGROINSUMOSAGROHERMANOSLEON"&amp;Tabla_Buffers_Agroinsumos[[#This Row],[CODIGO ]],TABLACONSOLIDADA[Bodega]&amp;TABLACONSOLIDADA[Codigo],0)),"")</f>
        <v/>
      </c>
      <c r="CQ339" s="157" t="str">
        <f t="array" ref="CQ33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3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39" s="134">
        <f>IFERROR(SUM(Tabla_Buffers_Agroinsumos[[#This Row],[AL-MP]:[AL-VL]]),"")</f>
        <v>0</v>
      </c>
      <c r="CT339" s="92" t="str">
        <f>IFERROR(Tabla_Buffers_Agroinsumos[[#This Row],[INV FIS AL]]-Tabla_Buffers_Agroinsumos[[#This Row],[BUFFER AL]],"")</f>
        <v/>
      </c>
      <c r="CU33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39" s="134"/>
      <c r="CW339" s="134"/>
      <c r="CX339" s="134"/>
      <c r="CY339" s="134"/>
      <c r="CZ339" s="134"/>
      <c r="DA339" s="134"/>
      <c r="DB339" s="134"/>
      <c r="DC339" s="134"/>
      <c r="DD339" s="134"/>
      <c r="DE339" s="134" t="str">
        <f t="array" ref="DE339">IFERROR(INDEX(TABLACONSOLIDADA[Buff Act],MATCH("AGROINSUMOSAGRONUEVO"&amp;Tabla_Buffers_Agroinsumos[[#This Row],[CODIGO ]],TABLACONSOLIDADA[Bodega]&amp;TABLACONSOLIDADA[Codigo],0)),"")</f>
        <v/>
      </c>
      <c r="DF339" s="157" t="str">
        <f t="array" ref="DF339">IFERROR(INDEX(TABLACONSOLIDADA[Inv Fís Act],MATCH("AGROINSUMOSAGRONUEVO"&amp;Tabla_Buffers_Agroinsumos[[#This Row],[CODIGO ]],TABLACONSOLIDADA[Bodega]&amp;TABLACONSOLIDADA[Codigo],0)),"")</f>
        <v/>
      </c>
      <c r="DG339" s="157" t="str">
        <f t="array" ref="DG33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3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39" s="134">
        <f>IFERROR(SUM(Tabla_Buffers_Agroinsumos[[#This Row],[AN-MP]:[AN-VL]]),"")</f>
        <v>0</v>
      </c>
      <c r="DJ339" s="92" t="str">
        <f>IFERROR(Tabla_Buffers_Agroinsumos[[#This Row],[INV FIS AN]]-Tabla_Buffers_Agroinsumos[[#This Row],[BUFFER AN]],"")</f>
        <v/>
      </c>
      <c r="DK33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39" s="134"/>
      <c r="DM339" s="134"/>
      <c r="DN339" s="134"/>
      <c r="DO339" s="134"/>
      <c r="DP339" s="134"/>
      <c r="DQ339" s="134"/>
      <c r="DR339" s="134"/>
      <c r="DS339" s="134"/>
      <c r="DT339" s="134"/>
      <c r="DU339" s="134" t="str">
        <f t="array" ref="DU339">IFERROR(INDEX(TABLACONSOLIDADA[Buff Act],MATCH("AGROINSUMOSAGROQUIMICOSSUR"&amp;Tabla_Buffers_Agroinsumos[[#This Row],[CODIGO ]],TABLACONSOLIDADA[Bodega]&amp;TABLACONSOLIDADA[Codigo],0)),"")</f>
        <v/>
      </c>
      <c r="DV339" s="157" t="str">
        <f t="array" ref="DV339">IFERROR(INDEX(TABLACONSOLIDADA[Inv Fís Act],MATCH("AGROINSUMOSAGROQUIMICOSSUR"&amp;Tabla_Buffers_Agroinsumos[[#This Row],[CODIGO ]],TABLACONSOLIDADA[Bodega]&amp;TABLACONSOLIDADA[Codigo],0)),"")</f>
        <v/>
      </c>
      <c r="DW339" s="157" t="str">
        <f t="array" ref="DW33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3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39" s="134">
        <f>IFERROR(SUM(Tabla_Buffers_Agroinsumos[[#This Row],[AS-MP]:[AS-VL]]),"")</f>
        <v>0</v>
      </c>
      <c r="DZ339" s="92" t="str">
        <f>IFERROR(Tabla_Buffers_Agroinsumos[[#This Row],[INV FIS AS]]-Tabla_Buffers_Agroinsumos[[#This Row],[BUFFER AS]],"")</f>
        <v/>
      </c>
      <c r="EA33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39" s="134"/>
      <c r="EC339" s="134"/>
      <c r="ED339" s="134"/>
      <c r="EE339" s="134"/>
      <c r="EF339" s="134"/>
      <c r="EG339" s="134"/>
      <c r="EH339" s="134"/>
      <c r="EI339" s="134"/>
      <c r="EJ339" s="134"/>
      <c r="EK339" s="134" t="str">
        <f t="array" ref="EK339">IFERROR(INDEX(TABLACONSOLIDADA[Buff Act],MATCH("AGROINSUMOSLAFINCA"&amp;Tabla_Buffers_Agroinsumos[[#This Row],[CODIGO ]],TABLACONSOLIDADA[Bodega]&amp;TABLACONSOLIDADA[Codigo],0)),"")</f>
        <v/>
      </c>
      <c r="EL339" s="157" t="str">
        <f t="array" ref="EL339">IFERROR(INDEX(TABLACONSOLIDADA[Inv Fís Act],MATCH("AGROINSUMOSLAFINCA"&amp;Tabla_Buffers_Agroinsumos[[#This Row],[CODIGO ]],TABLACONSOLIDADA[Bodega]&amp;TABLACONSOLIDADA[Codigo],0)),"")</f>
        <v/>
      </c>
      <c r="EM339" s="157" t="str">
        <f t="array" ref="EM33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3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39" s="134">
        <f>IFERROR(SUM(Tabla_Buffers_Agroinsumos[[#This Row],[LF-MP]:[LF-VL]]),"")</f>
        <v>0</v>
      </c>
      <c r="EP339" s="92" t="str">
        <f>IFERROR(Tabla_Buffers_Agroinsumos[[#This Row],[INV FIS LF]]-Tabla_Buffers_Agroinsumos[[#This Row],[BUFFER LF]],"")</f>
        <v/>
      </c>
      <c r="EQ33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39" s="134"/>
      <c r="ES339" s="134"/>
      <c r="ET339" s="134"/>
      <c r="EU339" s="134"/>
      <c r="EV339" s="134"/>
      <c r="EW339" s="134"/>
      <c r="EX339" s="134"/>
      <c r="EY339" s="134"/>
      <c r="EZ339" s="134"/>
      <c r="FA339" s="134" t="str">
        <f t="array" ref="FA339">IFERROR(INDEX(TABLACONSOLIDADA[Buff Act],MATCH("AGROINSUMOSVERONICALEDESMA"&amp;Tabla_Buffers_Agroinsumos[[#This Row],[CODIGO ]],TABLACONSOLIDADA[Bodega]&amp;TABLACONSOLIDADA[Codigo],0)),"")</f>
        <v/>
      </c>
      <c r="FB339" s="157" t="str">
        <f t="array" ref="FB339">IFERROR(INDEX(TABLACONSOLIDADA[Inv Fís Act],MATCH("AGROINSUMOSVERONICALEDESMA"&amp;Tabla_Buffers_Agroinsumos[[#This Row],[CODIGO ]],TABLACONSOLIDADA[Bodega]&amp;TABLACONSOLIDADA[Codigo],0)),"")</f>
        <v/>
      </c>
      <c r="FC339" s="157" t="str">
        <f t="array" ref="FC33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3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39" s="134">
        <f>IFERROR(SUM(Tabla_Buffers_Agroinsumos[[#This Row],[VL-MP]:[VL-LF]]),"")</f>
        <v>0</v>
      </c>
      <c r="FF339" s="92" t="str">
        <f>IFERROR(Tabla_Buffers_Agroinsumos[[#This Row],[INV FIS VL]]-Tabla_Buffers_Agroinsumos[[#This Row],[BUFFER VL]],"")</f>
        <v/>
      </c>
      <c r="FG33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39" s="134"/>
      <c r="FI339" s="134"/>
      <c r="FJ339" s="134"/>
      <c r="FK339" s="134"/>
      <c r="FL339" s="134"/>
      <c r="FM339" s="134"/>
      <c r="FN339" s="134"/>
      <c r="FO339" s="134"/>
      <c r="FP339" s="134"/>
    </row>
    <row r="340" spans="1:172">
      <c r="A340" s="7" t="s">
        <v>572</v>
      </c>
      <c r="B340" s="7" t="s">
        <v>573</v>
      </c>
      <c r="C340" s="7" t="s">
        <v>707</v>
      </c>
      <c r="D340" s="7" t="s">
        <v>717</v>
      </c>
      <c r="E340" s="7" t="s">
        <v>863</v>
      </c>
      <c r="F340" s="19" t="s">
        <v>804</v>
      </c>
      <c r="G340" s="19" t="s">
        <v>802</v>
      </c>
      <c r="H340" s="19">
        <f>VLOOKUP(Tabla_Buffers_Agroinsumos[[#This Row],[CODIGO ]],TABLACONSOLIDADA[[Codigo]:[PV]],6,0)</f>
        <v>0</v>
      </c>
      <c r="I340" s="19">
        <f>VLOOKUP(Tabla_Buffers_Agroinsumos[[#This Row],[CODIGO ]],TABLACONSOLIDADA[[Codigo]:[PV]],5,0)</f>
        <v>389.92</v>
      </c>
      <c r="J340" s="19">
        <v>4</v>
      </c>
      <c r="K340" s="19">
        <v>4</v>
      </c>
      <c r="L340" s="19">
        <f>IFERROR(Tabla_Buffers_Agroinsumos[[#This Row],[BUFFER CENTRAL]]/((Tabla_Buffers_Agroinsumos[[#This Row],[TIEMPO REPOSICION ]]/Tabla_Buffers_Agroinsumos[[#This Row],[FRECUENCIA]])+1),0)</f>
        <v>0</v>
      </c>
      <c r="M340" s="19">
        <f t="array" ref="M340">IFERROR(INDEX(TABLACONSOLIDADA[Buff Act],MATCH("AGROINSUMOSMATERIAPRIMA"&amp;Tabla_Buffers_Agroinsumos[[#This Row],[CODIGO ]],TABLACONSOLIDADA[Bodega]&amp;TABLACONSOLIDADA[Codigo],0)),"")</f>
        <v>1</v>
      </c>
      <c r="N340" s="157">
        <f t="array" ref="N340">IFERROR(INDEX(TABLACONSOLIDADA[Inv Fís Act],MATCH("AGROINSUMOSMATERIAPRIMA"&amp;Tabla_Buffers_Agroinsumos[[#This Row],[CODIGO ]],TABLACONSOLIDADA[Bodega]&amp;TABLACONSOLIDADA[Codigo],0)),"")</f>
        <v>0.53649999999999998</v>
      </c>
      <c r="O340" s="157">
        <f t="array" ref="O34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0.53649999999999998</v>
      </c>
      <c r="P34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40" s="19">
        <f>IFERROR(SUM(Tabla_Buffers_Agroinsumos[[#This Row],[MP-C]:[MP-VL]]),"")</f>
        <v>0</v>
      </c>
      <c r="R340" s="92">
        <f>IFERROR(Tabla_Buffers_Agroinsumos[[#This Row],[INV FIS MATERIA PRIMA]]-Tabla_Buffers_Agroinsumos[[#This Row],[BUFFER MATERIA PRIMA]],"")</f>
        <v>-0.46350000000000002</v>
      </c>
      <c r="S34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-0.46350000000000002</v>
      </c>
      <c r="T340" s="19"/>
      <c r="U340" s="19"/>
      <c r="V340" s="19"/>
      <c r="W340" s="19"/>
      <c r="X340" s="19"/>
      <c r="Y340" s="19"/>
      <c r="Z340" s="19"/>
      <c r="AA340" s="19"/>
      <c r="AB340" s="19"/>
      <c r="AC340" s="152" t="str">
        <f t="array" ref="AC340">IFERROR(INDEX(TABLACONSOLIDADA[Buff Act],MATCH("AGROINSUMOSCENTRAL"&amp;Tabla_Buffers_Agroinsumos[[#This Row],[CODIGO ]],TABLACONSOLIDADA[Bodega]&amp;TABLACONSOLIDADA[Codigo],0)),"")</f>
        <v/>
      </c>
      <c r="AD340" s="157" t="str">
        <f t="array" ref="AD340">IFERROR(INDEX(TABLACONSOLIDADA[Inv Fís Act],MATCH("AGROINSUMOSCENTRAL"&amp;Tabla_Buffers_Agroinsumos[[#This Row],[CODIGO ]],TABLACONSOLIDADA[Bodega]&amp;TABLACONSOLIDADA[Codigo],0)),"")</f>
        <v/>
      </c>
      <c r="AE340" s="157" t="str">
        <f t="array" ref="AE34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4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40" s="91">
        <f>IFERROR(SUM(Tabla_Buffers_Agroinsumos[[#This Row],[C-MP]:[C-VL]]),"")</f>
        <v>0</v>
      </c>
      <c r="AH340" s="92" t="str">
        <f>IFERROR(Tabla_Buffers_Agroinsumos[[#This Row],[INV FIS CENTRAL]]-Tabla_Buffers_Agroinsumos[[#This Row],[BUFFER CENTRAL]],"")</f>
        <v/>
      </c>
      <c r="AI34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40" s="134"/>
      <c r="AK340" s="134"/>
      <c r="AL340" s="134"/>
      <c r="AM340" s="134"/>
      <c r="AN340" s="134"/>
      <c r="AO340" s="134"/>
      <c r="AP340" s="134"/>
      <c r="AQ340" s="134"/>
      <c r="AR340" s="134"/>
      <c r="AS340" s="134" t="str">
        <f t="array" ref="AS340">IFERROR(INDEX(TABLACONSOLIDADA[Buff Act],MATCH("AGROINSUMOScentralPROPIA"&amp;Tabla_Buffers_Agroinsumos[[#This Row],[CODIGO ]],TABLACONSOLIDADA[Bodega]&amp;TABLACONSOLIDADA[Codigo],0)),"")</f>
        <v/>
      </c>
      <c r="AT340" s="157" t="str">
        <f t="array" ref="AT340">IFERROR(INDEX(TABLACONSOLIDADA[Inv Fís Act],MATCH("AGROINSUMOScentralPROPIA"&amp;Tabla_Buffers_Agroinsumos[[#This Row],[CODIGO ]],TABLACONSOLIDADA[Bodega]&amp;TABLACONSOLIDADA[Codigo],0)),"")</f>
        <v/>
      </c>
      <c r="AU340" s="157" t="str">
        <f t="array" ref="AU34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4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40" s="134">
        <f>IFERROR(SUM(Tabla_Buffers_Agroinsumos[[#This Row],[P-MP]:[P-VL]]),"")</f>
        <v>0</v>
      </c>
      <c r="AX340" s="92" t="str">
        <f>IFERROR(Tabla_Buffers_Agroinsumos[[#This Row],[INV FIS PROPIA]]-Tabla_Buffers_Agroinsumos[[#This Row],[BUFFER PROPIA]],"")</f>
        <v/>
      </c>
      <c r="AY34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40" s="134"/>
      <c r="BA340" s="134"/>
      <c r="BB340" s="134"/>
      <c r="BC340" s="134"/>
      <c r="BD340" s="134"/>
      <c r="BE340" s="134"/>
      <c r="BF340" s="134"/>
      <c r="BG340" s="134"/>
      <c r="BH340" s="134"/>
      <c r="BI340" s="91" t="str">
        <f t="array" ref="BI340">IFERROR(INDEX(TABLACONSOLIDADA[Buff Act],MATCH("AGROINSUMOSSTODOMINGO"&amp;Tabla_Buffers_Agroinsumos[[#This Row],[CODIGO ]],TABLACONSOLIDADA[Bodega]&amp;TABLACONSOLIDADA[Codigo],0)),"")</f>
        <v/>
      </c>
      <c r="BJ340" s="157" t="str">
        <f t="array" ref="BJ340">IFERROR(INDEX(TABLACONSOLIDADA[Inv Fís Act],MATCH("AGROINSUMOSSTODOMINGO"&amp;Tabla_Buffers_Agroinsumos[[#This Row],[CODIGO ]],TABLACONSOLIDADA[Bodega]&amp;TABLACONSOLIDADA[Codigo],0)),"")</f>
        <v/>
      </c>
      <c r="BK340" s="157" t="str">
        <f t="array" ref="BK34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4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40" s="91">
        <f>IFERROR(SUM(Tabla_Buffers_Agroinsumos[[#This Row],[SD-MP]:[SD-VL]]),"")</f>
        <v>0</v>
      </c>
      <c r="BN340" s="92"/>
      <c r="BO340" s="92"/>
      <c r="BP340" s="134"/>
      <c r="BQ340" s="134"/>
      <c r="BR340" s="134"/>
      <c r="BS340" s="134"/>
      <c r="BT340" s="134"/>
      <c r="BU340" s="134"/>
      <c r="BV340" s="134"/>
      <c r="BW340" s="134"/>
      <c r="BX340" s="134"/>
      <c r="BY340" s="134" t="str">
        <f t="array" ref="BY340">IFERROR(INDEX(TABLACONSOLIDADA[Buff Act],MATCH("AGROINSUMOSMONCAYOLOPEZ"&amp;Tabla_Buffers_Agroinsumos[[#This Row],[CODIGO ]],TABLACONSOLIDADA[Bodega]&amp;TABLACONSOLIDADA[Codigo],0)),"")</f>
        <v/>
      </c>
      <c r="BZ340" s="157" t="str">
        <f t="array" ref="BZ340">IFERROR(INDEX(TABLACONSOLIDADA[Inv Fís Act],MATCH("AGROINSUMOSMONCAYOLOPEZ"&amp;Tabla_Buffers_Agroinsumos[[#This Row],[CODIGO ]],TABLACONSOLIDADA[Bodega]&amp;TABLACONSOLIDADA[Codigo],0)),"")</f>
        <v/>
      </c>
      <c r="CA340" s="157" t="str">
        <f t="array" ref="CA34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4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40" s="134">
        <f>IFERROR(SUM(Tabla_Buffers_Agroinsumos[[#This Row],[ML-MP]:[ML-VL]]),"")</f>
        <v>0</v>
      </c>
      <c r="CD340" s="92" t="str">
        <f>IFERROR(Tabla_Buffers_Agroinsumos[[#This Row],[INV FIS ML]]-Tabla_Buffers_Agroinsumos[[#This Row],[BUFFER ML]],"")</f>
        <v/>
      </c>
      <c r="CE34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40" s="134"/>
      <c r="CG340" s="134"/>
      <c r="CH340" s="134"/>
      <c r="CI340" s="134"/>
      <c r="CJ340" s="134"/>
      <c r="CK340" s="134"/>
      <c r="CL340" s="134"/>
      <c r="CM340" s="134"/>
      <c r="CN340" s="134"/>
      <c r="CO340" s="134" t="str">
        <f t="array" ref="CO340">IFERROR(INDEX(TABLACONSOLIDADA[Buff Act],MATCH("AGROINSUMOSAGROHERMANOSLEON"&amp;Tabla_Buffers_Agroinsumos[[#This Row],[CODIGO ]],TABLACONSOLIDADA[Bodega]&amp;TABLACONSOLIDADA[Codigo],0)),"")</f>
        <v/>
      </c>
      <c r="CP340" s="157" t="str">
        <f t="array" ref="CP340">IFERROR(INDEX(TABLACONSOLIDADA[Inv Fís Act],MATCH("AGROINSUMOSAGROHERMANOSLEON"&amp;Tabla_Buffers_Agroinsumos[[#This Row],[CODIGO ]],TABLACONSOLIDADA[Bodega]&amp;TABLACONSOLIDADA[Codigo],0)),"")</f>
        <v/>
      </c>
      <c r="CQ340" s="157" t="str">
        <f t="array" ref="CQ34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4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40" s="134">
        <f>IFERROR(SUM(Tabla_Buffers_Agroinsumos[[#This Row],[AL-MP]:[AL-VL]]),"")</f>
        <v>0</v>
      </c>
      <c r="CT340" s="92" t="str">
        <f>IFERROR(Tabla_Buffers_Agroinsumos[[#This Row],[INV FIS AL]]-Tabla_Buffers_Agroinsumos[[#This Row],[BUFFER AL]],"")</f>
        <v/>
      </c>
      <c r="CU34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40" s="134"/>
      <c r="CW340" s="134"/>
      <c r="CX340" s="134"/>
      <c r="CY340" s="134"/>
      <c r="CZ340" s="134"/>
      <c r="DA340" s="134"/>
      <c r="DB340" s="134"/>
      <c r="DC340" s="134"/>
      <c r="DD340" s="134"/>
      <c r="DE340" s="134" t="str">
        <f t="array" ref="DE340">IFERROR(INDEX(TABLACONSOLIDADA[Buff Act],MATCH("AGROINSUMOSAGRONUEVO"&amp;Tabla_Buffers_Agroinsumos[[#This Row],[CODIGO ]],TABLACONSOLIDADA[Bodega]&amp;TABLACONSOLIDADA[Codigo],0)),"")</f>
        <v/>
      </c>
      <c r="DF340" s="157" t="str">
        <f t="array" ref="DF340">IFERROR(INDEX(TABLACONSOLIDADA[Inv Fís Act],MATCH("AGROINSUMOSAGRONUEVO"&amp;Tabla_Buffers_Agroinsumos[[#This Row],[CODIGO ]],TABLACONSOLIDADA[Bodega]&amp;TABLACONSOLIDADA[Codigo],0)),"")</f>
        <v/>
      </c>
      <c r="DG340" s="157" t="str">
        <f t="array" ref="DG34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4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40" s="134">
        <f>IFERROR(SUM(Tabla_Buffers_Agroinsumos[[#This Row],[AN-MP]:[AN-VL]]),"")</f>
        <v>0</v>
      </c>
      <c r="DJ340" s="92" t="str">
        <f>IFERROR(Tabla_Buffers_Agroinsumos[[#This Row],[INV FIS AN]]-Tabla_Buffers_Agroinsumos[[#This Row],[BUFFER AN]],"")</f>
        <v/>
      </c>
      <c r="DK34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40" s="134"/>
      <c r="DM340" s="134"/>
      <c r="DN340" s="134"/>
      <c r="DO340" s="134"/>
      <c r="DP340" s="134"/>
      <c r="DQ340" s="134"/>
      <c r="DR340" s="134"/>
      <c r="DS340" s="134"/>
      <c r="DT340" s="134"/>
      <c r="DU340" s="134" t="str">
        <f t="array" ref="DU340">IFERROR(INDEX(TABLACONSOLIDADA[Buff Act],MATCH("AGROINSUMOSAGROQUIMICOSSUR"&amp;Tabla_Buffers_Agroinsumos[[#This Row],[CODIGO ]],TABLACONSOLIDADA[Bodega]&amp;TABLACONSOLIDADA[Codigo],0)),"")</f>
        <v/>
      </c>
      <c r="DV340" s="157" t="str">
        <f t="array" ref="DV340">IFERROR(INDEX(TABLACONSOLIDADA[Inv Fís Act],MATCH("AGROINSUMOSAGROQUIMICOSSUR"&amp;Tabla_Buffers_Agroinsumos[[#This Row],[CODIGO ]],TABLACONSOLIDADA[Bodega]&amp;TABLACONSOLIDADA[Codigo],0)),"")</f>
        <v/>
      </c>
      <c r="DW340" s="157" t="str">
        <f t="array" ref="DW34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4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40" s="134">
        <f>IFERROR(SUM(Tabla_Buffers_Agroinsumos[[#This Row],[AS-MP]:[AS-VL]]),"")</f>
        <v>0</v>
      </c>
      <c r="DZ340" s="92" t="str">
        <f>IFERROR(Tabla_Buffers_Agroinsumos[[#This Row],[INV FIS AS]]-Tabla_Buffers_Agroinsumos[[#This Row],[BUFFER AS]],"")</f>
        <v/>
      </c>
      <c r="EA34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40" s="134"/>
      <c r="EC340" s="134"/>
      <c r="ED340" s="134"/>
      <c r="EE340" s="134"/>
      <c r="EF340" s="134"/>
      <c r="EG340" s="134"/>
      <c r="EH340" s="134"/>
      <c r="EI340" s="134"/>
      <c r="EJ340" s="134"/>
      <c r="EK340" s="134" t="str">
        <f t="array" ref="EK340">IFERROR(INDEX(TABLACONSOLIDADA[Buff Act],MATCH("AGROINSUMOSLAFINCA"&amp;Tabla_Buffers_Agroinsumos[[#This Row],[CODIGO ]],TABLACONSOLIDADA[Bodega]&amp;TABLACONSOLIDADA[Codigo],0)),"")</f>
        <v/>
      </c>
      <c r="EL340" s="157" t="str">
        <f t="array" ref="EL340">IFERROR(INDEX(TABLACONSOLIDADA[Inv Fís Act],MATCH("AGROINSUMOSLAFINCA"&amp;Tabla_Buffers_Agroinsumos[[#This Row],[CODIGO ]],TABLACONSOLIDADA[Bodega]&amp;TABLACONSOLIDADA[Codigo],0)),"")</f>
        <v/>
      </c>
      <c r="EM340" s="157" t="str">
        <f t="array" ref="EM34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4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40" s="134">
        <f>IFERROR(SUM(Tabla_Buffers_Agroinsumos[[#This Row],[LF-MP]:[LF-VL]]),"")</f>
        <v>0</v>
      </c>
      <c r="EP340" s="92" t="str">
        <f>IFERROR(Tabla_Buffers_Agroinsumos[[#This Row],[INV FIS LF]]-Tabla_Buffers_Agroinsumos[[#This Row],[BUFFER LF]],"")</f>
        <v/>
      </c>
      <c r="EQ34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40" s="134"/>
      <c r="ES340" s="134"/>
      <c r="ET340" s="134"/>
      <c r="EU340" s="134"/>
      <c r="EV340" s="134"/>
      <c r="EW340" s="134"/>
      <c r="EX340" s="134"/>
      <c r="EY340" s="134"/>
      <c r="EZ340" s="134"/>
      <c r="FA340" s="134" t="str">
        <f t="array" ref="FA340">IFERROR(INDEX(TABLACONSOLIDADA[Buff Act],MATCH("AGROINSUMOSVERONICALEDESMA"&amp;Tabla_Buffers_Agroinsumos[[#This Row],[CODIGO ]],TABLACONSOLIDADA[Bodega]&amp;TABLACONSOLIDADA[Codigo],0)),"")</f>
        <v/>
      </c>
      <c r="FB340" s="157" t="str">
        <f t="array" ref="FB340">IFERROR(INDEX(TABLACONSOLIDADA[Inv Fís Act],MATCH("AGROINSUMOSVERONICALEDESMA"&amp;Tabla_Buffers_Agroinsumos[[#This Row],[CODIGO ]],TABLACONSOLIDADA[Bodega]&amp;TABLACONSOLIDADA[Codigo],0)),"")</f>
        <v/>
      </c>
      <c r="FC340" s="157" t="str">
        <f t="array" ref="FC34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4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40" s="134">
        <f>IFERROR(SUM(Tabla_Buffers_Agroinsumos[[#This Row],[VL-MP]:[VL-LF]]),"")</f>
        <v>0</v>
      </c>
      <c r="FF340" s="92" t="str">
        <f>IFERROR(Tabla_Buffers_Agroinsumos[[#This Row],[INV FIS VL]]-Tabla_Buffers_Agroinsumos[[#This Row],[BUFFER VL]],"")</f>
        <v/>
      </c>
      <c r="FG34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40" s="134"/>
      <c r="FI340" s="134"/>
      <c r="FJ340" s="134"/>
      <c r="FK340" s="134"/>
      <c r="FL340" s="134"/>
      <c r="FM340" s="134"/>
      <c r="FN340" s="134"/>
      <c r="FO340" s="134"/>
      <c r="FP340" s="134"/>
    </row>
    <row r="341" spans="1:172">
      <c r="A341" s="7" t="s">
        <v>576</v>
      </c>
      <c r="B341" s="7" t="s">
        <v>577</v>
      </c>
      <c r="C341" s="7" t="s">
        <v>709</v>
      </c>
      <c r="D341" s="7" t="s">
        <v>715</v>
      </c>
      <c r="E341" s="7" t="s">
        <v>975</v>
      </c>
      <c r="F341" s="19" t="s">
        <v>698</v>
      </c>
      <c r="G341" s="19" t="s">
        <v>698</v>
      </c>
      <c r="H341" s="19">
        <f>VLOOKUP(Tabla_Buffers_Agroinsumos[[#This Row],[CODIGO ]],TABLACONSOLIDADA[[Codigo]:[PV]],6,0)</f>
        <v>0</v>
      </c>
      <c r="I341" s="19">
        <f>VLOOKUP(Tabla_Buffers_Agroinsumos[[#This Row],[CODIGO ]],TABLACONSOLIDADA[[Codigo]:[PV]],5,0)</f>
        <v>0.97</v>
      </c>
      <c r="J341" s="19" t="s">
        <v>698</v>
      </c>
      <c r="K341" s="19" t="s">
        <v>698</v>
      </c>
      <c r="L341" s="19">
        <f>IFERROR(Tabla_Buffers_Agroinsumos[[#This Row],[BUFFER CENTRAL]]/((Tabla_Buffers_Agroinsumos[[#This Row],[TIEMPO REPOSICION ]]/Tabla_Buffers_Agroinsumos[[#This Row],[FRECUENCIA]])+1),0)</f>
        <v>0</v>
      </c>
      <c r="M341" s="19" t="str">
        <f t="array" ref="M341">IFERROR(INDEX(TABLACONSOLIDADA[Buff Act],MATCH("AGROINSUMOSMATERIAPRIMA"&amp;Tabla_Buffers_Agroinsumos[[#This Row],[CODIGO ]],TABLACONSOLIDADA[Bodega]&amp;TABLACONSOLIDADA[Codigo],0)),"")</f>
        <v/>
      </c>
      <c r="N341" s="157" t="str">
        <f t="array" ref="N341">IFERROR(INDEX(TABLACONSOLIDADA[Inv Fís Act],MATCH("AGROINSUMOSMATERIAPRIMA"&amp;Tabla_Buffers_Agroinsumos[[#This Row],[CODIGO ]],TABLACONSOLIDADA[Bodega]&amp;TABLACONSOLIDADA[Codigo],0)),"")</f>
        <v/>
      </c>
      <c r="O341" s="157" t="str">
        <f t="array" ref="O34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4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41" s="19">
        <f>IFERROR(SUM(Tabla_Buffers_Agroinsumos[[#This Row],[MP-C]:[MP-VL]]),"")</f>
        <v>0</v>
      </c>
      <c r="R341" s="92" t="str">
        <f>IFERROR(Tabla_Buffers_Agroinsumos[[#This Row],[INV FIS MATERIA PRIMA]]-Tabla_Buffers_Agroinsumos[[#This Row],[BUFFER MATERIA PRIMA]],"")</f>
        <v/>
      </c>
      <c r="S34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41" s="19"/>
      <c r="U341" s="19"/>
      <c r="V341" s="19"/>
      <c r="W341" s="19"/>
      <c r="X341" s="19"/>
      <c r="Y341" s="19"/>
      <c r="Z341" s="19"/>
      <c r="AA341" s="19"/>
      <c r="AB341" s="19"/>
      <c r="AC341" s="152">
        <f t="array" ref="AC341">IFERROR(INDEX(TABLACONSOLIDADA[Buff Act],MATCH("AGROINSUMOSCENTRAL"&amp;Tabla_Buffers_Agroinsumos[[#This Row],[CODIGO ]],TABLACONSOLIDADA[Bodega]&amp;TABLACONSOLIDADA[Codigo],0)),"")</f>
        <v>0</v>
      </c>
      <c r="AD341" s="157">
        <f t="array" ref="AD341">IFERROR(INDEX(TABLACONSOLIDADA[Inv Fís Act],MATCH("AGROINSUMOSCENTRAL"&amp;Tabla_Buffers_Agroinsumos[[#This Row],[CODIGO ]],TABLACONSOLIDADA[Bodega]&amp;TABLACONSOLIDADA[Codigo],0)),"")</f>
        <v>0</v>
      </c>
      <c r="AE341" s="157">
        <f t="array" ref="AE34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4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41" s="91">
        <f>IFERROR(SUM(Tabla_Buffers_Agroinsumos[[#This Row],[C-MP]:[C-VL]]),"")</f>
        <v>0</v>
      </c>
      <c r="AH341" s="92">
        <f>IFERROR(Tabla_Buffers_Agroinsumos[[#This Row],[INV FIS CENTRAL]]-Tabla_Buffers_Agroinsumos[[#This Row],[BUFFER CENTRAL]],"")</f>
        <v>0</v>
      </c>
      <c r="AI34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41" s="134"/>
      <c r="AK341" s="134"/>
      <c r="AL341" s="134"/>
      <c r="AM341" s="134"/>
      <c r="AN341" s="134"/>
      <c r="AO341" s="134"/>
      <c r="AP341" s="134"/>
      <c r="AQ341" s="134"/>
      <c r="AR341" s="134"/>
      <c r="AS341" s="134">
        <f t="array" ref="AS341">IFERROR(INDEX(TABLACONSOLIDADA[Buff Act],MATCH("AGROINSUMOScentralPROPIA"&amp;Tabla_Buffers_Agroinsumos[[#This Row],[CODIGO ]],TABLACONSOLIDADA[Bodega]&amp;TABLACONSOLIDADA[Codigo],0)),"")</f>
        <v>0</v>
      </c>
      <c r="AT341" s="157">
        <f t="array" ref="AT341">IFERROR(INDEX(TABLACONSOLIDADA[Inv Fís Act],MATCH("AGROINSUMOScentralPROPIA"&amp;Tabla_Buffers_Agroinsumos[[#This Row],[CODIGO ]],TABLACONSOLIDADA[Bodega]&amp;TABLACONSOLIDADA[Codigo],0)),"")</f>
        <v>0</v>
      </c>
      <c r="AU341" s="157">
        <f t="array" ref="AU34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4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41" s="134">
        <f>IFERROR(SUM(Tabla_Buffers_Agroinsumos[[#This Row],[P-MP]:[P-VL]]),"")</f>
        <v>0</v>
      </c>
      <c r="AX341" s="92">
        <f>IFERROR(Tabla_Buffers_Agroinsumos[[#This Row],[INV FIS PROPIA]]-Tabla_Buffers_Agroinsumos[[#This Row],[BUFFER PROPIA]],"")</f>
        <v>0</v>
      </c>
      <c r="AY34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41" s="134"/>
      <c r="BA341" s="134"/>
      <c r="BB341" s="134"/>
      <c r="BC341" s="134"/>
      <c r="BD341" s="134"/>
      <c r="BE341" s="134"/>
      <c r="BF341" s="134"/>
      <c r="BG341" s="134"/>
      <c r="BH341" s="134"/>
      <c r="BI341" s="91">
        <f t="array" ref="BI341">IFERROR(INDEX(TABLACONSOLIDADA[Buff Act],MATCH("AGROINSUMOSSTODOMINGO"&amp;Tabla_Buffers_Agroinsumos[[#This Row],[CODIGO ]],TABLACONSOLIDADA[Bodega]&amp;TABLACONSOLIDADA[Codigo],0)),"")</f>
        <v>0</v>
      </c>
      <c r="BJ341" s="157">
        <f t="array" ref="BJ341">IFERROR(INDEX(TABLACONSOLIDADA[Inv Fís Act],MATCH("AGROINSUMOSSTODOMINGO"&amp;Tabla_Buffers_Agroinsumos[[#This Row],[CODIGO ]],TABLACONSOLIDADA[Bodega]&amp;TABLACONSOLIDADA[Codigo],0)),"")</f>
        <v>0</v>
      </c>
      <c r="BK341" s="157">
        <f t="array" ref="BK34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4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41" s="91">
        <f>IFERROR(SUM(Tabla_Buffers_Agroinsumos[[#This Row],[SD-MP]:[SD-VL]]),"")</f>
        <v>0</v>
      </c>
      <c r="BN341" s="92"/>
      <c r="BO341" s="92"/>
      <c r="BP341" s="134"/>
      <c r="BQ341" s="134"/>
      <c r="BR341" s="134"/>
      <c r="BS341" s="134"/>
      <c r="BT341" s="134"/>
      <c r="BU341" s="134"/>
      <c r="BV341" s="134"/>
      <c r="BW341" s="134"/>
      <c r="BX341" s="134"/>
      <c r="BY341" s="134">
        <f t="array" ref="BY341">IFERROR(INDEX(TABLACONSOLIDADA[Buff Act],MATCH("AGROINSUMOSMONCAYOLOPEZ"&amp;Tabla_Buffers_Agroinsumos[[#This Row],[CODIGO ]],TABLACONSOLIDADA[Bodega]&amp;TABLACONSOLIDADA[Codigo],0)),"")</f>
        <v>0</v>
      </c>
      <c r="BZ341" s="157">
        <f t="array" ref="BZ341">IFERROR(INDEX(TABLACONSOLIDADA[Inv Fís Act],MATCH("AGROINSUMOSMONCAYOLOPEZ"&amp;Tabla_Buffers_Agroinsumos[[#This Row],[CODIGO ]],TABLACONSOLIDADA[Bodega]&amp;TABLACONSOLIDADA[Codigo],0)),"")</f>
        <v>0</v>
      </c>
      <c r="CA341" s="157">
        <f t="array" ref="CA34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4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41" s="134">
        <f>IFERROR(SUM(Tabla_Buffers_Agroinsumos[[#This Row],[ML-MP]:[ML-VL]]),"")</f>
        <v>0</v>
      </c>
      <c r="CD341" s="92">
        <f>IFERROR(Tabla_Buffers_Agroinsumos[[#This Row],[INV FIS ML]]-Tabla_Buffers_Agroinsumos[[#This Row],[BUFFER ML]],"")</f>
        <v>0</v>
      </c>
      <c r="CE341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41" s="134"/>
      <c r="CG341" s="134"/>
      <c r="CH341" s="134"/>
      <c r="CI341" s="134"/>
      <c r="CJ341" s="134"/>
      <c r="CK341" s="134"/>
      <c r="CL341" s="134"/>
      <c r="CM341" s="134"/>
      <c r="CN341" s="134"/>
      <c r="CO341" s="134">
        <f t="array" ref="CO341">IFERROR(INDEX(TABLACONSOLIDADA[Buff Act],MATCH("AGROINSUMOSAGROHERMANOSLEON"&amp;Tabla_Buffers_Agroinsumos[[#This Row],[CODIGO ]],TABLACONSOLIDADA[Bodega]&amp;TABLACONSOLIDADA[Codigo],0)),"")</f>
        <v>0</v>
      </c>
      <c r="CP341" s="157">
        <f t="array" ref="CP341">IFERROR(INDEX(TABLACONSOLIDADA[Inv Fís Act],MATCH("AGROINSUMOSAGROHERMANOSLEON"&amp;Tabla_Buffers_Agroinsumos[[#This Row],[CODIGO ]],TABLACONSOLIDADA[Bodega]&amp;TABLACONSOLIDADA[Codigo],0)),"")</f>
        <v>0</v>
      </c>
      <c r="CQ341" s="157">
        <f t="array" ref="CQ34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4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41" s="134">
        <f>IFERROR(SUM(Tabla_Buffers_Agroinsumos[[#This Row],[AL-MP]:[AL-VL]]),"")</f>
        <v>0</v>
      </c>
      <c r="CT341" s="92">
        <f>IFERROR(Tabla_Buffers_Agroinsumos[[#This Row],[INV FIS AL]]-Tabla_Buffers_Agroinsumos[[#This Row],[BUFFER AL]],"")</f>
        <v>0</v>
      </c>
      <c r="CU341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41" s="134"/>
      <c r="CW341" s="134"/>
      <c r="CX341" s="134"/>
      <c r="CY341" s="134"/>
      <c r="CZ341" s="134"/>
      <c r="DA341" s="134"/>
      <c r="DB341" s="134"/>
      <c r="DC341" s="134"/>
      <c r="DD341" s="134"/>
      <c r="DE341" s="134">
        <f t="array" ref="DE341">IFERROR(INDEX(TABLACONSOLIDADA[Buff Act],MATCH("AGROINSUMOSAGRONUEVO"&amp;Tabla_Buffers_Agroinsumos[[#This Row],[CODIGO ]],TABLACONSOLIDADA[Bodega]&amp;TABLACONSOLIDADA[Codigo],0)),"")</f>
        <v>0</v>
      </c>
      <c r="DF341" s="157">
        <f t="array" ref="DF341">IFERROR(INDEX(TABLACONSOLIDADA[Inv Fís Act],MATCH("AGROINSUMOSAGRONUEVO"&amp;Tabla_Buffers_Agroinsumos[[#This Row],[CODIGO ]],TABLACONSOLIDADA[Bodega]&amp;TABLACONSOLIDADA[Codigo],0)),"")</f>
        <v>0</v>
      </c>
      <c r="DG341" s="157">
        <f t="array" ref="DG34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4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41" s="134">
        <f>IFERROR(SUM(Tabla_Buffers_Agroinsumos[[#This Row],[AN-MP]:[AN-VL]]),"")</f>
        <v>0</v>
      </c>
      <c r="DJ341" s="92">
        <f>IFERROR(Tabla_Buffers_Agroinsumos[[#This Row],[INV FIS AN]]-Tabla_Buffers_Agroinsumos[[#This Row],[BUFFER AN]],"")</f>
        <v>0</v>
      </c>
      <c r="DK341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41" s="134"/>
      <c r="DM341" s="134"/>
      <c r="DN341" s="134"/>
      <c r="DO341" s="134"/>
      <c r="DP341" s="134"/>
      <c r="DQ341" s="134"/>
      <c r="DR341" s="134"/>
      <c r="DS341" s="134"/>
      <c r="DT341" s="134"/>
      <c r="DU341" s="134">
        <f t="array" ref="DU341">IFERROR(INDEX(TABLACONSOLIDADA[Buff Act],MATCH("AGROINSUMOSAGROQUIMICOSSUR"&amp;Tabla_Buffers_Agroinsumos[[#This Row],[CODIGO ]],TABLACONSOLIDADA[Bodega]&amp;TABLACONSOLIDADA[Codigo],0)),"")</f>
        <v>0</v>
      </c>
      <c r="DV341" s="157">
        <f t="array" ref="DV341">IFERROR(INDEX(TABLACONSOLIDADA[Inv Fís Act],MATCH("AGROINSUMOSAGROQUIMICOSSUR"&amp;Tabla_Buffers_Agroinsumos[[#This Row],[CODIGO ]],TABLACONSOLIDADA[Bodega]&amp;TABLACONSOLIDADA[Codigo],0)),"")</f>
        <v>0</v>
      </c>
      <c r="DW341" s="157">
        <f t="array" ref="DW34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4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41" s="134">
        <f>IFERROR(SUM(Tabla_Buffers_Agroinsumos[[#This Row],[AS-MP]:[AS-VL]]),"")</f>
        <v>0</v>
      </c>
      <c r="DZ341" s="92">
        <f>IFERROR(Tabla_Buffers_Agroinsumos[[#This Row],[INV FIS AS]]-Tabla_Buffers_Agroinsumos[[#This Row],[BUFFER AS]],"")</f>
        <v>0</v>
      </c>
      <c r="EA341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41" s="134"/>
      <c r="EC341" s="134"/>
      <c r="ED341" s="134"/>
      <c r="EE341" s="134"/>
      <c r="EF341" s="134"/>
      <c r="EG341" s="134"/>
      <c r="EH341" s="134"/>
      <c r="EI341" s="134"/>
      <c r="EJ341" s="134"/>
      <c r="EK341" s="134">
        <f t="array" ref="EK341">IFERROR(INDEX(TABLACONSOLIDADA[Buff Act],MATCH("AGROINSUMOSLAFINCA"&amp;Tabla_Buffers_Agroinsumos[[#This Row],[CODIGO ]],TABLACONSOLIDADA[Bodega]&amp;TABLACONSOLIDADA[Codigo],0)),"")</f>
        <v>0</v>
      </c>
      <c r="EL341" s="157">
        <f t="array" ref="EL341">IFERROR(INDEX(TABLACONSOLIDADA[Inv Fís Act],MATCH("AGROINSUMOSLAFINCA"&amp;Tabla_Buffers_Agroinsumos[[#This Row],[CODIGO ]],TABLACONSOLIDADA[Bodega]&amp;TABLACONSOLIDADA[Codigo],0)),"")</f>
        <v>0</v>
      </c>
      <c r="EM341" s="157">
        <f t="array" ref="EM34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4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41" s="134">
        <f>IFERROR(SUM(Tabla_Buffers_Agroinsumos[[#This Row],[LF-MP]:[LF-VL]]),"")</f>
        <v>0</v>
      </c>
      <c r="EP341" s="92">
        <f>IFERROR(Tabla_Buffers_Agroinsumos[[#This Row],[INV FIS LF]]-Tabla_Buffers_Agroinsumos[[#This Row],[BUFFER LF]],"")</f>
        <v>0</v>
      </c>
      <c r="EQ341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41" s="134"/>
      <c r="ES341" s="134"/>
      <c r="ET341" s="134"/>
      <c r="EU341" s="134"/>
      <c r="EV341" s="134"/>
      <c r="EW341" s="134"/>
      <c r="EX341" s="134"/>
      <c r="EY341" s="134"/>
      <c r="EZ341" s="134"/>
      <c r="FA341" s="134">
        <f t="array" ref="FA341">IFERROR(INDEX(TABLACONSOLIDADA[Buff Act],MATCH("AGROINSUMOSVERONICALEDESMA"&amp;Tabla_Buffers_Agroinsumos[[#This Row],[CODIGO ]],TABLACONSOLIDADA[Bodega]&amp;TABLACONSOLIDADA[Codigo],0)),"")</f>
        <v>0</v>
      </c>
      <c r="FB341" s="157">
        <f t="array" ref="FB341">IFERROR(INDEX(TABLACONSOLIDADA[Inv Fís Act],MATCH("AGROINSUMOSVERONICALEDESMA"&amp;Tabla_Buffers_Agroinsumos[[#This Row],[CODIGO ]],TABLACONSOLIDADA[Bodega]&amp;TABLACONSOLIDADA[Codigo],0)),"")</f>
        <v>0</v>
      </c>
      <c r="FC341" s="157">
        <f t="array" ref="FC34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4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41" s="134">
        <f>IFERROR(SUM(Tabla_Buffers_Agroinsumos[[#This Row],[VL-MP]:[VL-LF]]),"")</f>
        <v>0</v>
      </c>
      <c r="FF341" s="92">
        <f>IFERROR(Tabla_Buffers_Agroinsumos[[#This Row],[INV FIS VL]]-Tabla_Buffers_Agroinsumos[[#This Row],[BUFFER VL]],"")</f>
        <v>0</v>
      </c>
      <c r="FG341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41" s="134"/>
      <c r="FI341" s="134"/>
      <c r="FJ341" s="134"/>
      <c r="FK341" s="134"/>
      <c r="FL341" s="134"/>
      <c r="FM341" s="134"/>
      <c r="FN341" s="134"/>
      <c r="FO341" s="134"/>
      <c r="FP341" s="134"/>
    </row>
    <row r="342" spans="1:172">
      <c r="A342" s="7" t="s">
        <v>578</v>
      </c>
      <c r="B342" s="7" t="s">
        <v>579</v>
      </c>
      <c r="C342" s="7" t="s">
        <v>709</v>
      </c>
      <c r="D342" s="7" t="s">
        <v>715</v>
      </c>
      <c r="E342" s="7" t="s">
        <v>975</v>
      </c>
      <c r="F342" s="19" t="s">
        <v>698</v>
      </c>
      <c r="G342" s="19" t="s">
        <v>698</v>
      </c>
      <c r="H342" s="19">
        <f>VLOOKUP(Tabla_Buffers_Agroinsumos[[#This Row],[CODIGO ]],TABLACONSOLIDADA[[Codigo]:[PV]],6,0)</f>
        <v>0</v>
      </c>
      <c r="I342" s="19">
        <f>VLOOKUP(Tabla_Buffers_Agroinsumos[[#This Row],[CODIGO ]],TABLACONSOLIDADA[[Codigo]:[PV]],5,0)</f>
        <v>2.3199999999999998</v>
      </c>
      <c r="J342" s="19" t="s">
        <v>698</v>
      </c>
      <c r="K342" s="19" t="s">
        <v>698</v>
      </c>
      <c r="L342" s="19">
        <f>IFERROR(Tabla_Buffers_Agroinsumos[[#This Row],[BUFFER CENTRAL]]/((Tabla_Buffers_Agroinsumos[[#This Row],[TIEMPO REPOSICION ]]/Tabla_Buffers_Agroinsumos[[#This Row],[FRECUENCIA]])+1),0)</f>
        <v>0</v>
      </c>
      <c r="M342" s="19" t="str">
        <f t="array" ref="M342">IFERROR(INDEX(TABLACONSOLIDADA[Buff Act],MATCH("AGROINSUMOSMATERIAPRIMA"&amp;Tabla_Buffers_Agroinsumos[[#This Row],[CODIGO ]],TABLACONSOLIDADA[Bodega]&amp;TABLACONSOLIDADA[Codigo],0)),"")</f>
        <v/>
      </c>
      <c r="N342" s="157" t="str">
        <f t="array" ref="N342">IFERROR(INDEX(TABLACONSOLIDADA[Inv Fís Act],MATCH("AGROINSUMOSMATERIAPRIMA"&amp;Tabla_Buffers_Agroinsumos[[#This Row],[CODIGO ]],TABLACONSOLIDADA[Bodega]&amp;TABLACONSOLIDADA[Codigo],0)),"")</f>
        <v/>
      </c>
      <c r="O342" s="157" t="str">
        <f t="array" ref="O34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4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42" s="19">
        <f>IFERROR(SUM(Tabla_Buffers_Agroinsumos[[#This Row],[MP-C]:[MP-VL]]),"")</f>
        <v>0</v>
      </c>
      <c r="R342" s="92" t="str">
        <f>IFERROR(Tabla_Buffers_Agroinsumos[[#This Row],[INV FIS MATERIA PRIMA]]-Tabla_Buffers_Agroinsumos[[#This Row],[BUFFER MATERIA PRIMA]],"")</f>
        <v/>
      </c>
      <c r="S342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42" s="19"/>
      <c r="U342" s="19"/>
      <c r="V342" s="19"/>
      <c r="W342" s="19"/>
      <c r="X342" s="19"/>
      <c r="Y342" s="19"/>
      <c r="Z342" s="19"/>
      <c r="AA342" s="19"/>
      <c r="AB342" s="19"/>
      <c r="AC342" s="152">
        <f t="array" ref="AC342">IFERROR(INDEX(TABLACONSOLIDADA[Buff Act],MATCH("AGROINSUMOSCENTRAL"&amp;Tabla_Buffers_Agroinsumos[[#This Row],[CODIGO ]],TABLACONSOLIDADA[Bodega]&amp;TABLACONSOLIDADA[Codigo],0)),"")</f>
        <v>0</v>
      </c>
      <c r="AD342" s="157">
        <f t="array" ref="AD342">IFERROR(INDEX(TABLACONSOLIDADA[Inv Fís Act],MATCH("AGROINSUMOSCENTRAL"&amp;Tabla_Buffers_Agroinsumos[[#This Row],[CODIGO ]],TABLACONSOLIDADA[Bodega]&amp;TABLACONSOLIDADA[Codigo],0)),"")</f>
        <v>0</v>
      </c>
      <c r="AE342" s="157">
        <f t="array" ref="AE34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4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42" s="91">
        <f>IFERROR(SUM(Tabla_Buffers_Agroinsumos[[#This Row],[C-MP]:[C-VL]]),"")</f>
        <v>0</v>
      </c>
      <c r="AH342" s="92">
        <f>IFERROR(Tabla_Buffers_Agroinsumos[[#This Row],[INV FIS CENTRAL]]-Tabla_Buffers_Agroinsumos[[#This Row],[BUFFER CENTRAL]],"")</f>
        <v>0</v>
      </c>
      <c r="AI342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42" s="134"/>
      <c r="AK342" s="134"/>
      <c r="AL342" s="134"/>
      <c r="AM342" s="134"/>
      <c r="AN342" s="134"/>
      <c r="AO342" s="134"/>
      <c r="AP342" s="134"/>
      <c r="AQ342" s="134"/>
      <c r="AR342" s="134"/>
      <c r="AS342" s="134">
        <f t="array" ref="AS342">IFERROR(INDEX(TABLACONSOLIDADA[Buff Act],MATCH("AGROINSUMOScentralPROPIA"&amp;Tabla_Buffers_Agroinsumos[[#This Row],[CODIGO ]],TABLACONSOLIDADA[Bodega]&amp;TABLACONSOLIDADA[Codigo],0)),"")</f>
        <v>0</v>
      </c>
      <c r="AT342" s="157">
        <f t="array" ref="AT342">IFERROR(INDEX(TABLACONSOLIDADA[Inv Fís Act],MATCH("AGROINSUMOScentralPROPIA"&amp;Tabla_Buffers_Agroinsumos[[#This Row],[CODIGO ]],TABLACONSOLIDADA[Bodega]&amp;TABLACONSOLIDADA[Codigo],0)),"")</f>
        <v>0</v>
      </c>
      <c r="AU342" s="157">
        <f t="array" ref="AU34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4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42" s="134">
        <f>IFERROR(SUM(Tabla_Buffers_Agroinsumos[[#This Row],[P-MP]:[P-VL]]),"")</f>
        <v>0</v>
      </c>
      <c r="AX342" s="92">
        <f>IFERROR(Tabla_Buffers_Agroinsumos[[#This Row],[INV FIS PROPIA]]-Tabla_Buffers_Agroinsumos[[#This Row],[BUFFER PROPIA]],"")</f>
        <v>0</v>
      </c>
      <c r="AY342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42" s="134"/>
      <c r="BA342" s="134"/>
      <c r="BB342" s="134"/>
      <c r="BC342" s="134"/>
      <c r="BD342" s="134"/>
      <c r="BE342" s="134"/>
      <c r="BF342" s="134"/>
      <c r="BG342" s="134"/>
      <c r="BH342" s="134"/>
      <c r="BI342" s="91">
        <f t="array" ref="BI342">IFERROR(INDEX(TABLACONSOLIDADA[Buff Act],MATCH("AGROINSUMOSSTODOMINGO"&amp;Tabla_Buffers_Agroinsumos[[#This Row],[CODIGO ]],TABLACONSOLIDADA[Bodega]&amp;TABLACONSOLIDADA[Codigo],0)),"")</f>
        <v>0</v>
      </c>
      <c r="BJ342" s="157">
        <f t="array" ref="BJ342">IFERROR(INDEX(TABLACONSOLIDADA[Inv Fís Act],MATCH("AGROINSUMOSSTODOMINGO"&amp;Tabla_Buffers_Agroinsumos[[#This Row],[CODIGO ]],TABLACONSOLIDADA[Bodega]&amp;TABLACONSOLIDADA[Codigo],0)),"")</f>
        <v>0</v>
      </c>
      <c r="BK342" s="157">
        <f t="array" ref="BK34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4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42" s="91">
        <f>IFERROR(SUM(Tabla_Buffers_Agroinsumos[[#This Row],[SD-MP]:[SD-VL]]),"")</f>
        <v>0</v>
      </c>
      <c r="BN342" s="92"/>
      <c r="BO342" s="92"/>
      <c r="BP342" s="134"/>
      <c r="BQ342" s="134"/>
      <c r="BR342" s="134"/>
      <c r="BS342" s="134"/>
      <c r="BT342" s="134"/>
      <c r="BU342" s="134"/>
      <c r="BV342" s="134"/>
      <c r="BW342" s="134"/>
      <c r="BX342" s="134"/>
      <c r="BY342" s="134">
        <f t="array" ref="BY342">IFERROR(INDEX(TABLACONSOLIDADA[Buff Act],MATCH("AGROINSUMOSMONCAYOLOPEZ"&amp;Tabla_Buffers_Agroinsumos[[#This Row],[CODIGO ]],TABLACONSOLIDADA[Bodega]&amp;TABLACONSOLIDADA[Codigo],0)),"")</f>
        <v>0</v>
      </c>
      <c r="BZ342" s="157">
        <f t="array" ref="BZ342">IFERROR(INDEX(TABLACONSOLIDADA[Inv Fís Act],MATCH("AGROINSUMOSMONCAYOLOPEZ"&amp;Tabla_Buffers_Agroinsumos[[#This Row],[CODIGO ]],TABLACONSOLIDADA[Bodega]&amp;TABLACONSOLIDADA[Codigo],0)),"")</f>
        <v>0</v>
      </c>
      <c r="CA342" s="157">
        <f t="array" ref="CA34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4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42" s="134">
        <f>IFERROR(SUM(Tabla_Buffers_Agroinsumos[[#This Row],[ML-MP]:[ML-VL]]),"")</f>
        <v>0</v>
      </c>
      <c r="CD342" s="92">
        <f>IFERROR(Tabla_Buffers_Agroinsumos[[#This Row],[INV FIS ML]]-Tabla_Buffers_Agroinsumos[[#This Row],[BUFFER ML]],"")</f>
        <v>0</v>
      </c>
      <c r="CE342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42" s="134"/>
      <c r="CG342" s="134"/>
      <c r="CH342" s="134"/>
      <c r="CI342" s="134"/>
      <c r="CJ342" s="134"/>
      <c r="CK342" s="134"/>
      <c r="CL342" s="134"/>
      <c r="CM342" s="134"/>
      <c r="CN342" s="134"/>
      <c r="CO342" s="134">
        <f t="array" ref="CO342">IFERROR(INDEX(TABLACONSOLIDADA[Buff Act],MATCH("AGROINSUMOSAGROHERMANOSLEON"&amp;Tabla_Buffers_Agroinsumos[[#This Row],[CODIGO ]],TABLACONSOLIDADA[Bodega]&amp;TABLACONSOLIDADA[Codigo],0)),"")</f>
        <v>0</v>
      </c>
      <c r="CP342" s="157">
        <f t="array" ref="CP342">IFERROR(INDEX(TABLACONSOLIDADA[Inv Fís Act],MATCH("AGROINSUMOSAGROHERMANOSLEON"&amp;Tabla_Buffers_Agroinsumos[[#This Row],[CODIGO ]],TABLACONSOLIDADA[Bodega]&amp;TABLACONSOLIDADA[Codigo],0)),"")</f>
        <v>0</v>
      </c>
      <c r="CQ342" s="157">
        <f t="array" ref="CQ34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4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42" s="134">
        <f>IFERROR(SUM(Tabla_Buffers_Agroinsumos[[#This Row],[AL-MP]:[AL-VL]]),"")</f>
        <v>0</v>
      </c>
      <c r="CT342" s="92">
        <f>IFERROR(Tabla_Buffers_Agroinsumos[[#This Row],[INV FIS AL]]-Tabla_Buffers_Agroinsumos[[#This Row],[BUFFER AL]],"")</f>
        <v>0</v>
      </c>
      <c r="CU342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42" s="134"/>
      <c r="CW342" s="134"/>
      <c r="CX342" s="134"/>
      <c r="CY342" s="134"/>
      <c r="CZ342" s="134"/>
      <c r="DA342" s="134"/>
      <c r="DB342" s="134"/>
      <c r="DC342" s="134"/>
      <c r="DD342" s="134"/>
      <c r="DE342" s="134">
        <f t="array" ref="DE342">IFERROR(INDEX(TABLACONSOLIDADA[Buff Act],MATCH("AGROINSUMOSAGRONUEVO"&amp;Tabla_Buffers_Agroinsumos[[#This Row],[CODIGO ]],TABLACONSOLIDADA[Bodega]&amp;TABLACONSOLIDADA[Codigo],0)),"")</f>
        <v>0</v>
      </c>
      <c r="DF342" s="157">
        <f t="array" ref="DF342">IFERROR(INDEX(TABLACONSOLIDADA[Inv Fís Act],MATCH("AGROINSUMOSAGRONUEVO"&amp;Tabla_Buffers_Agroinsumos[[#This Row],[CODIGO ]],TABLACONSOLIDADA[Bodega]&amp;TABLACONSOLIDADA[Codigo],0)),"")</f>
        <v>0</v>
      </c>
      <c r="DG342" s="157">
        <f t="array" ref="DG34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4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42" s="134">
        <f>IFERROR(SUM(Tabla_Buffers_Agroinsumos[[#This Row],[AN-MP]:[AN-VL]]),"")</f>
        <v>0</v>
      </c>
      <c r="DJ342" s="92">
        <f>IFERROR(Tabla_Buffers_Agroinsumos[[#This Row],[INV FIS AN]]-Tabla_Buffers_Agroinsumos[[#This Row],[BUFFER AN]],"")</f>
        <v>0</v>
      </c>
      <c r="DK342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42" s="134"/>
      <c r="DM342" s="134"/>
      <c r="DN342" s="134"/>
      <c r="DO342" s="134"/>
      <c r="DP342" s="134"/>
      <c r="DQ342" s="134"/>
      <c r="DR342" s="134"/>
      <c r="DS342" s="134"/>
      <c r="DT342" s="134"/>
      <c r="DU342" s="134">
        <f t="array" ref="DU342">IFERROR(INDEX(TABLACONSOLIDADA[Buff Act],MATCH("AGROINSUMOSAGROQUIMICOSSUR"&amp;Tabla_Buffers_Agroinsumos[[#This Row],[CODIGO ]],TABLACONSOLIDADA[Bodega]&amp;TABLACONSOLIDADA[Codigo],0)),"")</f>
        <v>0</v>
      </c>
      <c r="DV342" s="157">
        <f t="array" ref="DV342">IFERROR(INDEX(TABLACONSOLIDADA[Inv Fís Act],MATCH("AGROINSUMOSAGROQUIMICOSSUR"&amp;Tabla_Buffers_Agroinsumos[[#This Row],[CODIGO ]],TABLACONSOLIDADA[Bodega]&amp;TABLACONSOLIDADA[Codigo],0)),"")</f>
        <v>0</v>
      </c>
      <c r="DW342" s="157">
        <f t="array" ref="DW34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4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42" s="134">
        <f>IFERROR(SUM(Tabla_Buffers_Agroinsumos[[#This Row],[AS-MP]:[AS-VL]]),"")</f>
        <v>0</v>
      </c>
      <c r="DZ342" s="92">
        <f>IFERROR(Tabla_Buffers_Agroinsumos[[#This Row],[INV FIS AS]]-Tabla_Buffers_Agroinsumos[[#This Row],[BUFFER AS]],"")</f>
        <v>0</v>
      </c>
      <c r="EA342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42" s="134"/>
      <c r="EC342" s="134"/>
      <c r="ED342" s="134"/>
      <c r="EE342" s="134"/>
      <c r="EF342" s="134"/>
      <c r="EG342" s="134"/>
      <c r="EH342" s="134"/>
      <c r="EI342" s="134"/>
      <c r="EJ342" s="134"/>
      <c r="EK342" s="134">
        <f t="array" ref="EK342">IFERROR(INDEX(TABLACONSOLIDADA[Buff Act],MATCH("AGROINSUMOSLAFINCA"&amp;Tabla_Buffers_Agroinsumos[[#This Row],[CODIGO ]],TABLACONSOLIDADA[Bodega]&amp;TABLACONSOLIDADA[Codigo],0)),"")</f>
        <v>0</v>
      </c>
      <c r="EL342" s="157">
        <f t="array" ref="EL342">IFERROR(INDEX(TABLACONSOLIDADA[Inv Fís Act],MATCH("AGROINSUMOSLAFINCA"&amp;Tabla_Buffers_Agroinsumos[[#This Row],[CODIGO ]],TABLACONSOLIDADA[Bodega]&amp;TABLACONSOLIDADA[Codigo],0)),"")</f>
        <v>0</v>
      </c>
      <c r="EM342" s="157">
        <f t="array" ref="EM34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4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42" s="134">
        <f>IFERROR(SUM(Tabla_Buffers_Agroinsumos[[#This Row],[LF-MP]:[LF-VL]]),"")</f>
        <v>0</v>
      </c>
      <c r="EP342" s="92">
        <f>IFERROR(Tabla_Buffers_Agroinsumos[[#This Row],[INV FIS LF]]-Tabla_Buffers_Agroinsumos[[#This Row],[BUFFER LF]],"")</f>
        <v>0</v>
      </c>
      <c r="EQ342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42" s="134"/>
      <c r="ES342" s="134"/>
      <c r="ET342" s="134"/>
      <c r="EU342" s="134"/>
      <c r="EV342" s="134"/>
      <c r="EW342" s="134"/>
      <c r="EX342" s="134"/>
      <c r="EY342" s="134"/>
      <c r="EZ342" s="134"/>
      <c r="FA342" s="134">
        <f t="array" ref="FA342">IFERROR(INDEX(TABLACONSOLIDADA[Buff Act],MATCH("AGROINSUMOSVERONICALEDESMA"&amp;Tabla_Buffers_Agroinsumos[[#This Row],[CODIGO ]],TABLACONSOLIDADA[Bodega]&amp;TABLACONSOLIDADA[Codigo],0)),"")</f>
        <v>0</v>
      </c>
      <c r="FB342" s="157">
        <f t="array" ref="FB342">IFERROR(INDEX(TABLACONSOLIDADA[Inv Fís Act],MATCH("AGROINSUMOSVERONICALEDESMA"&amp;Tabla_Buffers_Agroinsumos[[#This Row],[CODIGO ]],TABLACONSOLIDADA[Bodega]&amp;TABLACONSOLIDADA[Codigo],0)),"")</f>
        <v>0</v>
      </c>
      <c r="FC342" s="157">
        <f t="array" ref="FC34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4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42" s="134">
        <f>IFERROR(SUM(Tabla_Buffers_Agroinsumos[[#This Row],[VL-MP]:[VL-LF]]),"")</f>
        <v>0</v>
      </c>
      <c r="FF342" s="92">
        <f>IFERROR(Tabla_Buffers_Agroinsumos[[#This Row],[INV FIS VL]]-Tabla_Buffers_Agroinsumos[[#This Row],[BUFFER VL]],"")</f>
        <v>0</v>
      </c>
      <c r="FG342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42" s="134"/>
      <c r="FI342" s="134"/>
      <c r="FJ342" s="134"/>
      <c r="FK342" s="134"/>
      <c r="FL342" s="134"/>
      <c r="FM342" s="134"/>
      <c r="FN342" s="134"/>
      <c r="FO342" s="134"/>
      <c r="FP342" s="134"/>
    </row>
    <row r="343" spans="1:172">
      <c r="A343" s="7" t="s">
        <v>580</v>
      </c>
      <c r="B343" s="7" t="s">
        <v>581</v>
      </c>
      <c r="C343" s="7" t="s">
        <v>709</v>
      </c>
      <c r="D343" s="7" t="s">
        <v>715</v>
      </c>
      <c r="E343" s="7" t="s">
        <v>975</v>
      </c>
      <c r="F343" s="19" t="s">
        <v>698</v>
      </c>
      <c r="G343" s="19" t="s">
        <v>698</v>
      </c>
      <c r="H343" s="19">
        <f>VLOOKUP(Tabla_Buffers_Agroinsumos[[#This Row],[CODIGO ]],TABLACONSOLIDADA[[Codigo]:[PV]],6,0)</f>
        <v>0</v>
      </c>
      <c r="I343" s="19">
        <f>VLOOKUP(Tabla_Buffers_Agroinsumos[[#This Row],[CODIGO ]],TABLACONSOLIDADA[[Codigo]:[PV]],5,0)</f>
        <v>3.92</v>
      </c>
      <c r="J343" s="19" t="s">
        <v>698</v>
      </c>
      <c r="K343" s="19" t="s">
        <v>698</v>
      </c>
      <c r="L343" s="19">
        <f>IFERROR(Tabla_Buffers_Agroinsumos[[#This Row],[BUFFER CENTRAL]]/((Tabla_Buffers_Agroinsumos[[#This Row],[TIEMPO REPOSICION ]]/Tabla_Buffers_Agroinsumos[[#This Row],[FRECUENCIA]])+1),0)</f>
        <v>0</v>
      </c>
      <c r="M343" s="19" t="str">
        <f t="array" ref="M343">IFERROR(INDEX(TABLACONSOLIDADA[Buff Act],MATCH("AGROINSUMOSMATERIAPRIMA"&amp;Tabla_Buffers_Agroinsumos[[#This Row],[CODIGO ]],TABLACONSOLIDADA[Bodega]&amp;TABLACONSOLIDADA[Codigo],0)),"")</f>
        <v/>
      </c>
      <c r="N343" s="157" t="str">
        <f t="array" ref="N343">IFERROR(INDEX(TABLACONSOLIDADA[Inv Fís Act],MATCH("AGROINSUMOSMATERIAPRIMA"&amp;Tabla_Buffers_Agroinsumos[[#This Row],[CODIGO ]],TABLACONSOLIDADA[Bodega]&amp;TABLACONSOLIDADA[Codigo],0)),"")</f>
        <v/>
      </c>
      <c r="O343" s="157" t="str">
        <f t="array" ref="O34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4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43" s="19">
        <f>IFERROR(SUM(Tabla_Buffers_Agroinsumos[[#This Row],[MP-C]:[MP-VL]]),"")</f>
        <v>0</v>
      </c>
      <c r="R343" s="92" t="str">
        <f>IFERROR(Tabla_Buffers_Agroinsumos[[#This Row],[INV FIS MATERIA PRIMA]]-Tabla_Buffers_Agroinsumos[[#This Row],[BUFFER MATERIA PRIMA]],"")</f>
        <v/>
      </c>
      <c r="S34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43" s="19"/>
      <c r="U343" s="19"/>
      <c r="V343" s="19"/>
      <c r="W343" s="19"/>
      <c r="X343" s="19"/>
      <c r="Y343" s="19"/>
      <c r="Z343" s="19"/>
      <c r="AA343" s="19"/>
      <c r="AB343" s="19"/>
      <c r="AC343" s="152">
        <f t="array" ref="AC343">IFERROR(INDEX(TABLACONSOLIDADA[Buff Act],MATCH("AGROINSUMOSCENTRAL"&amp;Tabla_Buffers_Agroinsumos[[#This Row],[CODIGO ]],TABLACONSOLIDADA[Bodega]&amp;TABLACONSOLIDADA[Codigo],0)),"")</f>
        <v>0</v>
      </c>
      <c r="AD343" s="157">
        <f t="array" ref="AD343">IFERROR(INDEX(TABLACONSOLIDADA[Inv Fís Act],MATCH("AGROINSUMOSCENTRAL"&amp;Tabla_Buffers_Agroinsumos[[#This Row],[CODIGO ]],TABLACONSOLIDADA[Bodega]&amp;TABLACONSOLIDADA[Codigo],0)),"")</f>
        <v>0</v>
      </c>
      <c r="AE343" s="157">
        <f t="array" ref="AE34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4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43" s="91">
        <f>IFERROR(SUM(Tabla_Buffers_Agroinsumos[[#This Row],[C-MP]:[C-VL]]),"")</f>
        <v>0</v>
      </c>
      <c r="AH343" s="92">
        <f>IFERROR(Tabla_Buffers_Agroinsumos[[#This Row],[INV FIS CENTRAL]]-Tabla_Buffers_Agroinsumos[[#This Row],[BUFFER CENTRAL]],"")</f>
        <v>0</v>
      </c>
      <c r="AI34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43" s="134"/>
      <c r="AK343" s="134"/>
      <c r="AL343" s="134"/>
      <c r="AM343" s="134"/>
      <c r="AN343" s="134"/>
      <c r="AO343" s="134"/>
      <c r="AP343" s="134"/>
      <c r="AQ343" s="134"/>
      <c r="AR343" s="134"/>
      <c r="AS343" s="134">
        <f t="array" ref="AS343">IFERROR(INDEX(TABLACONSOLIDADA[Buff Act],MATCH("AGROINSUMOScentralPROPIA"&amp;Tabla_Buffers_Agroinsumos[[#This Row],[CODIGO ]],TABLACONSOLIDADA[Bodega]&amp;TABLACONSOLIDADA[Codigo],0)),"")</f>
        <v>0</v>
      </c>
      <c r="AT343" s="157">
        <f t="array" ref="AT343">IFERROR(INDEX(TABLACONSOLIDADA[Inv Fís Act],MATCH("AGROINSUMOScentralPROPIA"&amp;Tabla_Buffers_Agroinsumos[[#This Row],[CODIGO ]],TABLACONSOLIDADA[Bodega]&amp;TABLACONSOLIDADA[Codigo],0)),"")</f>
        <v>0</v>
      </c>
      <c r="AU343" s="157">
        <f t="array" ref="AU34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4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43" s="134">
        <f>IFERROR(SUM(Tabla_Buffers_Agroinsumos[[#This Row],[P-MP]:[P-VL]]),"")</f>
        <v>0</v>
      </c>
      <c r="AX343" s="92">
        <f>IFERROR(Tabla_Buffers_Agroinsumos[[#This Row],[INV FIS PROPIA]]-Tabla_Buffers_Agroinsumos[[#This Row],[BUFFER PROPIA]],"")</f>
        <v>0</v>
      </c>
      <c r="AY34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43" s="134"/>
      <c r="BA343" s="134"/>
      <c r="BB343" s="134"/>
      <c r="BC343" s="134"/>
      <c r="BD343" s="134"/>
      <c r="BE343" s="134"/>
      <c r="BF343" s="134"/>
      <c r="BG343" s="134"/>
      <c r="BH343" s="134"/>
      <c r="BI343" s="91">
        <f t="array" ref="BI343">IFERROR(INDEX(TABLACONSOLIDADA[Buff Act],MATCH("AGROINSUMOSSTODOMINGO"&amp;Tabla_Buffers_Agroinsumos[[#This Row],[CODIGO ]],TABLACONSOLIDADA[Bodega]&amp;TABLACONSOLIDADA[Codigo],0)),"")</f>
        <v>0</v>
      </c>
      <c r="BJ343" s="157">
        <f t="array" ref="BJ343">IFERROR(INDEX(TABLACONSOLIDADA[Inv Fís Act],MATCH("AGROINSUMOSSTODOMINGO"&amp;Tabla_Buffers_Agroinsumos[[#This Row],[CODIGO ]],TABLACONSOLIDADA[Bodega]&amp;TABLACONSOLIDADA[Codigo],0)),"")</f>
        <v>0</v>
      </c>
      <c r="BK343" s="157">
        <f t="array" ref="BK34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4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43" s="91">
        <f>IFERROR(SUM(Tabla_Buffers_Agroinsumos[[#This Row],[SD-MP]:[SD-VL]]),"")</f>
        <v>0</v>
      </c>
      <c r="BN343" s="92"/>
      <c r="BO343" s="92"/>
      <c r="BP343" s="134"/>
      <c r="BQ343" s="134"/>
      <c r="BR343" s="134"/>
      <c r="BS343" s="134"/>
      <c r="BT343" s="134"/>
      <c r="BU343" s="134"/>
      <c r="BV343" s="134"/>
      <c r="BW343" s="134"/>
      <c r="BX343" s="134"/>
      <c r="BY343" s="134">
        <f t="array" ref="BY343">IFERROR(INDEX(TABLACONSOLIDADA[Buff Act],MATCH("AGROINSUMOSMONCAYOLOPEZ"&amp;Tabla_Buffers_Agroinsumos[[#This Row],[CODIGO ]],TABLACONSOLIDADA[Bodega]&amp;TABLACONSOLIDADA[Codigo],0)),"")</f>
        <v>0</v>
      </c>
      <c r="BZ343" s="157">
        <f t="array" ref="BZ343">IFERROR(INDEX(TABLACONSOLIDADA[Inv Fís Act],MATCH("AGROINSUMOSMONCAYOLOPEZ"&amp;Tabla_Buffers_Agroinsumos[[#This Row],[CODIGO ]],TABLACONSOLIDADA[Bodega]&amp;TABLACONSOLIDADA[Codigo],0)),"")</f>
        <v>0</v>
      </c>
      <c r="CA343" s="157">
        <f t="array" ref="CA34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4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43" s="134">
        <f>IFERROR(SUM(Tabla_Buffers_Agroinsumos[[#This Row],[ML-MP]:[ML-VL]]),"")</f>
        <v>0</v>
      </c>
      <c r="CD343" s="92">
        <f>IFERROR(Tabla_Buffers_Agroinsumos[[#This Row],[INV FIS ML]]-Tabla_Buffers_Agroinsumos[[#This Row],[BUFFER ML]],"")</f>
        <v>0</v>
      </c>
      <c r="CE343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43" s="134"/>
      <c r="CG343" s="134"/>
      <c r="CH343" s="134"/>
      <c r="CI343" s="134"/>
      <c r="CJ343" s="134"/>
      <c r="CK343" s="134"/>
      <c r="CL343" s="134"/>
      <c r="CM343" s="134"/>
      <c r="CN343" s="134"/>
      <c r="CO343" s="134">
        <f t="array" ref="CO343">IFERROR(INDEX(TABLACONSOLIDADA[Buff Act],MATCH("AGROINSUMOSAGROHERMANOSLEON"&amp;Tabla_Buffers_Agroinsumos[[#This Row],[CODIGO ]],TABLACONSOLIDADA[Bodega]&amp;TABLACONSOLIDADA[Codigo],0)),"")</f>
        <v>0</v>
      </c>
      <c r="CP343" s="157">
        <f t="array" ref="CP343">IFERROR(INDEX(TABLACONSOLIDADA[Inv Fís Act],MATCH("AGROINSUMOSAGROHERMANOSLEON"&amp;Tabla_Buffers_Agroinsumos[[#This Row],[CODIGO ]],TABLACONSOLIDADA[Bodega]&amp;TABLACONSOLIDADA[Codigo],0)),"")</f>
        <v>0</v>
      </c>
      <c r="CQ343" s="157">
        <f t="array" ref="CQ34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4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43" s="134">
        <f>IFERROR(SUM(Tabla_Buffers_Agroinsumos[[#This Row],[AL-MP]:[AL-VL]]),"")</f>
        <v>0</v>
      </c>
      <c r="CT343" s="92">
        <f>IFERROR(Tabla_Buffers_Agroinsumos[[#This Row],[INV FIS AL]]-Tabla_Buffers_Agroinsumos[[#This Row],[BUFFER AL]],"")</f>
        <v>0</v>
      </c>
      <c r="CU343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43" s="134"/>
      <c r="CW343" s="134"/>
      <c r="CX343" s="134"/>
      <c r="CY343" s="134"/>
      <c r="CZ343" s="134"/>
      <c r="DA343" s="134"/>
      <c r="DB343" s="134"/>
      <c r="DC343" s="134"/>
      <c r="DD343" s="134"/>
      <c r="DE343" s="134">
        <f t="array" ref="DE343">IFERROR(INDEX(TABLACONSOLIDADA[Buff Act],MATCH("AGROINSUMOSAGRONUEVO"&amp;Tabla_Buffers_Agroinsumos[[#This Row],[CODIGO ]],TABLACONSOLIDADA[Bodega]&amp;TABLACONSOLIDADA[Codigo],0)),"")</f>
        <v>0</v>
      </c>
      <c r="DF343" s="157">
        <f t="array" ref="DF343">IFERROR(INDEX(TABLACONSOLIDADA[Inv Fís Act],MATCH("AGROINSUMOSAGRONUEVO"&amp;Tabla_Buffers_Agroinsumos[[#This Row],[CODIGO ]],TABLACONSOLIDADA[Bodega]&amp;TABLACONSOLIDADA[Codigo],0)),"")</f>
        <v>0</v>
      </c>
      <c r="DG343" s="157">
        <f t="array" ref="DG34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4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43" s="134">
        <f>IFERROR(SUM(Tabla_Buffers_Agroinsumos[[#This Row],[AN-MP]:[AN-VL]]),"")</f>
        <v>0</v>
      </c>
      <c r="DJ343" s="92">
        <f>IFERROR(Tabla_Buffers_Agroinsumos[[#This Row],[INV FIS AN]]-Tabla_Buffers_Agroinsumos[[#This Row],[BUFFER AN]],"")</f>
        <v>0</v>
      </c>
      <c r="DK343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43" s="134"/>
      <c r="DM343" s="134"/>
      <c r="DN343" s="134"/>
      <c r="DO343" s="134"/>
      <c r="DP343" s="134"/>
      <c r="DQ343" s="134"/>
      <c r="DR343" s="134"/>
      <c r="DS343" s="134"/>
      <c r="DT343" s="134"/>
      <c r="DU343" s="134">
        <f t="array" ref="DU343">IFERROR(INDEX(TABLACONSOLIDADA[Buff Act],MATCH("AGROINSUMOSAGROQUIMICOSSUR"&amp;Tabla_Buffers_Agroinsumos[[#This Row],[CODIGO ]],TABLACONSOLIDADA[Bodega]&amp;TABLACONSOLIDADA[Codigo],0)),"")</f>
        <v>0</v>
      </c>
      <c r="DV343" s="157">
        <f t="array" ref="DV343">IFERROR(INDEX(TABLACONSOLIDADA[Inv Fís Act],MATCH("AGROINSUMOSAGROQUIMICOSSUR"&amp;Tabla_Buffers_Agroinsumos[[#This Row],[CODIGO ]],TABLACONSOLIDADA[Bodega]&amp;TABLACONSOLIDADA[Codigo],0)),"")</f>
        <v>0</v>
      </c>
      <c r="DW343" s="157">
        <f t="array" ref="DW34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4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43" s="134">
        <f>IFERROR(SUM(Tabla_Buffers_Agroinsumos[[#This Row],[AS-MP]:[AS-VL]]),"")</f>
        <v>0</v>
      </c>
      <c r="DZ343" s="92">
        <f>IFERROR(Tabla_Buffers_Agroinsumos[[#This Row],[INV FIS AS]]-Tabla_Buffers_Agroinsumos[[#This Row],[BUFFER AS]],"")</f>
        <v>0</v>
      </c>
      <c r="EA343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43" s="134"/>
      <c r="EC343" s="134"/>
      <c r="ED343" s="134"/>
      <c r="EE343" s="134"/>
      <c r="EF343" s="134"/>
      <c r="EG343" s="134"/>
      <c r="EH343" s="134"/>
      <c r="EI343" s="134"/>
      <c r="EJ343" s="134"/>
      <c r="EK343" s="134">
        <f t="array" ref="EK343">IFERROR(INDEX(TABLACONSOLIDADA[Buff Act],MATCH("AGROINSUMOSLAFINCA"&amp;Tabla_Buffers_Agroinsumos[[#This Row],[CODIGO ]],TABLACONSOLIDADA[Bodega]&amp;TABLACONSOLIDADA[Codigo],0)),"")</f>
        <v>0</v>
      </c>
      <c r="EL343" s="157">
        <f t="array" ref="EL343">IFERROR(INDEX(TABLACONSOLIDADA[Inv Fís Act],MATCH("AGROINSUMOSLAFINCA"&amp;Tabla_Buffers_Agroinsumos[[#This Row],[CODIGO ]],TABLACONSOLIDADA[Bodega]&amp;TABLACONSOLIDADA[Codigo],0)),"")</f>
        <v>0</v>
      </c>
      <c r="EM343" s="157">
        <f t="array" ref="EM34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4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43" s="134">
        <f>IFERROR(SUM(Tabla_Buffers_Agroinsumos[[#This Row],[LF-MP]:[LF-VL]]),"")</f>
        <v>0</v>
      </c>
      <c r="EP343" s="92">
        <f>IFERROR(Tabla_Buffers_Agroinsumos[[#This Row],[INV FIS LF]]-Tabla_Buffers_Agroinsumos[[#This Row],[BUFFER LF]],"")</f>
        <v>0</v>
      </c>
      <c r="EQ34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43" s="134"/>
      <c r="ES343" s="134"/>
      <c r="ET343" s="134"/>
      <c r="EU343" s="134"/>
      <c r="EV343" s="134"/>
      <c r="EW343" s="134"/>
      <c r="EX343" s="134"/>
      <c r="EY343" s="134"/>
      <c r="EZ343" s="134"/>
      <c r="FA343" s="134">
        <f t="array" ref="FA343">IFERROR(INDEX(TABLACONSOLIDADA[Buff Act],MATCH("AGROINSUMOSVERONICALEDESMA"&amp;Tabla_Buffers_Agroinsumos[[#This Row],[CODIGO ]],TABLACONSOLIDADA[Bodega]&amp;TABLACONSOLIDADA[Codigo],0)),"")</f>
        <v>0</v>
      </c>
      <c r="FB343" s="157">
        <f t="array" ref="FB343">IFERROR(INDEX(TABLACONSOLIDADA[Inv Fís Act],MATCH("AGROINSUMOSVERONICALEDESMA"&amp;Tabla_Buffers_Agroinsumos[[#This Row],[CODIGO ]],TABLACONSOLIDADA[Bodega]&amp;TABLACONSOLIDADA[Codigo],0)),"")</f>
        <v>0</v>
      </c>
      <c r="FC343" s="157">
        <f t="array" ref="FC34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4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43" s="134">
        <f>IFERROR(SUM(Tabla_Buffers_Agroinsumos[[#This Row],[VL-MP]:[VL-LF]]),"")</f>
        <v>0</v>
      </c>
      <c r="FF343" s="92">
        <f>IFERROR(Tabla_Buffers_Agroinsumos[[#This Row],[INV FIS VL]]-Tabla_Buffers_Agroinsumos[[#This Row],[BUFFER VL]],"")</f>
        <v>0</v>
      </c>
      <c r="FG343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43" s="134"/>
      <c r="FI343" s="134"/>
      <c r="FJ343" s="134"/>
      <c r="FK343" s="134"/>
      <c r="FL343" s="134"/>
      <c r="FM343" s="134"/>
      <c r="FN343" s="134"/>
      <c r="FO343" s="134"/>
      <c r="FP343" s="134"/>
    </row>
    <row r="344" spans="1:172">
      <c r="A344" s="7" t="s">
        <v>582</v>
      </c>
      <c r="B344" s="7" t="s">
        <v>583</v>
      </c>
      <c r="C344" s="7" t="s">
        <v>709</v>
      </c>
      <c r="D344" s="7" t="s">
        <v>715</v>
      </c>
      <c r="E344" s="7" t="s">
        <v>975</v>
      </c>
      <c r="F344" s="19" t="s">
        <v>698</v>
      </c>
      <c r="G344" s="19" t="s">
        <v>698</v>
      </c>
      <c r="H344" s="19">
        <f>VLOOKUP(Tabla_Buffers_Agroinsumos[[#This Row],[CODIGO ]],TABLACONSOLIDADA[[Codigo]:[PV]],6,0)</f>
        <v>0</v>
      </c>
      <c r="I344" s="19">
        <f>VLOOKUP(Tabla_Buffers_Agroinsumos[[#This Row],[CODIGO ]],TABLACONSOLIDADA[[Codigo]:[PV]],5,0)</f>
        <v>9.3000000000000007</v>
      </c>
      <c r="J344" s="19" t="s">
        <v>698</v>
      </c>
      <c r="K344" s="19" t="s">
        <v>698</v>
      </c>
      <c r="L344" s="19">
        <f>IFERROR(Tabla_Buffers_Agroinsumos[[#This Row],[BUFFER CENTRAL]]/((Tabla_Buffers_Agroinsumos[[#This Row],[TIEMPO REPOSICION ]]/Tabla_Buffers_Agroinsumos[[#This Row],[FRECUENCIA]])+1),0)</f>
        <v>0</v>
      </c>
      <c r="M344" s="19" t="str">
        <f t="array" ref="M344">IFERROR(INDEX(TABLACONSOLIDADA[Buff Act],MATCH("AGROINSUMOSMATERIAPRIMA"&amp;Tabla_Buffers_Agroinsumos[[#This Row],[CODIGO ]],TABLACONSOLIDADA[Bodega]&amp;TABLACONSOLIDADA[Codigo],0)),"")</f>
        <v/>
      </c>
      <c r="N344" s="157" t="str">
        <f t="array" ref="N344">IFERROR(INDEX(TABLACONSOLIDADA[Inv Fís Act],MATCH("AGROINSUMOSMATERIAPRIMA"&amp;Tabla_Buffers_Agroinsumos[[#This Row],[CODIGO ]],TABLACONSOLIDADA[Bodega]&amp;TABLACONSOLIDADA[Codigo],0)),"")</f>
        <v/>
      </c>
      <c r="O344" s="157" t="str">
        <f t="array" ref="O34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4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44" s="19">
        <f>IFERROR(SUM(Tabla_Buffers_Agroinsumos[[#This Row],[MP-C]:[MP-VL]]),"")</f>
        <v>0</v>
      </c>
      <c r="R344" s="92" t="str">
        <f>IFERROR(Tabla_Buffers_Agroinsumos[[#This Row],[INV FIS MATERIA PRIMA]]-Tabla_Buffers_Agroinsumos[[#This Row],[BUFFER MATERIA PRIMA]],"")</f>
        <v/>
      </c>
      <c r="S34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44" s="19"/>
      <c r="U344" s="19"/>
      <c r="V344" s="19"/>
      <c r="W344" s="19"/>
      <c r="X344" s="19"/>
      <c r="Y344" s="19"/>
      <c r="Z344" s="19"/>
      <c r="AA344" s="19"/>
      <c r="AB344" s="19"/>
      <c r="AC344" s="152">
        <f t="array" ref="AC344">IFERROR(INDEX(TABLACONSOLIDADA[Buff Act],MATCH("AGROINSUMOSCENTRAL"&amp;Tabla_Buffers_Agroinsumos[[#This Row],[CODIGO ]],TABLACONSOLIDADA[Bodega]&amp;TABLACONSOLIDADA[Codigo],0)),"")</f>
        <v>0</v>
      </c>
      <c r="AD344" s="157">
        <f t="array" ref="AD344">IFERROR(INDEX(TABLACONSOLIDADA[Inv Fís Act],MATCH("AGROINSUMOSCENTRAL"&amp;Tabla_Buffers_Agroinsumos[[#This Row],[CODIGO ]],TABLACONSOLIDADA[Bodega]&amp;TABLACONSOLIDADA[Codigo],0)),"")</f>
        <v>0</v>
      </c>
      <c r="AE344" s="157">
        <f t="array" ref="AE34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4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44" s="91">
        <f>IFERROR(SUM(Tabla_Buffers_Agroinsumos[[#This Row],[C-MP]:[C-VL]]),"")</f>
        <v>0</v>
      </c>
      <c r="AH344" s="92">
        <f>IFERROR(Tabla_Buffers_Agroinsumos[[#This Row],[INV FIS CENTRAL]]-Tabla_Buffers_Agroinsumos[[#This Row],[BUFFER CENTRAL]],"")</f>
        <v>0</v>
      </c>
      <c r="AI34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44" s="134"/>
      <c r="AK344" s="134"/>
      <c r="AL344" s="134"/>
      <c r="AM344" s="134"/>
      <c r="AN344" s="134"/>
      <c r="AO344" s="134"/>
      <c r="AP344" s="134"/>
      <c r="AQ344" s="134"/>
      <c r="AR344" s="134"/>
      <c r="AS344" s="134">
        <f t="array" ref="AS344">IFERROR(INDEX(TABLACONSOLIDADA[Buff Act],MATCH("AGROINSUMOScentralPROPIA"&amp;Tabla_Buffers_Agroinsumos[[#This Row],[CODIGO ]],TABLACONSOLIDADA[Bodega]&amp;TABLACONSOLIDADA[Codigo],0)),"")</f>
        <v>0</v>
      </c>
      <c r="AT344" s="157">
        <f t="array" ref="AT344">IFERROR(INDEX(TABLACONSOLIDADA[Inv Fís Act],MATCH("AGROINSUMOScentralPROPIA"&amp;Tabla_Buffers_Agroinsumos[[#This Row],[CODIGO ]],TABLACONSOLIDADA[Bodega]&amp;TABLACONSOLIDADA[Codigo],0)),"")</f>
        <v>0</v>
      </c>
      <c r="AU344" s="157">
        <f t="array" ref="AU34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4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44" s="134">
        <f>IFERROR(SUM(Tabla_Buffers_Agroinsumos[[#This Row],[P-MP]:[P-VL]]),"")</f>
        <v>0</v>
      </c>
      <c r="AX344" s="92">
        <f>IFERROR(Tabla_Buffers_Agroinsumos[[#This Row],[INV FIS PROPIA]]-Tabla_Buffers_Agroinsumos[[#This Row],[BUFFER PROPIA]],"")</f>
        <v>0</v>
      </c>
      <c r="AY34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44" s="134"/>
      <c r="BA344" s="134"/>
      <c r="BB344" s="134"/>
      <c r="BC344" s="134"/>
      <c r="BD344" s="134"/>
      <c r="BE344" s="134"/>
      <c r="BF344" s="134"/>
      <c r="BG344" s="134"/>
      <c r="BH344" s="134"/>
      <c r="BI344" s="91">
        <f t="array" ref="BI344">IFERROR(INDEX(TABLACONSOLIDADA[Buff Act],MATCH("AGROINSUMOSSTODOMINGO"&amp;Tabla_Buffers_Agroinsumos[[#This Row],[CODIGO ]],TABLACONSOLIDADA[Bodega]&amp;TABLACONSOLIDADA[Codigo],0)),"")</f>
        <v>0</v>
      </c>
      <c r="BJ344" s="157">
        <f t="array" ref="BJ344">IFERROR(INDEX(TABLACONSOLIDADA[Inv Fís Act],MATCH("AGROINSUMOSSTODOMINGO"&amp;Tabla_Buffers_Agroinsumos[[#This Row],[CODIGO ]],TABLACONSOLIDADA[Bodega]&amp;TABLACONSOLIDADA[Codigo],0)),"")</f>
        <v>0</v>
      </c>
      <c r="BK344" s="157">
        <f t="array" ref="BK34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4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44" s="91">
        <f>IFERROR(SUM(Tabla_Buffers_Agroinsumos[[#This Row],[SD-MP]:[SD-VL]]),"")</f>
        <v>0</v>
      </c>
      <c r="BN344" s="92"/>
      <c r="BO344" s="92"/>
      <c r="BP344" s="134"/>
      <c r="BQ344" s="134"/>
      <c r="BR344" s="134"/>
      <c r="BS344" s="134"/>
      <c r="BT344" s="134"/>
      <c r="BU344" s="134"/>
      <c r="BV344" s="134"/>
      <c r="BW344" s="134"/>
      <c r="BX344" s="134"/>
      <c r="BY344" s="134">
        <f t="array" ref="BY344">IFERROR(INDEX(TABLACONSOLIDADA[Buff Act],MATCH("AGROINSUMOSMONCAYOLOPEZ"&amp;Tabla_Buffers_Agroinsumos[[#This Row],[CODIGO ]],TABLACONSOLIDADA[Bodega]&amp;TABLACONSOLIDADA[Codigo],0)),"")</f>
        <v>0</v>
      </c>
      <c r="BZ344" s="157">
        <f t="array" ref="BZ344">IFERROR(INDEX(TABLACONSOLIDADA[Inv Fís Act],MATCH("AGROINSUMOSMONCAYOLOPEZ"&amp;Tabla_Buffers_Agroinsumos[[#This Row],[CODIGO ]],TABLACONSOLIDADA[Bodega]&amp;TABLACONSOLIDADA[Codigo],0)),"")</f>
        <v>0</v>
      </c>
      <c r="CA344" s="157">
        <f t="array" ref="CA34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4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44" s="134">
        <f>IFERROR(SUM(Tabla_Buffers_Agroinsumos[[#This Row],[ML-MP]:[ML-VL]]),"")</f>
        <v>0</v>
      </c>
      <c r="CD344" s="92">
        <f>IFERROR(Tabla_Buffers_Agroinsumos[[#This Row],[INV FIS ML]]-Tabla_Buffers_Agroinsumos[[#This Row],[BUFFER ML]],"")</f>
        <v>0</v>
      </c>
      <c r="CE344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44" s="134"/>
      <c r="CG344" s="134"/>
      <c r="CH344" s="134"/>
      <c r="CI344" s="134"/>
      <c r="CJ344" s="134"/>
      <c r="CK344" s="134"/>
      <c r="CL344" s="134"/>
      <c r="CM344" s="134"/>
      <c r="CN344" s="134"/>
      <c r="CO344" s="134">
        <f t="array" ref="CO344">IFERROR(INDEX(TABLACONSOLIDADA[Buff Act],MATCH("AGROINSUMOSAGROHERMANOSLEON"&amp;Tabla_Buffers_Agroinsumos[[#This Row],[CODIGO ]],TABLACONSOLIDADA[Bodega]&amp;TABLACONSOLIDADA[Codigo],0)),"")</f>
        <v>0</v>
      </c>
      <c r="CP344" s="157">
        <f t="array" ref="CP344">IFERROR(INDEX(TABLACONSOLIDADA[Inv Fís Act],MATCH("AGROINSUMOSAGROHERMANOSLEON"&amp;Tabla_Buffers_Agroinsumos[[#This Row],[CODIGO ]],TABLACONSOLIDADA[Bodega]&amp;TABLACONSOLIDADA[Codigo],0)),"")</f>
        <v>0</v>
      </c>
      <c r="CQ344" s="157">
        <f t="array" ref="CQ34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4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44" s="134">
        <f>IFERROR(SUM(Tabla_Buffers_Agroinsumos[[#This Row],[AL-MP]:[AL-VL]]),"")</f>
        <v>0</v>
      </c>
      <c r="CT344" s="92">
        <f>IFERROR(Tabla_Buffers_Agroinsumos[[#This Row],[INV FIS AL]]-Tabla_Buffers_Agroinsumos[[#This Row],[BUFFER AL]],"")</f>
        <v>0</v>
      </c>
      <c r="CU344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44" s="134"/>
      <c r="CW344" s="134"/>
      <c r="CX344" s="134"/>
      <c r="CY344" s="134"/>
      <c r="CZ344" s="134"/>
      <c r="DA344" s="134"/>
      <c r="DB344" s="134"/>
      <c r="DC344" s="134"/>
      <c r="DD344" s="134"/>
      <c r="DE344" s="134">
        <f t="array" ref="DE344">IFERROR(INDEX(TABLACONSOLIDADA[Buff Act],MATCH("AGROINSUMOSAGRONUEVO"&amp;Tabla_Buffers_Agroinsumos[[#This Row],[CODIGO ]],TABLACONSOLIDADA[Bodega]&amp;TABLACONSOLIDADA[Codigo],0)),"")</f>
        <v>0</v>
      </c>
      <c r="DF344" s="157">
        <f t="array" ref="DF344">IFERROR(INDEX(TABLACONSOLIDADA[Inv Fís Act],MATCH("AGROINSUMOSAGRONUEVO"&amp;Tabla_Buffers_Agroinsumos[[#This Row],[CODIGO ]],TABLACONSOLIDADA[Bodega]&amp;TABLACONSOLIDADA[Codigo],0)),"")</f>
        <v>0</v>
      </c>
      <c r="DG344" s="157">
        <f t="array" ref="DG34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4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44" s="134">
        <f>IFERROR(SUM(Tabla_Buffers_Agroinsumos[[#This Row],[AN-MP]:[AN-VL]]),"")</f>
        <v>0</v>
      </c>
      <c r="DJ344" s="92">
        <f>IFERROR(Tabla_Buffers_Agroinsumos[[#This Row],[INV FIS AN]]-Tabla_Buffers_Agroinsumos[[#This Row],[BUFFER AN]],"")</f>
        <v>0</v>
      </c>
      <c r="DK344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44" s="134"/>
      <c r="DM344" s="134"/>
      <c r="DN344" s="134"/>
      <c r="DO344" s="134"/>
      <c r="DP344" s="134"/>
      <c r="DQ344" s="134"/>
      <c r="DR344" s="134"/>
      <c r="DS344" s="134"/>
      <c r="DT344" s="134"/>
      <c r="DU344" s="134">
        <f t="array" ref="DU344">IFERROR(INDEX(TABLACONSOLIDADA[Buff Act],MATCH("AGROINSUMOSAGROQUIMICOSSUR"&amp;Tabla_Buffers_Agroinsumos[[#This Row],[CODIGO ]],TABLACONSOLIDADA[Bodega]&amp;TABLACONSOLIDADA[Codigo],0)),"")</f>
        <v>0</v>
      </c>
      <c r="DV344" s="157">
        <f t="array" ref="DV344">IFERROR(INDEX(TABLACONSOLIDADA[Inv Fís Act],MATCH("AGROINSUMOSAGROQUIMICOSSUR"&amp;Tabla_Buffers_Agroinsumos[[#This Row],[CODIGO ]],TABLACONSOLIDADA[Bodega]&amp;TABLACONSOLIDADA[Codigo],0)),"")</f>
        <v>0</v>
      </c>
      <c r="DW344" s="157">
        <f t="array" ref="DW34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4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44" s="134">
        <f>IFERROR(SUM(Tabla_Buffers_Agroinsumos[[#This Row],[AS-MP]:[AS-VL]]),"")</f>
        <v>0</v>
      </c>
      <c r="DZ344" s="92">
        <f>IFERROR(Tabla_Buffers_Agroinsumos[[#This Row],[INV FIS AS]]-Tabla_Buffers_Agroinsumos[[#This Row],[BUFFER AS]],"")</f>
        <v>0</v>
      </c>
      <c r="EA344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44" s="134"/>
      <c r="EC344" s="134"/>
      <c r="ED344" s="134"/>
      <c r="EE344" s="134"/>
      <c r="EF344" s="134"/>
      <c r="EG344" s="134"/>
      <c r="EH344" s="134"/>
      <c r="EI344" s="134"/>
      <c r="EJ344" s="134"/>
      <c r="EK344" s="134">
        <f t="array" ref="EK344">IFERROR(INDEX(TABLACONSOLIDADA[Buff Act],MATCH("AGROINSUMOSLAFINCA"&amp;Tabla_Buffers_Agroinsumos[[#This Row],[CODIGO ]],TABLACONSOLIDADA[Bodega]&amp;TABLACONSOLIDADA[Codigo],0)),"")</f>
        <v>0</v>
      </c>
      <c r="EL344" s="157">
        <f t="array" ref="EL344">IFERROR(INDEX(TABLACONSOLIDADA[Inv Fís Act],MATCH("AGROINSUMOSLAFINCA"&amp;Tabla_Buffers_Agroinsumos[[#This Row],[CODIGO ]],TABLACONSOLIDADA[Bodega]&amp;TABLACONSOLIDADA[Codigo],0)),"")</f>
        <v>0</v>
      </c>
      <c r="EM344" s="157">
        <f t="array" ref="EM34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4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44" s="134">
        <f>IFERROR(SUM(Tabla_Buffers_Agroinsumos[[#This Row],[LF-MP]:[LF-VL]]),"")</f>
        <v>0</v>
      </c>
      <c r="EP344" s="92">
        <f>IFERROR(Tabla_Buffers_Agroinsumos[[#This Row],[INV FIS LF]]-Tabla_Buffers_Agroinsumos[[#This Row],[BUFFER LF]],"")</f>
        <v>0</v>
      </c>
      <c r="EQ344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44" s="134"/>
      <c r="ES344" s="134"/>
      <c r="ET344" s="134"/>
      <c r="EU344" s="134"/>
      <c r="EV344" s="134"/>
      <c r="EW344" s="134"/>
      <c r="EX344" s="134"/>
      <c r="EY344" s="134"/>
      <c r="EZ344" s="134"/>
      <c r="FA344" s="134">
        <f t="array" ref="FA344">IFERROR(INDEX(TABLACONSOLIDADA[Buff Act],MATCH("AGROINSUMOSVERONICALEDESMA"&amp;Tabla_Buffers_Agroinsumos[[#This Row],[CODIGO ]],TABLACONSOLIDADA[Bodega]&amp;TABLACONSOLIDADA[Codigo],0)),"")</f>
        <v>0</v>
      </c>
      <c r="FB344" s="157">
        <f t="array" ref="FB344">IFERROR(INDEX(TABLACONSOLIDADA[Inv Fís Act],MATCH("AGROINSUMOSVERONICALEDESMA"&amp;Tabla_Buffers_Agroinsumos[[#This Row],[CODIGO ]],TABLACONSOLIDADA[Bodega]&amp;TABLACONSOLIDADA[Codigo],0)),"")</f>
        <v>0</v>
      </c>
      <c r="FC344" s="157">
        <f t="array" ref="FC34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4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44" s="134">
        <f>IFERROR(SUM(Tabla_Buffers_Agroinsumos[[#This Row],[VL-MP]:[VL-LF]]),"")</f>
        <v>0</v>
      </c>
      <c r="FF344" s="92">
        <f>IFERROR(Tabla_Buffers_Agroinsumos[[#This Row],[INV FIS VL]]-Tabla_Buffers_Agroinsumos[[#This Row],[BUFFER VL]],"")</f>
        <v>0</v>
      </c>
      <c r="FG344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44" s="134"/>
      <c r="FI344" s="134"/>
      <c r="FJ344" s="134"/>
      <c r="FK344" s="134"/>
      <c r="FL344" s="134"/>
      <c r="FM344" s="134"/>
      <c r="FN344" s="134"/>
      <c r="FO344" s="134"/>
      <c r="FP344" s="134"/>
    </row>
    <row r="345" spans="1:172">
      <c r="A345" s="7" t="s">
        <v>838</v>
      </c>
      <c r="B345" s="7" t="s">
        <v>889</v>
      </c>
      <c r="C345" s="7" t="s">
        <v>707</v>
      </c>
      <c r="D345" s="7" t="s">
        <v>717</v>
      </c>
      <c r="E345" s="7" t="s">
        <v>863</v>
      </c>
      <c r="F345" s="19"/>
      <c r="G345" s="19" t="s">
        <v>802</v>
      </c>
      <c r="H345" s="19">
        <f>VLOOKUP(Tabla_Buffers_Agroinsumos[[#This Row],[CODIGO ]],TABLACONSOLIDADA[[Codigo]:[PV]],6,0)</f>
        <v>0</v>
      </c>
      <c r="I345" s="19">
        <f>VLOOKUP(Tabla_Buffers_Agroinsumos[[#This Row],[CODIGO ]],TABLACONSOLIDADA[[Codigo]:[PV]],5,0)</f>
        <v>3</v>
      </c>
      <c r="J345" s="19">
        <v>4</v>
      </c>
      <c r="K345" s="19">
        <v>4</v>
      </c>
      <c r="L345" s="19">
        <f>IFERROR(Tabla_Buffers_Agroinsumos[[#This Row],[BUFFER CENTRAL]]/((Tabla_Buffers_Agroinsumos[[#This Row],[TIEMPO REPOSICION ]]/Tabla_Buffers_Agroinsumos[[#This Row],[FRECUENCIA]])+1),0)</f>
        <v>0</v>
      </c>
      <c r="M345" s="19">
        <f t="array" ref="M345">IFERROR(INDEX(TABLACONSOLIDADA[Buff Act],MATCH("AGROINSUMOSMATERIAPRIMA"&amp;Tabla_Buffers_Agroinsumos[[#This Row],[CODIGO ]],TABLACONSOLIDADA[Bodega]&amp;TABLACONSOLIDADA[Codigo],0)),"")</f>
        <v>500</v>
      </c>
      <c r="N345" s="157">
        <f t="array" ref="N345">IFERROR(INDEX(TABLACONSOLIDADA[Inv Fís Act],MATCH("AGROINSUMOSMATERIAPRIMA"&amp;Tabla_Buffers_Agroinsumos[[#This Row],[CODIGO ]],TABLACONSOLIDADA[Bodega]&amp;TABLACONSOLIDADA[Codigo],0)),"")</f>
        <v>1661</v>
      </c>
      <c r="O345" s="157">
        <f t="array" ref="O34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1661</v>
      </c>
      <c r="P34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45" s="19">
        <f>IFERROR(SUM(Tabla_Buffers_Agroinsumos[[#This Row],[MP-C]:[MP-VL]]),"")</f>
        <v>0</v>
      </c>
      <c r="R345" s="92">
        <f>IFERROR(Tabla_Buffers_Agroinsumos[[#This Row],[INV FIS MATERIA PRIMA]]-Tabla_Buffers_Agroinsumos[[#This Row],[BUFFER MATERIA PRIMA]],"")</f>
        <v>1161</v>
      </c>
      <c r="S34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1161</v>
      </c>
      <c r="T345" s="19"/>
      <c r="U345" s="19"/>
      <c r="V345" s="19"/>
      <c r="W345" s="19"/>
      <c r="X345" s="19"/>
      <c r="Y345" s="19"/>
      <c r="Z345" s="19"/>
      <c r="AA345" s="19"/>
      <c r="AB345" s="19"/>
      <c r="AC345" s="152" t="str">
        <f t="array" ref="AC345">IFERROR(INDEX(TABLACONSOLIDADA[Buff Act],MATCH("AGROINSUMOSCENTRAL"&amp;Tabla_Buffers_Agroinsumos[[#This Row],[CODIGO ]],TABLACONSOLIDADA[Bodega]&amp;TABLACONSOLIDADA[Codigo],0)),"")</f>
        <v/>
      </c>
      <c r="AD345" s="157" t="str">
        <f t="array" ref="AD345">IFERROR(INDEX(TABLACONSOLIDADA[Inv Fís Act],MATCH("AGROINSUMOSCENTRAL"&amp;Tabla_Buffers_Agroinsumos[[#This Row],[CODIGO ]],TABLACONSOLIDADA[Bodega]&amp;TABLACONSOLIDADA[Codigo],0)),"")</f>
        <v/>
      </c>
      <c r="AE345" s="157" t="str">
        <f t="array" ref="AE34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4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45" s="91">
        <f>IFERROR(SUM(Tabla_Buffers_Agroinsumos[[#This Row],[C-MP]:[C-VL]]),"")</f>
        <v>0</v>
      </c>
      <c r="AH345" s="92" t="str">
        <f>IFERROR(Tabla_Buffers_Agroinsumos[[#This Row],[INV FIS CENTRAL]]-Tabla_Buffers_Agroinsumos[[#This Row],[BUFFER CENTRAL]],"")</f>
        <v/>
      </c>
      <c r="AI34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45" s="134"/>
      <c r="AK345" s="134"/>
      <c r="AL345" s="134"/>
      <c r="AM345" s="134"/>
      <c r="AN345" s="134"/>
      <c r="AO345" s="134"/>
      <c r="AP345" s="134"/>
      <c r="AQ345" s="134"/>
      <c r="AR345" s="134"/>
      <c r="AS345" s="134" t="str">
        <f t="array" ref="AS345">IFERROR(INDEX(TABLACONSOLIDADA[Buff Act],MATCH("AGROINSUMOScentralPROPIA"&amp;Tabla_Buffers_Agroinsumos[[#This Row],[CODIGO ]],TABLACONSOLIDADA[Bodega]&amp;TABLACONSOLIDADA[Codigo],0)),"")</f>
        <v/>
      </c>
      <c r="AT345" s="157" t="str">
        <f t="array" ref="AT345">IFERROR(INDEX(TABLACONSOLIDADA[Inv Fís Act],MATCH("AGROINSUMOScentralPROPIA"&amp;Tabla_Buffers_Agroinsumos[[#This Row],[CODIGO ]],TABLACONSOLIDADA[Bodega]&amp;TABLACONSOLIDADA[Codigo],0)),"")</f>
        <v/>
      </c>
      <c r="AU345" s="157" t="str">
        <f t="array" ref="AU34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4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45" s="134">
        <f>IFERROR(SUM(Tabla_Buffers_Agroinsumos[[#This Row],[P-MP]:[P-VL]]),"")</f>
        <v>0</v>
      </c>
      <c r="AX345" s="92" t="str">
        <f>IFERROR(Tabla_Buffers_Agroinsumos[[#This Row],[INV FIS PROPIA]]-Tabla_Buffers_Agroinsumos[[#This Row],[BUFFER PROPIA]],"")</f>
        <v/>
      </c>
      <c r="AY34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45" s="134"/>
      <c r="BA345" s="134"/>
      <c r="BB345" s="134"/>
      <c r="BC345" s="134"/>
      <c r="BD345" s="134"/>
      <c r="BE345" s="134"/>
      <c r="BF345" s="134"/>
      <c r="BG345" s="134"/>
      <c r="BH345" s="134"/>
      <c r="BI345" s="91" t="str">
        <f t="array" ref="BI345">IFERROR(INDEX(TABLACONSOLIDADA[Buff Act],MATCH("AGROINSUMOSSTODOMINGO"&amp;Tabla_Buffers_Agroinsumos[[#This Row],[CODIGO ]],TABLACONSOLIDADA[Bodega]&amp;TABLACONSOLIDADA[Codigo],0)),"")</f>
        <v/>
      </c>
      <c r="BJ345" s="157" t="str">
        <f t="array" ref="BJ345">IFERROR(INDEX(TABLACONSOLIDADA[Inv Fís Act],MATCH("AGROINSUMOSSTODOMINGO"&amp;Tabla_Buffers_Agroinsumos[[#This Row],[CODIGO ]],TABLACONSOLIDADA[Bodega]&amp;TABLACONSOLIDADA[Codigo],0)),"")</f>
        <v/>
      </c>
      <c r="BK345" s="157" t="str">
        <f t="array" ref="BK34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4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45" s="91">
        <f>IFERROR(SUM(Tabla_Buffers_Agroinsumos[[#This Row],[SD-MP]:[SD-VL]]),"")</f>
        <v>0</v>
      </c>
      <c r="BN345" s="92"/>
      <c r="BO345" s="92"/>
      <c r="BP345" s="134"/>
      <c r="BQ345" s="134"/>
      <c r="BR345" s="134"/>
      <c r="BS345" s="134"/>
      <c r="BT345" s="134"/>
      <c r="BU345" s="134"/>
      <c r="BV345" s="134"/>
      <c r="BW345" s="134"/>
      <c r="BX345" s="134"/>
      <c r="BY345" s="134" t="str">
        <f t="array" ref="BY345">IFERROR(INDEX(TABLACONSOLIDADA[Buff Act],MATCH("AGROINSUMOSMONCAYOLOPEZ"&amp;Tabla_Buffers_Agroinsumos[[#This Row],[CODIGO ]],TABLACONSOLIDADA[Bodega]&amp;TABLACONSOLIDADA[Codigo],0)),"")</f>
        <v/>
      </c>
      <c r="BZ345" s="157" t="str">
        <f t="array" ref="BZ345">IFERROR(INDEX(TABLACONSOLIDADA[Inv Fís Act],MATCH("AGROINSUMOSMONCAYOLOPEZ"&amp;Tabla_Buffers_Agroinsumos[[#This Row],[CODIGO ]],TABLACONSOLIDADA[Bodega]&amp;TABLACONSOLIDADA[Codigo],0)),"")</f>
        <v/>
      </c>
      <c r="CA345" s="157" t="str">
        <f t="array" ref="CA34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4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45" s="134">
        <f>IFERROR(SUM(Tabla_Buffers_Agroinsumos[[#This Row],[ML-MP]:[ML-VL]]),"")</f>
        <v>0</v>
      </c>
      <c r="CD345" s="92" t="str">
        <f>IFERROR(Tabla_Buffers_Agroinsumos[[#This Row],[INV FIS ML]]-Tabla_Buffers_Agroinsumos[[#This Row],[BUFFER ML]],"")</f>
        <v/>
      </c>
      <c r="CE34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45" s="134"/>
      <c r="CG345" s="134"/>
      <c r="CH345" s="134"/>
      <c r="CI345" s="134"/>
      <c r="CJ345" s="134"/>
      <c r="CK345" s="134"/>
      <c r="CL345" s="134"/>
      <c r="CM345" s="134"/>
      <c r="CN345" s="134"/>
      <c r="CO345" s="134" t="str">
        <f t="array" ref="CO345">IFERROR(INDEX(TABLACONSOLIDADA[Buff Act],MATCH("AGROINSUMOSAGROHERMANOSLEON"&amp;Tabla_Buffers_Agroinsumos[[#This Row],[CODIGO ]],TABLACONSOLIDADA[Bodega]&amp;TABLACONSOLIDADA[Codigo],0)),"")</f>
        <v/>
      </c>
      <c r="CP345" s="157" t="str">
        <f t="array" ref="CP345">IFERROR(INDEX(TABLACONSOLIDADA[Inv Fís Act],MATCH("AGROINSUMOSAGROHERMANOSLEON"&amp;Tabla_Buffers_Agroinsumos[[#This Row],[CODIGO ]],TABLACONSOLIDADA[Bodega]&amp;TABLACONSOLIDADA[Codigo],0)),"")</f>
        <v/>
      </c>
      <c r="CQ345" s="157" t="str">
        <f t="array" ref="CQ34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4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45" s="134">
        <f>IFERROR(SUM(Tabla_Buffers_Agroinsumos[[#This Row],[AL-MP]:[AL-VL]]),"")</f>
        <v>0</v>
      </c>
      <c r="CT345" s="92" t="str">
        <f>IFERROR(Tabla_Buffers_Agroinsumos[[#This Row],[INV FIS AL]]-Tabla_Buffers_Agroinsumos[[#This Row],[BUFFER AL]],"")</f>
        <v/>
      </c>
      <c r="CU34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45" s="134"/>
      <c r="CW345" s="134"/>
      <c r="CX345" s="134"/>
      <c r="CY345" s="134"/>
      <c r="CZ345" s="134"/>
      <c r="DA345" s="134"/>
      <c r="DB345" s="134"/>
      <c r="DC345" s="134"/>
      <c r="DD345" s="134"/>
      <c r="DE345" s="134" t="str">
        <f t="array" ref="DE345">IFERROR(INDEX(TABLACONSOLIDADA[Buff Act],MATCH("AGROINSUMOSAGRONUEVO"&amp;Tabla_Buffers_Agroinsumos[[#This Row],[CODIGO ]],TABLACONSOLIDADA[Bodega]&amp;TABLACONSOLIDADA[Codigo],0)),"")</f>
        <v/>
      </c>
      <c r="DF345" s="157" t="str">
        <f t="array" ref="DF345">IFERROR(INDEX(TABLACONSOLIDADA[Inv Fís Act],MATCH("AGROINSUMOSAGRONUEVO"&amp;Tabla_Buffers_Agroinsumos[[#This Row],[CODIGO ]],TABLACONSOLIDADA[Bodega]&amp;TABLACONSOLIDADA[Codigo],0)),"")</f>
        <v/>
      </c>
      <c r="DG345" s="157" t="str">
        <f t="array" ref="DG34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4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45" s="134">
        <f>IFERROR(SUM(Tabla_Buffers_Agroinsumos[[#This Row],[AN-MP]:[AN-VL]]),"")</f>
        <v>0</v>
      </c>
      <c r="DJ345" s="92" t="str">
        <f>IFERROR(Tabla_Buffers_Agroinsumos[[#This Row],[INV FIS AN]]-Tabla_Buffers_Agroinsumos[[#This Row],[BUFFER AN]],"")</f>
        <v/>
      </c>
      <c r="DK34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45" s="134"/>
      <c r="DM345" s="134"/>
      <c r="DN345" s="134"/>
      <c r="DO345" s="134"/>
      <c r="DP345" s="134"/>
      <c r="DQ345" s="134"/>
      <c r="DR345" s="134"/>
      <c r="DS345" s="134"/>
      <c r="DT345" s="134"/>
      <c r="DU345" s="134" t="str">
        <f t="array" ref="DU345">IFERROR(INDEX(TABLACONSOLIDADA[Buff Act],MATCH("AGROINSUMOSAGROQUIMICOSSUR"&amp;Tabla_Buffers_Agroinsumos[[#This Row],[CODIGO ]],TABLACONSOLIDADA[Bodega]&amp;TABLACONSOLIDADA[Codigo],0)),"")</f>
        <v/>
      </c>
      <c r="DV345" s="157" t="str">
        <f t="array" ref="DV345">IFERROR(INDEX(TABLACONSOLIDADA[Inv Fís Act],MATCH("AGROINSUMOSAGROQUIMICOSSUR"&amp;Tabla_Buffers_Agroinsumos[[#This Row],[CODIGO ]],TABLACONSOLIDADA[Bodega]&amp;TABLACONSOLIDADA[Codigo],0)),"")</f>
        <v/>
      </c>
      <c r="DW345" s="157" t="str">
        <f t="array" ref="DW34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4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45" s="134">
        <f>IFERROR(SUM(Tabla_Buffers_Agroinsumos[[#This Row],[AS-MP]:[AS-VL]]),"")</f>
        <v>0</v>
      </c>
      <c r="DZ345" s="92" t="str">
        <f>IFERROR(Tabla_Buffers_Agroinsumos[[#This Row],[INV FIS AS]]-Tabla_Buffers_Agroinsumos[[#This Row],[BUFFER AS]],"")</f>
        <v/>
      </c>
      <c r="EA34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45" s="134"/>
      <c r="EC345" s="134"/>
      <c r="ED345" s="134"/>
      <c r="EE345" s="134"/>
      <c r="EF345" s="134"/>
      <c r="EG345" s="134"/>
      <c r="EH345" s="134"/>
      <c r="EI345" s="134"/>
      <c r="EJ345" s="134"/>
      <c r="EK345" s="134" t="str">
        <f t="array" ref="EK345">IFERROR(INDEX(TABLACONSOLIDADA[Buff Act],MATCH("AGROINSUMOSLAFINCA"&amp;Tabla_Buffers_Agroinsumos[[#This Row],[CODIGO ]],TABLACONSOLIDADA[Bodega]&amp;TABLACONSOLIDADA[Codigo],0)),"")</f>
        <v/>
      </c>
      <c r="EL345" s="157" t="str">
        <f t="array" ref="EL345">IFERROR(INDEX(TABLACONSOLIDADA[Inv Fís Act],MATCH("AGROINSUMOSLAFINCA"&amp;Tabla_Buffers_Agroinsumos[[#This Row],[CODIGO ]],TABLACONSOLIDADA[Bodega]&amp;TABLACONSOLIDADA[Codigo],0)),"")</f>
        <v/>
      </c>
      <c r="EM345" s="157" t="str">
        <f t="array" ref="EM34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4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45" s="134">
        <f>IFERROR(SUM(Tabla_Buffers_Agroinsumos[[#This Row],[LF-MP]:[LF-VL]]),"")</f>
        <v>0</v>
      </c>
      <c r="EP345" s="92" t="str">
        <f>IFERROR(Tabla_Buffers_Agroinsumos[[#This Row],[INV FIS LF]]-Tabla_Buffers_Agroinsumos[[#This Row],[BUFFER LF]],"")</f>
        <v/>
      </c>
      <c r="EQ34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45" s="134"/>
      <c r="ES345" s="134"/>
      <c r="ET345" s="134"/>
      <c r="EU345" s="134"/>
      <c r="EV345" s="134"/>
      <c r="EW345" s="134"/>
      <c r="EX345" s="134"/>
      <c r="EY345" s="134"/>
      <c r="EZ345" s="134"/>
      <c r="FA345" s="134" t="str">
        <f t="array" ref="FA345">IFERROR(INDEX(TABLACONSOLIDADA[Buff Act],MATCH("AGROINSUMOSVERONICALEDESMA"&amp;Tabla_Buffers_Agroinsumos[[#This Row],[CODIGO ]],TABLACONSOLIDADA[Bodega]&amp;TABLACONSOLIDADA[Codigo],0)),"")</f>
        <v/>
      </c>
      <c r="FB345" s="157" t="str">
        <f t="array" ref="FB345">IFERROR(INDEX(TABLACONSOLIDADA[Inv Fís Act],MATCH("AGROINSUMOSVERONICALEDESMA"&amp;Tabla_Buffers_Agroinsumos[[#This Row],[CODIGO ]],TABLACONSOLIDADA[Bodega]&amp;TABLACONSOLIDADA[Codigo],0)),"")</f>
        <v/>
      </c>
      <c r="FC345" s="157" t="str">
        <f t="array" ref="FC34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4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45" s="134">
        <f>IFERROR(SUM(Tabla_Buffers_Agroinsumos[[#This Row],[VL-MP]:[VL-LF]]),"")</f>
        <v>0</v>
      </c>
      <c r="FF345" s="92" t="str">
        <f>IFERROR(Tabla_Buffers_Agroinsumos[[#This Row],[INV FIS VL]]-Tabla_Buffers_Agroinsumos[[#This Row],[BUFFER VL]],"")</f>
        <v/>
      </c>
      <c r="FG34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45" s="134"/>
      <c r="FI345" s="134"/>
      <c r="FJ345" s="134"/>
      <c r="FK345" s="134"/>
      <c r="FL345" s="134"/>
      <c r="FM345" s="134"/>
      <c r="FN345" s="134"/>
      <c r="FO345" s="134"/>
      <c r="FP345" s="134"/>
    </row>
    <row r="346" spans="1:172">
      <c r="A346" s="7" t="s">
        <v>584</v>
      </c>
      <c r="B346" s="7" t="s">
        <v>585</v>
      </c>
      <c r="C346" s="7" t="s">
        <v>707</v>
      </c>
      <c r="D346" s="7" t="s">
        <v>715</v>
      </c>
      <c r="E346" s="7" t="s">
        <v>975</v>
      </c>
      <c r="F346" s="19" t="s">
        <v>698</v>
      </c>
      <c r="G346" s="19" t="s">
        <v>698</v>
      </c>
      <c r="H346" s="19">
        <f>VLOOKUP(Tabla_Buffers_Agroinsumos[[#This Row],[CODIGO ]],TABLACONSOLIDADA[[Codigo]:[PV]],6,0)</f>
        <v>19.95</v>
      </c>
      <c r="I346" s="19">
        <f>VLOOKUP(Tabla_Buffers_Agroinsumos[[#This Row],[CODIGO ]],TABLACONSOLIDADA[[Codigo]:[PV]],5,0)</f>
        <v>4.09</v>
      </c>
      <c r="J346" s="19" t="s">
        <v>698</v>
      </c>
      <c r="K346" s="19" t="s">
        <v>698</v>
      </c>
      <c r="L346" s="19">
        <f>IFERROR(Tabla_Buffers_Agroinsumos[[#This Row],[BUFFER CENTRAL]]/((Tabla_Buffers_Agroinsumos[[#This Row],[TIEMPO REPOSICION ]]/Tabla_Buffers_Agroinsumos[[#This Row],[FRECUENCIA]])+1),0)</f>
        <v>0</v>
      </c>
      <c r="M346" s="19" t="str">
        <f t="array" ref="M346">IFERROR(INDEX(TABLACONSOLIDADA[Buff Act],MATCH("AGROINSUMOSMATERIAPRIMA"&amp;Tabla_Buffers_Agroinsumos[[#This Row],[CODIGO ]],TABLACONSOLIDADA[Bodega]&amp;TABLACONSOLIDADA[Codigo],0)),"")</f>
        <v/>
      </c>
      <c r="N346" s="157" t="str">
        <f t="array" ref="N346">IFERROR(INDEX(TABLACONSOLIDADA[Inv Fís Act],MATCH("AGROINSUMOSMATERIAPRIMA"&amp;Tabla_Buffers_Agroinsumos[[#This Row],[CODIGO ]],TABLACONSOLIDADA[Bodega]&amp;TABLACONSOLIDADA[Codigo],0)),"")</f>
        <v/>
      </c>
      <c r="O346" s="157" t="str">
        <f t="array" ref="O34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4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46" s="19">
        <f>IFERROR(SUM(Tabla_Buffers_Agroinsumos[[#This Row],[MP-C]:[MP-VL]]),"")</f>
        <v>0</v>
      </c>
      <c r="R346" s="92" t="str">
        <f>IFERROR(Tabla_Buffers_Agroinsumos[[#This Row],[INV FIS MATERIA PRIMA]]-Tabla_Buffers_Agroinsumos[[#This Row],[BUFFER MATERIA PRIMA]],"")</f>
        <v/>
      </c>
      <c r="S34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46" s="19"/>
      <c r="U346" s="19"/>
      <c r="V346" s="19"/>
      <c r="W346" s="19"/>
      <c r="X346" s="19"/>
      <c r="Y346" s="19"/>
      <c r="Z346" s="19"/>
      <c r="AA346" s="19"/>
      <c r="AB346" s="19"/>
      <c r="AC346" s="152">
        <f t="array" ref="AC346">IFERROR(INDEX(TABLACONSOLIDADA[Buff Act],MATCH("AGROINSUMOSCENTRAL"&amp;Tabla_Buffers_Agroinsumos[[#This Row],[CODIGO ]],TABLACONSOLIDADA[Bodega]&amp;TABLACONSOLIDADA[Codigo],0)),"")</f>
        <v>300</v>
      </c>
      <c r="AD346" s="157">
        <f t="array" ref="AD346">IFERROR(INDEX(TABLACONSOLIDADA[Inv Fís Act],MATCH("AGROINSUMOSCENTRAL"&amp;Tabla_Buffers_Agroinsumos[[#This Row],[CODIGO ]],TABLACONSOLIDADA[Bodega]&amp;TABLACONSOLIDADA[Codigo],0)),"")</f>
        <v>458</v>
      </c>
      <c r="AE346" s="157">
        <f t="array" ref="AE34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458</v>
      </c>
      <c r="AF34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46" s="91">
        <f>IFERROR(SUM(Tabla_Buffers_Agroinsumos[[#This Row],[C-MP]:[C-VL]]),"")</f>
        <v>0</v>
      </c>
      <c r="AH346" s="92">
        <f>IFERROR(Tabla_Buffers_Agroinsumos[[#This Row],[INV FIS CENTRAL]]-Tabla_Buffers_Agroinsumos[[#This Row],[BUFFER CENTRAL]],"")</f>
        <v>158</v>
      </c>
      <c r="AI346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158</v>
      </c>
      <c r="AJ346" s="134"/>
      <c r="AK346" s="134"/>
      <c r="AL346" s="134"/>
      <c r="AM346" s="134"/>
      <c r="AN346" s="134"/>
      <c r="AO346" s="134"/>
      <c r="AP346" s="134"/>
      <c r="AQ346" s="134"/>
      <c r="AR346" s="134"/>
      <c r="AS346" s="134">
        <f t="array" ref="AS346">IFERROR(INDEX(TABLACONSOLIDADA[Buff Act],MATCH("AGROINSUMOScentralPROPIA"&amp;Tabla_Buffers_Agroinsumos[[#This Row],[CODIGO ]],TABLACONSOLIDADA[Bodega]&amp;TABLACONSOLIDADA[Codigo],0)),"")</f>
        <v>120</v>
      </c>
      <c r="AT346" s="157">
        <f t="array" ref="AT346">IFERROR(INDEX(TABLACONSOLIDADA[Inv Fís Act],MATCH("AGROINSUMOScentralPROPIA"&amp;Tabla_Buffers_Agroinsumos[[#This Row],[CODIGO ]],TABLACONSOLIDADA[Bodega]&amp;TABLACONSOLIDADA[Codigo],0)),"")</f>
        <v>0</v>
      </c>
      <c r="AU346" s="157">
        <f t="array" ref="AU34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4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46" s="134">
        <f>IFERROR(SUM(Tabla_Buffers_Agroinsumos[[#This Row],[P-MP]:[P-VL]]),"")</f>
        <v>0</v>
      </c>
      <c r="AX346" s="92">
        <f>IFERROR(Tabla_Buffers_Agroinsumos[[#This Row],[INV FIS PROPIA]]-Tabla_Buffers_Agroinsumos[[#This Row],[BUFFER PROPIA]],"")</f>
        <v>-120</v>
      </c>
      <c r="AY346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-120</v>
      </c>
      <c r="AZ346" s="134"/>
      <c r="BA346" s="134"/>
      <c r="BB346" s="134"/>
      <c r="BC346" s="134"/>
      <c r="BD346" s="134"/>
      <c r="BE346" s="134"/>
      <c r="BF346" s="134"/>
      <c r="BG346" s="134"/>
      <c r="BH346" s="134"/>
      <c r="BI346" s="91">
        <f t="array" ref="BI346">IFERROR(INDEX(TABLACONSOLIDADA[Buff Act],MATCH("AGROINSUMOSSTODOMINGO"&amp;Tabla_Buffers_Agroinsumos[[#This Row],[CODIGO ]],TABLACONSOLIDADA[Bodega]&amp;TABLACONSOLIDADA[Codigo],0)),"")</f>
        <v>0</v>
      </c>
      <c r="BJ346" s="157">
        <f t="array" ref="BJ346">IFERROR(INDEX(TABLACONSOLIDADA[Inv Fís Act],MATCH("AGROINSUMOSSTODOMINGO"&amp;Tabla_Buffers_Agroinsumos[[#This Row],[CODIGO ]],TABLACONSOLIDADA[Bodega]&amp;TABLACONSOLIDADA[Codigo],0)),"")</f>
        <v>15</v>
      </c>
      <c r="BK346" s="157">
        <f t="array" ref="BK34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15</v>
      </c>
      <c r="BL34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46" s="91">
        <f>IFERROR(SUM(Tabla_Buffers_Agroinsumos[[#This Row],[SD-MP]:[SD-VL]]),"")</f>
        <v>0</v>
      </c>
      <c r="BN346" s="92"/>
      <c r="BO346" s="92"/>
      <c r="BP346" s="134"/>
      <c r="BQ346" s="134"/>
      <c r="BR346" s="134"/>
      <c r="BS346" s="134"/>
      <c r="BT346" s="134"/>
      <c r="BU346" s="134"/>
      <c r="BV346" s="134"/>
      <c r="BW346" s="134"/>
      <c r="BX346" s="134"/>
      <c r="BY346" s="134">
        <f t="array" ref="BY346">IFERROR(INDEX(TABLACONSOLIDADA[Buff Act],MATCH("AGROINSUMOSMONCAYOLOPEZ"&amp;Tabla_Buffers_Agroinsumos[[#This Row],[CODIGO ]],TABLACONSOLIDADA[Bodega]&amp;TABLACONSOLIDADA[Codigo],0)),"")</f>
        <v>0</v>
      </c>
      <c r="BZ346" s="157">
        <f t="array" ref="BZ346">IFERROR(INDEX(TABLACONSOLIDADA[Inv Fís Act],MATCH("AGROINSUMOSMONCAYOLOPEZ"&amp;Tabla_Buffers_Agroinsumos[[#This Row],[CODIGO ]],TABLACONSOLIDADA[Bodega]&amp;TABLACONSOLIDADA[Codigo],0)),"")</f>
        <v>0</v>
      </c>
      <c r="CA346" s="157">
        <f t="array" ref="CA34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4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46" s="134">
        <f>IFERROR(SUM(Tabla_Buffers_Agroinsumos[[#This Row],[ML-MP]:[ML-VL]]),"")</f>
        <v>0</v>
      </c>
      <c r="CD346" s="92">
        <f>IFERROR(Tabla_Buffers_Agroinsumos[[#This Row],[INV FIS ML]]-Tabla_Buffers_Agroinsumos[[#This Row],[BUFFER ML]],"")</f>
        <v>0</v>
      </c>
      <c r="CE346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46" s="134"/>
      <c r="CG346" s="134"/>
      <c r="CH346" s="134"/>
      <c r="CI346" s="134"/>
      <c r="CJ346" s="134"/>
      <c r="CK346" s="134"/>
      <c r="CL346" s="134"/>
      <c r="CM346" s="134"/>
      <c r="CN346" s="134"/>
      <c r="CO346" s="134">
        <f t="array" ref="CO346">IFERROR(INDEX(TABLACONSOLIDADA[Buff Act],MATCH("AGROINSUMOSAGROHERMANOSLEON"&amp;Tabla_Buffers_Agroinsumos[[#This Row],[CODIGO ]],TABLACONSOLIDADA[Bodega]&amp;TABLACONSOLIDADA[Codigo],0)),"")</f>
        <v>0</v>
      </c>
      <c r="CP346" s="157">
        <f t="array" ref="CP346">IFERROR(INDEX(TABLACONSOLIDADA[Inv Fís Act],MATCH("AGROINSUMOSAGROHERMANOSLEON"&amp;Tabla_Buffers_Agroinsumos[[#This Row],[CODIGO ]],TABLACONSOLIDADA[Bodega]&amp;TABLACONSOLIDADA[Codigo],0)),"")</f>
        <v>0</v>
      </c>
      <c r="CQ346" s="157">
        <f t="array" ref="CQ34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4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46" s="134">
        <f>IFERROR(SUM(Tabla_Buffers_Agroinsumos[[#This Row],[AL-MP]:[AL-VL]]),"")</f>
        <v>0</v>
      </c>
      <c r="CT346" s="92">
        <f>IFERROR(Tabla_Buffers_Agroinsumos[[#This Row],[INV FIS AL]]-Tabla_Buffers_Agroinsumos[[#This Row],[BUFFER AL]],"")</f>
        <v>0</v>
      </c>
      <c r="CU346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46" s="134"/>
      <c r="CW346" s="134"/>
      <c r="CX346" s="134"/>
      <c r="CY346" s="134"/>
      <c r="CZ346" s="134"/>
      <c r="DA346" s="134"/>
      <c r="DB346" s="134"/>
      <c r="DC346" s="134"/>
      <c r="DD346" s="134"/>
      <c r="DE346" s="134">
        <f t="array" ref="DE346">IFERROR(INDEX(TABLACONSOLIDADA[Buff Act],MATCH("AGROINSUMOSAGRONUEVO"&amp;Tabla_Buffers_Agroinsumos[[#This Row],[CODIGO ]],TABLACONSOLIDADA[Bodega]&amp;TABLACONSOLIDADA[Codigo],0)),"")</f>
        <v>0</v>
      </c>
      <c r="DF346" s="157">
        <f t="array" ref="DF346">IFERROR(INDEX(TABLACONSOLIDADA[Inv Fís Act],MATCH("AGROINSUMOSAGRONUEVO"&amp;Tabla_Buffers_Agroinsumos[[#This Row],[CODIGO ]],TABLACONSOLIDADA[Bodega]&amp;TABLACONSOLIDADA[Codigo],0)),"")</f>
        <v>0</v>
      </c>
      <c r="DG346" s="157">
        <f t="array" ref="DG34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4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46" s="134">
        <f>IFERROR(SUM(Tabla_Buffers_Agroinsumos[[#This Row],[AN-MP]:[AN-VL]]),"")</f>
        <v>0</v>
      </c>
      <c r="DJ346" s="92">
        <f>IFERROR(Tabla_Buffers_Agroinsumos[[#This Row],[INV FIS AN]]-Tabla_Buffers_Agroinsumos[[#This Row],[BUFFER AN]],"")</f>
        <v>0</v>
      </c>
      <c r="DK346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46" s="134"/>
      <c r="DM346" s="134"/>
      <c r="DN346" s="134"/>
      <c r="DO346" s="134"/>
      <c r="DP346" s="134"/>
      <c r="DQ346" s="134"/>
      <c r="DR346" s="134"/>
      <c r="DS346" s="134"/>
      <c r="DT346" s="134"/>
      <c r="DU346" s="134">
        <f t="array" ref="DU346">IFERROR(INDEX(TABLACONSOLIDADA[Buff Act],MATCH("AGROINSUMOSAGROQUIMICOSSUR"&amp;Tabla_Buffers_Agroinsumos[[#This Row],[CODIGO ]],TABLACONSOLIDADA[Bodega]&amp;TABLACONSOLIDADA[Codigo],0)),"")</f>
        <v>0</v>
      </c>
      <c r="DV346" s="157">
        <f t="array" ref="DV346">IFERROR(INDEX(TABLACONSOLIDADA[Inv Fís Act],MATCH("AGROINSUMOSAGROQUIMICOSSUR"&amp;Tabla_Buffers_Agroinsumos[[#This Row],[CODIGO ]],TABLACONSOLIDADA[Bodega]&amp;TABLACONSOLIDADA[Codigo],0)),"")</f>
        <v>0</v>
      </c>
      <c r="DW346" s="157">
        <f t="array" ref="DW34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4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46" s="134">
        <f>IFERROR(SUM(Tabla_Buffers_Agroinsumos[[#This Row],[AS-MP]:[AS-VL]]),"")</f>
        <v>0</v>
      </c>
      <c r="DZ346" s="92">
        <f>IFERROR(Tabla_Buffers_Agroinsumos[[#This Row],[INV FIS AS]]-Tabla_Buffers_Agroinsumos[[#This Row],[BUFFER AS]],"")</f>
        <v>0</v>
      </c>
      <c r="EA346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46" s="134"/>
      <c r="EC346" s="134"/>
      <c r="ED346" s="134"/>
      <c r="EE346" s="134"/>
      <c r="EF346" s="134"/>
      <c r="EG346" s="134"/>
      <c r="EH346" s="134"/>
      <c r="EI346" s="134"/>
      <c r="EJ346" s="134"/>
      <c r="EK346" s="134">
        <f t="array" ref="EK346">IFERROR(INDEX(TABLACONSOLIDADA[Buff Act],MATCH("AGROINSUMOSLAFINCA"&amp;Tabla_Buffers_Agroinsumos[[#This Row],[CODIGO ]],TABLACONSOLIDADA[Bodega]&amp;TABLACONSOLIDADA[Codigo],0)),"")</f>
        <v>0</v>
      </c>
      <c r="EL346" s="157">
        <f t="array" ref="EL346">IFERROR(INDEX(TABLACONSOLIDADA[Inv Fís Act],MATCH("AGROINSUMOSLAFINCA"&amp;Tabla_Buffers_Agroinsumos[[#This Row],[CODIGO ]],TABLACONSOLIDADA[Bodega]&amp;TABLACONSOLIDADA[Codigo],0)),"")</f>
        <v>0</v>
      </c>
      <c r="EM346" s="157">
        <f t="array" ref="EM34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4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46" s="134">
        <f>IFERROR(SUM(Tabla_Buffers_Agroinsumos[[#This Row],[LF-MP]:[LF-VL]]),"")</f>
        <v>0</v>
      </c>
      <c r="EP346" s="92">
        <f>IFERROR(Tabla_Buffers_Agroinsumos[[#This Row],[INV FIS LF]]-Tabla_Buffers_Agroinsumos[[#This Row],[BUFFER LF]],"")</f>
        <v>0</v>
      </c>
      <c r="EQ346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46" s="134"/>
      <c r="ES346" s="134"/>
      <c r="ET346" s="134"/>
      <c r="EU346" s="134"/>
      <c r="EV346" s="134"/>
      <c r="EW346" s="134"/>
      <c r="EX346" s="134"/>
      <c r="EY346" s="134"/>
      <c r="EZ346" s="134"/>
      <c r="FA346" s="134">
        <f t="array" ref="FA346">IFERROR(INDEX(TABLACONSOLIDADA[Buff Act],MATCH("AGROINSUMOSVERONICALEDESMA"&amp;Tabla_Buffers_Agroinsumos[[#This Row],[CODIGO ]],TABLACONSOLIDADA[Bodega]&amp;TABLACONSOLIDADA[Codigo],0)),"")</f>
        <v>0</v>
      </c>
      <c r="FB346" s="157">
        <f t="array" ref="FB346">IFERROR(INDEX(TABLACONSOLIDADA[Inv Fís Act],MATCH("AGROINSUMOSVERONICALEDESMA"&amp;Tabla_Buffers_Agroinsumos[[#This Row],[CODIGO ]],TABLACONSOLIDADA[Bodega]&amp;TABLACONSOLIDADA[Codigo],0)),"")</f>
        <v>0</v>
      </c>
      <c r="FC346" s="157">
        <f t="array" ref="FC34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4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46" s="134">
        <f>IFERROR(SUM(Tabla_Buffers_Agroinsumos[[#This Row],[VL-MP]:[VL-LF]]),"")</f>
        <v>0</v>
      </c>
      <c r="FF346" s="92">
        <f>IFERROR(Tabla_Buffers_Agroinsumos[[#This Row],[INV FIS VL]]-Tabla_Buffers_Agroinsumos[[#This Row],[BUFFER VL]],"")</f>
        <v>0</v>
      </c>
      <c r="FG346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46" s="134"/>
      <c r="FI346" s="134"/>
      <c r="FJ346" s="134"/>
      <c r="FK346" s="134"/>
      <c r="FL346" s="134"/>
      <c r="FM346" s="134"/>
      <c r="FN346" s="134"/>
      <c r="FO346" s="134"/>
      <c r="FP346" s="134"/>
    </row>
    <row r="347" spans="1:172">
      <c r="A347" s="20" t="s">
        <v>1236</v>
      </c>
      <c r="B347" s="20" t="s">
        <v>1235</v>
      </c>
      <c r="C347" s="20" t="s">
        <v>707</v>
      </c>
      <c r="D347" s="20" t="s">
        <v>715</v>
      </c>
      <c r="E347" s="20" t="s">
        <v>975</v>
      </c>
      <c r="F347" s="111"/>
      <c r="G347" s="111"/>
      <c r="H347" s="111" t="e">
        <f>VLOOKUP(Tabla_Buffers_Agroinsumos[[#This Row],[CODIGO ]],TABLACONSOLIDADA[[Codigo]:[PV]],6,0)</f>
        <v>#N/A</v>
      </c>
      <c r="I347" s="111" t="e">
        <f>VLOOKUP(Tabla_Buffers_Agroinsumos[[#This Row],[CODIGO ]],TABLACONSOLIDADA[[Codigo]:[PV]],5,0)</f>
        <v>#N/A</v>
      </c>
      <c r="J347" s="111"/>
      <c r="K347" s="111"/>
      <c r="L347" s="111">
        <f>IFERROR(Tabla_Buffers_Agroinsumos[[#This Row],[BUFFER CENTRAL]]/((Tabla_Buffers_Agroinsumos[[#This Row],[TIEMPO REPOSICION ]]/Tabla_Buffers_Agroinsumos[[#This Row],[FRECUENCIA]])+1),0)</f>
        <v>0</v>
      </c>
      <c r="M347" s="111" t="str">
        <f t="array" ref="M347">IFERROR(INDEX(TABLACONSOLIDADA[Buff Act],MATCH("AGROINSUMOSMATERIAPRIMA"&amp;Tabla_Buffers_Agroinsumos[[#This Row],[CODIGO ]],TABLACONSOLIDADA[Bodega]&amp;TABLACONSOLIDADA[Codigo],0)),"")</f>
        <v/>
      </c>
      <c r="N347" s="111" t="str">
        <f t="array" ref="N347">IFERROR(INDEX(TABLACONSOLIDADA[Inv Fís Act],MATCH("AGROINSUMOSMATERIAPRIMA"&amp;Tabla_Buffers_Agroinsumos[[#This Row],[CODIGO ]],TABLACONSOLIDADA[Bodega]&amp;TABLACONSOLIDADA[Codigo],0)),"")</f>
        <v/>
      </c>
      <c r="O347" s="161" t="str">
        <f t="array" ref="O34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47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47" s="111">
        <f>IFERROR(SUM(Tabla_Buffers_Agroinsumos[[#This Row],[MP-C]:[MP-VL]]),"")</f>
        <v>0</v>
      </c>
      <c r="R347" s="154" t="str">
        <f>IFERROR(Tabla_Buffers_Agroinsumos[[#This Row],[INV FIS MATERIA PRIMA]]-Tabla_Buffers_Agroinsumos[[#This Row],[BUFFER MATERIA PRIMA]],"")</f>
        <v/>
      </c>
      <c r="S347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47" s="111"/>
      <c r="U347" s="111"/>
      <c r="V347" s="111"/>
      <c r="W347" s="111"/>
      <c r="X347" s="111"/>
      <c r="Y347" s="111"/>
      <c r="Z347" s="111"/>
      <c r="AA347" s="111"/>
      <c r="AB347" s="111"/>
      <c r="AC347" s="152">
        <v>500</v>
      </c>
      <c r="AD347" s="111" t="str">
        <f t="array" ref="AD347">IFERROR(INDEX(TABLACONSOLIDADA[Inv Fís Act],MATCH("AGROINSUMOSCENTRAL"&amp;Tabla_Buffers_Agroinsumos[[#This Row],[CODIGO ]],TABLACONSOLIDADA[Bodega]&amp;TABLACONSOLIDADA[Codigo],0)),"")</f>
        <v/>
      </c>
      <c r="AE347" s="161" t="str">
        <f t="array" ref="AE34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47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47" s="153">
        <f>IFERROR(SUM(Tabla_Buffers_Agroinsumos[[#This Row],[C-MP]:[C-VL]]),"")</f>
        <v>0</v>
      </c>
      <c r="AH347" s="154" t="str">
        <f>IFERROR(Tabla_Buffers_Agroinsumos[[#This Row],[INV FIS CENTRAL]]-Tabla_Buffers_Agroinsumos[[#This Row],[BUFFER CENTRAL]],"")</f>
        <v/>
      </c>
      <c r="AI347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47" s="135"/>
      <c r="AK347" s="135"/>
      <c r="AL347" s="135"/>
      <c r="AM347" s="135"/>
      <c r="AN347" s="135"/>
      <c r="AO347" s="135"/>
      <c r="AP347" s="135"/>
      <c r="AQ347" s="135"/>
      <c r="AR347" s="135"/>
      <c r="AS347" s="135" t="str">
        <f t="array" ref="AS347">IFERROR(INDEX(TABLACONSOLIDADA[Buff Act],MATCH("AGROINSUMOScentralPROPIA"&amp;Tabla_Buffers_Agroinsumos[[#This Row],[CODIGO ]],TABLACONSOLIDADA[Bodega]&amp;TABLACONSOLIDADA[Codigo],0)),"")</f>
        <v/>
      </c>
      <c r="AT347" s="111" t="str">
        <f t="array" ref="AT347">IFERROR(INDEX(TABLACONSOLIDADA[Inv Fís Act],MATCH("AGROINSUMOScentralPROPIA"&amp;Tabla_Buffers_Agroinsumos[[#This Row],[CODIGO ]],TABLACONSOLIDADA[Bodega]&amp;TABLACONSOLIDADA[Codigo],0)),"")</f>
        <v/>
      </c>
      <c r="AU347" s="161" t="str">
        <f t="array" ref="AU34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47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47" s="135">
        <f>IFERROR(SUM(Tabla_Buffers_Agroinsumos[[#This Row],[P-MP]:[P-VL]]),"")</f>
        <v>0</v>
      </c>
      <c r="AX347" s="154" t="str">
        <f>IFERROR(Tabla_Buffers_Agroinsumos[[#This Row],[INV FIS PROPIA]]-Tabla_Buffers_Agroinsumos[[#This Row],[BUFFER PROPIA]],"")</f>
        <v/>
      </c>
      <c r="AY347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47" s="135"/>
      <c r="BA347" s="135"/>
      <c r="BB347" s="135"/>
      <c r="BC347" s="135"/>
      <c r="BD347" s="135"/>
      <c r="BE347" s="135"/>
      <c r="BF347" s="135"/>
      <c r="BG347" s="135"/>
      <c r="BH347" s="135"/>
      <c r="BI347" s="153" t="str">
        <f t="array" ref="BI347">IFERROR(INDEX(TABLACONSOLIDADA[Buff Act],MATCH("AGROINSUMOSSTODOMINGO"&amp;Tabla_Buffers_Agroinsumos[[#This Row],[CODIGO ]],TABLACONSOLIDADA[Bodega]&amp;TABLACONSOLIDADA[Codigo],0)),"")</f>
        <v/>
      </c>
      <c r="BJ347" s="111" t="str">
        <f t="array" ref="BJ347">IFERROR(INDEX(TABLACONSOLIDADA[Inv Fís Act],MATCH("AGROINSUMOSSTODOMINGO"&amp;Tabla_Buffers_Agroinsumos[[#This Row],[CODIGO ]],TABLACONSOLIDADA[Bodega]&amp;TABLACONSOLIDADA[Codigo],0)),"")</f>
        <v/>
      </c>
      <c r="BK347" s="161" t="str">
        <f t="array" ref="BK34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47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47" s="153">
        <f>IFERROR(SUM(Tabla_Buffers_Agroinsumos[[#This Row],[SD-MP]:[SD-VL]]),"")</f>
        <v>0</v>
      </c>
      <c r="BN347" s="154"/>
      <c r="BO347" s="154"/>
      <c r="BP347" s="135"/>
      <c r="BQ347" s="135"/>
      <c r="BR347" s="135"/>
      <c r="BS347" s="135"/>
      <c r="BT347" s="135"/>
      <c r="BU347" s="135"/>
      <c r="BV347" s="135"/>
      <c r="BW347" s="135"/>
      <c r="BX347" s="135"/>
      <c r="BY347" s="135" t="str">
        <f t="array" ref="BY347">IFERROR(INDEX(TABLACONSOLIDADA[Buff Act],MATCH("AGROINSUMOSMONCAYOLOPEZ"&amp;Tabla_Buffers_Agroinsumos[[#This Row],[CODIGO ]],TABLACONSOLIDADA[Bodega]&amp;TABLACONSOLIDADA[Codigo],0)),"")</f>
        <v/>
      </c>
      <c r="BZ347" s="111" t="str">
        <f t="array" ref="BZ347">IFERROR(INDEX(TABLACONSOLIDADA[Inv Fís Act],MATCH("AGROINSUMOSMONCAYOLOPEZ"&amp;Tabla_Buffers_Agroinsumos[[#This Row],[CODIGO ]],TABLACONSOLIDADA[Bodega]&amp;TABLACONSOLIDADA[Codigo],0)),"")</f>
        <v/>
      </c>
      <c r="CA347" s="161" t="str">
        <f t="array" ref="CA34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47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47" s="135">
        <f>IFERROR(SUM(Tabla_Buffers_Agroinsumos[[#This Row],[ML-MP]:[ML-VL]]),"")</f>
        <v>0</v>
      </c>
      <c r="CD347" s="154" t="str">
        <f>IFERROR(Tabla_Buffers_Agroinsumos[[#This Row],[INV FIS ML]]-Tabla_Buffers_Agroinsumos[[#This Row],[BUFFER ML]],"")</f>
        <v/>
      </c>
      <c r="CE347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47" s="135"/>
      <c r="CG347" s="135"/>
      <c r="CH347" s="135"/>
      <c r="CI347" s="135"/>
      <c r="CJ347" s="135"/>
      <c r="CK347" s="135"/>
      <c r="CL347" s="135"/>
      <c r="CM347" s="135"/>
      <c r="CN347" s="135"/>
      <c r="CO347" s="135" t="str">
        <f t="array" ref="CO347">IFERROR(INDEX(TABLACONSOLIDADA[Buff Act],MATCH("AGROINSUMOSAGROHERMANOSLEON"&amp;Tabla_Buffers_Agroinsumos[[#This Row],[CODIGO ]],TABLACONSOLIDADA[Bodega]&amp;TABLACONSOLIDADA[Codigo],0)),"")</f>
        <v/>
      </c>
      <c r="CP347" s="111" t="str">
        <f t="array" ref="CP347">IFERROR(INDEX(TABLACONSOLIDADA[Inv Fís Act],MATCH("AGROINSUMOSAGROHERMANOSLEON"&amp;Tabla_Buffers_Agroinsumos[[#This Row],[CODIGO ]],TABLACONSOLIDADA[Bodega]&amp;TABLACONSOLIDADA[Codigo],0)),"")</f>
        <v/>
      </c>
      <c r="CQ347" s="161" t="str">
        <f t="array" ref="CQ34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47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47" s="135">
        <f>IFERROR(SUM(Tabla_Buffers_Agroinsumos[[#This Row],[AL-MP]:[AL-VL]]),"")</f>
        <v>0</v>
      </c>
      <c r="CT347" s="154" t="str">
        <f>IFERROR(Tabla_Buffers_Agroinsumos[[#This Row],[INV FIS AL]]-Tabla_Buffers_Agroinsumos[[#This Row],[BUFFER AL]],"")</f>
        <v/>
      </c>
      <c r="CU347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47" s="135"/>
      <c r="CW347" s="135"/>
      <c r="CX347" s="135"/>
      <c r="CY347" s="135"/>
      <c r="CZ347" s="135"/>
      <c r="DA347" s="135"/>
      <c r="DB347" s="135"/>
      <c r="DC347" s="135"/>
      <c r="DD347" s="135"/>
      <c r="DE347" s="135" t="str">
        <f t="array" ref="DE347">IFERROR(INDEX(TABLACONSOLIDADA[Buff Act],MATCH("AGROINSUMOSAGRONUEVO"&amp;Tabla_Buffers_Agroinsumos[[#This Row],[CODIGO ]],TABLACONSOLIDADA[Bodega]&amp;TABLACONSOLIDADA[Codigo],0)),"")</f>
        <v/>
      </c>
      <c r="DF347" s="111" t="str">
        <f t="array" ref="DF347">IFERROR(INDEX(TABLACONSOLIDADA[Inv Fís Act],MATCH("AGROINSUMOSAGRONUEVO"&amp;Tabla_Buffers_Agroinsumos[[#This Row],[CODIGO ]],TABLACONSOLIDADA[Bodega]&amp;TABLACONSOLIDADA[Codigo],0)),"")</f>
        <v/>
      </c>
      <c r="DG347" s="161" t="str">
        <f t="array" ref="DG34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47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47" s="135">
        <f>IFERROR(SUM(Tabla_Buffers_Agroinsumos[[#This Row],[AN-MP]:[AN-VL]]),"")</f>
        <v>0</v>
      </c>
      <c r="DJ347" s="154" t="str">
        <f>IFERROR(Tabla_Buffers_Agroinsumos[[#This Row],[INV FIS AN]]-Tabla_Buffers_Agroinsumos[[#This Row],[BUFFER AN]],"")</f>
        <v/>
      </c>
      <c r="DK347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47" s="135"/>
      <c r="DM347" s="135"/>
      <c r="DN347" s="135"/>
      <c r="DO347" s="135"/>
      <c r="DP347" s="135"/>
      <c r="DQ347" s="135"/>
      <c r="DR347" s="135"/>
      <c r="DS347" s="135"/>
      <c r="DT347" s="135"/>
      <c r="DU347" s="135" t="str">
        <f t="array" ref="DU347">IFERROR(INDEX(TABLACONSOLIDADA[Buff Act],MATCH("AGROINSUMOSAGROQUIMICOSSUR"&amp;Tabla_Buffers_Agroinsumos[[#This Row],[CODIGO ]],TABLACONSOLIDADA[Bodega]&amp;TABLACONSOLIDADA[Codigo],0)),"")</f>
        <v/>
      </c>
      <c r="DV347" s="111" t="str">
        <f t="array" ref="DV347">IFERROR(INDEX(TABLACONSOLIDADA[Inv Fís Act],MATCH("AGROINSUMOSAGROQUIMICOSSUR"&amp;Tabla_Buffers_Agroinsumos[[#This Row],[CODIGO ]],TABLACONSOLIDADA[Bodega]&amp;TABLACONSOLIDADA[Codigo],0)),"")</f>
        <v/>
      </c>
      <c r="DW347" s="161" t="str">
        <f t="array" ref="DW34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47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47" s="135">
        <f>IFERROR(SUM(Tabla_Buffers_Agroinsumos[[#This Row],[AS-MP]:[AS-VL]]),"")</f>
        <v>0</v>
      </c>
      <c r="DZ347" s="154" t="str">
        <f>IFERROR(Tabla_Buffers_Agroinsumos[[#This Row],[INV FIS AS]]-Tabla_Buffers_Agroinsumos[[#This Row],[BUFFER AS]],"")</f>
        <v/>
      </c>
      <c r="EA347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47" s="135"/>
      <c r="EC347" s="135"/>
      <c r="ED347" s="135"/>
      <c r="EE347" s="135"/>
      <c r="EF347" s="135"/>
      <c r="EG347" s="135"/>
      <c r="EH347" s="135"/>
      <c r="EI347" s="135"/>
      <c r="EJ347" s="135"/>
      <c r="EK347" s="135" t="str">
        <f t="array" ref="EK347">IFERROR(INDEX(TABLACONSOLIDADA[Buff Act],MATCH("AGROINSUMOSLAFINCA"&amp;Tabla_Buffers_Agroinsumos[[#This Row],[CODIGO ]],TABLACONSOLIDADA[Bodega]&amp;TABLACONSOLIDADA[Codigo],0)),"")</f>
        <v/>
      </c>
      <c r="EL347" s="111" t="str">
        <f t="array" ref="EL347">IFERROR(INDEX(TABLACONSOLIDADA[Inv Fís Act],MATCH("AGROINSUMOSLAFINCA"&amp;Tabla_Buffers_Agroinsumos[[#This Row],[CODIGO ]],TABLACONSOLIDADA[Bodega]&amp;TABLACONSOLIDADA[Codigo],0)),"")</f>
        <v/>
      </c>
      <c r="EM347" s="161" t="str">
        <f t="array" ref="EM34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47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47" s="135">
        <f>IFERROR(SUM(Tabla_Buffers_Agroinsumos[[#This Row],[LF-MP]:[LF-VL]]),"")</f>
        <v>0</v>
      </c>
      <c r="EP347" s="154" t="str">
        <f>IFERROR(Tabla_Buffers_Agroinsumos[[#This Row],[INV FIS LF]]-Tabla_Buffers_Agroinsumos[[#This Row],[BUFFER LF]],"")</f>
        <v/>
      </c>
      <c r="EQ347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47" s="135"/>
      <c r="ES347" s="135"/>
      <c r="ET347" s="135"/>
      <c r="EU347" s="135"/>
      <c r="EV347" s="135"/>
      <c r="EW347" s="135"/>
      <c r="EX347" s="135"/>
      <c r="EY347" s="135"/>
      <c r="EZ347" s="135"/>
      <c r="FA347" s="135" t="str">
        <f t="array" ref="FA347">IFERROR(INDEX(TABLACONSOLIDADA[Buff Act],MATCH("AGROINSUMOSVERONICALEDESMA"&amp;Tabla_Buffers_Agroinsumos[[#This Row],[CODIGO ]],TABLACONSOLIDADA[Bodega]&amp;TABLACONSOLIDADA[Codigo],0)),"")</f>
        <v/>
      </c>
      <c r="FB347" s="111" t="str">
        <f t="array" ref="FB347">IFERROR(INDEX(TABLACONSOLIDADA[Inv Fís Act],MATCH("AGROINSUMOSVERONICALEDESMA"&amp;Tabla_Buffers_Agroinsumos[[#This Row],[CODIGO ]],TABLACONSOLIDADA[Bodega]&amp;TABLACONSOLIDADA[Codigo],0)),"")</f>
        <v/>
      </c>
      <c r="FC347" s="161" t="str">
        <f t="array" ref="FC34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47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47" s="135">
        <f>IFERROR(SUM(Tabla_Buffers_Agroinsumos[[#This Row],[VL-MP]:[VL-LF]]),"")</f>
        <v>0</v>
      </c>
      <c r="FF347" s="154" t="str">
        <f>IFERROR(Tabla_Buffers_Agroinsumos[[#This Row],[INV FIS VL]]-Tabla_Buffers_Agroinsumos[[#This Row],[BUFFER VL]],"")</f>
        <v/>
      </c>
      <c r="FG347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47" s="135"/>
      <c r="FI347" s="135"/>
      <c r="FJ347" s="135"/>
      <c r="FK347" s="135"/>
      <c r="FL347" s="135"/>
      <c r="FM347" s="135"/>
      <c r="FN347" s="135"/>
      <c r="FO347" s="135"/>
      <c r="FP347" s="135"/>
    </row>
    <row r="348" spans="1:172">
      <c r="A348" s="7" t="s">
        <v>586</v>
      </c>
      <c r="B348" s="7" t="s">
        <v>587</v>
      </c>
      <c r="C348" s="7" t="s">
        <v>707</v>
      </c>
      <c r="D348" s="7" t="s">
        <v>715</v>
      </c>
      <c r="E348" s="7" t="s">
        <v>975</v>
      </c>
      <c r="F348" s="19" t="s">
        <v>698</v>
      </c>
      <c r="G348" s="19" t="s">
        <v>698</v>
      </c>
      <c r="H348" s="19">
        <f>VLOOKUP(Tabla_Buffers_Agroinsumos[[#This Row],[CODIGO ]],TABLACONSOLIDADA[[Codigo]:[PV]],6,0)</f>
        <v>19.989999999999998</v>
      </c>
      <c r="I348" s="19">
        <f>VLOOKUP(Tabla_Buffers_Agroinsumos[[#This Row],[CODIGO ]],TABLACONSOLIDADA[[Codigo]:[PV]],5,0)</f>
        <v>11.23</v>
      </c>
      <c r="J348" s="19" t="s">
        <v>698</v>
      </c>
      <c r="K348" s="19" t="s">
        <v>698</v>
      </c>
      <c r="L348" s="19">
        <f>IFERROR(Tabla_Buffers_Agroinsumos[[#This Row],[BUFFER CENTRAL]]/((Tabla_Buffers_Agroinsumos[[#This Row],[TIEMPO REPOSICION ]]/Tabla_Buffers_Agroinsumos[[#This Row],[FRECUENCIA]])+1),0)</f>
        <v>0</v>
      </c>
      <c r="M348" s="19" t="str">
        <f t="array" ref="M348">IFERROR(INDEX(TABLACONSOLIDADA[Buff Act],MATCH("AGROINSUMOSMATERIAPRIMA"&amp;Tabla_Buffers_Agroinsumos[[#This Row],[CODIGO ]],TABLACONSOLIDADA[Bodega]&amp;TABLACONSOLIDADA[Codigo],0)),"")</f>
        <v/>
      </c>
      <c r="N348" s="157" t="str">
        <f t="array" ref="N348">IFERROR(INDEX(TABLACONSOLIDADA[Inv Fís Act],MATCH("AGROINSUMOSMATERIAPRIMA"&amp;Tabla_Buffers_Agroinsumos[[#This Row],[CODIGO ]],TABLACONSOLIDADA[Bodega]&amp;TABLACONSOLIDADA[Codigo],0)),"")</f>
        <v/>
      </c>
      <c r="O348" s="157" t="str">
        <f t="array" ref="O34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4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48" s="19">
        <f>IFERROR(SUM(Tabla_Buffers_Agroinsumos[[#This Row],[MP-C]:[MP-VL]]),"")</f>
        <v>0</v>
      </c>
      <c r="R348" s="92" t="str">
        <f>IFERROR(Tabla_Buffers_Agroinsumos[[#This Row],[INV FIS MATERIA PRIMA]]-Tabla_Buffers_Agroinsumos[[#This Row],[BUFFER MATERIA PRIMA]],"")</f>
        <v/>
      </c>
      <c r="S34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48" s="19"/>
      <c r="U348" s="19"/>
      <c r="V348" s="19"/>
      <c r="W348" s="19"/>
      <c r="X348" s="19"/>
      <c r="Y348" s="19"/>
      <c r="Z348" s="19"/>
      <c r="AA348" s="19"/>
      <c r="AB348" s="19"/>
      <c r="AC348" s="152">
        <f t="array" ref="AC348">IFERROR(INDEX(TABLACONSOLIDADA[Buff Act],MATCH("AGROINSUMOSCENTRAL"&amp;Tabla_Buffers_Agroinsumos[[#This Row],[CODIGO ]],TABLACONSOLIDADA[Bodega]&amp;TABLACONSOLIDADA[Codigo],0)),"")</f>
        <v>0</v>
      </c>
      <c r="AD348" s="157">
        <f t="array" ref="AD348">IFERROR(INDEX(TABLACONSOLIDADA[Inv Fís Act],MATCH("AGROINSUMOSCENTRAL"&amp;Tabla_Buffers_Agroinsumos[[#This Row],[CODIGO ]],TABLACONSOLIDADA[Bodega]&amp;TABLACONSOLIDADA[Codigo],0)),"")</f>
        <v>0</v>
      </c>
      <c r="AE348" s="157">
        <f t="array" ref="AE34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4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48" s="91">
        <f>IFERROR(SUM(Tabla_Buffers_Agroinsumos[[#This Row],[C-MP]:[C-VL]]),"")</f>
        <v>0</v>
      </c>
      <c r="AH348" s="92">
        <f>IFERROR(Tabla_Buffers_Agroinsumos[[#This Row],[INV FIS CENTRAL]]-Tabla_Buffers_Agroinsumos[[#This Row],[BUFFER CENTRAL]],"")</f>
        <v>0</v>
      </c>
      <c r="AI34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48" s="134"/>
      <c r="AK348" s="134"/>
      <c r="AL348" s="134"/>
      <c r="AM348" s="134"/>
      <c r="AN348" s="134"/>
      <c r="AO348" s="134"/>
      <c r="AP348" s="134"/>
      <c r="AQ348" s="134"/>
      <c r="AR348" s="134"/>
      <c r="AS348" s="134">
        <f t="array" ref="AS348">IFERROR(INDEX(TABLACONSOLIDADA[Buff Act],MATCH("AGROINSUMOScentralPROPIA"&amp;Tabla_Buffers_Agroinsumos[[#This Row],[CODIGO ]],TABLACONSOLIDADA[Bodega]&amp;TABLACONSOLIDADA[Codigo],0)),"")</f>
        <v>0</v>
      </c>
      <c r="AT348" s="157">
        <f t="array" ref="AT348">IFERROR(INDEX(TABLACONSOLIDADA[Inv Fís Act],MATCH("AGROINSUMOScentralPROPIA"&amp;Tabla_Buffers_Agroinsumos[[#This Row],[CODIGO ]],TABLACONSOLIDADA[Bodega]&amp;TABLACONSOLIDADA[Codigo],0)),"")</f>
        <v>0</v>
      </c>
      <c r="AU348" s="157">
        <f t="array" ref="AU34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4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48" s="134">
        <f>IFERROR(SUM(Tabla_Buffers_Agroinsumos[[#This Row],[P-MP]:[P-VL]]),"")</f>
        <v>0</v>
      </c>
      <c r="AX348" s="92">
        <f>IFERROR(Tabla_Buffers_Agroinsumos[[#This Row],[INV FIS PROPIA]]-Tabla_Buffers_Agroinsumos[[#This Row],[BUFFER PROPIA]],"")</f>
        <v>0</v>
      </c>
      <c r="AY34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48" s="134"/>
      <c r="BA348" s="134"/>
      <c r="BB348" s="134"/>
      <c r="BC348" s="134"/>
      <c r="BD348" s="134"/>
      <c r="BE348" s="134"/>
      <c r="BF348" s="134"/>
      <c r="BG348" s="134"/>
      <c r="BH348" s="134"/>
      <c r="BI348" s="91">
        <f t="array" ref="BI348">IFERROR(INDEX(TABLACONSOLIDADA[Buff Act],MATCH("AGROINSUMOSSTODOMINGO"&amp;Tabla_Buffers_Agroinsumos[[#This Row],[CODIGO ]],TABLACONSOLIDADA[Bodega]&amp;TABLACONSOLIDADA[Codigo],0)),"")</f>
        <v>0</v>
      </c>
      <c r="BJ348" s="157">
        <f t="array" ref="BJ348">IFERROR(INDEX(TABLACONSOLIDADA[Inv Fís Act],MATCH("AGROINSUMOSSTODOMINGO"&amp;Tabla_Buffers_Agroinsumos[[#This Row],[CODIGO ]],TABLACONSOLIDADA[Bodega]&amp;TABLACONSOLIDADA[Codigo],0)),"")</f>
        <v>0</v>
      </c>
      <c r="BK348" s="157">
        <f t="array" ref="BK34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4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48" s="91">
        <f>IFERROR(SUM(Tabla_Buffers_Agroinsumos[[#This Row],[SD-MP]:[SD-VL]]),"")</f>
        <v>0</v>
      </c>
      <c r="BN348" s="92"/>
      <c r="BO348" s="92"/>
      <c r="BP348" s="134"/>
      <c r="BQ348" s="134"/>
      <c r="BR348" s="134"/>
      <c r="BS348" s="134"/>
      <c r="BT348" s="134"/>
      <c r="BU348" s="134"/>
      <c r="BV348" s="134"/>
      <c r="BW348" s="134"/>
      <c r="BX348" s="134"/>
      <c r="BY348" s="134">
        <f t="array" ref="BY348">IFERROR(INDEX(TABLACONSOLIDADA[Buff Act],MATCH("AGROINSUMOSMONCAYOLOPEZ"&amp;Tabla_Buffers_Agroinsumos[[#This Row],[CODIGO ]],TABLACONSOLIDADA[Bodega]&amp;TABLACONSOLIDADA[Codigo],0)),"")</f>
        <v>0</v>
      </c>
      <c r="BZ348" s="157">
        <f t="array" ref="BZ348">IFERROR(INDEX(TABLACONSOLIDADA[Inv Fís Act],MATCH("AGROINSUMOSMONCAYOLOPEZ"&amp;Tabla_Buffers_Agroinsumos[[#This Row],[CODIGO ]],TABLACONSOLIDADA[Bodega]&amp;TABLACONSOLIDADA[Codigo],0)),"")</f>
        <v>0</v>
      </c>
      <c r="CA348" s="157">
        <f t="array" ref="CA34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4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48" s="134">
        <f>IFERROR(SUM(Tabla_Buffers_Agroinsumos[[#This Row],[ML-MP]:[ML-VL]]),"")</f>
        <v>0</v>
      </c>
      <c r="CD348" s="92">
        <f>IFERROR(Tabla_Buffers_Agroinsumos[[#This Row],[INV FIS ML]]-Tabla_Buffers_Agroinsumos[[#This Row],[BUFFER ML]],"")</f>
        <v>0</v>
      </c>
      <c r="CE34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48" s="134"/>
      <c r="CG348" s="134"/>
      <c r="CH348" s="134"/>
      <c r="CI348" s="134"/>
      <c r="CJ348" s="134"/>
      <c r="CK348" s="134"/>
      <c r="CL348" s="134"/>
      <c r="CM348" s="134"/>
      <c r="CN348" s="134"/>
      <c r="CO348" s="134">
        <f t="array" ref="CO348">IFERROR(INDEX(TABLACONSOLIDADA[Buff Act],MATCH("AGROINSUMOSAGROHERMANOSLEON"&amp;Tabla_Buffers_Agroinsumos[[#This Row],[CODIGO ]],TABLACONSOLIDADA[Bodega]&amp;TABLACONSOLIDADA[Codigo],0)),"")</f>
        <v>0</v>
      </c>
      <c r="CP348" s="157">
        <f t="array" ref="CP348">IFERROR(INDEX(TABLACONSOLIDADA[Inv Fís Act],MATCH("AGROINSUMOSAGROHERMANOSLEON"&amp;Tabla_Buffers_Agroinsumos[[#This Row],[CODIGO ]],TABLACONSOLIDADA[Bodega]&amp;TABLACONSOLIDADA[Codigo],0)),"")</f>
        <v>0</v>
      </c>
      <c r="CQ348" s="157">
        <f t="array" ref="CQ34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4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48" s="134">
        <f>IFERROR(SUM(Tabla_Buffers_Agroinsumos[[#This Row],[AL-MP]:[AL-VL]]),"")</f>
        <v>0</v>
      </c>
      <c r="CT348" s="92">
        <f>IFERROR(Tabla_Buffers_Agroinsumos[[#This Row],[INV FIS AL]]-Tabla_Buffers_Agroinsumos[[#This Row],[BUFFER AL]],"")</f>
        <v>0</v>
      </c>
      <c r="CU34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48" s="134"/>
      <c r="CW348" s="134"/>
      <c r="CX348" s="134"/>
      <c r="CY348" s="134"/>
      <c r="CZ348" s="134"/>
      <c r="DA348" s="134"/>
      <c r="DB348" s="134"/>
      <c r="DC348" s="134"/>
      <c r="DD348" s="134"/>
      <c r="DE348" s="134">
        <f t="array" ref="DE348">IFERROR(INDEX(TABLACONSOLIDADA[Buff Act],MATCH("AGROINSUMOSAGRONUEVO"&amp;Tabla_Buffers_Agroinsumos[[#This Row],[CODIGO ]],TABLACONSOLIDADA[Bodega]&amp;TABLACONSOLIDADA[Codigo],0)),"")</f>
        <v>0</v>
      </c>
      <c r="DF348" s="157">
        <f t="array" ref="DF348">IFERROR(INDEX(TABLACONSOLIDADA[Inv Fís Act],MATCH("AGROINSUMOSAGRONUEVO"&amp;Tabla_Buffers_Agroinsumos[[#This Row],[CODIGO ]],TABLACONSOLIDADA[Bodega]&amp;TABLACONSOLIDADA[Codigo],0)),"")</f>
        <v>0</v>
      </c>
      <c r="DG348" s="157">
        <f t="array" ref="DG34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4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48" s="134">
        <f>IFERROR(SUM(Tabla_Buffers_Agroinsumos[[#This Row],[AN-MP]:[AN-VL]]),"")</f>
        <v>0</v>
      </c>
      <c r="DJ348" s="92">
        <f>IFERROR(Tabla_Buffers_Agroinsumos[[#This Row],[INV FIS AN]]-Tabla_Buffers_Agroinsumos[[#This Row],[BUFFER AN]],"")</f>
        <v>0</v>
      </c>
      <c r="DK34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48" s="134"/>
      <c r="DM348" s="134"/>
      <c r="DN348" s="134"/>
      <c r="DO348" s="134"/>
      <c r="DP348" s="134"/>
      <c r="DQ348" s="134"/>
      <c r="DR348" s="134"/>
      <c r="DS348" s="134"/>
      <c r="DT348" s="134"/>
      <c r="DU348" s="134">
        <f t="array" ref="DU348">IFERROR(INDEX(TABLACONSOLIDADA[Buff Act],MATCH("AGROINSUMOSAGROQUIMICOSSUR"&amp;Tabla_Buffers_Agroinsumos[[#This Row],[CODIGO ]],TABLACONSOLIDADA[Bodega]&amp;TABLACONSOLIDADA[Codigo],0)),"")</f>
        <v>0</v>
      </c>
      <c r="DV348" s="157">
        <f t="array" ref="DV348">IFERROR(INDEX(TABLACONSOLIDADA[Inv Fís Act],MATCH("AGROINSUMOSAGROQUIMICOSSUR"&amp;Tabla_Buffers_Agroinsumos[[#This Row],[CODIGO ]],TABLACONSOLIDADA[Bodega]&amp;TABLACONSOLIDADA[Codigo],0)),"")</f>
        <v>0</v>
      </c>
      <c r="DW348" s="157">
        <f t="array" ref="DW34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4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48" s="134">
        <f>IFERROR(SUM(Tabla_Buffers_Agroinsumos[[#This Row],[AS-MP]:[AS-VL]]),"")</f>
        <v>0</v>
      </c>
      <c r="DZ348" s="92">
        <f>IFERROR(Tabla_Buffers_Agroinsumos[[#This Row],[INV FIS AS]]-Tabla_Buffers_Agroinsumos[[#This Row],[BUFFER AS]],"")</f>
        <v>0</v>
      </c>
      <c r="EA34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48" s="134"/>
      <c r="EC348" s="134"/>
      <c r="ED348" s="134"/>
      <c r="EE348" s="134"/>
      <c r="EF348" s="134"/>
      <c r="EG348" s="134"/>
      <c r="EH348" s="134"/>
      <c r="EI348" s="134"/>
      <c r="EJ348" s="134"/>
      <c r="EK348" s="134">
        <f t="array" ref="EK348">IFERROR(INDEX(TABLACONSOLIDADA[Buff Act],MATCH("AGROINSUMOSLAFINCA"&amp;Tabla_Buffers_Agroinsumos[[#This Row],[CODIGO ]],TABLACONSOLIDADA[Bodega]&amp;TABLACONSOLIDADA[Codigo],0)),"")</f>
        <v>0</v>
      </c>
      <c r="EL348" s="157">
        <f t="array" ref="EL348">IFERROR(INDEX(TABLACONSOLIDADA[Inv Fís Act],MATCH("AGROINSUMOSLAFINCA"&amp;Tabla_Buffers_Agroinsumos[[#This Row],[CODIGO ]],TABLACONSOLIDADA[Bodega]&amp;TABLACONSOLIDADA[Codigo],0)),"")</f>
        <v>0</v>
      </c>
      <c r="EM348" s="157">
        <f t="array" ref="EM34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4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48" s="134">
        <f>IFERROR(SUM(Tabla_Buffers_Agroinsumos[[#This Row],[LF-MP]:[LF-VL]]),"")</f>
        <v>0</v>
      </c>
      <c r="EP348" s="92">
        <f>IFERROR(Tabla_Buffers_Agroinsumos[[#This Row],[INV FIS LF]]-Tabla_Buffers_Agroinsumos[[#This Row],[BUFFER LF]],"")</f>
        <v>0</v>
      </c>
      <c r="EQ34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48" s="134"/>
      <c r="ES348" s="134"/>
      <c r="ET348" s="134"/>
      <c r="EU348" s="134"/>
      <c r="EV348" s="134"/>
      <c r="EW348" s="134"/>
      <c r="EX348" s="134"/>
      <c r="EY348" s="134"/>
      <c r="EZ348" s="134"/>
      <c r="FA348" s="134">
        <f t="array" ref="FA348">IFERROR(INDEX(TABLACONSOLIDADA[Buff Act],MATCH("AGROINSUMOSVERONICALEDESMA"&amp;Tabla_Buffers_Agroinsumos[[#This Row],[CODIGO ]],TABLACONSOLIDADA[Bodega]&amp;TABLACONSOLIDADA[Codigo],0)),"")</f>
        <v>0</v>
      </c>
      <c r="FB348" s="157">
        <f t="array" ref="FB348">IFERROR(INDEX(TABLACONSOLIDADA[Inv Fís Act],MATCH("AGROINSUMOSVERONICALEDESMA"&amp;Tabla_Buffers_Agroinsumos[[#This Row],[CODIGO ]],TABLACONSOLIDADA[Bodega]&amp;TABLACONSOLIDADA[Codigo],0)),"")</f>
        <v>0</v>
      </c>
      <c r="FC348" s="157">
        <f t="array" ref="FC34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4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48" s="134">
        <f>IFERROR(SUM(Tabla_Buffers_Agroinsumos[[#This Row],[VL-MP]:[VL-LF]]),"")</f>
        <v>0</v>
      </c>
      <c r="FF348" s="92">
        <f>IFERROR(Tabla_Buffers_Agroinsumos[[#This Row],[INV FIS VL]]-Tabla_Buffers_Agroinsumos[[#This Row],[BUFFER VL]],"")</f>
        <v>0</v>
      </c>
      <c r="FG34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48" s="134"/>
      <c r="FI348" s="134"/>
      <c r="FJ348" s="134"/>
      <c r="FK348" s="134"/>
      <c r="FL348" s="134"/>
      <c r="FM348" s="134"/>
      <c r="FN348" s="134"/>
      <c r="FO348" s="134"/>
      <c r="FP348" s="134"/>
    </row>
    <row r="349" spans="1:172">
      <c r="A349" s="7" t="s">
        <v>588</v>
      </c>
      <c r="B349" s="7" t="s">
        <v>589</v>
      </c>
      <c r="C349" s="7" t="s">
        <v>707</v>
      </c>
      <c r="D349" s="7" t="s">
        <v>715</v>
      </c>
      <c r="E349" s="7" t="s">
        <v>975</v>
      </c>
      <c r="F349" s="19" t="s">
        <v>698</v>
      </c>
      <c r="G349" s="19" t="s">
        <v>698</v>
      </c>
      <c r="H349" s="19">
        <f>VLOOKUP(Tabla_Buffers_Agroinsumos[[#This Row],[CODIGO ]],TABLACONSOLIDADA[[Codigo]:[PV]],6,0)</f>
        <v>5.39</v>
      </c>
      <c r="I349" s="19">
        <f>VLOOKUP(Tabla_Buffers_Agroinsumos[[#This Row],[CODIGO ]],TABLACONSOLIDADA[[Codigo]:[PV]],5,0)</f>
        <v>3.05</v>
      </c>
      <c r="J349" s="19" t="s">
        <v>698</v>
      </c>
      <c r="K349" s="19" t="s">
        <v>698</v>
      </c>
      <c r="L349" s="19">
        <f>IFERROR(Tabla_Buffers_Agroinsumos[[#This Row],[BUFFER CENTRAL]]/((Tabla_Buffers_Agroinsumos[[#This Row],[TIEMPO REPOSICION ]]/Tabla_Buffers_Agroinsumos[[#This Row],[FRECUENCIA]])+1),0)</f>
        <v>0</v>
      </c>
      <c r="M349" s="19" t="str">
        <f t="array" ref="M349">IFERROR(INDEX(TABLACONSOLIDADA[Buff Act],MATCH("AGROINSUMOSMATERIAPRIMA"&amp;Tabla_Buffers_Agroinsumos[[#This Row],[CODIGO ]],TABLACONSOLIDADA[Bodega]&amp;TABLACONSOLIDADA[Codigo],0)),"")</f>
        <v/>
      </c>
      <c r="N349" s="157" t="str">
        <f t="array" ref="N349">IFERROR(INDEX(TABLACONSOLIDADA[Inv Fís Act],MATCH("AGROINSUMOSMATERIAPRIMA"&amp;Tabla_Buffers_Agroinsumos[[#This Row],[CODIGO ]],TABLACONSOLIDADA[Bodega]&amp;TABLACONSOLIDADA[Codigo],0)),"")</f>
        <v/>
      </c>
      <c r="O349" s="157" t="str">
        <f t="array" ref="O34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4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49" s="19">
        <f>IFERROR(SUM(Tabla_Buffers_Agroinsumos[[#This Row],[MP-C]:[MP-VL]]),"")</f>
        <v>0</v>
      </c>
      <c r="R349" s="92" t="str">
        <f>IFERROR(Tabla_Buffers_Agroinsumos[[#This Row],[INV FIS MATERIA PRIMA]]-Tabla_Buffers_Agroinsumos[[#This Row],[BUFFER MATERIA PRIMA]],"")</f>
        <v/>
      </c>
      <c r="S34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49" s="19"/>
      <c r="U349" s="19"/>
      <c r="V349" s="19"/>
      <c r="W349" s="19"/>
      <c r="X349" s="19"/>
      <c r="Y349" s="19"/>
      <c r="Z349" s="19"/>
      <c r="AA349" s="19"/>
      <c r="AB349" s="19"/>
      <c r="AC349" s="152">
        <f t="array" ref="AC349">IFERROR(INDEX(TABLACONSOLIDADA[Buff Act],MATCH("AGROINSUMOSCENTRAL"&amp;Tabla_Buffers_Agroinsumos[[#This Row],[CODIGO ]],TABLACONSOLIDADA[Bodega]&amp;TABLACONSOLIDADA[Codigo],0)),"")</f>
        <v>240</v>
      </c>
      <c r="AD349" s="157">
        <f t="array" ref="AD349">IFERROR(INDEX(TABLACONSOLIDADA[Inv Fís Act],MATCH("AGROINSUMOSCENTRAL"&amp;Tabla_Buffers_Agroinsumos[[#This Row],[CODIGO ]],TABLACONSOLIDADA[Bodega]&amp;TABLACONSOLIDADA[Codigo],0)),"")</f>
        <v>213</v>
      </c>
      <c r="AE349" s="157">
        <f t="array" ref="AE34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249</v>
      </c>
      <c r="AF34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49" s="91">
        <f>IFERROR(SUM(Tabla_Buffers_Agroinsumos[[#This Row],[C-MP]:[C-VL]]),"")</f>
        <v>0</v>
      </c>
      <c r="AH349" s="92">
        <f>IFERROR(Tabla_Buffers_Agroinsumos[[#This Row],[INV FIS CENTRAL]]-Tabla_Buffers_Agroinsumos[[#This Row],[BUFFER CENTRAL]],"")</f>
        <v>-27</v>
      </c>
      <c r="AI34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-27</v>
      </c>
      <c r="AJ349" s="134"/>
      <c r="AK349" s="134"/>
      <c r="AL349" s="134"/>
      <c r="AM349" s="134"/>
      <c r="AN349" s="134"/>
      <c r="AO349" s="134"/>
      <c r="AP349" s="134"/>
      <c r="AQ349" s="134"/>
      <c r="AR349" s="134"/>
      <c r="AS349" s="134">
        <f t="array" ref="AS349">IFERROR(INDEX(TABLACONSOLIDADA[Buff Act],MATCH("AGROINSUMOScentralPROPIA"&amp;Tabla_Buffers_Agroinsumos[[#This Row],[CODIGO ]],TABLACONSOLIDADA[Bodega]&amp;TABLACONSOLIDADA[Codigo],0)),"")</f>
        <v>90</v>
      </c>
      <c r="AT349" s="157">
        <f t="array" ref="AT349">IFERROR(INDEX(TABLACONSOLIDADA[Inv Fís Act],MATCH("AGROINSUMOScentralPROPIA"&amp;Tabla_Buffers_Agroinsumos[[#This Row],[CODIGO ]],TABLACONSOLIDADA[Bodega]&amp;TABLACONSOLIDADA[Codigo],0)),"")</f>
        <v>0</v>
      </c>
      <c r="AU349" s="157">
        <f t="array" ref="AU34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4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49" s="134">
        <f>IFERROR(SUM(Tabla_Buffers_Agroinsumos[[#This Row],[P-MP]:[P-VL]]),"")</f>
        <v>0</v>
      </c>
      <c r="AX349" s="92">
        <f>IFERROR(Tabla_Buffers_Agroinsumos[[#This Row],[INV FIS PROPIA]]-Tabla_Buffers_Agroinsumos[[#This Row],[BUFFER PROPIA]],"")</f>
        <v>-90</v>
      </c>
      <c r="AY34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-90</v>
      </c>
      <c r="AZ349" s="134"/>
      <c r="BA349" s="134"/>
      <c r="BB349" s="134"/>
      <c r="BC349" s="134"/>
      <c r="BD349" s="134"/>
      <c r="BE349" s="134"/>
      <c r="BF349" s="134"/>
      <c r="BG349" s="134"/>
      <c r="BH349" s="134"/>
      <c r="BI349" s="91">
        <f t="array" ref="BI349">IFERROR(INDEX(TABLACONSOLIDADA[Buff Act],MATCH("AGROINSUMOSSTODOMINGO"&amp;Tabla_Buffers_Agroinsumos[[#This Row],[CODIGO ]],TABLACONSOLIDADA[Bodega]&amp;TABLACONSOLIDADA[Codigo],0)),"")</f>
        <v>0</v>
      </c>
      <c r="BJ349" s="157">
        <f t="array" ref="BJ349">IFERROR(INDEX(TABLACONSOLIDADA[Inv Fís Act],MATCH("AGROINSUMOSSTODOMINGO"&amp;Tabla_Buffers_Agroinsumos[[#This Row],[CODIGO ]],TABLACONSOLIDADA[Bodega]&amp;TABLACONSOLIDADA[Codigo],0)),"")</f>
        <v>0</v>
      </c>
      <c r="BK349" s="157">
        <f t="array" ref="BK34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4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49" s="91">
        <f>IFERROR(SUM(Tabla_Buffers_Agroinsumos[[#This Row],[SD-MP]:[SD-VL]]),"")</f>
        <v>0</v>
      </c>
      <c r="BN349" s="92"/>
      <c r="BO349" s="92"/>
      <c r="BP349" s="134"/>
      <c r="BQ349" s="134"/>
      <c r="BR349" s="134"/>
      <c r="BS349" s="134"/>
      <c r="BT349" s="134"/>
      <c r="BU349" s="134"/>
      <c r="BV349" s="134"/>
      <c r="BW349" s="134"/>
      <c r="BX349" s="134"/>
      <c r="BY349" s="134">
        <f t="array" ref="BY349">IFERROR(INDEX(TABLACONSOLIDADA[Buff Act],MATCH("AGROINSUMOSMONCAYOLOPEZ"&amp;Tabla_Buffers_Agroinsumos[[#This Row],[CODIGO ]],TABLACONSOLIDADA[Bodega]&amp;TABLACONSOLIDADA[Codigo],0)),"")</f>
        <v>10</v>
      </c>
      <c r="BZ349" s="157">
        <f t="array" ref="BZ349">IFERROR(INDEX(TABLACONSOLIDADA[Inv Fís Act],MATCH("AGROINSUMOSMONCAYOLOPEZ"&amp;Tabla_Buffers_Agroinsumos[[#This Row],[CODIGO ]],TABLACONSOLIDADA[Bodega]&amp;TABLACONSOLIDADA[Codigo],0)),"")</f>
        <v>15</v>
      </c>
      <c r="CA349" s="157">
        <f t="array" ref="CA34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15</v>
      </c>
      <c r="CB34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49" s="134">
        <f>IFERROR(SUM(Tabla_Buffers_Agroinsumos[[#This Row],[ML-MP]:[ML-VL]]),"")</f>
        <v>0</v>
      </c>
      <c r="CD349" s="92">
        <f>IFERROR(Tabla_Buffers_Agroinsumos[[#This Row],[INV FIS ML]]-Tabla_Buffers_Agroinsumos[[#This Row],[BUFFER ML]],"")</f>
        <v>5</v>
      </c>
      <c r="CE349" s="92">
        <f>IFERROR(Tabla_Buffers_Agroinsumos[[#This Row],[INV FIS ML]]+Tabla_Buffers_Agroinsumos[[#This Row],[TRANSFERENCIAS A ML]]-Tabla_Buffers_Agroinsumos[[#This Row],[BUFFER ML]]-Tabla_Buffers_Agroinsumos[[#This Row],[TRANSFERENCIAS DE ML]],"")</f>
        <v>5</v>
      </c>
      <c r="CF349" s="134"/>
      <c r="CG349" s="134"/>
      <c r="CH349" s="134"/>
      <c r="CI349" s="134"/>
      <c r="CJ349" s="134"/>
      <c r="CK349" s="134"/>
      <c r="CL349" s="134"/>
      <c r="CM349" s="134"/>
      <c r="CN349" s="134"/>
      <c r="CO349" s="134">
        <f t="array" ref="CO349">IFERROR(INDEX(TABLACONSOLIDADA[Buff Act],MATCH("AGROINSUMOSAGROHERMANOSLEON"&amp;Tabla_Buffers_Agroinsumos[[#This Row],[CODIGO ]],TABLACONSOLIDADA[Bodega]&amp;TABLACONSOLIDADA[Codigo],0)),"")</f>
        <v>45</v>
      </c>
      <c r="CP349" s="157">
        <f t="array" ref="CP349">IFERROR(INDEX(TABLACONSOLIDADA[Inv Fís Act],MATCH("AGROINSUMOSAGROHERMANOSLEON"&amp;Tabla_Buffers_Agroinsumos[[#This Row],[CODIGO ]],TABLACONSOLIDADA[Bodega]&amp;TABLACONSOLIDADA[Codigo],0)),"")</f>
        <v>46</v>
      </c>
      <c r="CQ349" s="157">
        <f t="array" ref="CQ34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46</v>
      </c>
      <c r="CR34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49" s="134">
        <f>IFERROR(SUM(Tabla_Buffers_Agroinsumos[[#This Row],[AL-MP]:[AL-VL]]),"")</f>
        <v>0</v>
      </c>
      <c r="CT349" s="92">
        <f>IFERROR(Tabla_Buffers_Agroinsumos[[#This Row],[INV FIS AL]]-Tabla_Buffers_Agroinsumos[[#This Row],[BUFFER AL]],"")</f>
        <v>1</v>
      </c>
      <c r="CU349" s="92">
        <f>IFERROR(Tabla_Buffers_Agroinsumos[[#This Row],[INV FIS AL]]+Tabla_Buffers_Agroinsumos[[#This Row],[TRANSFERENCIAS A AL]]-Tabla_Buffers_Agroinsumos[[#This Row],[BUFFER AL]]-Tabla_Buffers_Agroinsumos[[#This Row],[TRANSFERENCIAS DE AL]],"")</f>
        <v>1</v>
      </c>
      <c r="CV349" s="134"/>
      <c r="CW349" s="134"/>
      <c r="CX349" s="134"/>
      <c r="CY349" s="134"/>
      <c r="CZ349" s="134"/>
      <c r="DA349" s="134"/>
      <c r="DB349" s="134"/>
      <c r="DC349" s="134"/>
      <c r="DD349" s="134"/>
      <c r="DE349" s="134">
        <f t="array" ref="DE349">IFERROR(INDEX(TABLACONSOLIDADA[Buff Act],MATCH("AGROINSUMOSAGRONUEVO"&amp;Tabla_Buffers_Agroinsumos[[#This Row],[CODIGO ]],TABLACONSOLIDADA[Bodega]&amp;TABLACONSOLIDADA[Codigo],0)),"")</f>
        <v>0</v>
      </c>
      <c r="DF349" s="157">
        <f t="array" ref="DF349">IFERROR(INDEX(TABLACONSOLIDADA[Inv Fís Act],MATCH("AGROINSUMOSAGRONUEVO"&amp;Tabla_Buffers_Agroinsumos[[#This Row],[CODIGO ]],TABLACONSOLIDADA[Bodega]&amp;TABLACONSOLIDADA[Codigo],0)),"")</f>
        <v>0</v>
      </c>
      <c r="DG349" s="157">
        <f t="array" ref="DG34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4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49" s="134">
        <f>IFERROR(SUM(Tabla_Buffers_Agroinsumos[[#This Row],[AN-MP]:[AN-VL]]),"")</f>
        <v>0</v>
      </c>
      <c r="DJ349" s="92">
        <f>IFERROR(Tabla_Buffers_Agroinsumos[[#This Row],[INV FIS AN]]-Tabla_Buffers_Agroinsumos[[#This Row],[BUFFER AN]],"")</f>
        <v>0</v>
      </c>
      <c r="DK34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49" s="134"/>
      <c r="DM349" s="134"/>
      <c r="DN349" s="134"/>
      <c r="DO349" s="134"/>
      <c r="DP349" s="134"/>
      <c r="DQ349" s="134"/>
      <c r="DR349" s="134"/>
      <c r="DS349" s="134"/>
      <c r="DT349" s="134"/>
      <c r="DU349" s="134">
        <f t="array" ref="DU349">IFERROR(INDEX(TABLACONSOLIDADA[Buff Act],MATCH("AGROINSUMOSAGROQUIMICOSSUR"&amp;Tabla_Buffers_Agroinsumos[[#This Row],[CODIGO ]],TABLACONSOLIDADA[Bodega]&amp;TABLACONSOLIDADA[Codigo],0)),"")</f>
        <v>0</v>
      </c>
      <c r="DV349" s="157">
        <f t="array" ref="DV349">IFERROR(INDEX(TABLACONSOLIDADA[Inv Fís Act],MATCH("AGROINSUMOSAGROQUIMICOSSUR"&amp;Tabla_Buffers_Agroinsumos[[#This Row],[CODIGO ]],TABLACONSOLIDADA[Bodega]&amp;TABLACONSOLIDADA[Codigo],0)),"")</f>
        <v>0</v>
      </c>
      <c r="DW349" s="157">
        <f t="array" ref="DW34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4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49" s="134">
        <f>IFERROR(SUM(Tabla_Buffers_Agroinsumos[[#This Row],[AS-MP]:[AS-VL]]),"")</f>
        <v>0</v>
      </c>
      <c r="DZ349" s="92">
        <f>IFERROR(Tabla_Buffers_Agroinsumos[[#This Row],[INV FIS AS]]-Tabla_Buffers_Agroinsumos[[#This Row],[BUFFER AS]],"")</f>
        <v>0</v>
      </c>
      <c r="EA34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49" s="134"/>
      <c r="EC349" s="134"/>
      <c r="ED349" s="134"/>
      <c r="EE349" s="134"/>
      <c r="EF349" s="134"/>
      <c r="EG349" s="134"/>
      <c r="EH349" s="134"/>
      <c r="EI349" s="134"/>
      <c r="EJ349" s="134"/>
      <c r="EK349" s="134">
        <f t="array" ref="EK349">IFERROR(INDEX(TABLACONSOLIDADA[Buff Act],MATCH("AGROINSUMOSLAFINCA"&amp;Tabla_Buffers_Agroinsumos[[#This Row],[CODIGO ]],TABLACONSOLIDADA[Bodega]&amp;TABLACONSOLIDADA[Codigo],0)),"")</f>
        <v>0</v>
      </c>
      <c r="EL349" s="157">
        <f t="array" ref="EL349">IFERROR(INDEX(TABLACONSOLIDADA[Inv Fís Act],MATCH("AGROINSUMOSLAFINCA"&amp;Tabla_Buffers_Agroinsumos[[#This Row],[CODIGO ]],TABLACONSOLIDADA[Bodega]&amp;TABLACONSOLIDADA[Codigo],0)),"")</f>
        <v>0</v>
      </c>
      <c r="EM349" s="157">
        <f t="array" ref="EM34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4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49" s="134">
        <f>IFERROR(SUM(Tabla_Buffers_Agroinsumos[[#This Row],[LF-MP]:[LF-VL]]),"")</f>
        <v>0</v>
      </c>
      <c r="EP349" s="92">
        <f>IFERROR(Tabla_Buffers_Agroinsumos[[#This Row],[INV FIS LF]]-Tabla_Buffers_Agroinsumos[[#This Row],[BUFFER LF]],"")</f>
        <v>0</v>
      </c>
      <c r="EQ34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49" s="134"/>
      <c r="ES349" s="134"/>
      <c r="ET349" s="134"/>
      <c r="EU349" s="134"/>
      <c r="EV349" s="134"/>
      <c r="EW349" s="134"/>
      <c r="EX349" s="134"/>
      <c r="EY349" s="134"/>
      <c r="EZ349" s="134"/>
      <c r="FA349" s="134">
        <f t="array" ref="FA349">IFERROR(INDEX(TABLACONSOLIDADA[Buff Act],MATCH("AGROINSUMOSVERONICALEDESMA"&amp;Tabla_Buffers_Agroinsumos[[#This Row],[CODIGO ]],TABLACONSOLIDADA[Bodega]&amp;TABLACONSOLIDADA[Codigo],0)),"")</f>
        <v>0</v>
      </c>
      <c r="FB349" s="157">
        <f t="array" ref="FB349">IFERROR(INDEX(TABLACONSOLIDADA[Inv Fís Act],MATCH("AGROINSUMOSVERONICALEDESMA"&amp;Tabla_Buffers_Agroinsumos[[#This Row],[CODIGO ]],TABLACONSOLIDADA[Bodega]&amp;TABLACONSOLIDADA[Codigo],0)),"")</f>
        <v>0</v>
      </c>
      <c r="FC349" s="157">
        <f t="array" ref="FC34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4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49" s="134">
        <f>IFERROR(SUM(Tabla_Buffers_Agroinsumos[[#This Row],[VL-MP]:[VL-LF]]),"")</f>
        <v>0</v>
      </c>
      <c r="FF349" s="92">
        <f>IFERROR(Tabla_Buffers_Agroinsumos[[#This Row],[INV FIS VL]]-Tabla_Buffers_Agroinsumos[[#This Row],[BUFFER VL]],"")</f>
        <v>0</v>
      </c>
      <c r="FG34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49" s="134"/>
      <c r="FI349" s="134"/>
      <c r="FJ349" s="134"/>
      <c r="FK349" s="134"/>
      <c r="FL349" s="134"/>
      <c r="FM349" s="134"/>
      <c r="FN349" s="134"/>
      <c r="FO349" s="134"/>
      <c r="FP349" s="134"/>
    </row>
    <row r="350" spans="1:172">
      <c r="A350" s="7" t="s">
        <v>885</v>
      </c>
      <c r="B350" s="7" t="s">
        <v>971</v>
      </c>
      <c r="C350" s="7" t="s">
        <v>712</v>
      </c>
      <c r="D350" s="7" t="s">
        <v>715</v>
      </c>
      <c r="E350" s="7" t="s">
        <v>975</v>
      </c>
      <c r="F350" s="19" t="s">
        <v>698</v>
      </c>
      <c r="G350" s="19" t="s">
        <v>698</v>
      </c>
      <c r="H350" s="19">
        <f>VLOOKUP(Tabla_Buffers_Agroinsumos[[#This Row],[CODIGO ]],TABLACONSOLIDADA[[Codigo]:[PV]],6,0)</f>
        <v>6.59</v>
      </c>
      <c r="I350" s="19">
        <f>VLOOKUP(Tabla_Buffers_Agroinsumos[[#This Row],[CODIGO ]],TABLACONSOLIDADA[[Codigo]:[PV]],5,0)</f>
        <v>3.49</v>
      </c>
      <c r="J350" s="19" t="s">
        <v>698</v>
      </c>
      <c r="K350" s="19" t="s">
        <v>698</v>
      </c>
      <c r="L350" s="19">
        <f>IFERROR(Tabla_Buffers_Agroinsumos[[#This Row],[BUFFER CENTRAL]]/((Tabla_Buffers_Agroinsumos[[#This Row],[TIEMPO REPOSICION ]]/Tabla_Buffers_Agroinsumos[[#This Row],[FRECUENCIA]])+1),0)</f>
        <v>0</v>
      </c>
      <c r="M350" s="19" t="str">
        <f t="array" ref="M350">IFERROR(INDEX(TABLACONSOLIDADA[Buff Act],MATCH("AGROINSUMOSMATERIAPRIMA"&amp;Tabla_Buffers_Agroinsumos[[#This Row],[CODIGO ]],TABLACONSOLIDADA[Bodega]&amp;TABLACONSOLIDADA[Codigo],0)),"")</f>
        <v/>
      </c>
      <c r="N350" s="157" t="str">
        <f t="array" ref="N350">IFERROR(INDEX(TABLACONSOLIDADA[Inv Fís Act],MATCH("AGROINSUMOSMATERIAPRIMA"&amp;Tabla_Buffers_Agroinsumos[[#This Row],[CODIGO ]],TABLACONSOLIDADA[Bodega]&amp;TABLACONSOLIDADA[Codigo],0)),"")</f>
        <v/>
      </c>
      <c r="O350" s="157" t="str">
        <f t="array" ref="O35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5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50" s="19">
        <f>IFERROR(SUM(Tabla_Buffers_Agroinsumos[[#This Row],[MP-C]:[MP-VL]]),"")</f>
        <v>0</v>
      </c>
      <c r="R350" s="92" t="str">
        <f>IFERROR(Tabla_Buffers_Agroinsumos[[#This Row],[INV FIS MATERIA PRIMA]]-Tabla_Buffers_Agroinsumos[[#This Row],[BUFFER MATERIA PRIMA]],"")</f>
        <v/>
      </c>
      <c r="S35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50" s="19"/>
      <c r="U350" s="19"/>
      <c r="V350" s="19"/>
      <c r="W350" s="19"/>
      <c r="X350" s="19"/>
      <c r="Y350" s="19"/>
      <c r="Z350" s="19"/>
      <c r="AA350" s="19"/>
      <c r="AB350" s="19"/>
      <c r="AC350" s="152">
        <f t="array" ref="AC350">IFERROR(INDEX(TABLACONSOLIDADA[Buff Act],MATCH("AGROINSUMOSCENTRAL"&amp;Tabla_Buffers_Agroinsumos[[#This Row],[CODIGO ]],TABLACONSOLIDADA[Bodega]&amp;TABLACONSOLIDADA[Codigo],0)),"")</f>
        <v>150</v>
      </c>
      <c r="AD350" s="157">
        <f t="array" ref="AD350">IFERROR(INDEX(TABLACONSOLIDADA[Inv Fís Act],MATCH("AGROINSUMOSCENTRAL"&amp;Tabla_Buffers_Agroinsumos[[#This Row],[CODIGO ]],TABLACONSOLIDADA[Bodega]&amp;TABLACONSOLIDADA[Codigo],0)),"")</f>
        <v>179</v>
      </c>
      <c r="AE350" s="157">
        <f t="array" ref="AE35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194</v>
      </c>
      <c r="AF35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50" s="91">
        <f>IFERROR(SUM(Tabla_Buffers_Agroinsumos[[#This Row],[C-MP]:[C-VL]]),"")</f>
        <v>0</v>
      </c>
      <c r="AH350" s="92">
        <f>IFERROR(Tabla_Buffers_Agroinsumos[[#This Row],[INV FIS CENTRAL]]-Tabla_Buffers_Agroinsumos[[#This Row],[BUFFER CENTRAL]],"")</f>
        <v>29</v>
      </c>
      <c r="AI35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29</v>
      </c>
      <c r="AJ350" s="134"/>
      <c r="AK350" s="134"/>
      <c r="AL350" s="134"/>
      <c r="AM350" s="134"/>
      <c r="AN350" s="134"/>
      <c r="AO350" s="134"/>
      <c r="AP350" s="134"/>
      <c r="AQ350" s="134"/>
      <c r="AR350" s="134"/>
      <c r="AS350" s="134">
        <f t="array" ref="AS350">IFERROR(INDEX(TABLACONSOLIDADA[Buff Act],MATCH("AGROINSUMOScentralPROPIA"&amp;Tabla_Buffers_Agroinsumos[[#This Row],[CODIGO ]],TABLACONSOLIDADA[Bodega]&amp;TABLACONSOLIDADA[Codigo],0)),"")</f>
        <v>51</v>
      </c>
      <c r="AT350" s="157">
        <f t="array" ref="AT350">IFERROR(INDEX(TABLACONSOLIDADA[Inv Fís Act],MATCH("AGROINSUMOScentralPROPIA"&amp;Tabla_Buffers_Agroinsumos[[#This Row],[CODIGO ]],TABLACONSOLIDADA[Bodega]&amp;TABLACONSOLIDADA[Codigo],0)),"")</f>
        <v>0</v>
      </c>
      <c r="AU350" s="157">
        <f t="array" ref="AU35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5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50" s="134">
        <f>IFERROR(SUM(Tabla_Buffers_Agroinsumos[[#This Row],[P-MP]:[P-VL]]),"")</f>
        <v>0</v>
      </c>
      <c r="AX350" s="92">
        <f>IFERROR(Tabla_Buffers_Agroinsumos[[#This Row],[INV FIS PROPIA]]-Tabla_Buffers_Agroinsumos[[#This Row],[BUFFER PROPIA]],"")</f>
        <v>-51</v>
      </c>
      <c r="AY35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-51</v>
      </c>
      <c r="AZ350" s="134"/>
      <c r="BA350" s="134"/>
      <c r="BB350" s="134"/>
      <c r="BC350" s="134"/>
      <c r="BD350" s="134"/>
      <c r="BE350" s="134"/>
      <c r="BF350" s="134"/>
      <c r="BG350" s="134"/>
      <c r="BH350" s="134"/>
      <c r="BI350" s="91">
        <f t="array" ref="BI350">IFERROR(INDEX(TABLACONSOLIDADA[Buff Act],MATCH("AGROINSUMOSSTODOMINGO"&amp;Tabla_Buffers_Agroinsumos[[#This Row],[CODIGO ]],TABLACONSOLIDADA[Bodega]&amp;TABLACONSOLIDADA[Codigo],0)),"")</f>
        <v>0</v>
      </c>
      <c r="BJ350" s="157">
        <f t="array" ref="BJ350">IFERROR(INDEX(TABLACONSOLIDADA[Inv Fís Act],MATCH("AGROINSUMOSSTODOMINGO"&amp;Tabla_Buffers_Agroinsumos[[#This Row],[CODIGO ]],TABLACONSOLIDADA[Bodega]&amp;TABLACONSOLIDADA[Codigo],0)),"")</f>
        <v>0</v>
      </c>
      <c r="BK350" s="157">
        <f t="array" ref="BK35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5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50" s="91">
        <f>IFERROR(SUM(Tabla_Buffers_Agroinsumos[[#This Row],[SD-MP]:[SD-VL]]),"")</f>
        <v>0</v>
      </c>
      <c r="BN350" s="92"/>
      <c r="BO350" s="92"/>
      <c r="BP350" s="134"/>
      <c r="BQ350" s="134"/>
      <c r="BR350" s="134"/>
      <c r="BS350" s="134"/>
      <c r="BT350" s="134"/>
      <c r="BU350" s="134"/>
      <c r="BV350" s="134"/>
      <c r="BW350" s="134"/>
      <c r="BX350" s="134"/>
      <c r="BY350" s="134">
        <f t="array" ref="BY350">IFERROR(INDEX(TABLACONSOLIDADA[Buff Act],MATCH("AGROINSUMOSMONCAYOLOPEZ"&amp;Tabla_Buffers_Agroinsumos[[#This Row],[CODIGO ]],TABLACONSOLIDADA[Bodega]&amp;TABLACONSOLIDADA[Codigo],0)),"")</f>
        <v>0</v>
      </c>
      <c r="BZ350" s="157">
        <f t="array" ref="BZ350">IFERROR(INDEX(TABLACONSOLIDADA[Inv Fís Act],MATCH("AGROINSUMOSMONCAYOLOPEZ"&amp;Tabla_Buffers_Agroinsumos[[#This Row],[CODIGO ]],TABLACONSOLIDADA[Bodega]&amp;TABLACONSOLIDADA[Codigo],0)),"")</f>
        <v>0</v>
      </c>
      <c r="CA350" s="157">
        <f t="array" ref="CA35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5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50" s="134">
        <f>IFERROR(SUM(Tabla_Buffers_Agroinsumos[[#This Row],[ML-MP]:[ML-VL]]),"")</f>
        <v>0</v>
      </c>
      <c r="CD350" s="92">
        <f>IFERROR(Tabla_Buffers_Agroinsumos[[#This Row],[INV FIS ML]]-Tabla_Buffers_Agroinsumos[[#This Row],[BUFFER ML]],"")</f>
        <v>0</v>
      </c>
      <c r="CE35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50" s="134"/>
      <c r="CG350" s="134"/>
      <c r="CH350" s="134"/>
      <c r="CI350" s="134"/>
      <c r="CJ350" s="134"/>
      <c r="CK350" s="134"/>
      <c r="CL350" s="134"/>
      <c r="CM350" s="134"/>
      <c r="CN350" s="134"/>
      <c r="CO350" s="134">
        <f t="array" ref="CO350">IFERROR(INDEX(TABLACONSOLIDADA[Buff Act],MATCH("AGROINSUMOSAGROHERMANOSLEON"&amp;Tabla_Buffers_Agroinsumos[[#This Row],[CODIGO ]],TABLACONSOLIDADA[Bodega]&amp;TABLACONSOLIDADA[Codigo],0)),"")</f>
        <v>0</v>
      </c>
      <c r="CP350" s="157">
        <f t="array" ref="CP350">IFERROR(INDEX(TABLACONSOLIDADA[Inv Fís Act],MATCH("AGROINSUMOSAGROHERMANOSLEON"&amp;Tabla_Buffers_Agroinsumos[[#This Row],[CODIGO ]],TABLACONSOLIDADA[Bodega]&amp;TABLACONSOLIDADA[Codigo],0)),"")</f>
        <v>0</v>
      </c>
      <c r="CQ350" s="157">
        <f t="array" ref="CQ35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5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50" s="134">
        <f>IFERROR(SUM(Tabla_Buffers_Agroinsumos[[#This Row],[AL-MP]:[AL-VL]]),"")</f>
        <v>0</v>
      </c>
      <c r="CT350" s="92">
        <f>IFERROR(Tabla_Buffers_Agroinsumos[[#This Row],[INV FIS AL]]-Tabla_Buffers_Agroinsumos[[#This Row],[BUFFER AL]],"")</f>
        <v>0</v>
      </c>
      <c r="CU350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50" s="134"/>
      <c r="CW350" s="134"/>
      <c r="CX350" s="134"/>
      <c r="CY350" s="134"/>
      <c r="CZ350" s="134"/>
      <c r="DA350" s="134"/>
      <c r="DB350" s="134"/>
      <c r="DC350" s="134"/>
      <c r="DD350" s="134"/>
      <c r="DE350" s="134">
        <f t="array" ref="DE350">IFERROR(INDEX(TABLACONSOLIDADA[Buff Act],MATCH("AGROINSUMOSAGRONUEVO"&amp;Tabla_Buffers_Agroinsumos[[#This Row],[CODIGO ]],TABLACONSOLIDADA[Bodega]&amp;TABLACONSOLIDADA[Codigo],0)),"")</f>
        <v>0</v>
      </c>
      <c r="DF350" s="157">
        <f t="array" ref="DF350">IFERROR(INDEX(TABLACONSOLIDADA[Inv Fís Act],MATCH("AGROINSUMOSAGRONUEVO"&amp;Tabla_Buffers_Agroinsumos[[#This Row],[CODIGO ]],TABLACONSOLIDADA[Bodega]&amp;TABLACONSOLIDADA[Codigo],0)),"")</f>
        <v>0</v>
      </c>
      <c r="DG350" s="157">
        <f t="array" ref="DG35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5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50" s="134">
        <f>IFERROR(SUM(Tabla_Buffers_Agroinsumos[[#This Row],[AN-MP]:[AN-VL]]),"")</f>
        <v>0</v>
      </c>
      <c r="DJ350" s="92">
        <f>IFERROR(Tabla_Buffers_Agroinsumos[[#This Row],[INV FIS AN]]-Tabla_Buffers_Agroinsumos[[#This Row],[BUFFER AN]],"")</f>
        <v>0</v>
      </c>
      <c r="DK35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50" s="134"/>
      <c r="DM350" s="134"/>
      <c r="DN350" s="134"/>
      <c r="DO350" s="134"/>
      <c r="DP350" s="134"/>
      <c r="DQ350" s="134"/>
      <c r="DR350" s="134"/>
      <c r="DS350" s="134"/>
      <c r="DT350" s="134"/>
      <c r="DU350" s="134">
        <f t="array" ref="DU350">IFERROR(INDEX(TABLACONSOLIDADA[Buff Act],MATCH("AGROINSUMOSAGROQUIMICOSSUR"&amp;Tabla_Buffers_Agroinsumos[[#This Row],[CODIGO ]],TABLACONSOLIDADA[Bodega]&amp;TABLACONSOLIDADA[Codigo],0)),"")</f>
        <v>0</v>
      </c>
      <c r="DV350" s="157">
        <f t="array" ref="DV350">IFERROR(INDEX(TABLACONSOLIDADA[Inv Fís Act],MATCH("AGROINSUMOSAGROQUIMICOSSUR"&amp;Tabla_Buffers_Agroinsumos[[#This Row],[CODIGO ]],TABLACONSOLIDADA[Bodega]&amp;TABLACONSOLIDADA[Codigo],0)),"")</f>
        <v>0</v>
      </c>
      <c r="DW350" s="157">
        <f t="array" ref="DW35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5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50" s="134">
        <f>IFERROR(SUM(Tabla_Buffers_Agroinsumos[[#This Row],[AS-MP]:[AS-VL]]),"")</f>
        <v>0</v>
      </c>
      <c r="DZ350" s="92">
        <f>IFERROR(Tabla_Buffers_Agroinsumos[[#This Row],[INV FIS AS]]-Tabla_Buffers_Agroinsumos[[#This Row],[BUFFER AS]],"")</f>
        <v>0</v>
      </c>
      <c r="EA35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50" s="134"/>
      <c r="EC350" s="134"/>
      <c r="ED350" s="134"/>
      <c r="EE350" s="134"/>
      <c r="EF350" s="134"/>
      <c r="EG350" s="134"/>
      <c r="EH350" s="134"/>
      <c r="EI350" s="134"/>
      <c r="EJ350" s="134"/>
      <c r="EK350" s="134">
        <f t="array" ref="EK350">IFERROR(INDEX(TABLACONSOLIDADA[Buff Act],MATCH("AGROINSUMOSLAFINCA"&amp;Tabla_Buffers_Agroinsumos[[#This Row],[CODIGO ]],TABLACONSOLIDADA[Bodega]&amp;TABLACONSOLIDADA[Codigo],0)),"")</f>
        <v>0</v>
      </c>
      <c r="EL350" s="157">
        <f t="array" ref="EL350">IFERROR(INDEX(TABLACONSOLIDADA[Inv Fís Act],MATCH("AGROINSUMOSLAFINCA"&amp;Tabla_Buffers_Agroinsumos[[#This Row],[CODIGO ]],TABLACONSOLIDADA[Bodega]&amp;TABLACONSOLIDADA[Codigo],0)),"")</f>
        <v>0</v>
      </c>
      <c r="EM350" s="157">
        <f t="array" ref="EM35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5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50" s="134">
        <f>IFERROR(SUM(Tabla_Buffers_Agroinsumos[[#This Row],[LF-MP]:[LF-VL]]),"")</f>
        <v>0</v>
      </c>
      <c r="EP350" s="92">
        <f>IFERROR(Tabla_Buffers_Agroinsumos[[#This Row],[INV FIS LF]]-Tabla_Buffers_Agroinsumos[[#This Row],[BUFFER LF]],"")</f>
        <v>0</v>
      </c>
      <c r="EQ350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50" s="134"/>
      <c r="ES350" s="134"/>
      <c r="ET350" s="134"/>
      <c r="EU350" s="134"/>
      <c r="EV350" s="134"/>
      <c r="EW350" s="134"/>
      <c r="EX350" s="134"/>
      <c r="EY350" s="134"/>
      <c r="EZ350" s="134"/>
      <c r="FA350" s="134">
        <f t="array" ref="FA350">IFERROR(INDEX(TABLACONSOLIDADA[Buff Act],MATCH("AGROINSUMOSVERONICALEDESMA"&amp;Tabla_Buffers_Agroinsumos[[#This Row],[CODIGO ]],TABLACONSOLIDADA[Bodega]&amp;TABLACONSOLIDADA[Codigo],0)),"")</f>
        <v>21</v>
      </c>
      <c r="FB350" s="157">
        <f t="array" ref="FB350">IFERROR(INDEX(TABLACONSOLIDADA[Inv Fís Act],MATCH("AGROINSUMOSVERONICALEDESMA"&amp;Tabla_Buffers_Agroinsumos[[#This Row],[CODIGO ]],TABLACONSOLIDADA[Bodega]&amp;TABLACONSOLIDADA[Codigo],0)),"")</f>
        <v>40</v>
      </c>
      <c r="FC350" s="157">
        <f t="array" ref="FC35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40</v>
      </c>
      <c r="FD35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50" s="134">
        <f>IFERROR(SUM(Tabla_Buffers_Agroinsumos[[#This Row],[VL-MP]:[VL-LF]]),"")</f>
        <v>0</v>
      </c>
      <c r="FF350" s="92">
        <f>IFERROR(Tabla_Buffers_Agroinsumos[[#This Row],[INV FIS VL]]-Tabla_Buffers_Agroinsumos[[#This Row],[BUFFER VL]],"")</f>
        <v>19</v>
      </c>
      <c r="FG350" s="92">
        <f>IFERROR(Tabla_Buffers_Agroinsumos[[#This Row],[INV FIS VL]]+Tabla_Buffers_Agroinsumos[[#This Row],[TRANSFERENCIAS A VL]]-Tabla_Buffers_Agroinsumos[[#This Row],[BUFFER VL]]-Tabla_Buffers_Agroinsumos[[#This Row],[TRANSFERENCIAS DE VL]],"")</f>
        <v>19</v>
      </c>
      <c r="FH350" s="134"/>
      <c r="FI350" s="134"/>
      <c r="FJ350" s="134"/>
      <c r="FK350" s="134"/>
      <c r="FL350" s="134"/>
      <c r="FM350" s="134"/>
      <c r="FN350" s="134"/>
      <c r="FO350" s="134"/>
      <c r="FP350" s="134"/>
    </row>
    <row r="351" spans="1:172">
      <c r="A351" s="20" t="s">
        <v>1281</v>
      </c>
      <c r="B351" s="20" t="s">
        <v>1201</v>
      </c>
      <c r="C351" s="7" t="s">
        <v>712</v>
      </c>
      <c r="D351" s="7" t="s">
        <v>715</v>
      </c>
      <c r="E351" s="7" t="s">
        <v>975</v>
      </c>
      <c r="F351" s="111"/>
      <c r="G351" s="111"/>
      <c r="H351" s="111">
        <v>2.19</v>
      </c>
      <c r="I351" s="111">
        <v>0.89</v>
      </c>
      <c r="J351" s="111"/>
      <c r="K351" s="111"/>
      <c r="L351" s="111">
        <f>IFERROR(Tabla_Buffers_Agroinsumos[[#This Row],[BUFFER CENTRAL]]/((Tabla_Buffers_Agroinsumos[[#This Row],[TIEMPO REPOSICION ]]/Tabla_Buffers_Agroinsumos[[#This Row],[FRECUENCIA]])+1),0)</f>
        <v>0</v>
      </c>
      <c r="M351" s="111" t="str">
        <f t="array" ref="M351">IFERROR(INDEX(TABLACONSOLIDADA[Buff Act],MATCH("AGROINSUMOSMATERIAPRIMA"&amp;Tabla_Buffers_Agroinsumos[[#This Row],[CODIGO ]],TABLACONSOLIDADA[Bodega]&amp;TABLACONSOLIDADA[Codigo],0)),"")</f>
        <v/>
      </c>
      <c r="N351" s="111" t="str">
        <f t="array" ref="N351">IFERROR(INDEX(TABLACONSOLIDADA[Inv Fís Act],MATCH("AGROINSUMOSMATERIAPRIMA"&amp;Tabla_Buffers_Agroinsumos[[#This Row],[CODIGO ]],TABLACONSOLIDADA[Bodega]&amp;TABLACONSOLIDADA[Codigo],0)),"")</f>
        <v/>
      </c>
      <c r="O351" s="161" t="str">
        <f t="array" ref="O35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51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51" s="111">
        <f>IFERROR(SUM(Tabla_Buffers_Agroinsumos[[#This Row],[MP-C]:[MP-VL]]),"")</f>
        <v>0</v>
      </c>
      <c r="R351" s="154" t="str">
        <f>IFERROR(Tabla_Buffers_Agroinsumos[[#This Row],[INV FIS MATERIA PRIMA]]-Tabla_Buffers_Agroinsumos[[#This Row],[BUFFER MATERIA PRIMA]],"")</f>
        <v/>
      </c>
      <c r="S351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51" s="111"/>
      <c r="U351" s="111"/>
      <c r="V351" s="111"/>
      <c r="W351" s="111"/>
      <c r="X351" s="111"/>
      <c r="Y351" s="111"/>
      <c r="Z351" s="111"/>
      <c r="AA351" s="111"/>
      <c r="AB351" s="111"/>
      <c r="AC351" s="152">
        <v>150</v>
      </c>
      <c r="AD351" s="111" t="str">
        <f t="array" ref="AD351">IFERROR(INDEX(TABLACONSOLIDADA[Inv Fís Act],MATCH("AGROINSUMOSCENTRAL"&amp;Tabla_Buffers_Agroinsumos[[#This Row],[CODIGO ]],TABLACONSOLIDADA[Bodega]&amp;TABLACONSOLIDADA[Codigo],0)),"")</f>
        <v/>
      </c>
      <c r="AE351" s="161" t="str">
        <f t="array" ref="AE35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51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51" s="153">
        <f>IFERROR(SUM(Tabla_Buffers_Agroinsumos[[#This Row],[C-MP]:[C-VL]]),"")</f>
        <v>0</v>
      </c>
      <c r="AH351" s="154" t="str">
        <f>IFERROR(Tabla_Buffers_Agroinsumos[[#This Row],[INV FIS CENTRAL]]-Tabla_Buffers_Agroinsumos[[#This Row],[BUFFER CENTRAL]],"")</f>
        <v/>
      </c>
      <c r="AI351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51" s="135"/>
      <c r="AK351" s="135"/>
      <c r="AL351" s="135"/>
      <c r="AM351" s="135"/>
      <c r="AN351" s="135"/>
      <c r="AO351" s="135"/>
      <c r="AP351" s="135"/>
      <c r="AQ351" s="135"/>
      <c r="AR351" s="135"/>
      <c r="AS351" s="135" t="str">
        <f t="array" ref="AS351">IFERROR(INDEX(TABLACONSOLIDADA[Buff Act],MATCH("AGROINSUMOScentralPROPIA"&amp;Tabla_Buffers_Agroinsumos[[#This Row],[CODIGO ]],TABLACONSOLIDADA[Bodega]&amp;TABLACONSOLIDADA[Codigo],0)),"")</f>
        <v/>
      </c>
      <c r="AT351" s="111" t="str">
        <f t="array" ref="AT351">IFERROR(INDEX(TABLACONSOLIDADA[Inv Fís Act],MATCH("AGROINSUMOScentralPROPIA"&amp;Tabla_Buffers_Agroinsumos[[#This Row],[CODIGO ]],TABLACONSOLIDADA[Bodega]&amp;TABLACONSOLIDADA[Codigo],0)),"")</f>
        <v/>
      </c>
      <c r="AU351" s="161" t="str">
        <f t="array" ref="AU35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51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51" s="135">
        <f>IFERROR(SUM(Tabla_Buffers_Agroinsumos[[#This Row],[P-MP]:[P-VL]]),"")</f>
        <v>0</v>
      </c>
      <c r="AX351" s="154" t="str">
        <f>IFERROR(Tabla_Buffers_Agroinsumos[[#This Row],[INV FIS PROPIA]]-Tabla_Buffers_Agroinsumos[[#This Row],[BUFFER PROPIA]],"")</f>
        <v/>
      </c>
      <c r="AY351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51" s="135"/>
      <c r="BA351" s="135"/>
      <c r="BB351" s="135"/>
      <c r="BC351" s="135"/>
      <c r="BD351" s="135"/>
      <c r="BE351" s="135"/>
      <c r="BF351" s="135"/>
      <c r="BG351" s="135"/>
      <c r="BH351" s="135"/>
      <c r="BI351" s="153" t="str">
        <f t="array" ref="BI351">IFERROR(INDEX(TABLACONSOLIDADA[Buff Act],MATCH("AGROINSUMOSSTODOMINGO"&amp;Tabla_Buffers_Agroinsumos[[#This Row],[CODIGO ]],TABLACONSOLIDADA[Bodega]&amp;TABLACONSOLIDADA[Codigo],0)),"")</f>
        <v/>
      </c>
      <c r="BJ351" s="111" t="str">
        <f t="array" ref="BJ351">IFERROR(INDEX(TABLACONSOLIDADA[Inv Fís Act],MATCH("AGROINSUMOSSTODOMINGO"&amp;Tabla_Buffers_Agroinsumos[[#This Row],[CODIGO ]],TABLACONSOLIDADA[Bodega]&amp;TABLACONSOLIDADA[Codigo],0)),"")</f>
        <v/>
      </c>
      <c r="BK351" s="161" t="str">
        <f t="array" ref="BK35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51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51" s="153">
        <f>IFERROR(SUM(Tabla_Buffers_Agroinsumos[[#This Row],[SD-MP]:[SD-VL]]),"")</f>
        <v>0</v>
      </c>
      <c r="BN351" s="154"/>
      <c r="BO351" s="154"/>
      <c r="BP351" s="135"/>
      <c r="BQ351" s="135"/>
      <c r="BR351" s="135"/>
      <c r="BS351" s="135"/>
      <c r="BT351" s="135"/>
      <c r="BU351" s="135"/>
      <c r="BV351" s="135"/>
      <c r="BW351" s="135"/>
      <c r="BX351" s="135"/>
      <c r="BY351" s="135" t="str">
        <f t="array" ref="BY351">IFERROR(INDEX(TABLACONSOLIDADA[Buff Act],MATCH("AGROINSUMOSMONCAYOLOPEZ"&amp;Tabla_Buffers_Agroinsumos[[#This Row],[CODIGO ]],TABLACONSOLIDADA[Bodega]&amp;TABLACONSOLIDADA[Codigo],0)),"")</f>
        <v/>
      </c>
      <c r="BZ351" s="111" t="str">
        <f t="array" ref="BZ351">IFERROR(INDEX(TABLACONSOLIDADA[Inv Fís Act],MATCH("AGROINSUMOSMONCAYOLOPEZ"&amp;Tabla_Buffers_Agroinsumos[[#This Row],[CODIGO ]],TABLACONSOLIDADA[Bodega]&amp;TABLACONSOLIDADA[Codigo],0)),"")</f>
        <v/>
      </c>
      <c r="CA351" s="161" t="str">
        <f t="array" ref="CA35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51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51" s="135">
        <f>IFERROR(SUM(Tabla_Buffers_Agroinsumos[[#This Row],[ML-MP]:[ML-VL]]),"")</f>
        <v>0</v>
      </c>
      <c r="CD351" s="154" t="str">
        <f>IFERROR(Tabla_Buffers_Agroinsumos[[#This Row],[INV FIS ML]]-Tabla_Buffers_Agroinsumos[[#This Row],[BUFFER ML]],"")</f>
        <v/>
      </c>
      <c r="CE351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51" s="135"/>
      <c r="CG351" s="135"/>
      <c r="CH351" s="135"/>
      <c r="CI351" s="135"/>
      <c r="CJ351" s="135"/>
      <c r="CK351" s="135"/>
      <c r="CL351" s="135"/>
      <c r="CM351" s="135"/>
      <c r="CN351" s="135"/>
      <c r="CO351" s="135" t="str">
        <f t="array" ref="CO351">IFERROR(INDEX(TABLACONSOLIDADA[Buff Act],MATCH("AGROINSUMOSAGROHERMANOSLEON"&amp;Tabla_Buffers_Agroinsumos[[#This Row],[CODIGO ]],TABLACONSOLIDADA[Bodega]&amp;TABLACONSOLIDADA[Codigo],0)),"")</f>
        <v/>
      </c>
      <c r="CP351" s="111" t="str">
        <f t="array" ref="CP351">IFERROR(INDEX(TABLACONSOLIDADA[Inv Fís Act],MATCH("AGROINSUMOSAGROHERMANOSLEON"&amp;Tabla_Buffers_Agroinsumos[[#This Row],[CODIGO ]],TABLACONSOLIDADA[Bodega]&amp;TABLACONSOLIDADA[Codigo],0)),"")</f>
        <v/>
      </c>
      <c r="CQ351" s="161" t="str">
        <f t="array" ref="CQ35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51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51" s="135">
        <f>IFERROR(SUM(Tabla_Buffers_Agroinsumos[[#This Row],[AL-MP]:[AL-VL]]),"")</f>
        <v>0</v>
      </c>
      <c r="CT351" s="154" t="str">
        <f>IFERROR(Tabla_Buffers_Agroinsumos[[#This Row],[INV FIS AL]]-Tabla_Buffers_Agroinsumos[[#This Row],[BUFFER AL]],"")</f>
        <v/>
      </c>
      <c r="CU351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51" s="135"/>
      <c r="CW351" s="135"/>
      <c r="CX351" s="135"/>
      <c r="CY351" s="135"/>
      <c r="CZ351" s="135"/>
      <c r="DA351" s="135"/>
      <c r="DB351" s="135"/>
      <c r="DC351" s="135"/>
      <c r="DD351" s="135"/>
      <c r="DE351" s="135" t="str">
        <f t="array" ref="DE351">IFERROR(INDEX(TABLACONSOLIDADA[Buff Act],MATCH("AGROINSUMOSAGRONUEVO"&amp;Tabla_Buffers_Agroinsumos[[#This Row],[CODIGO ]],TABLACONSOLIDADA[Bodega]&amp;TABLACONSOLIDADA[Codigo],0)),"")</f>
        <v/>
      </c>
      <c r="DF351" s="111" t="str">
        <f t="array" ref="DF351">IFERROR(INDEX(TABLACONSOLIDADA[Inv Fís Act],MATCH("AGROINSUMOSAGRONUEVO"&amp;Tabla_Buffers_Agroinsumos[[#This Row],[CODIGO ]],TABLACONSOLIDADA[Bodega]&amp;TABLACONSOLIDADA[Codigo],0)),"")</f>
        <v/>
      </c>
      <c r="DG351" s="161" t="str">
        <f t="array" ref="DG35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51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51" s="135">
        <f>IFERROR(SUM(Tabla_Buffers_Agroinsumos[[#This Row],[AN-MP]:[AN-VL]]),"")</f>
        <v>0</v>
      </c>
      <c r="DJ351" s="154" t="str">
        <f>IFERROR(Tabla_Buffers_Agroinsumos[[#This Row],[INV FIS AN]]-Tabla_Buffers_Agroinsumos[[#This Row],[BUFFER AN]],"")</f>
        <v/>
      </c>
      <c r="DK351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51" s="135"/>
      <c r="DM351" s="135"/>
      <c r="DN351" s="135"/>
      <c r="DO351" s="135"/>
      <c r="DP351" s="135"/>
      <c r="DQ351" s="135"/>
      <c r="DR351" s="135"/>
      <c r="DS351" s="135"/>
      <c r="DT351" s="135"/>
      <c r="DU351" s="135" t="str">
        <f t="array" ref="DU351">IFERROR(INDEX(TABLACONSOLIDADA[Buff Act],MATCH("AGROINSUMOSAGROQUIMICOSSUR"&amp;Tabla_Buffers_Agroinsumos[[#This Row],[CODIGO ]],TABLACONSOLIDADA[Bodega]&amp;TABLACONSOLIDADA[Codigo],0)),"")</f>
        <v/>
      </c>
      <c r="DV351" s="111" t="str">
        <f t="array" ref="DV351">IFERROR(INDEX(TABLACONSOLIDADA[Inv Fís Act],MATCH("AGROINSUMOSAGROQUIMICOSSUR"&amp;Tabla_Buffers_Agroinsumos[[#This Row],[CODIGO ]],TABLACONSOLIDADA[Bodega]&amp;TABLACONSOLIDADA[Codigo],0)),"")</f>
        <v/>
      </c>
      <c r="DW351" s="161" t="str">
        <f t="array" ref="DW35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51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51" s="135">
        <f>IFERROR(SUM(Tabla_Buffers_Agroinsumos[[#This Row],[AS-MP]:[AS-VL]]),"")</f>
        <v>0</v>
      </c>
      <c r="DZ351" s="154" t="str">
        <f>IFERROR(Tabla_Buffers_Agroinsumos[[#This Row],[INV FIS AS]]-Tabla_Buffers_Agroinsumos[[#This Row],[BUFFER AS]],"")</f>
        <v/>
      </c>
      <c r="EA351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51" s="135"/>
      <c r="EC351" s="135"/>
      <c r="ED351" s="135"/>
      <c r="EE351" s="135"/>
      <c r="EF351" s="135"/>
      <c r="EG351" s="135"/>
      <c r="EH351" s="135"/>
      <c r="EI351" s="135"/>
      <c r="EJ351" s="135"/>
      <c r="EK351" s="135" t="str">
        <f t="array" ref="EK351">IFERROR(INDEX(TABLACONSOLIDADA[Buff Act],MATCH("AGROINSUMOSLAFINCA"&amp;Tabla_Buffers_Agroinsumos[[#This Row],[CODIGO ]],TABLACONSOLIDADA[Bodega]&amp;TABLACONSOLIDADA[Codigo],0)),"")</f>
        <v/>
      </c>
      <c r="EL351" s="111" t="str">
        <f t="array" ref="EL351">IFERROR(INDEX(TABLACONSOLIDADA[Inv Fís Act],MATCH("AGROINSUMOSLAFINCA"&amp;Tabla_Buffers_Agroinsumos[[#This Row],[CODIGO ]],TABLACONSOLIDADA[Bodega]&amp;TABLACONSOLIDADA[Codigo],0)),"")</f>
        <v/>
      </c>
      <c r="EM351" s="161" t="str">
        <f t="array" ref="EM35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51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51" s="135">
        <f>IFERROR(SUM(Tabla_Buffers_Agroinsumos[[#This Row],[LF-MP]:[LF-VL]]),"")</f>
        <v>0</v>
      </c>
      <c r="EP351" s="154" t="str">
        <f>IFERROR(Tabla_Buffers_Agroinsumos[[#This Row],[INV FIS LF]]-Tabla_Buffers_Agroinsumos[[#This Row],[BUFFER LF]],"")</f>
        <v/>
      </c>
      <c r="EQ351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51" s="135"/>
      <c r="ES351" s="135"/>
      <c r="ET351" s="135"/>
      <c r="EU351" s="135"/>
      <c r="EV351" s="135"/>
      <c r="EW351" s="135"/>
      <c r="EX351" s="135"/>
      <c r="EY351" s="135"/>
      <c r="EZ351" s="135"/>
      <c r="FA351" s="135" t="str">
        <f t="array" ref="FA351">IFERROR(INDEX(TABLACONSOLIDADA[Buff Act],MATCH("AGROINSUMOSVERONICALEDESMA"&amp;Tabla_Buffers_Agroinsumos[[#This Row],[CODIGO ]],TABLACONSOLIDADA[Bodega]&amp;TABLACONSOLIDADA[Codigo],0)),"")</f>
        <v/>
      </c>
      <c r="FB351" s="111" t="str">
        <f t="array" ref="FB351">IFERROR(INDEX(TABLACONSOLIDADA[Inv Fís Act],MATCH("AGROINSUMOSVERONICALEDESMA"&amp;Tabla_Buffers_Agroinsumos[[#This Row],[CODIGO ]],TABLACONSOLIDADA[Bodega]&amp;TABLACONSOLIDADA[Codigo],0)),"")</f>
        <v/>
      </c>
      <c r="FC351" s="161" t="str">
        <f t="array" ref="FC35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51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51" s="135">
        <f>IFERROR(SUM(Tabla_Buffers_Agroinsumos[[#This Row],[VL-MP]:[VL-LF]]),"")</f>
        <v>0</v>
      </c>
      <c r="FF351" s="154" t="str">
        <f>IFERROR(Tabla_Buffers_Agroinsumos[[#This Row],[INV FIS VL]]-Tabla_Buffers_Agroinsumos[[#This Row],[BUFFER VL]],"")</f>
        <v/>
      </c>
      <c r="FG351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51" s="135"/>
      <c r="FI351" s="135"/>
      <c r="FJ351" s="135"/>
      <c r="FK351" s="135"/>
      <c r="FL351" s="135"/>
      <c r="FM351" s="135"/>
      <c r="FN351" s="135"/>
      <c r="FO351" s="135"/>
      <c r="FP351" s="135"/>
    </row>
    <row r="352" spans="1:172">
      <c r="A352" s="20" t="s">
        <v>1208</v>
      </c>
      <c r="B352" s="20" t="s">
        <v>1209</v>
      </c>
      <c r="C352" s="7" t="s">
        <v>712</v>
      </c>
      <c r="D352" s="7" t="s">
        <v>715</v>
      </c>
      <c r="E352" s="7" t="s">
        <v>975</v>
      </c>
      <c r="F352" s="111"/>
      <c r="G352" s="111"/>
      <c r="H352" s="111" t="e">
        <f>VLOOKUP(Tabla_Buffers_Agroinsumos[[#This Row],[CODIGO ]],TABLACONSOLIDADA[[Codigo]:[PV]],6,0)</f>
        <v>#N/A</v>
      </c>
      <c r="I352" s="111" t="e">
        <f>VLOOKUP(Tabla_Buffers_Agroinsumos[[#This Row],[CODIGO ]],TABLACONSOLIDADA[[Codigo]:[PV]],5,0)</f>
        <v>#N/A</v>
      </c>
      <c r="J352" s="111"/>
      <c r="K352" s="111"/>
      <c r="L352" s="111">
        <f>IFERROR(Tabla_Buffers_Agroinsumos[[#This Row],[BUFFER CENTRAL]]/((Tabla_Buffers_Agroinsumos[[#This Row],[TIEMPO REPOSICION ]]/Tabla_Buffers_Agroinsumos[[#This Row],[FRECUENCIA]])+1),0)</f>
        <v>0</v>
      </c>
      <c r="M352" s="111" t="str">
        <f t="array" ref="M352">IFERROR(INDEX(TABLACONSOLIDADA[Buff Act],MATCH("AGROINSUMOSMATERIAPRIMA"&amp;Tabla_Buffers_Agroinsumos[[#This Row],[CODIGO ]],TABLACONSOLIDADA[Bodega]&amp;TABLACONSOLIDADA[Codigo],0)),"")</f>
        <v/>
      </c>
      <c r="N352" s="111" t="str">
        <f t="array" ref="N352">IFERROR(INDEX(TABLACONSOLIDADA[Inv Fís Act],MATCH("AGROINSUMOSMATERIAPRIMA"&amp;Tabla_Buffers_Agroinsumos[[#This Row],[CODIGO ]],TABLACONSOLIDADA[Bodega]&amp;TABLACONSOLIDADA[Codigo],0)),"")</f>
        <v/>
      </c>
      <c r="O352" s="178" t="str">
        <f t="array" ref="O35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52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52" s="111">
        <f>IFERROR(SUM(Tabla_Buffers_Agroinsumos[[#This Row],[MP-C]:[MP-VL]]),"")</f>
        <v>0</v>
      </c>
      <c r="R352" s="154" t="str">
        <f>IFERROR(Tabla_Buffers_Agroinsumos[[#This Row],[INV FIS MATERIA PRIMA]]-Tabla_Buffers_Agroinsumos[[#This Row],[BUFFER MATERIA PRIMA]],"")</f>
        <v/>
      </c>
      <c r="S352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52" s="111"/>
      <c r="U352" s="111"/>
      <c r="V352" s="111"/>
      <c r="W352" s="111"/>
      <c r="X352" s="111"/>
      <c r="Y352" s="111"/>
      <c r="Z352" s="111"/>
      <c r="AA352" s="111"/>
      <c r="AB352" s="111"/>
      <c r="AC352" s="135">
        <v>100</v>
      </c>
      <c r="AD352" s="111" t="str">
        <f t="array" ref="AD352">IFERROR(INDEX(TABLACONSOLIDADA[Inv Fís Act],MATCH("AGROINSUMOSCENTRAL"&amp;Tabla_Buffers_Agroinsumos[[#This Row],[CODIGO ]],TABLACONSOLIDADA[Bodega]&amp;TABLACONSOLIDADA[Codigo],0)),"")</f>
        <v/>
      </c>
      <c r="AE352" s="178" t="str">
        <f t="array" ref="AE35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52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52" s="153">
        <f>IFERROR(SUM(Tabla_Buffers_Agroinsumos[[#This Row],[C-MP]:[C-VL]]),"")</f>
        <v>0</v>
      </c>
      <c r="AH352" s="154" t="str">
        <f>IFERROR(Tabla_Buffers_Agroinsumos[[#This Row],[INV FIS CENTRAL]]-Tabla_Buffers_Agroinsumos[[#This Row],[BUFFER CENTRAL]],"")</f>
        <v/>
      </c>
      <c r="AI352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52" s="135"/>
      <c r="AK352" s="135"/>
      <c r="AL352" s="135"/>
      <c r="AM352" s="135"/>
      <c r="AN352" s="135"/>
      <c r="AO352" s="135"/>
      <c r="AP352" s="135"/>
      <c r="AQ352" s="135"/>
      <c r="AR352" s="135"/>
      <c r="AS352" s="135" t="str">
        <f t="array" ref="AS352">IFERROR(INDEX(TABLACONSOLIDADA[Buff Act],MATCH("AGROINSUMOScentralPROPIA"&amp;Tabla_Buffers_Agroinsumos[[#This Row],[CODIGO ]],TABLACONSOLIDADA[Bodega]&amp;TABLACONSOLIDADA[Codigo],0)),"")</f>
        <v/>
      </c>
      <c r="AT352" s="111" t="str">
        <f t="array" ref="AT352">IFERROR(INDEX(TABLACONSOLIDADA[Inv Fís Act],MATCH("AGROINSUMOScentralPROPIA"&amp;Tabla_Buffers_Agroinsumos[[#This Row],[CODIGO ]],TABLACONSOLIDADA[Bodega]&amp;TABLACONSOLIDADA[Codigo],0)),"")</f>
        <v/>
      </c>
      <c r="AU352" s="178" t="str">
        <f t="array" ref="AU35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52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52" s="135">
        <f>IFERROR(SUM(Tabla_Buffers_Agroinsumos[[#This Row],[P-MP]:[P-VL]]),"")</f>
        <v>0</v>
      </c>
      <c r="AX352" s="154" t="str">
        <f>IFERROR(Tabla_Buffers_Agroinsumos[[#This Row],[INV FIS PROPIA]]-Tabla_Buffers_Agroinsumos[[#This Row],[BUFFER PROPIA]],"")</f>
        <v/>
      </c>
      <c r="AY352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52" s="135"/>
      <c r="BA352" s="135"/>
      <c r="BB352" s="135"/>
      <c r="BC352" s="135"/>
      <c r="BD352" s="135"/>
      <c r="BE352" s="135"/>
      <c r="BF352" s="135"/>
      <c r="BG352" s="135"/>
      <c r="BH352" s="135"/>
      <c r="BI352" s="153" t="str">
        <f t="array" ref="BI352">IFERROR(INDEX(TABLACONSOLIDADA[Buff Act],MATCH("AGROINSUMOSSTODOMINGO"&amp;Tabla_Buffers_Agroinsumos[[#This Row],[CODIGO ]],TABLACONSOLIDADA[Bodega]&amp;TABLACONSOLIDADA[Codigo],0)),"")</f>
        <v/>
      </c>
      <c r="BJ352" s="111" t="str">
        <f t="array" ref="BJ352">IFERROR(INDEX(TABLACONSOLIDADA[Inv Fís Act],MATCH("AGROINSUMOSSTODOMINGO"&amp;Tabla_Buffers_Agroinsumos[[#This Row],[CODIGO ]],TABLACONSOLIDADA[Bodega]&amp;TABLACONSOLIDADA[Codigo],0)),"")</f>
        <v/>
      </c>
      <c r="BK352" s="178" t="str">
        <f t="array" ref="BK35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52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52" s="153">
        <f>IFERROR(SUM(Tabla_Buffers_Agroinsumos[[#This Row],[SD-MP]:[SD-VL]]),"")</f>
        <v>0</v>
      </c>
      <c r="BN352" s="154"/>
      <c r="BO352" s="154"/>
      <c r="BP352" s="135"/>
      <c r="BQ352" s="135"/>
      <c r="BR352" s="135"/>
      <c r="BS352" s="135"/>
      <c r="BT352" s="135"/>
      <c r="BU352" s="135"/>
      <c r="BV352" s="135"/>
      <c r="BW352" s="135"/>
      <c r="BX352" s="135"/>
      <c r="BY352" s="135" t="str">
        <f t="array" ref="BY352">IFERROR(INDEX(TABLACONSOLIDADA[Buff Act],MATCH("AGROINSUMOSMONCAYOLOPEZ"&amp;Tabla_Buffers_Agroinsumos[[#This Row],[CODIGO ]],TABLACONSOLIDADA[Bodega]&amp;TABLACONSOLIDADA[Codigo],0)),"")</f>
        <v/>
      </c>
      <c r="BZ352" s="111" t="str">
        <f t="array" ref="BZ352">IFERROR(INDEX(TABLACONSOLIDADA[Inv Fís Act],MATCH("AGROINSUMOSMONCAYOLOPEZ"&amp;Tabla_Buffers_Agroinsumos[[#This Row],[CODIGO ]],TABLACONSOLIDADA[Bodega]&amp;TABLACONSOLIDADA[Codigo],0)),"")</f>
        <v/>
      </c>
      <c r="CA352" s="178" t="str">
        <f t="array" ref="CA35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52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52" s="135">
        <f>IFERROR(SUM(Tabla_Buffers_Agroinsumos[[#This Row],[ML-MP]:[ML-VL]]),"")</f>
        <v>0</v>
      </c>
      <c r="CD352" s="154" t="str">
        <f>IFERROR(Tabla_Buffers_Agroinsumos[[#This Row],[INV FIS ML]]-Tabla_Buffers_Agroinsumos[[#This Row],[BUFFER ML]],"")</f>
        <v/>
      </c>
      <c r="CE352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52" s="135"/>
      <c r="CG352" s="135"/>
      <c r="CH352" s="135"/>
      <c r="CI352" s="135"/>
      <c r="CJ352" s="135"/>
      <c r="CK352" s="135"/>
      <c r="CL352" s="135"/>
      <c r="CM352" s="135"/>
      <c r="CN352" s="135"/>
      <c r="CO352" s="135" t="str">
        <f t="array" ref="CO352">IFERROR(INDEX(TABLACONSOLIDADA[Buff Act],MATCH("AGROINSUMOSAGROHERMANOSLEON"&amp;Tabla_Buffers_Agroinsumos[[#This Row],[CODIGO ]],TABLACONSOLIDADA[Bodega]&amp;TABLACONSOLIDADA[Codigo],0)),"")</f>
        <v/>
      </c>
      <c r="CP352" s="111" t="str">
        <f t="array" ref="CP352">IFERROR(INDEX(TABLACONSOLIDADA[Inv Fís Act],MATCH("AGROINSUMOSAGROHERMANOSLEON"&amp;Tabla_Buffers_Agroinsumos[[#This Row],[CODIGO ]],TABLACONSOLIDADA[Bodega]&amp;TABLACONSOLIDADA[Codigo],0)),"")</f>
        <v/>
      </c>
      <c r="CQ352" s="178" t="str">
        <f t="array" ref="CQ35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52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52" s="135">
        <f>IFERROR(SUM(Tabla_Buffers_Agroinsumos[[#This Row],[AL-MP]:[AL-VL]]),"")</f>
        <v>0</v>
      </c>
      <c r="CT352" s="154" t="str">
        <f>IFERROR(Tabla_Buffers_Agroinsumos[[#This Row],[INV FIS AL]]-Tabla_Buffers_Agroinsumos[[#This Row],[BUFFER AL]],"")</f>
        <v/>
      </c>
      <c r="CU352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52" s="135"/>
      <c r="CW352" s="135"/>
      <c r="CX352" s="135"/>
      <c r="CY352" s="135"/>
      <c r="CZ352" s="135"/>
      <c r="DA352" s="135"/>
      <c r="DB352" s="135"/>
      <c r="DC352" s="135"/>
      <c r="DD352" s="135"/>
      <c r="DE352" s="135" t="str">
        <f t="array" ref="DE352">IFERROR(INDEX(TABLACONSOLIDADA[Buff Act],MATCH("AGROINSUMOSAGRONUEVO"&amp;Tabla_Buffers_Agroinsumos[[#This Row],[CODIGO ]],TABLACONSOLIDADA[Bodega]&amp;TABLACONSOLIDADA[Codigo],0)),"")</f>
        <v/>
      </c>
      <c r="DF352" s="111" t="str">
        <f t="array" ref="DF352">IFERROR(INDEX(TABLACONSOLIDADA[Inv Fís Act],MATCH("AGROINSUMOSAGRONUEVO"&amp;Tabla_Buffers_Agroinsumos[[#This Row],[CODIGO ]],TABLACONSOLIDADA[Bodega]&amp;TABLACONSOLIDADA[Codigo],0)),"")</f>
        <v/>
      </c>
      <c r="DG352" s="178" t="str">
        <f t="array" ref="DG35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52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52" s="135">
        <f>IFERROR(SUM(Tabla_Buffers_Agroinsumos[[#This Row],[AN-MP]:[AN-VL]]),"")</f>
        <v>0</v>
      </c>
      <c r="DJ352" s="154" t="str">
        <f>IFERROR(Tabla_Buffers_Agroinsumos[[#This Row],[INV FIS AN]]-Tabla_Buffers_Agroinsumos[[#This Row],[BUFFER AN]],"")</f>
        <v/>
      </c>
      <c r="DK352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52" s="135"/>
      <c r="DM352" s="135"/>
      <c r="DN352" s="135"/>
      <c r="DO352" s="135"/>
      <c r="DP352" s="135"/>
      <c r="DQ352" s="135"/>
      <c r="DR352" s="135"/>
      <c r="DS352" s="135"/>
      <c r="DT352" s="135"/>
      <c r="DU352" s="135" t="str">
        <f t="array" ref="DU352">IFERROR(INDEX(TABLACONSOLIDADA[Buff Act],MATCH("AGROINSUMOSAGROQUIMICOSSUR"&amp;Tabla_Buffers_Agroinsumos[[#This Row],[CODIGO ]],TABLACONSOLIDADA[Bodega]&amp;TABLACONSOLIDADA[Codigo],0)),"")</f>
        <v/>
      </c>
      <c r="DV352" s="111" t="str">
        <f t="array" ref="DV352">IFERROR(INDEX(TABLACONSOLIDADA[Inv Fís Act],MATCH("AGROINSUMOSAGROQUIMICOSSUR"&amp;Tabla_Buffers_Agroinsumos[[#This Row],[CODIGO ]],TABLACONSOLIDADA[Bodega]&amp;TABLACONSOLIDADA[Codigo],0)),"")</f>
        <v/>
      </c>
      <c r="DW352" s="178" t="str">
        <f t="array" ref="DW35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52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52" s="135">
        <f>IFERROR(SUM(Tabla_Buffers_Agroinsumos[[#This Row],[AS-MP]:[AS-VL]]),"")</f>
        <v>0</v>
      </c>
      <c r="DZ352" s="154" t="str">
        <f>IFERROR(Tabla_Buffers_Agroinsumos[[#This Row],[INV FIS AS]]-Tabla_Buffers_Agroinsumos[[#This Row],[BUFFER AS]],"")</f>
        <v/>
      </c>
      <c r="EA352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52" s="135"/>
      <c r="EC352" s="135"/>
      <c r="ED352" s="135"/>
      <c r="EE352" s="135"/>
      <c r="EF352" s="135"/>
      <c r="EG352" s="135"/>
      <c r="EH352" s="135"/>
      <c r="EI352" s="135"/>
      <c r="EJ352" s="135"/>
      <c r="EK352" s="135" t="str">
        <f t="array" ref="EK352">IFERROR(INDEX(TABLACONSOLIDADA[Buff Act],MATCH("AGROINSUMOSLAFINCA"&amp;Tabla_Buffers_Agroinsumos[[#This Row],[CODIGO ]],TABLACONSOLIDADA[Bodega]&amp;TABLACONSOLIDADA[Codigo],0)),"")</f>
        <v/>
      </c>
      <c r="EL352" s="111" t="str">
        <f t="array" ref="EL352">IFERROR(INDEX(TABLACONSOLIDADA[Inv Fís Act],MATCH("AGROINSUMOSLAFINCA"&amp;Tabla_Buffers_Agroinsumos[[#This Row],[CODIGO ]],TABLACONSOLIDADA[Bodega]&amp;TABLACONSOLIDADA[Codigo],0)),"")</f>
        <v/>
      </c>
      <c r="EM352" s="178" t="str">
        <f t="array" ref="EM35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52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52" s="135">
        <f>IFERROR(SUM(Tabla_Buffers_Agroinsumos[[#This Row],[LF-MP]:[LF-VL]]),"")</f>
        <v>0</v>
      </c>
      <c r="EP352" s="154" t="str">
        <f>IFERROR(Tabla_Buffers_Agroinsumos[[#This Row],[INV FIS LF]]-Tabla_Buffers_Agroinsumos[[#This Row],[BUFFER LF]],"")</f>
        <v/>
      </c>
      <c r="EQ352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52" s="135"/>
      <c r="ES352" s="135"/>
      <c r="ET352" s="135"/>
      <c r="EU352" s="135"/>
      <c r="EV352" s="135"/>
      <c r="EW352" s="135"/>
      <c r="EX352" s="135"/>
      <c r="EY352" s="135"/>
      <c r="EZ352" s="135"/>
      <c r="FA352" s="135" t="str">
        <f t="array" ref="FA352">IFERROR(INDEX(TABLACONSOLIDADA[Buff Act],MATCH("AGROINSUMOSVERONICALEDESMA"&amp;Tabla_Buffers_Agroinsumos[[#This Row],[CODIGO ]],TABLACONSOLIDADA[Bodega]&amp;TABLACONSOLIDADA[Codigo],0)),"")</f>
        <v/>
      </c>
      <c r="FB352" s="111" t="str">
        <f t="array" ref="FB352">IFERROR(INDEX(TABLACONSOLIDADA[Inv Fís Act],MATCH("AGROINSUMOSVERONICALEDESMA"&amp;Tabla_Buffers_Agroinsumos[[#This Row],[CODIGO ]],TABLACONSOLIDADA[Bodega]&amp;TABLACONSOLIDADA[Codigo],0)),"")</f>
        <v/>
      </c>
      <c r="FC352" s="178" t="str">
        <f t="array" ref="FC35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52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52" s="135">
        <f>IFERROR(SUM(Tabla_Buffers_Agroinsumos[[#This Row],[VL-MP]:[VL-LF]]),"")</f>
        <v>0</v>
      </c>
      <c r="FF352" s="154" t="str">
        <f>IFERROR(Tabla_Buffers_Agroinsumos[[#This Row],[INV FIS VL]]-Tabla_Buffers_Agroinsumos[[#This Row],[BUFFER VL]],"")</f>
        <v/>
      </c>
      <c r="FG352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52" s="135"/>
      <c r="FI352" s="135"/>
      <c r="FJ352" s="135"/>
      <c r="FK352" s="135"/>
      <c r="FL352" s="135"/>
      <c r="FM352" s="135"/>
      <c r="FN352" s="135"/>
      <c r="FO352" s="135"/>
      <c r="FP352" s="135"/>
    </row>
    <row r="353" spans="1:172">
      <c r="A353" s="7" t="s">
        <v>886</v>
      </c>
      <c r="B353" s="7" t="s">
        <v>972</v>
      </c>
      <c r="C353" s="7" t="s">
        <v>712</v>
      </c>
      <c r="D353" s="7" t="s">
        <v>715</v>
      </c>
      <c r="E353" s="7" t="s">
        <v>975</v>
      </c>
      <c r="F353" s="19" t="s">
        <v>698</v>
      </c>
      <c r="G353" s="19" t="s">
        <v>698</v>
      </c>
      <c r="H353" s="19">
        <f>VLOOKUP(Tabla_Buffers_Agroinsumos[[#This Row],[CODIGO ]],TABLACONSOLIDADA[[Codigo]:[PV]],6,0)</f>
        <v>3.79</v>
      </c>
      <c r="I353" s="19">
        <f>VLOOKUP(Tabla_Buffers_Agroinsumos[[#This Row],[CODIGO ]],TABLACONSOLIDADA[[Codigo]:[PV]],5,0)</f>
        <v>1.87</v>
      </c>
      <c r="J353" s="19" t="s">
        <v>698</v>
      </c>
      <c r="K353" s="19" t="s">
        <v>698</v>
      </c>
      <c r="L353" s="19">
        <f>IFERROR(Tabla_Buffers_Agroinsumos[[#This Row],[BUFFER CENTRAL]]/((Tabla_Buffers_Agroinsumos[[#This Row],[TIEMPO REPOSICION ]]/Tabla_Buffers_Agroinsumos[[#This Row],[FRECUENCIA]])+1),0)</f>
        <v>0</v>
      </c>
      <c r="M353" s="19" t="str">
        <f t="array" ref="M353">IFERROR(INDEX(TABLACONSOLIDADA[Buff Act],MATCH("AGROINSUMOSMATERIAPRIMA"&amp;Tabla_Buffers_Agroinsumos[[#This Row],[CODIGO ]],TABLACONSOLIDADA[Bodega]&amp;TABLACONSOLIDADA[Codigo],0)),"")</f>
        <v/>
      </c>
      <c r="N353" s="157" t="str">
        <f t="array" ref="N353">IFERROR(INDEX(TABLACONSOLIDADA[Inv Fís Act],MATCH("AGROINSUMOSMATERIAPRIMA"&amp;Tabla_Buffers_Agroinsumos[[#This Row],[CODIGO ]],TABLACONSOLIDADA[Bodega]&amp;TABLACONSOLIDADA[Codigo],0)),"")</f>
        <v/>
      </c>
      <c r="O353" s="157" t="str">
        <f t="array" ref="O35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5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53" s="19">
        <f>IFERROR(SUM(Tabla_Buffers_Agroinsumos[[#This Row],[MP-C]:[MP-VL]]),"")</f>
        <v>0</v>
      </c>
      <c r="R353" s="92" t="str">
        <f>IFERROR(Tabla_Buffers_Agroinsumos[[#This Row],[INV FIS MATERIA PRIMA]]-Tabla_Buffers_Agroinsumos[[#This Row],[BUFFER MATERIA PRIMA]],"")</f>
        <v/>
      </c>
      <c r="S35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53" s="19"/>
      <c r="U353" s="19"/>
      <c r="V353" s="19"/>
      <c r="W353" s="19"/>
      <c r="X353" s="19"/>
      <c r="Y353" s="19"/>
      <c r="Z353" s="19"/>
      <c r="AA353" s="19"/>
      <c r="AB353" s="19"/>
      <c r="AC353" s="152">
        <f t="array" ref="AC353">IFERROR(INDEX(TABLACONSOLIDADA[Buff Act],MATCH("AGROINSUMOSCENTRAL"&amp;Tabla_Buffers_Agroinsumos[[#This Row],[CODIGO ]],TABLACONSOLIDADA[Bodega]&amp;TABLACONSOLIDADA[Codigo],0)),"")</f>
        <v>100</v>
      </c>
      <c r="AD353" s="157">
        <f t="array" ref="AD353">IFERROR(INDEX(TABLACONSOLIDADA[Inv Fís Act],MATCH("AGROINSUMOSCENTRAL"&amp;Tabla_Buffers_Agroinsumos[[#This Row],[CODIGO ]],TABLACONSOLIDADA[Bodega]&amp;TABLACONSOLIDADA[Codigo],0)),"")</f>
        <v>135</v>
      </c>
      <c r="AE353" s="157">
        <f t="array" ref="AE35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150</v>
      </c>
      <c r="AF35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53" s="91">
        <f>IFERROR(SUM(Tabla_Buffers_Agroinsumos[[#This Row],[C-MP]:[C-VL]]),"")</f>
        <v>0</v>
      </c>
      <c r="AH353" s="92">
        <f>IFERROR(Tabla_Buffers_Agroinsumos[[#This Row],[INV FIS CENTRAL]]-Tabla_Buffers_Agroinsumos[[#This Row],[BUFFER CENTRAL]],"")</f>
        <v>35</v>
      </c>
      <c r="AI35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35</v>
      </c>
      <c r="AJ353" s="134"/>
      <c r="AK353" s="134"/>
      <c r="AL353" s="134"/>
      <c r="AM353" s="134"/>
      <c r="AN353" s="134"/>
      <c r="AO353" s="134"/>
      <c r="AP353" s="134"/>
      <c r="AQ353" s="134"/>
      <c r="AR353" s="134"/>
      <c r="AS353" s="134">
        <f t="array" ref="AS353">IFERROR(INDEX(TABLACONSOLIDADA[Buff Act],MATCH("AGROINSUMOScentralPROPIA"&amp;Tabla_Buffers_Agroinsumos[[#This Row],[CODIGO ]],TABLACONSOLIDADA[Bodega]&amp;TABLACONSOLIDADA[Codigo],0)),"")</f>
        <v>36</v>
      </c>
      <c r="AT353" s="157">
        <f t="array" ref="AT353">IFERROR(INDEX(TABLACONSOLIDADA[Inv Fís Act],MATCH("AGROINSUMOScentralPROPIA"&amp;Tabla_Buffers_Agroinsumos[[#This Row],[CODIGO ]],TABLACONSOLIDADA[Bodega]&amp;TABLACONSOLIDADA[Codigo],0)),"")</f>
        <v>0</v>
      </c>
      <c r="AU353" s="157">
        <f t="array" ref="AU35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5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53" s="134">
        <f>IFERROR(SUM(Tabla_Buffers_Agroinsumos[[#This Row],[P-MP]:[P-VL]]),"")</f>
        <v>0</v>
      </c>
      <c r="AX353" s="92">
        <f>IFERROR(Tabla_Buffers_Agroinsumos[[#This Row],[INV FIS PROPIA]]-Tabla_Buffers_Agroinsumos[[#This Row],[BUFFER PROPIA]],"")</f>
        <v>-36</v>
      </c>
      <c r="AY35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-36</v>
      </c>
      <c r="AZ353" s="134"/>
      <c r="BA353" s="134"/>
      <c r="BB353" s="134"/>
      <c r="BC353" s="134"/>
      <c r="BD353" s="134"/>
      <c r="BE353" s="134"/>
      <c r="BF353" s="134"/>
      <c r="BG353" s="134"/>
      <c r="BH353" s="134"/>
      <c r="BI353" s="91">
        <f t="array" ref="BI353">IFERROR(INDEX(TABLACONSOLIDADA[Buff Act],MATCH("AGROINSUMOSSTODOMINGO"&amp;Tabla_Buffers_Agroinsumos[[#This Row],[CODIGO ]],TABLACONSOLIDADA[Bodega]&amp;TABLACONSOLIDADA[Codigo],0)),"")</f>
        <v>0</v>
      </c>
      <c r="BJ353" s="157">
        <f t="array" ref="BJ353">IFERROR(INDEX(TABLACONSOLIDADA[Inv Fís Act],MATCH("AGROINSUMOSSTODOMINGO"&amp;Tabla_Buffers_Agroinsumos[[#This Row],[CODIGO ]],TABLACONSOLIDADA[Bodega]&amp;TABLACONSOLIDADA[Codigo],0)),"")</f>
        <v>0</v>
      </c>
      <c r="BK353" s="157">
        <f t="array" ref="BK35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5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53" s="91">
        <f>IFERROR(SUM(Tabla_Buffers_Agroinsumos[[#This Row],[SD-MP]:[SD-VL]]),"")</f>
        <v>0</v>
      </c>
      <c r="BN353" s="92"/>
      <c r="BO353" s="92"/>
      <c r="BP353" s="134"/>
      <c r="BQ353" s="134"/>
      <c r="BR353" s="134"/>
      <c r="BS353" s="134"/>
      <c r="BT353" s="134"/>
      <c r="BU353" s="134"/>
      <c r="BV353" s="134"/>
      <c r="BW353" s="134"/>
      <c r="BX353" s="134"/>
      <c r="BY353" s="134">
        <f t="array" ref="BY353">IFERROR(INDEX(TABLACONSOLIDADA[Buff Act],MATCH("AGROINSUMOSMONCAYOLOPEZ"&amp;Tabla_Buffers_Agroinsumos[[#This Row],[CODIGO ]],TABLACONSOLIDADA[Bodega]&amp;TABLACONSOLIDADA[Codigo],0)),"")</f>
        <v>0</v>
      </c>
      <c r="BZ353" s="157">
        <f t="array" ref="BZ353">IFERROR(INDEX(TABLACONSOLIDADA[Inv Fís Act],MATCH("AGROINSUMOSMONCAYOLOPEZ"&amp;Tabla_Buffers_Agroinsumos[[#This Row],[CODIGO ]],TABLACONSOLIDADA[Bodega]&amp;TABLACONSOLIDADA[Codigo],0)),"")</f>
        <v>0</v>
      </c>
      <c r="CA353" s="157">
        <f t="array" ref="CA35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5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53" s="134">
        <f>IFERROR(SUM(Tabla_Buffers_Agroinsumos[[#This Row],[ML-MP]:[ML-VL]]),"")</f>
        <v>0</v>
      </c>
      <c r="CD353" s="92">
        <f>IFERROR(Tabla_Buffers_Agroinsumos[[#This Row],[INV FIS ML]]-Tabla_Buffers_Agroinsumos[[#This Row],[BUFFER ML]],"")</f>
        <v>0</v>
      </c>
      <c r="CE353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53" s="134"/>
      <c r="CG353" s="134"/>
      <c r="CH353" s="134"/>
      <c r="CI353" s="134"/>
      <c r="CJ353" s="134"/>
      <c r="CK353" s="134"/>
      <c r="CL353" s="134"/>
      <c r="CM353" s="134"/>
      <c r="CN353" s="134"/>
      <c r="CO353" s="134">
        <f t="array" ref="CO353">IFERROR(INDEX(TABLACONSOLIDADA[Buff Act],MATCH("AGROINSUMOSAGROHERMANOSLEON"&amp;Tabla_Buffers_Agroinsumos[[#This Row],[CODIGO ]],TABLACONSOLIDADA[Bodega]&amp;TABLACONSOLIDADA[Codigo],0)),"")</f>
        <v>0</v>
      </c>
      <c r="CP353" s="157">
        <f t="array" ref="CP353">IFERROR(INDEX(TABLACONSOLIDADA[Inv Fís Act],MATCH("AGROINSUMOSAGROHERMANOSLEON"&amp;Tabla_Buffers_Agroinsumos[[#This Row],[CODIGO ]],TABLACONSOLIDADA[Bodega]&amp;TABLACONSOLIDADA[Codigo],0)),"")</f>
        <v>0</v>
      </c>
      <c r="CQ353" s="157">
        <f t="array" ref="CQ35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5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53" s="134">
        <f>IFERROR(SUM(Tabla_Buffers_Agroinsumos[[#This Row],[AL-MP]:[AL-VL]]),"")</f>
        <v>0</v>
      </c>
      <c r="CT353" s="92">
        <f>IFERROR(Tabla_Buffers_Agroinsumos[[#This Row],[INV FIS AL]]-Tabla_Buffers_Agroinsumos[[#This Row],[BUFFER AL]],"")</f>
        <v>0</v>
      </c>
      <c r="CU353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53" s="134"/>
      <c r="CW353" s="134"/>
      <c r="CX353" s="134"/>
      <c r="CY353" s="134"/>
      <c r="CZ353" s="134"/>
      <c r="DA353" s="134"/>
      <c r="DB353" s="134"/>
      <c r="DC353" s="134"/>
      <c r="DD353" s="134"/>
      <c r="DE353" s="134">
        <f t="array" ref="DE353">IFERROR(INDEX(TABLACONSOLIDADA[Buff Act],MATCH("AGROINSUMOSAGRONUEVO"&amp;Tabla_Buffers_Agroinsumos[[#This Row],[CODIGO ]],TABLACONSOLIDADA[Bodega]&amp;TABLACONSOLIDADA[Codigo],0)),"")</f>
        <v>0</v>
      </c>
      <c r="DF353" s="157">
        <f t="array" ref="DF353">IFERROR(INDEX(TABLACONSOLIDADA[Inv Fís Act],MATCH("AGROINSUMOSAGRONUEVO"&amp;Tabla_Buffers_Agroinsumos[[#This Row],[CODIGO ]],TABLACONSOLIDADA[Bodega]&amp;TABLACONSOLIDADA[Codigo],0)),"")</f>
        <v>0</v>
      </c>
      <c r="DG353" s="157">
        <f t="array" ref="DG35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5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53" s="134">
        <f>IFERROR(SUM(Tabla_Buffers_Agroinsumos[[#This Row],[AN-MP]:[AN-VL]]),"")</f>
        <v>0</v>
      </c>
      <c r="DJ353" s="92">
        <f>IFERROR(Tabla_Buffers_Agroinsumos[[#This Row],[INV FIS AN]]-Tabla_Buffers_Agroinsumos[[#This Row],[BUFFER AN]],"")</f>
        <v>0</v>
      </c>
      <c r="DK353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53" s="134"/>
      <c r="DM353" s="134"/>
      <c r="DN353" s="134"/>
      <c r="DO353" s="134"/>
      <c r="DP353" s="134"/>
      <c r="DQ353" s="134"/>
      <c r="DR353" s="134"/>
      <c r="DS353" s="134"/>
      <c r="DT353" s="134"/>
      <c r="DU353" s="134">
        <f t="array" ref="DU353">IFERROR(INDEX(TABLACONSOLIDADA[Buff Act],MATCH("AGROINSUMOSAGROQUIMICOSSUR"&amp;Tabla_Buffers_Agroinsumos[[#This Row],[CODIGO ]],TABLACONSOLIDADA[Bodega]&amp;TABLACONSOLIDADA[Codigo],0)),"")</f>
        <v>0</v>
      </c>
      <c r="DV353" s="157">
        <f t="array" ref="DV353">IFERROR(INDEX(TABLACONSOLIDADA[Inv Fís Act],MATCH("AGROINSUMOSAGROQUIMICOSSUR"&amp;Tabla_Buffers_Agroinsumos[[#This Row],[CODIGO ]],TABLACONSOLIDADA[Bodega]&amp;TABLACONSOLIDADA[Codigo],0)),"")</f>
        <v>0</v>
      </c>
      <c r="DW353" s="157">
        <f t="array" ref="DW35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5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53" s="134">
        <f>IFERROR(SUM(Tabla_Buffers_Agroinsumos[[#This Row],[AS-MP]:[AS-VL]]),"")</f>
        <v>0</v>
      </c>
      <c r="DZ353" s="92">
        <f>IFERROR(Tabla_Buffers_Agroinsumos[[#This Row],[INV FIS AS]]-Tabla_Buffers_Agroinsumos[[#This Row],[BUFFER AS]],"")</f>
        <v>0</v>
      </c>
      <c r="EA353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53" s="134"/>
      <c r="EC353" s="134"/>
      <c r="ED353" s="134"/>
      <c r="EE353" s="134"/>
      <c r="EF353" s="134"/>
      <c r="EG353" s="134"/>
      <c r="EH353" s="134"/>
      <c r="EI353" s="134"/>
      <c r="EJ353" s="134"/>
      <c r="EK353" s="134">
        <f t="array" ref="EK353">IFERROR(INDEX(TABLACONSOLIDADA[Buff Act],MATCH("AGROINSUMOSLAFINCA"&amp;Tabla_Buffers_Agroinsumos[[#This Row],[CODIGO ]],TABLACONSOLIDADA[Bodega]&amp;TABLACONSOLIDADA[Codigo],0)),"")</f>
        <v>0</v>
      </c>
      <c r="EL353" s="157">
        <f t="array" ref="EL353">IFERROR(INDEX(TABLACONSOLIDADA[Inv Fís Act],MATCH("AGROINSUMOSLAFINCA"&amp;Tabla_Buffers_Agroinsumos[[#This Row],[CODIGO ]],TABLACONSOLIDADA[Bodega]&amp;TABLACONSOLIDADA[Codigo],0)),"")</f>
        <v>0</v>
      </c>
      <c r="EM353" s="157">
        <f t="array" ref="EM35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5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53" s="134">
        <f>IFERROR(SUM(Tabla_Buffers_Agroinsumos[[#This Row],[LF-MP]:[LF-VL]]),"")</f>
        <v>0</v>
      </c>
      <c r="EP353" s="92">
        <f>IFERROR(Tabla_Buffers_Agroinsumos[[#This Row],[INV FIS LF]]-Tabla_Buffers_Agroinsumos[[#This Row],[BUFFER LF]],"")</f>
        <v>0</v>
      </c>
      <c r="EQ35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53" s="134"/>
      <c r="ES353" s="134"/>
      <c r="ET353" s="134"/>
      <c r="EU353" s="134"/>
      <c r="EV353" s="134"/>
      <c r="EW353" s="134"/>
      <c r="EX353" s="134"/>
      <c r="EY353" s="134"/>
      <c r="EZ353" s="134"/>
      <c r="FA353" s="134">
        <f t="array" ref="FA353">IFERROR(INDEX(TABLACONSOLIDADA[Buff Act],MATCH("AGROINSUMOSVERONICALEDESMA"&amp;Tabla_Buffers_Agroinsumos[[#This Row],[CODIGO ]],TABLACONSOLIDADA[Bodega]&amp;TABLACONSOLIDADA[Codigo],0)),"")</f>
        <v>0</v>
      </c>
      <c r="FB353" s="157">
        <f t="array" ref="FB353">IFERROR(INDEX(TABLACONSOLIDADA[Inv Fís Act],MATCH("AGROINSUMOSVERONICALEDESMA"&amp;Tabla_Buffers_Agroinsumos[[#This Row],[CODIGO ]],TABLACONSOLIDADA[Bodega]&amp;TABLACONSOLIDADA[Codigo],0)),"")</f>
        <v>0</v>
      </c>
      <c r="FC353" s="157">
        <f t="array" ref="FC35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5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53" s="134">
        <f>IFERROR(SUM(Tabla_Buffers_Agroinsumos[[#This Row],[VL-MP]:[VL-LF]]),"")</f>
        <v>0</v>
      </c>
      <c r="FF353" s="92">
        <f>IFERROR(Tabla_Buffers_Agroinsumos[[#This Row],[INV FIS VL]]-Tabla_Buffers_Agroinsumos[[#This Row],[BUFFER VL]],"")</f>
        <v>0</v>
      </c>
      <c r="FG353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53" s="134"/>
      <c r="FI353" s="134"/>
      <c r="FJ353" s="134"/>
      <c r="FK353" s="134"/>
      <c r="FL353" s="134"/>
      <c r="FM353" s="134"/>
      <c r="FN353" s="134"/>
      <c r="FO353" s="134"/>
      <c r="FP353" s="134"/>
    </row>
    <row r="354" spans="1:172">
      <c r="A354" s="20" t="s">
        <v>1211</v>
      </c>
      <c r="B354" s="20" t="s">
        <v>1210</v>
      </c>
      <c r="C354" s="7" t="s">
        <v>712</v>
      </c>
      <c r="D354" s="7" t="s">
        <v>715</v>
      </c>
      <c r="E354" s="7" t="s">
        <v>975</v>
      </c>
      <c r="F354" s="111"/>
      <c r="G354" s="111"/>
      <c r="H354" s="111" t="e">
        <f>VLOOKUP(Tabla_Buffers_Agroinsumos[[#This Row],[CODIGO ]],TABLACONSOLIDADA[[Codigo]:[PV]],6,0)</f>
        <v>#N/A</v>
      </c>
      <c r="I354" s="111" t="e">
        <f>VLOOKUP(Tabla_Buffers_Agroinsumos[[#This Row],[CODIGO ]],TABLACONSOLIDADA[[Codigo]:[PV]],5,0)</f>
        <v>#N/A</v>
      </c>
      <c r="J354" s="111"/>
      <c r="K354" s="111"/>
      <c r="L354" s="111">
        <f>IFERROR(Tabla_Buffers_Agroinsumos[[#This Row],[BUFFER CENTRAL]]/((Tabla_Buffers_Agroinsumos[[#This Row],[TIEMPO REPOSICION ]]/Tabla_Buffers_Agroinsumos[[#This Row],[FRECUENCIA]])+1),0)</f>
        <v>0</v>
      </c>
      <c r="M354" s="111" t="str">
        <f t="array" ref="M354">IFERROR(INDEX(TABLACONSOLIDADA[Buff Act],MATCH("AGROINSUMOSMATERIAPRIMA"&amp;Tabla_Buffers_Agroinsumos[[#This Row],[CODIGO ]],TABLACONSOLIDADA[Bodega]&amp;TABLACONSOLIDADA[Codigo],0)),"")</f>
        <v/>
      </c>
      <c r="N354" s="111" t="str">
        <f t="array" ref="N354">IFERROR(INDEX(TABLACONSOLIDADA[Inv Fís Act],MATCH("AGROINSUMOSMATERIAPRIMA"&amp;Tabla_Buffers_Agroinsumos[[#This Row],[CODIGO ]],TABLACONSOLIDADA[Bodega]&amp;TABLACONSOLIDADA[Codigo],0)),"")</f>
        <v/>
      </c>
      <c r="O354" s="178" t="str">
        <f t="array" ref="O35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54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54" s="111">
        <f>IFERROR(SUM(Tabla_Buffers_Agroinsumos[[#This Row],[MP-C]:[MP-VL]]),"")</f>
        <v>0</v>
      </c>
      <c r="R354" s="154" t="str">
        <f>IFERROR(Tabla_Buffers_Agroinsumos[[#This Row],[INV FIS MATERIA PRIMA]]-Tabla_Buffers_Agroinsumos[[#This Row],[BUFFER MATERIA PRIMA]],"")</f>
        <v/>
      </c>
      <c r="S354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54" s="111"/>
      <c r="U354" s="111"/>
      <c r="V354" s="111"/>
      <c r="W354" s="111"/>
      <c r="X354" s="111"/>
      <c r="Y354" s="111"/>
      <c r="Z354" s="111"/>
      <c r="AA354" s="111"/>
      <c r="AB354" s="111"/>
      <c r="AC354" s="152">
        <v>100</v>
      </c>
      <c r="AD354" s="111" t="str">
        <f t="array" ref="AD354">IFERROR(INDEX(TABLACONSOLIDADA[Inv Fís Act],MATCH("AGROINSUMOSCENTRAL"&amp;Tabla_Buffers_Agroinsumos[[#This Row],[CODIGO ]],TABLACONSOLIDADA[Bodega]&amp;TABLACONSOLIDADA[Codigo],0)),"")</f>
        <v/>
      </c>
      <c r="AE354" s="178" t="str">
        <f t="array" ref="AE35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54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54" s="153">
        <f>IFERROR(SUM(Tabla_Buffers_Agroinsumos[[#This Row],[C-MP]:[C-VL]]),"")</f>
        <v>0</v>
      </c>
      <c r="AH354" s="154" t="str">
        <f>IFERROR(Tabla_Buffers_Agroinsumos[[#This Row],[INV FIS CENTRAL]]-Tabla_Buffers_Agroinsumos[[#This Row],[BUFFER CENTRAL]],"")</f>
        <v/>
      </c>
      <c r="AI354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54" s="135"/>
      <c r="AK354" s="135"/>
      <c r="AL354" s="135"/>
      <c r="AM354" s="135"/>
      <c r="AN354" s="135"/>
      <c r="AO354" s="135"/>
      <c r="AP354" s="135"/>
      <c r="AQ354" s="135"/>
      <c r="AR354" s="135"/>
      <c r="AS354" s="135" t="str">
        <f t="array" ref="AS354">IFERROR(INDEX(TABLACONSOLIDADA[Buff Act],MATCH("AGROINSUMOScentralPROPIA"&amp;Tabla_Buffers_Agroinsumos[[#This Row],[CODIGO ]],TABLACONSOLIDADA[Bodega]&amp;TABLACONSOLIDADA[Codigo],0)),"")</f>
        <v/>
      </c>
      <c r="AT354" s="111" t="str">
        <f t="array" ref="AT354">IFERROR(INDEX(TABLACONSOLIDADA[Inv Fís Act],MATCH("AGROINSUMOScentralPROPIA"&amp;Tabla_Buffers_Agroinsumos[[#This Row],[CODIGO ]],TABLACONSOLIDADA[Bodega]&amp;TABLACONSOLIDADA[Codigo],0)),"")</f>
        <v/>
      </c>
      <c r="AU354" s="178" t="str">
        <f t="array" ref="AU35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54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54" s="135">
        <f>IFERROR(SUM(Tabla_Buffers_Agroinsumos[[#This Row],[P-MP]:[P-VL]]),"")</f>
        <v>0</v>
      </c>
      <c r="AX354" s="154" t="str">
        <f>IFERROR(Tabla_Buffers_Agroinsumos[[#This Row],[INV FIS PROPIA]]-Tabla_Buffers_Agroinsumos[[#This Row],[BUFFER PROPIA]],"")</f>
        <v/>
      </c>
      <c r="AY354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54" s="135"/>
      <c r="BA354" s="135"/>
      <c r="BB354" s="135"/>
      <c r="BC354" s="135"/>
      <c r="BD354" s="135"/>
      <c r="BE354" s="135"/>
      <c r="BF354" s="135"/>
      <c r="BG354" s="135"/>
      <c r="BH354" s="135"/>
      <c r="BI354" s="153" t="str">
        <f t="array" ref="BI354">IFERROR(INDEX(TABLACONSOLIDADA[Buff Act],MATCH("AGROINSUMOSSTODOMINGO"&amp;Tabla_Buffers_Agroinsumos[[#This Row],[CODIGO ]],TABLACONSOLIDADA[Bodega]&amp;TABLACONSOLIDADA[Codigo],0)),"")</f>
        <v/>
      </c>
      <c r="BJ354" s="111" t="str">
        <f t="array" ref="BJ354">IFERROR(INDEX(TABLACONSOLIDADA[Inv Fís Act],MATCH("AGROINSUMOSSTODOMINGO"&amp;Tabla_Buffers_Agroinsumos[[#This Row],[CODIGO ]],TABLACONSOLIDADA[Bodega]&amp;TABLACONSOLIDADA[Codigo],0)),"")</f>
        <v/>
      </c>
      <c r="BK354" s="178" t="str">
        <f t="array" ref="BK35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54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54" s="153">
        <f>IFERROR(SUM(Tabla_Buffers_Agroinsumos[[#This Row],[SD-MP]:[SD-VL]]),"")</f>
        <v>0</v>
      </c>
      <c r="BN354" s="154"/>
      <c r="BO354" s="154"/>
      <c r="BP354" s="135"/>
      <c r="BQ354" s="135"/>
      <c r="BR354" s="135"/>
      <c r="BS354" s="135"/>
      <c r="BT354" s="135"/>
      <c r="BU354" s="135"/>
      <c r="BV354" s="135"/>
      <c r="BW354" s="135"/>
      <c r="BX354" s="135"/>
      <c r="BY354" s="135" t="str">
        <f t="array" ref="BY354">IFERROR(INDEX(TABLACONSOLIDADA[Buff Act],MATCH("AGROINSUMOSMONCAYOLOPEZ"&amp;Tabla_Buffers_Agroinsumos[[#This Row],[CODIGO ]],TABLACONSOLIDADA[Bodega]&amp;TABLACONSOLIDADA[Codigo],0)),"")</f>
        <v/>
      </c>
      <c r="BZ354" s="111" t="str">
        <f t="array" ref="BZ354">IFERROR(INDEX(TABLACONSOLIDADA[Inv Fís Act],MATCH("AGROINSUMOSMONCAYOLOPEZ"&amp;Tabla_Buffers_Agroinsumos[[#This Row],[CODIGO ]],TABLACONSOLIDADA[Bodega]&amp;TABLACONSOLIDADA[Codigo],0)),"")</f>
        <v/>
      </c>
      <c r="CA354" s="178" t="str">
        <f t="array" ref="CA35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54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54" s="135">
        <f>IFERROR(SUM(Tabla_Buffers_Agroinsumos[[#This Row],[ML-MP]:[ML-VL]]),"")</f>
        <v>0</v>
      </c>
      <c r="CD354" s="154" t="str">
        <f>IFERROR(Tabla_Buffers_Agroinsumos[[#This Row],[INV FIS ML]]-Tabla_Buffers_Agroinsumos[[#This Row],[BUFFER ML]],"")</f>
        <v/>
      </c>
      <c r="CE354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54" s="135"/>
      <c r="CG354" s="135"/>
      <c r="CH354" s="135"/>
      <c r="CI354" s="135"/>
      <c r="CJ354" s="135"/>
      <c r="CK354" s="135"/>
      <c r="CL354" s="135"/>
      <c r="CM354" s="135"/>
      <c r="CN354" s="135"/>
      <c r="CO354" s="135" t="str">
        <f t="array" ref="CO354">IFERROR(INDEX(TABLACONSOLIDADA[Buff Act],MATCH("AGROINSUMOSAGROHERMANOSLEON"&amp;Tabla_Buffers_Agroinsumos[[#This Row],[CODIGO ]],TABLACONSOLIDADA[Bodega]&amp;TABLACONSOLIDADA[Codigo],0)),"")</f>
        <v/>
      </c>
      <c r="CP354" s="111" t="str">
        <f t="array" ref="CP354">IFERROR(INDEX(TABLACONSOLIDADA[Inv Fís Act],MATCH("AGROINSUMOSAGROHERMANOSLEON"&amp;Tabla_Buffers_Agroinsumos[[#This Row],[CODIGO ]],TABLACONSOLIDADA[Bodega]&amp;TABLACONSOLIDADA[Codigo],0)),"")</f>
        <v/>
      </c>
      <c r="CQ354" s="178" t="str">
        <f t="array" ref="CQ35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54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54" s="135">
        <f>IFERROR(SUM(Tabla_Buffers_Agroinsumos[[#This Row],[AL-MP]:[AL-VL]]),"")</f>
        <v>0</v>
      </c>
      <c r="CT354" s="154" t="str">
        <f>IFERROR(Tabla_Buffers_Agroinsumos[[#This Row],[INV FIS AL]]-Tabla_Buffers_Agroinsumos[[#This Row],[BUFFER AL]],"")</f>
        <v/>
      </c>
      <c r="CU354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54" s="135"/>
      <c r="CW354" s="135"/>
      <c r="CX354" s="135"/>
      <c r="CY354" s="135"/>
      <c r="CZ354" s="135"/>
      <c r="DA354" s="135"/>
      <c r="DB354" s="135"/>
      <c r="DC354" s="135"/>
      <c r="DD354" s="135"/>
      <c r="DE354" s="135" t="str">
        <f t="array" ref="DE354">IFERROR(INDEX(TABLACONSOLIDADA[Buff Act],MATCH("AGROINSUMOSAGRONUEVO"&amp;Tabla_Buffers_Agroinsumos[[#This Row],[CODIGO ]],TABLACONSOLIDADA[Bodega]&amp;TABLACONSOLIDADA[Codigo],0)),"")</f>
        <v/>
      </c>
      <c r="DF354" s="111" t="str">
        <f t="array" ref="DF354">IFERROR(INDEX(TABLACONSOLIDADA[Inv Fís Act],MATCH("AGROINSUMOSAGRONUEVO"&amp;Tabla_Buffers_Agroinsumos[[#This Row],[CODIGO ]],TABLACONSOLIDADA[Bodega]&amp;TABLACONSOLIDADA[Codigo],0)),"")</f>
        <v/>
      </c>
      <c r="DG354" s="178" t="str">
        <f t="array" ref="DG35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54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54" s="135">
        <f>IFERROR(SUM(Tabla_Buffers_Agroinsumos[[#This Row],[AN-MP]:[AN-VL]]),"")</f>
        <v>0</v>
      </c>
      <c r="DJ354" s="154" t="str">
        <f>IFERROR(Tabla_Buffers_Agroinsumos[[#This Row],[INV FIS AN]]-Tabla_Buffers_Agroinsumos[[#This Row],[BUFFER AN]],"")</f>
        <v/>
      </c>
      <c r="DK354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54" s="135"/>
      <c r="DM354" s="135"/>
      <c r="DN354" s="135"/>
      <c r="DO354" s="135"/>
      <c r="DP354" s="135"/>
      <c r="DQ354" s="135"/>
      <c r="DR354" s="135"/>
      <c r="DS354" s="135"/>
      <c r="DT354" s="135"/>
      <c r="DU354" s="135" t="str">
        <f t="array" ref="DU354">IFERROR(INDEX(TABLACONSOLIDADA[Buff Act],MATCH("AGROINSUMOSAGROQUIMICOSSUR"&amp;Tabla_Buffers_Agroinsumos[[#This Row],[CODIGO ]],TABLACONSOLIDADA[Bodega]&amp;TABLACONSOLIDADA[Codigo],0)),"")</f>
        <v/>
      </c>
      <c r="DV354" s="111" t="str">
        <f t="array" ref="DV354">IFERROR(INDEX(TABLACONSOLIDADA[Inv Fís Act],MATCH("AGROINSUMOSAGROQUIMICOSSUR"&amp;Tabla_Buffers_Agroinsumos[[#This Row],[CODIGO ]],TABLACONSOLIDADA[Bodega]&amp;TABLACONSOLIDADA[Codigo],0)),"")</f>
        <v/>
      </c>
      <c r="DW354" s="178" t="str">
        <f t="array" ref="DW35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54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54" s="135">
        <f>IFERROR(SUM(Tabla_Buffers_Agroinsumos[[#This Row],[AS-MP]:[AS-VL]]),"")</f>
        <v>0</v>
      </c>
      <c r="DZ354" s="154" t="str">
        <f>IFERROR(Tabla_Buffers_Agroinsumos[[#This Row],[INV FIS AS]]-Tabla_Buffers_Agroinsumos[[#This Row],[BUFFER AS]],"")</f>
        <v/>
      </c>
      <c r="EA354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54" s="135"/>
      <c r="EC354" s="135"/>
      <c r="ED354" s="135"/>
      <c r="EE354" s="135"/>
      <c r="EF354" s="135"/>
      <c r="EG354" s="135"/>
      <c r="EH354" s="135"/>
      <c r="EI354" s="135"/>
      <c r="EJ354" s="135"/>
      <c r="EK354" s="135" t="str">
        <f t="array" ref="EK354">IFERROR(INDEX(TABLACONSOLIDADA[Buff Act],MATCH("AGROINSUMOSLAFINCA"&amp;Tabla_Buffers_Agroinsumos[[#This Row],[CODIGO ]],TABLACONSOLIDADA[Bodega]&amp;TABLACONSOLIDADA[Codigo],0)),"")</f>
        <v/>
      </c>
      <c r="EL354" s="111" t="str">
        <f t="array" ref="EL354">IFERROR(INDEX(TABLACONSOLIDADA[Inv Fís Act],MATCH("AGROINSUMOSLAFINCA"&amp;Tabla_Buffers_Agroinsumos[[#This Row],[CODIGO ]],TABLACONSOLIDADA[Bodega]&amp;TABLACONSOLIDADA[Codigo],0)),"")</f>
        <v/>
      </c>
      <c r="EM354" s="178" t="str">
        <f t="array" ref="EM35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54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54" s="135">
        <f>IFERROR(SUM(Tabla_Buffers_Agroinsumos[[#This Row],[LF-MP]:[LF-VL]]),"")</f>
        <v>0</v>
      </c>
      <c r="EP354" s="154" t="str">
        <f>IFERROR(Tabla_Buffers_Agroinsumos[[#This Row],[INV FIS LF]]-Tabla_Buffers_Agroinsumos[[#This Row],[BUFFER LF]],"")</f>
        <v/>
      </c>
      <c r="EQ354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54" s="135"/>
      <c r="ES354" s="135"/>
      <c r="ET354" s="135"/>
      <c r="EU354" s="135"/>
      <c r="EV354" s="135"/>
      <c r="EW354" s="135"/>
      <c r="EX354" s="135"/>
      <c r="EY354" s="135"/>
      <c r="EZ354" s="135"/>
      <c r="FA354" s="135" t="str">
        <f t="array" ref="FA354">IFERROR(INDEX(TABLACONSOLIDADA[Buff Act],MATCH("AGROINSUMOSVERONICALEDESMA"&amp;Tabla_Buffers_Agroinsumos[[#This Row],[CODIGO ]],TABLACONSOLIDADA[Bodega]&amp;TABLACONSOLIDADA[Codigo],0)),"")</f>
        <v/>
      </c>
      <c r="FB354" s="111" t="str">
        <f t="array" ref="FB354">IFERROR(INDEX(TABLACONSOLIDADA[Inv Fís Act],MATCH("AGROINSUMOSVERONICALEDESMA"&amp;Tabla_Buffers_Agroinsumos[[#This Row],[CODIGO ]],TABLACONSOLIDADA[Bodega]&amp;TABLACONSOLIDADA[Codigo],0)),"")</f>
        <v/>
      </c>
      <c r="FC354" s="178" t="str">
        <f t="array" ref="FC35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54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54" s="135">
        <f>IFERROR(SUM(Tabla_Buffers_Agroinsumos[[#This Row],[VL-MP]:[VL-LF]]),"")</f>
        <v>0</v>
      </c>
      <c r="FF354" s="154" t="str">
        <f>IFERROR(Tabla_Buffers_Agroinsumos[[#This Row],[INV FIS VL]]-Tabla_Buffers_Agroinsumos[[#This Row],[BUFFER VL]],"")</f>
        <v/>
      </c>
      <c r="FG354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54" s="135"/>
      <c r="FI354" s="135"/>
      <c r="FJ354" s="135"/>
      <c r="FK354" s="135"/>
      <c r="FL354" s="135"/>
      <c r="FM354" s="135"/>
      <c r="FN354" s="135"/>
      <c r="FO354" s="135"/>
      <c r="FP354" s="135"/>
    </row>
    <row r="355" spans="1:172">
      <c r="A355" s="7" t="s">
        <v>887</v>
      </c>
      <c r="B355" s="7" t="s">
        <v>973</v>
      </c>
      <c r="C355" s="7" t="s">
        <v>712</v>
      </c>
      <c r="D355" s="7" t="s">
        <v>715</v>
      </c>
      <c r="E355" s="7" t="s">
        <v>975</v>
      </c>
      <c r="F355" s="19" t="s">
        <v>698</v>
      </c>
      <c r="G355" s="19" t="s">
        <v>698</v>
      </c>
      <c r="H355" s="19">
        <f>VLOOKUP(Tabla_Buffers_Agroinsumos[[#This Row],[CODIGO ]],TABLACONSOLIDADA[[Codigo]:[PV]],6,0)</f>
        <v>11.9</v>
      </c>
      <c r="I355" s="19">
        <f>VLOOKUP(Tabla_Buffers_Agroinsumos[[#This Row],[CODIGO ]],TABLACONSOLIDADA[[Codigo]:[PV]],5,0)</f>
        <v>6.61</v>
      </c>
      <c r="J355" s="19" t="s">
        <v>698</v>
      </c>
      <c r="K355" s="19" t="s">
        <v>698</v>
      </c>
      <c r="L355" s="19">
        <f>IFERROR(Tabla_Buffers_Agroinsumos[[#This Row],[BUFFER CENTRAL]]/((Tabla_Buffers_Agroinsumos[[#This Row],[TIEMPO REPOSICION ]]/Tabla_Buffers_Agroinsumos[[#This Row],[FRECUENCIA]])+1),0)</f>
        <v>0</v>
      </c>
      <c r="M355" s="19" t="str">
        <f t="array" ref="M355">IFERROR(INDEX(TABLACONSOLIDADA[Buff Act],MATCH("AGROINSUMOSMATERIAPRIMA"&amp;Tabla_Buffers_Agroinsumos[[#This Row],[CODIGO ]],TABLACONSOLIDADA[Bodega]&amp;TABLACONSOLIDADA[Codigo],0)),"")</f>
        <v/>
      </c>
      <c r="N355" s="157" t="str">
        <f t="array" ref="N355">IFERROR(INDEX(TABLACONSOLIDADA[Inv Fís Act],MATCH("AGROINSUMOSMATERIAPRIMA"&amp;Tabla_Buffers_Agroinsumos[[#This Row],[CODIGO ]],TABLACONSOLIDADA[Bodega]&amp;TABLACONSOLIDADA[Codigo],0)),"")</f>
        <v/>
      </c>
      <c r="O355" s="157" t="str">
        <f t="array" ref="O35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5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55" s="19">
        <f>IFERROR(SUM(Tabla_Buffers_Agroinsumos[[#This Row],[MP-C]:[MP-VL]]),"")</f>
        <v>0</v>
      </c>
      <c r="R355" s="92" t="str">
        <f>IFERROR(Tabla_Buffers_Agroinsumos[[#This Row],[INV FIS MATERIA PRIMA]]-Tabla_Buffers_Agroinsumos[[#This Row],[BUFFER MATERIA PRIMA]],"")</f>
        <v/>
      </c>
      <c r="S35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55" s="19"/>
      <c r="U355" s="19"/>
      <c r="V355" s="19"/>
      <c r="W355" s="19"/>
      <c r="X355" s="19"/>
      <c r="Y355" s="19"/>
      <c r="Z355" s="19"/>
      <c r="AA355" s="19"/>
      <c r="AB355" s="19"/>
      <c r="AC355" s="135">
        <f t="array" ref="AC355">IFERROR(INDEX(TABLACONSOLIDADA[Buff Act],MATCH("AGROINSUMOSCENTRAL"&amp;Tabla_Buffers_Agroinsumos[[#This Row],[CODIGO ]],TABLACONSOLIDADA[Bodega]&amp;TABLACONSOLIDADA[Codigo],0)),"")</f>
        <v>100</v>
      </c>
      <c r="AD355" s="157">
        <f t="array" ref="AD355">IFERROR(INDEX(TABLACONSOLIDADA[Inv Fís Act],MATCH("AGROINSUMOSCENTRAL"&amp;Tabla_Buffers_Agroinsumos[[#This Row],[CODIGO ]],TABLACONSOLIDADA[Bodega]&amp;TABLACONSOLIDADA[Codigo],0)),"")</f>
        <v>162</v>
      </c>
      <c r="AE355" s="157">
        <f t="array" ref="AE35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182</v>
      </c>
      <c r="AF35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55" s="91">
        <f>IFERROR(SUM(Tabla_Buffers_Agroinsumos[[#This Row],[C-MP]:[C-VL]]),"")</f>
        <v>0</v>
      </c>
      <c r="AH355" s="92">
        <f>IFERROR(Tabla_Buffers_Agroinsumos[[#This Row],[INV FIS CENTRAL]]-Tabla_Buffers_Agroinsumos[[#This Row],[BUFFER CENTRAL]],"")</f>
        <v>62</v>
      </c>
      <c r="AI35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62</v>
      </c>
      <c r="AJ355" s="134"/>
      <c r="AK355" s="134"/>
      <c r="AL355" s="134"/>
      <c r="AM355" s="134"/>
      <c r="AN355" s="134"/>
      <c r="AO355" s="134"/>
      <c r="AP355" s="134"/>
      <c r="AQ355" s="134"/>
      <c r="AR355" s="134"/>
      <c r="AS355" s="134">
        <f t="array" ref="AS355">IFERROR(INDEX(TABLACONSOLIDADA[Buff Act],MATCH("AGROINSUMOScentralPROPIA"&amp;Tabla_Buffers_Agroinsumos[[#This Row],[CODIGO ]],TABLACONSOLIDADA[Bodega]&amp;TABLACONSOLIDADA[Codigo],0)),"")</f>
        <v>45</v>
      </c>
      <c r="AT355" s="157">
        <f t="array" ref="AT355">IFERROR(INDEX(TABLACONSOLIDADA[Inv Fís Act],MATCH("AGROINSUMOScentralPROPIA"&amp;Tabla_Buffers_Agroinsumos[[#This Row],[CODIGO ]],TABLACONSOLIDADA[Bodega]&amp;TABLACONSOLIDADA[Codigo],0)),"")</f>
        <v>0</v>
      </c>
      <c r="AU355" s="157">
        <f t="array" ref="AU35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5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55" s="134">
        <f>IFERROR(SUM(Tabla_Buffers_Agroinsumos[[#This Row],[P-MP]:[P-VL]]),"")</f>
        <v>0</v>
      </c>
      <c r="AX355" s="92">
        <f>IFERROR(Tabla_Buffers_Agroinsumos[[#This Row],[INV FIS PROPIA]]-Tabla_Buffers_Agroinsumos[[#This Row],[BUFFER PROPIA]],"")</f>
        <v>-45</v>
      </c>
      <c r="AY35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-45</v>
      </c>
      <c r="AZ355" s="134"/>
      <c r="BA355" s="134"/>
      <c r="BB355" s="134"/>
      <c r="BC355" s="134"/>
      <c r="BD355" s="134"/>
      <c r="BE355" s="134"/>
      <c r="BF355" s="134"/>
      <c r="BG355" s="134"/>
      <c r="BH355" s="134"/>
      <c r="BI355" s="91">
        <f t="array" ref="BI355">IFERROR(INDEX(TABLACONSOLIDADA[Buff Act],MATCH("AGROINSUMOSSTODOMINGO"&amp;Tabla_Buffers_Agroinsumos[[#This Row],[CODIGO ]],TABLACONSOLIDADA[Bodega]&amp;TABLACONSOLIDADA[Codigo],0)),"")</f>
        <v>0</v>
      </c>
      <c r="BJ355" s="157">
        <f t="array" ref="BJ355">IFERROR(INDEX(TABLACONSOLIDADA[Inv Fís Act],MATCH("AGROINSUMOSSTODOMINGO"&amp;Tabla_Buffers_Agroinsumos[[#This Row],[CODIGO ]],TABLACONSOLIDADA[Bodega]&amp;TABLACONSOLIDADA[Codigo],0)),"")</f>
        <v>0</v>
      </c>
      <c r="BK355" s="157">
        <f t="array" ref="BK35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5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55" s="91">
        <f>IFERROR(SUM(Tabla_Buffers_Agroinsumos[[#This Row],[SD-MP]:[SD-VL]]),"")</f>
        <v>0</v>
      </c>
      <c r="BN355" s="92"/>
      <c r="BO355" s="92"/>
      <c r="BP355" s="134"/>
      <c r="BQ355" s="134"/>
      <c r="BR355" s="134"/>
      <c r="BS355" s="134"/>
      <c r="BT355" s="134"/>
      <c r="BU355" s="134"/>
      <c r="BV355" s="134"/>
      <c r="BW355" s="134"/>
      <c r="BX355" s="134"/>
      <c r="BY355" s="134">
        <f t="array" ref="BY355">IFERROR(INDEX(TABLACONSOLIDADA[Buff Act],MATCH("AGROINSUMOSMONCAYOLOPEZ"&amp;Tabla_Buffers_Agroinsumos[[#This Row],[CODIGO ]],TABLACONSOLIDADA[Bodega]&amp;TABLACONSOLIDADA[Codigo],0)),"")</f>
        <v>0</v>
      </c>
      <c r="BZ355" s="157">
        <f t="array" ref="BZ355">IFERROR(INDEX(TABLACONSOLIDADA[Inv Fís Act],MATCH("AGROINSUMOSMONCAYOLOPEZ"&amp;Tabla_Buffers_Agroinsumos[[#This Row],[CODIGO ]],TABLACONSOLIDADA[Bodega]&amp;TABLACONSOLIDADA[Codigo],0)),"")</f>
        <v>0</v>
      </c>
      <c r="CA355" s="157">
        <f t="array" ref="CA35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5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55" s="134">
        <f>IFERROR(SUM(Tabla_Buffers_Agroinsumos[[#This Row],[ML-MP]:[ML-VL]]),"")</f>
        <v>0</v>
      </c>
      <c r="CD355" s="92">
        <f>IFERROR(Tabla_Buffers_Agroinsumos[[#This Row],[INV FIS ML]]-Tabla_Buffers_Agroinsumos[[#This Row],[BUFFER ML]],"")</f>
        <v>0</v>
      </c>
      <c r="CE35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55" s="134"/>
      <c r="CG355" s="134"/>
      <c r="CH355" s="134"/>
      <c r="CI355" s="134"/>
      <c r="CJ355" s="134"/>
      <c r="CK355" s="134"/>
      <c r="CL355" s="134"/>
      <c r="CM355" s="134"/>
      <c r="CN355" s="134"/>
      <c r="CO355" s="134">
        <f t="array" ref="CO355">IFERROR(INDEX(TABLACONSOLIDADA[Buff Act],MATCH("AGROINSUMOSAGROHERMANOSLEON"&amp;Tabla_Buffers_Agroinsumos[[#This Row],[CODIGO ]],TABLACONSOLIDADA[Bodega]&amp;TABLACONSOLIDADA[Codigo],0)),"")</f>
        <v>10</v>
      </c>
      <c r="CP355" s="157">
        <f t="array" ref="CP355">IFERROR(INDEX(TABLACONSOLIDADA[Inv Fís Act],MATCH("AGROINSUMOSAGROHERMANOSLEON"&amp;Tabla_Buffers_Agroinsumos[[#This Row],[CODIGO ]],TABLACONSOLIDADA[Bodega]&amp;TABLACONSOLIDADA[Codigo],0)),"")</f>
        <v>10</v>
      </c>
      <c r="CQ355" s="157">
        <f t="array" ref="CQ35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10</v>
      </c>
      <c r="CR35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55" s="134">
        <f>IFERROR(SUM(Tabla_Buffers_Agroinsumos[[#This Row],[AL-MP]:[AL-VL]]),"")</f>
        <v>0</v>
      </c>
      <c r="CT355" s="92">
        <f>IFERROR(Tabla_Buffers_Agroinsumos[[#This Row],[INV FIS AL]]-Tabla_Buffers_Agroinsumos[[#This Row],[BUFFER AL]],"")</f>
        <v>0</v>
      </c>
      <c r="CU35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55" s="134"/>
      <c r="CW355" s="134"/>
      <c r="CX355" s="134"/>
      <c r="CY355" s="134"/>
      <c r="CZ355" s="134"/>
      <c r="DA355" s="134"/>
      <c r="DB355" s="134"/>
      <c r="DC355" s="134"/>
      <c r="DD355" s="134"/>
      <c r="DE355" s="134">
        <f t="array" ref="DE355">IFERROR(INDEX(TABLACONSOLIDADA[Buff Act],MATCH("AGROINSUMOSAGRONUEVO"&amp;Tabla_Buffers_Agroinsumos[[#This Row],[CODIGO ]],TABLACONSOLIDADA[Bodega]&amp;TABLACONSOLIDADA[Codigo],0)),"")</f>
        <v>0</v>
      </c>
      <c r="DF355" s="157">
        <f t="array" ref="DF355">IFERROR(INDEX(TABLACONSOLIDADA[Inv Fís Act],MATCH("AGROINSUMOSAGRONUEVO"&amp;Tabla_Buffers_Agroinsumos[[#This Row],[CODIGO ]],TABLACONSOLIDADA[Bodega]&amp;TABLACONSOLIDADA[Codigo],0)),"")</f>
        <v>0</v>
      </c>
      <c r="DG355" s="157">
        <f t="array" ref="DG35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5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55" s="134">
        <f>IFERROR(SUM(Tabla_Buffers_Agroinsumos[[#This Row],[AN-MP]:[AN-VL]]),"")</f>
        <v>0</v>
      </c>
      <c r="DJ355" s="92">
        <f>IFERROR(Tabla_Buffers_Agroinsumos[[#This Row],[INV FIS AN]]-Tabla_Buffers_Agroinsumos[[#This Row],[BUFFER AN]],"")</f>
        <v>0</v>
      </c>
      <c r="DK35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55" s="134"/>
      <c r="DM355" s="134"/>
      <c r="DN355" s="134"/>
      <c r="DO355" s="134"/>
      <c r="DP355" s="134"/>
      <c r="DQ355" s="134"/>
      <c r="DR355" s="134"/>
      <c r="DS355" s="134"/>
      <c r="DT355" s="134"/>
      <c r="DU355" s="134">
        <f t="array" ref="DU355">IFERROR(INDEX(TABLACONSOLIDADA[Buff Act],MATCH("AGROINSUMOSAGROQUIMICOSSUR"&amp;Tabla_Buffers_Agroinsumos[[#This Row],[CODIGO ]],TABLACONSOLIDADA[Bodega]&amp;TABLACONSOLIDADA[Codigo],0)),"")</f>
        <v>0</v>
      </c>
      <c r="DV355" s="157">
        <f t="array" ref="DV355">IFERROR(INDEX(TABLACONSOLIDADA[Inv Fís Act],MATCH("AGROINSUMOSAGROQUIMICOSSUR"&amp;Tabla_Buffers_Agroinsumos[[#This Row],[CODIGO ]],TABLACONSOLIDADA[Bodega]&amp;TABLACONSOLIDADA[Codigo],0)),"")</f>
        <v>0</v>
      </c>
      <c r="DW355" s="157">
        <f t="array" ref="DW35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5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55" s="134">
        <f>IFERROR(SUM(Tabla_Buffers_Agroinsumos[[#This Row],[AS-MP]:[AS-VL]]),"")</f>
        <v>0</v>
      </c>
      <c r="DZ355" s="92">
        <f>IFERROR(Tabla_Buffers_Agroinsumos[[#This Row],[INV FIS AS]]-Tabla_Buffers_Agroinsumos[[#This Row],[BUFFER AS]],"")</f>
        <v>0</v>
      </c>
      <c r="EA35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55" s="134"/>
      <c r="EC355" s="134"/>
      <c r="ED355" s="134"/>
      <c r="EE355" s="134"/>
      <c r="EF355" s="134"/>
      <c r="EG355" s="134"/>
      <c r="EH355" s="134"/>
      <c r="EI355" s="134"/>
      <c r="EJ355" s="134"/>
      <c r="EK355" s="134">
        <f t="array" ref="EK355">IFERROR(INDEX(TABLACONSOLIDADA[Buff Act],MATCH("AGROINSUMOSLAFINCA"&amp;Tabla_Buffers_Agroinsumos[[#This Row],[CODIGO ]],TABLACONSOLIDADA[Bodega]&amp;TABLACONSOLIDADA[Codigo],0)),"")</f>
        <v>0</v>
      </c>
      <c r="EL355" s="157">
        <f t="array" ref="EL355">IFERROR(INDEX(TABLACONSOLIDADA[Inv Fís Act],MATCH("AGROINSUMOSLAFINCA"&amp;Tabla_Buffers_Agroinsumos[[#This Row],[CODIGO ]],TABLACONSOLIDADA[Bodega]&amp;TABLACONSOLIDADA[Codigo],0)),"")</f>
        <v>0</v>
      </c>
      <c r="EM355" s="157">
        <f t="array" ref="EM35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5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55" s="134">
        <f>IFERROR(SUM(Tabla_Buffers_Agroinsumos[[#This Row],[LF-MP]:[LF-VL]]),"")</f>
        <v>0</v>
      </c>
      <c r="EP355" s="92">
        <f>IFERROR(Tabla_Buffers_Agroinsumos[[#This Row],[INV FIS LF]]-Tabla_Buffers_Agroinsumos[[#This Row],[BUFFER LF]],"")</f>
        <v>0</v>
      </c>
      <c r="EQ35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55" s="134"/>
      <c r="ES355" s="134"/>
      <c r="ET355" s="134"/>
      <c r="EU355" s="134"/>
      <c r="EV355" s="134"/>
      <c r="EW355" s="134"/>
      <c r="EX355" s="134"/>
      <c r="EY355" s="134"/>
      <c r="EZ355" s="134"/>
      <c r="FA355" s="134">
        <f t="array" ref="FA355">IFERROR(INDEX(TABLACONSOLIDADA[Buff Act],MATCH("AGROINSUMOSVERONICALEDESMA"&amp;Tabla_Buffers_Agroinsumos[[#This Row],[CODIGO ]],TABLACONSOLIDADA[Bodega]&amp;TABLACONSOLIDADA[Codigo],0)),"")</f>
        <v>21</v>
      </c>
      <c r="FB355" s="157">
        <f t="array" ref="FB355">IFERROR(INDEX(TABLACONSOLIDADA[Inv Fís Act],MATCH("AGROINSUMOSVERONICALEDESMA"&amp;Tabla_Buffers_Agroinsumos[[#This Row],[CODIGO ]],TABLACONSOLIDADA[Bodega]&amp;TABLACONSOLIDADA[Codigo],0)),"")</f>
        <v>21</v>
      </c>
      <c r="FC355" s="157">
        <f t="array" ref="FC35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21</v>
      </c>
      <c r="FD35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55" s="134">
        <f>IFERROR(SUM(Tabla_Buffers_Agroinsumos[[#This Row],[VL-MP]:[VL-LF]]),"")</f>
        <v>0</v>
      </c>
      <c r="FF355" s="92">
        <f>IFERROR(Tabla_Buffers_Agroinsumos[[#This Row],[INV FIS VL]]-Tabla_Buffers_Agroinsumos[[#This Row],[BUFFER VL]],"")</f>
        <v>0</v>
      </c>
      <c r="FG355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55" s="134"/>
      <c r="FI355" s="134"/>
      <c r="FJ355" s="134"/>
      <c r="FK355" s="134"/>
      <c r="FL355" s="134"/>
      <c r="FM355" s="134"/>
      <c r="FN355" s="134"/>
      <c r="FO355" s="134"/>
      <c r="FP355" s="134"/>
    </row>
    <row r="356" spans="1:172">
      <c r="A356" s="7" t="s">
        <v>600</v>
      </c>
      <c r="B356" s="7" t="s">
        <v>974</v>
      </c>
      <c r="C356" s="7" t="s">
        <v>867</v>
      </c>
      <c r="D356" s="7" t="s">
        <v>715</v>
      </c>
      <c r="E356" s="7" t="s">
        <v>975</v>
      </c>
      <c r="F356" s="19" t="s">
        <v>698</v>
      </c>
      <c r="G356" s="19" t="s">
        <v>698</v>
      </c>
      <c r="H356" s="19">
        <f>VLOOKUP(Tabla_Buffers_Agroinsumos[[#This Row],[CODIGO ]],TABLACONSOLIDADA[[Codigo]:[PV]],6,0)</f>
        <v>3.15</v>
      </c>
      <c r="I356" s="19">
        <f>VLOOKUP(Tabla_Buffers_Agroinsumos[[#This Row],[CODIGO ]],TABLACONSOLIDADA[[Codigo]:[PV]],5,0)</f>
        <v>1.43</v>
      </c>
      <c r="J356" s="19" t="s">
        <v>698</v>
      </c>
      <c r="K356" s="19" t="s">
        <v>698</v>
      </c>
      <c r="L356" s="19">
        <f>IFERROR(Tabla_Buffers_Agroinsumos[[#This Row],[BUFFER CENTRAL]]/((Tabla_Buffers_Agroinsumos[[#This Row],[TIEMPO REPOSICION ]]/Tabla_Buffers_Agroinsumos[[#This Row],[FRECUENCIA]])+1),0)</f>
        <v>0</v>
      </c>
      <c r="M356" s="19" t="str">
        <f t="array" ref="M356">IFERROR(INDEX(TABLACONSOLIDADA[Buff Act],MATCH("AGROINSUMOSMATERIAPRIMA"&amp;Tabla_Buffers_Agroinsumos[[#This Row],[CODIGO ]],TABLACONSOLIDADA[Bodega]&amp;TABLACONSOLIDADA[Codigo],0)),"")</f>
        <v/>
      </c>
      <c r="N356" s="157" t="str">
        <f t="array" ref="N356">IFERROR(INDEX(TABLACONSOLIDADA[Inv Fís Act],MATCH("AGROINSUMOSMATERIAPRIMA"&amp;Tabla_Buffers_Agroinsumos[[#This Row],[CODIGO ]],TABLACONSOLIDADA[Bodega]&amp;TABLACONSOLIDADA[Codigo],0)),"")</f>
        <v/>
      </c>
      <c r="O356" s="157" t="str">
        <f t="array" ref="O35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5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56" s="19">
        <f>IFERROR(SUM(Tabla_Buffers_Agroinsumos[[#This Row],[MP-C]:[MP-VL]]),"")</f>
        <v>0</v>
      </c>
      <c r="R356" s="92" t="str">
        <f>IFERROR(Tabla_Buffers_Agroinsumos[[#This Row],[INV FIS MATERIA PRIMA]]-Tabla_Buffers_Agroinsumos[[#This Row],[BUFFER MATERIA PRIMA]],"")</f>
        <v/>
      </c>
      <c r="S35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56" s="19"/>
      <c r="U356" s="19"/>
      <c r="V356" s="19"/>
      <c r="W356" s="19"/>
      <c r="X356" s="19"/>
      <c r="Y356" s="19"/>
      <c r="Z356" s="19"/>
      <c r="AA356" s="19"/>
      <c r="AB356" s="19"/>
      <c r="AC356" s="135">
        <f t="array" ref="AC356">IFERROR(INDEX(TABLACONSOLIDADA[Buff Act],MATCH("AGROINSUMOSCENTRAL"&amp;Tabla_Buffers_Agroinsumos[[#This Row],[CODIGO ]],TABLACONSOLIDADA[Bodega]&amp;TABLACONSOLIDADA[Codigo],0)),"")</f>
        <v>200</v>
      </c>
      <c r="AD356" s="157">
        <f t="array" ref="AD356">IFERROR(INDEX(TABLACONSOLIDADA[Inv Fís Act],MATCH("AGROINSUMOSCENTRAL"&amp;Tabla_Buffers_Agroinsumos[[#This Row],[CODIGO ]],TABLACONSOLIDADA[Bodega]&amp;TABLACONSOLIDADA[Codigo],0)),"")</f>
        <v>499</v>
      </c>
      <c r="AE356" s="157">
        <f t="array" ref="AE35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499</v>
      </c>
      <c r="AF35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56" s="91">
        <f>IFERROR(SUM(Tabla_Buffers_Agroinsumos[[#This Row],[C-MP]:[C-VL]]),"")</f>
        <v>0</v>
      </c>
      <c r="AH356" s="92">
        <f>IFERROR(Tabla_Buffers_Agroinsumos[[#This Row],[INV FIS CENTRAL]]-Tabla_Buffers_Agroinsumos[[#This Row],[BUFFER CENTRAL]],"")</f>
        <v>299</v>
      </c>
      <c r="AI356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299</v>
      </c>
      <c r="AJ356" s="134"/>
      <c r="AK356" s="134"/>
      <c r="AL356" s="134"/>
      <c r="AM356" s="134"/>
      <c r="AN356" s="134"/>
      <c r="AO356" s="134"/>
      <c r="AP356" s="134"/>
      <c r="AQ356" s="134"/>
      <c r="AR356" s="134"/>
      <c r="AS356" s="134">
        <f t="array" ref="AS356">IFERROR(INDEX(TABLACONSOLIDADA[Buff Act],MATCH("AGROINSUMOScentralPROPIA"&amp;Tabla_Buffers_Agroinsumos[[#This Row],[CODIGO ]],TABLACONSOLIDADA[Bodega]&amp;TABLACONSOLIDADA[Codigo],0)),"")</f>
        <v>90</v>
      </c>
      <c r="AT356" s="157">
        <f t="array" ref="AT356">IFERROR(INDEX(TABLACONSOLIDADA[Inv Fís Act],MATCH("AGROINSUMOScentralPROPIA"&amp;Tabla_Buffers_Agroinsumos[[#This Row],[CODIGO ]],TABLACONSOLIDADA[Bodega]&amp;TABLACONSOLIDADA[Codigo],0)),"")</f>
        <v>0</v>
      </c>
      <c r="AU356" s="157">
        <f t="array" ref="AU35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5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56" s="134">
        <f>IFERROR(SUM(Tabla_Buffers_Agroinsumos[[#This Row],[P-MP]:[P-VL]]),"")</f>
        <v>0</v>
      </c>
      <c r="AX356" s="92">
        <f>IFERROR(Tabla_Buffers_Agroinsumos[[#This Row],[INV FIS PROPIA]]-Tabla_Buffers_Agroinsumos[[#This Row],[BUFFER PROPIA]],"")</f>
        <v>-90</v>
      </c>
      <c r="AY356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-90</v>
      </c>
      <c r="AZ356" s="134"/>
      <c r="BA356" s="134"/>
      <c r="BB356" s="134"/>
      <c r="BC356" s="134"/>
      <c r="BD356" s="134"/>
      <c r="BE356" s="134"/>
      <c r="BF356" s="134"/>
      <c r="BG356" s="134"/>
      <c r="BH356" s="134"/>
      <c r="BI356" s="91">
        <f t="array" ref="BI356">IFERROR(INDEX(TABLACONSOLIDADA[Buff Act],MATCH("AGROINSUMOSSTODOMINGO"&amp;Tabla_Buffers_Agroinsumos[[#This Row],[CODIGO ]],TABLACONSOLIDADA[Bodega]&amp;TABLACONSOLIDADA[Codigo],0)),"")</f>
        <v>0</v>
      </c>
      <c r="BJ356" s="157">
        <f t="array" ref="BJ356">IFERROR(INDEX(TABLACONSOLIDADA[Inv Fís Act],MATCH("AGROINSUMOSSTODOMINGO"&amp;Tabla_Buffers_Agroinsumos[[#This Row],[CODIGO ]],TABLACONSOLIDADA[Bodega]&amp;TABLACONSOLIDADA[Codigo],0)),"")</f>
        <v>0</v>
      </c>
      <c r="BK356" s="157">
        <f t="array" ref="BK35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5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56" s="91">
        <f>IFERROR(SUM(Tabla_Buffers_Agroinsumos[[#This Row],[SD-MP]:[SD-VL]]),"")</f>
        <v>0</v>
      </c>
      <c r="BN356" s="92"/>
      <c r="BO356" s="92"/>
      <c r="BP356" s="134"/>
      <c r="BQ356" s="134"/>
      <c r="BR356" s="134"/>
      <c r="BS356" s="134"/>
      <c r="BT356" s="134"/>
      <c r="BU356" s="134"/>
      <c r="BV356" s="134"/>
      <c r="BW356" s="134"/>
      <c r="BX356" s="134"/>
      <c r="BY356" s="134" t="str">
        <f t="array" ref="BY356">IFERROR(INDEX(TABLACONSOLIDADA[Buff Act],MATCH("AGROINSUMOSMONCAYOLOPEZ"&amp;Tabla_Buffers_Agroinsumos[[#This Row],[CODIGO ]],TABLACONSOLIDADA[Bodega]&amp;TABLACONSOLIDADA[Codigo],0)),"")</f>
        <v/>
      </c>
      <c r="BZ356" s="157" t="str">
        <f t="array" ref="BZ356">IFERROR(INDEX(TABLACONSOLIDADA[Inv Fís Act],MATCH("AGROINSUMOSMONCAYOLOPEZ"&amp;Tabla_Buffers_Agroinsumos[[#This Row],[CODIGO ]],TABLACONSOLIDADA[Bodega]&amp;TABLACONSOLIDADA[Codigo],0)),"")</f>
        <v/>
      </c>
      <c r="CA356" s="157" t="str">
        <f t="array" ref="CA35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5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56" s="134">
        <f>IFERROR(SUM(Tabla_Buffers_Agroinsumos[[#This Row],[ML-MP]:[ML-VL]]),"")</f>
        <v>0</v>
      </c>
      <c r="CD356" s="92" t="str">
        <f>IFERROR(Tabla_Buffers_Agroinsumos[[#This Row],[INV FIS ML]]-Tabla_Buffers_Agroinsumos[[#This Row],[BUFFER ML]],"")</f>
        <v/>
      </c>
      <c r="CE35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56" s="134"/>
      <c r="CG356" s="134"/>
      <c r="CH356" s="134"/>
      <c r="CI356" s="134"/>
      <c r="CJ356" s="134"/>
      <c r="CK356" s="134"/>
      <c r="CL356" s="134"/>
      <c r="CM356" s="134"/>
      <c r="CN356" s="134"/>
      <c r="CO356" s="134" t="str">
        <f t="array" ref="CO356">IFERROR(INDEX(TABLACONSOLIDADA[Buff Act],MATCH("AGROINSUMOSAGROHERMANOSLEON"&amp;Tabla_Buffers_Agroinsumos[[#This Row],[CODIGO ]],TABLACONSOLIDADA[Bodega]&amp;TABLACONSOLIDADA[Codigo],0)),"")</f>
        <v/>
      </c>
      <c r="CP356" s="157" t="str">
        <f t="array" ref="CP356">IFERROR(INDEX(TABLACONSOLIDADA[Inv Fís Act],MATCH("AGROINSUMOSAGROHERMANOSLEON"&amp;Tabla_Buffers_Agroinsumos[[#This Row],[CODIGO ]],TABLACONSOLIDADA[Bodega]&amp;TABLACONSOLIDADA[Codigo],0)),"")</f>
        <v/>
      </c>
      <c r="CQ356" s="157" t="str">
        <f t="array" ref="CQ35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5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56" s="134">
        <f>IFERROR(SUM(Tabla_Buffers_Agroinsumos[[#This Row],[AL-MP]:[AL-VL]]),"")</f>
        <v>0</v>
      </c>
      <c r="CT356" s="92" t="str">
        <f>IFERROR(Tabla_Buffers_Agroinsumos[[#This Row],[INV FIS AL]]-Tabla_Buffers_Agroinsumos[[#This Row],[BUFFER AL]],"")</f>
        <v/>
      </c>
      <c r="CU35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56" s="134"/>
      <c r="CW356" s="134"/>
      <c r="CX356" s="134"/>
      <c r="CY356" s="134"/>
      <c r="CZ356" s="134"/>
      <c r="DA356" s="134"/>
      <c r="DB356" s="134"/>
      <c r="DC356" s="134"/>
      <c r="DD356" s="134"/>
      <c r="DE356" s="134" t="str">
        <f t="array" ref="DE356">IFERROR(INDEX(TABLACONSOLIDADA[Buff Act],MATCH("AGROINSUMOSAGRONUEVO"&amp;Tabla_Buffers_Agroinsumos[[#This Row],[CODIGO ]],TABLACONSOLIDADA[Bodega]&amp;TABLACONSOLIDADA[Codigo],0)),"")</f>
        <v/>
      </c>
      <c r="DF356" s="157" t="str">
        <f t="array" ref="DF356">IFERROR(INDEX(TABLACONSOLIDADA[Inv Fís Act],MATCH("AGROINSUMOSAGRONUEVO"&amp;Tabla_Buffers_Agroinsumos[[#This Row],[CODIGO ]],TABLACONSOLIDADA[Bodega]&amp;TABLACONSOLIDADA[Codigo],0)),"")</f>
        <v/>
      </c>
      <c r="DG356" s="157" t="str">
        <f t="array" ref="DG35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5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56" s="134">
        <f>IFERROR(SUM(Tabla_Buffers_Agroinsumos[[#This Row],[AN-MP]:[AN-VL]]),"")</f>
        <v>0</v>
      </c>
      <c r="DJ356" s="92" t="str">
        <f>IFERROR(Tabla_Buffers_Agroinsumos[[#This Row],[INV FIS AN]]-Tabla_Buffers_Agroinsumos[[#This Row],[BUFFER AN]],"")</f>
        <v/>
      </c>
      <c r="DK35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56" s="134"/>
      <c r="DM356" s="134"/>
      <c r="DN356" s="134"/>
      <c r="DO356" s="134"/>
      <c r="DP356" s="134"/>
      <c r="DQ356" s="134"/>
      <c r="DR356" s="134"/>
      <c r="DS356" s="134"/>
      <c r="DT356" s="134"/>
      <c r="DU356" s="134" t="str">
        <f t="array" ref="DU356">IFERROR(INDEX(TABLACONSOLIDADA[Buff Act],MATCH("AGROINSUMOSAGROQUIMICOSSUR"&amp;Tabla_Buffers_Agroinsumos[[#This Row],[CODIGO ]],TABLACONSOLIDADA[Bodega]&amp;TABLACONSOLIDADA[Codigo],0)),"")</f>
        <v/>
      </c>
      <c r="DV356" s="157" t="str">
        <f t="array" ref="DV356">IFERROR(INDEX(TABLACONSOLIDADA[Inv Fís Act],MATCH("AGROINSUMOSAGROQUIMICOSSUR"&amp;Tabla_Buffers_Agroinsumos[[#This Row],[CODIGO ]],TABLACONSOLIDADA[Bodega]&amp;TABLACONSOLIDADA[Codigo],0)),"")</f>
        <v/>
      </c>
      <c r="DW356" s="157" t="str">
        <f t="array" ref="DW35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5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56" s="134">
        <f>IFERROR(SUM(Tabla_Buffers_Agroinsumos[[#This Row],[AS-MP]:[AS-VL]]),"")</f>
        <v>0</v>
      </c>
      <c r="DZ356" s="92" t="str">
        <f>IFERROR(Tabla_Buffers_Agroinsumos[[#This Row],[INV FIS AS]]-Tabla_Buffers_Agroinsumos[[#This Row],[BUFFER AS]],"")</f>
        <v/>
      </c>
      <c r="EA35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56" s="134"/>
      <c r="EC356" s="134"/>
      <c r="ED356" s="134"/>
      <c r="EE356" s="134"/>
      <c r="EF356" s="134"/>
      <c r="EG356" s="134"/>
      <c r="EH356" s="134"/>
      <c r="EI356" s="134"/>
      <c r="EJ356" s="134"/>
      <c r="EK356" s="134">
        <f t="array" ref="EK356">IFERROR(INDEX(TABLACONSOLIDADA[Buff Act],MATCH("AGROINSUMOSLAFINCA"&amp;Tabla_Buffers_Agroinsumos[[#This Row],[CODIGO ]],TABLACONSOLIDADA[Bodega]&amp;TABLACONSOLIDADA[Codigo],0)),"")</f>
        <v>20</v>
      </c>
      <c r="EL356" s="157">
        <f t="array" ref="EL356">IFERROR(INDEX(TABLACONSOLIDADA[Inv Fís Act],MATCH("AGROINSUMOSLAFINCA"&amp;Tabla_Buffers_Agroinsumos[[#This Row],[CODIGO ]],TABLACONSOLIDADA[Bodega]&amp;TABLACONSOLIDADA[Codigo],0)),"")</f>
        <v>0</v>
      </c>
      <c r="EM356" s="157">
        <f t="array" ref="EM35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5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56" s="134">
        <f>IFERROR(SUM(Tabla_Buffers_Agroinsumos[[#This Row],[LF-MP]:[LF-VL]]),"")</f>
        <v>0</v>
      </c>
      <c r="EP356" s="92">
        <f>IFERROR(Tabla_Buffers_Agroinsumos[[#This Row],[INV FIS LF]]-Tabla_Buffers_Agroinsumos[[#This Row],[BUFFER LF]],"")</f>
        <v>-20</v>
      </c>
      <c r="EQ356" s="92">
        <f>IFERROR(Tabla_Buffers_Agroinsumos[[#This Row],[INV FIS LF]]+Tabla_Buffers_Agroinsumos[[#This Row],[TRANSFERENCIAS A LF]]-Tabla_Buffers_Agroinsumos[[#This Row],[BUFFER LF]]-Tabla_Buffers_Agroinsumos[[#This Row],[TRANSFERENCIAS DE LF]],"")</f>
        <v>-20</v>
      </c>
      <c r="ER356" s="134"/>
      <c r="ES356" s="134"/>
      <c r="ET356" s="134"/>
      <c r="EU356" s="134"/>
      <c r="EV356" s="134"/>
      <c r="EW356" s="134"/>
      <c r="EX356" s="134"/>
      <c r="EY356" s="134"/>
      <c r="EZ356" s="134"/>
      <c r="FA356" s="134" t="str">
        <f t="array" ref="FA356">IFERROR(INDEX(TABLACONSOLIDADA[Buff Act],MATCH("AGROINSUMOSVERONICALEDESMA"&amp;Tabla_Buffers_Agroinsumos[[#This Row],[CODIGO ]],TABLACONSOLIDADA[Bodega]&amp;TABLACONSOLIDADA[Codigo],0)),"")</f>
        <v/>
      </c>
      <c r="FB356" s="157" t="str">
        <f t="array" ref="FB356">IFERROR(INDEX(TABLACONSOLIDADA[Inv Fís Act],MATCH("AGROINSUMOSVERONICALEDESMA"&amp;Tabla_Buffers_Agroinsumos[[#This Row],[CODIGO ]],TABLACONSOLIDADA[Bodega]&amp;TABLACONSOLIDADA[Codigo],0)),"")</f>
        <v/>
      </c>
      <c r="FC356" s="157" t="str">
        <f t="array" ref="FC35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5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56" s="134">
        <f>IFERROR(SUM(Tabla_Buffers_Agroinsumos[[#This Row],[VL-MP]:[VL-LF]]),"")</f>
        <v>0</v>
      </c>
      <c r="FF356" s="92" t="str">
        <f>IFERROR(Tabla_Buffers_Agroinsumos[[#This Row],[INV FIS VL]]-Tabla_Buffers_Agroinsumos[[#This Row],[BUFFER VL]],"")</f>
        <v/>
      </c>
      <c r="FG35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56" s="134"/>
      <c r="FI356" s="134"/>
      <c r="FJ356" s="134"/>
      <c r="FK356" s="134"/>
      <c r="FL356" s="134"/>
      <c r="FM356" s="134"/>
      <c r="FN356" s="134"/>
      <c r="FO356" s="134"/>
      <c r="FP356" s="134"/>
    </row>
    <row r="357" spans="1:172">
      <c r="A357" s="7" t="s">
        <v>594</v>
      </c>
      <c r="B357" s="7" t="s">
        <v>595</v>
      </c>
      <c r="C357" s="7" t="s">
        <v>712</v>
      </c>
      <c r="D357" s="7" t="s">
        <v>715</v>
      </c>
      <c r="E357" s="7" t="s">
        <v>975</v>
      </c>
      <c r="F357" s="19" t="s">
        <v>698</v>
      </c>
      <c r="G357" s="19" t="s">
        <v>698</v>
      </c>
      <c r="H357" s="19">
        <f>VLOOKUP(Tabla_Buffers_Agroinsumos[[#This Row],[CODIGO ]],TABLACONSOLIDADA[[Codigo]:[PV]],6,0)</f>
        <v>41</v>
      </c>
      <c r="I357" s="19">
        <f>VLOOKUP(Tabla_Buffers_Agroinsumos[[#This Row],[CODIGO ]],TABLACONSOLIDADA[[Codigo]:[PV]],5,0)</f>
        <v>25.89</v>
      </c>
      <c r="J357" s="19" t="s">
        <v>698</v>
      </c>
      <c r="K357" s="19" t="s">
        <v>698</v>
      </c>
      <c r="L357" s="19">
        <f>IFERROR(Tabla_Buffers_Agroinsumos[[#This Row],[BUFFER CENTRAL]]/((Tabla_Buffers_Agroinsumos[[#This Row],[TIEMPO REPOSICION ]]/Tabla_Buffers_Agroinsumos[[#This Row],[FRECUENCIA]])+1),0)</f>
        <v>0</v>
      </c>
      <c r="M357" s="19" t="str">
        <f t="array" ref="M357">IFERROR(INDEX(TABLACONSOLIDADA[Buff Act],MATCH("AGROINSUMOSMATERIAPRIMA"&amp;Tabla_Buffers_Agroinsumos[[#This Row],[CODIGO ]],TABLACONSOLIDADA[Bodega]&amp;TABLACONSOLIDADA[Codigo],0)),"")</f>
        <v/>
      </c>
      <c r="N357" s="157" t="str">
        <f t="array" ref="N357">IFERROR(INDEX(TABLACONSOLIDADA[Inv Fís Act],MATCH("AGROINSUMOSMATERIAPRIMA"&amp;Tabla_Buffers_Agroinsumos[[#This Row],[CODIGO ]],TABLACONSOLIDADA[Bodega]&amp;TABLACONSOLIDADA[Codigo],0)),"")</f>
        <v/>
      </c>
      <c r="O357" s="157" t="str">
        <f t="array" ref="O35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5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57" s="19">
        <f>IFERROR(SUM(Tabla_Buffers_Agroinsumos[[#This Row],[MP-C]:[MP-VL]]),"")</f>
        <v>0</v>
      </c>
      <c r="R357" s="92" t="str">
        <f>IFERROR(Tabla_Buffers_Agroinsumos[[#This Row],[INV FIS MATERIA PRIMA]]-Tabla_Buffers_Agroinsumos[[#This Row],[BUFFER MATERIA PRIMA]],"")</f>
        <v/>
      </c>
      <c r="S35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57" s="19"/>
      <c r="U357" s="19"/>
      <c r="V357" s="19"/>
      <c r="W357" s="19"/>
      <c r="X357" s="19"/>
      <c r="Y357" s="19"/>
      <c r="Z357" s="19"/>
      <c r="AA357" s="19"/>
      <c r="AB357" s="19"/>
      <c r="AC357" s="135">
        <f t="array" ref="AC357">IFERROR(INDEX(TABLACONSOLIDADA[Buff Act],MATCH("AGROINSUMOSCENTRAL"&amp;Tabla_Buffers_Agroinsumos[[#This Row],[CODIGO ]],TABLACONSOLIDADA[Bodega]&amp;TABLACONSOLIDADA[Codigo],0)),"")</f>
        <v>700</v>
      </c>
      <c r="AD357" s="157">
        <f t="array" ref="AD357">IFERROR(INDEX(TABLACONSOLIDADA[Inv Fís Act],MATCH("AGROINSUMOSCENTRAL"&amp;Tabla_Buffers_Agroinsumos[[#This Row],[CODIGO ]],TABLACONSOLIDADA[Bodega]&amp;TABLACONSOLIDADA[Codigo],0)),"")</f>
        <v>702</v>
      </c>
      <c r="AE357" s="157">
        <f t="array" ref="AE35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780</v>
      </c>
      <c r="AF35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57" s="91">
        <f>IFERROR(SUM(Tabla_Buffers_Agroinsumos[[#This Row],[C-MP]:[C-VL]]),"")</f>
        <v>0</v>
      </c>
      <c r="AH357" s="92">
        <f>IFERROR(Tabla_Buffers_Agroinsumos[[#This Row],[INV FIS CENTRAL]]-Tabla_Buffers_Agroinsumos[[#This Row],[BUFFER CENTRAL]],"")</f>
        <v>2</v>
      </c>
      <c r="AI35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</v>
      </c>
      <c r="AJ357" s="134"/>
      <c r="AK357" s="134"/>
      <c r="AL357" s="134"/>
      <c r="AM357" s="134"/>
      <c r="AN357" s="134"/>
      <c r="AO357" s="134"/>
      <c r="AP357" s="134"/>
      <c r="AQ357" s="134"/>
      <c r="AR357" s="134"/>
      <c r="AS357" s="134">
        <f t="array" ref="AS357">IFERROR(INDEX(TABLACONSOLIDADA[Buff Act],MATCH("AGROINSUMOScentralPROPIA"&amp;Tabla_Buffers_Agroinsumos[[#This Row],[CODIGO ]],TABLACONSOLIDADA[Bodega]&amp;TABLACONSOLIDADA[Codigo],0)),"")</f>
        <v>210</v>
      </c>
      <c r="AT357" s="157">
        <f t="array" ref="AT357">IFERROR(INDEX(TABLACONSOLIDADA[Inv Fís Act],MATCH("AGROINSUMOScentralPROPIA"&amp;Tabla_Buffers_Agroinsumos[[#This Row],[CODIGO ]],TABLACONSOLIDADA[Bodega]&amp;TABLACONSOLIDADA[Codigo],0)),"")</f>
        <v>0</v>
      </c>
      <c r="AU357" s="157">
        <f t="array" ref="AU35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5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57" s="134">
        <f>IFERROR(SUM(Tabla_Buffers_Agroinsumos[[#This Row],[P-MP]:[P-VL]]),"")</f>
        <v>0</v>
      </c>
      <c r="AX357" s="92">
        <f>IFERROR(Tabla_Buffers_Agroinsumos[[#This Row],[INV FIS PROPIA]]-Tabla_Buffers_Agroinsumos[[#This Row],[BUFFER PROPIA]],"")</f>
        <v>-210</v>
      </c>
      <c r="AY35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-210</v>
      </c>
      <c r="AZ357" s="134"/>
      <c r="BA357" s="134"/>
      <c r="BB357" s="134"/>
      <c r="BC357" s="134"/>
      <c r="BD357" s="134"/>
      <c r="BE357" s="134"/>
      <c r="BF357" s="134"/>
      <c r="BG357" s="134"/>
      <c r="BH357" s="134"/>
      <c r="BI357" s="91">
        <f t="array" ref="BI357">IFERROR(INDEX(TABLACONSOLIDADA[Buff Act],MATCH("AGROINSUMOSSTODOMINGO"&amp;Tabla_Buffers_Agroinsumos[[#This Row],[CODIGO ]],TABLACONSOLIDADA[Bodega]&amp;TABLACONSOLIDADA[Codigo],0)),"")</f>
        <v>0</v>
      </c>
      <c r="BJ357" s="157">
        <f t="array" ref="BJ357">IFERROR(INDEX(TABLACONSOLIDADA[Inv Fís Act],MATCH("AGROINSUMOSSTODOMINGO"&amp;Tabla_Buffers_Agroinsumos[[#This Row],[CODIGO ]],TABLACONSOLIDADA[Bodega]&amp;TABLACONSOLIDADA[Codigo],0)),"")</f>
        <v>0</v>
      </c>
      <c r="BK357" s="157">
        <f t="array" ref="BK35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5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57" s="91">
        <f>IFERROR(SUM(Tabla_Buffers_Agroinsumos[[#This Row],[SD-MP]:[SD-VL]]),"")</f>
        <v>0</v>
      </c>
      <c r="BN357" s="92"/>
      <c r="BO357" s="92"/>
      <c r="BP357" s="134"/>
      <c r="BQ357" s="134"/>
      <c r="BR357" s="134"/>
      <c r="BS357" s="134"/>
      <c r="BT357" s="134"/>
      <c r="BU357" s="134"/>
      <c r="BV357" s="134"/>
      <c r="BW357" s="134"/>
      <c r="BX357" s="134"/>
      <c r="BY357" s="134">
        <f t="array" ref="BY357">IFERROR(INDEX(TABLACONSOLIDADA[Buff Act],MATCH("AGROINSUMOSMONCAYOLOPEZ"&amp;Tabla_Buffers_Agroinsumos[[#This Row],[CODIGO ]],TABLACONSOLIDADA[Bodega]&amp;TABLACONSOLIDADA[Codigo],0)),"")</f>
        <v>0</v>
      </c>
      <c r="BZ357" s="157">
        <f t="array" ref="BZ357">IFERROR(INDEX(TABLACONSOLIDADA[Inv Fís Act],MATCH("AGROINSUMOSMONCAYOLOPEZ"&amp;Tabla_Buffers_Agroinsumos[[#This Row],[CODIGO ]],TABLACONSOLIDADA[Bodega]&amp;TABLACONSOLIDADA[Codigo],0)),"")</f>
        <v>0</v>
      </c>
      <c r="CA357" s="157">
        <f t="array" ref="CA35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5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57" s="134">
        <f>IFERROR(SUM(Tabla_Buffers_Agroinsumos[[#This Row],[ML-MP]:[ML-VL]]),"")</f>
        <v>0</v>
      </c>
      <c r="CD357" s="92">
        <f>IFERROR(Tabla_Buffers_Agroinsumos[[#This Row],[INV FIS ML]]-Tabla_Buffers_Agroinsumos[[#This Row],[BUFFER ML]],"")</f>
        <v>0</v>
      </c>
      <c r="CE357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57" s="134"/>
      <c r="CG357" s="134"/>
      <c r="CH357" s="134"/>
      <c r="CI357" s="134"/>
      <c r="CJ357" s="134"/>
      <c r="CK357" s="134"/>
      <c r="CL357" s="134"/>
      <c r="CM357" s="134"/>
      <c r="CN357" s="134"/>
      <c r="CO357" s="134">
        <f t="array" ref="CO357">IFERROR(INDEX(TABLACONSOLIDADA[Buff Act],MATCH("AGROINSUMOSAGROHERMANOSLEON"&amp;Tabla_Buffers_Agroinsumos[[#This Row],[CODIGO ]],TABLACONSOLIDADA[Bodega]&amp;TABLACONSOLIDADA[Codigo],0)),"")</f>
        <v>80</v>
      </c>
      <c r="CP357" s="157">
        <f t="array" ref="CP357">IFERROR(INDEX(TABLACONSOLIDADA[Inv Fís Act],MATCH("AGROINSUMOSAGROHERMANOSLEON"&amp;Tabla_Buffers_Agroinsumos[[#This Row],[CODIGO ]],TABLACONSOLIDADA[Bodega]&amp;TABLACONSOLIDADA[Codigo],0)),"")</f>
        <v>80</v>
      </c>
      <c r="CQ357" s="157">
        <f t="array" ref="CQ35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80</v>
      </c>
      <c r="CR35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57" s="134">
        <f>IFERROR(SUM(Tabla_Buffers_Agroinsumos[[#This Row],[AL-MP]:[AL-VL]]),"")</f>
        <v>0</v>
      </c>
      <c r="CT357" s="92">
        <f>IFERROR(Tabla_Buffers_Agroinsumos[[#This Row],[INV FIS AL]]-Tabla_Buffers_Agroinsumos[[#This Row],[BUFFER AL]],"")</f>
        <v>0</v>
      </c>
      <c r="CU35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57" s="134"/>
      <c r="CW357" s="134"/>
      <c r="CX357" s="134"/>
      <c r="CY357" s="134"/>
      <c r="CZ357" s="134"/>
      <c r="DA357" s="134"/>
      <c r="DB357" s="134"/>
      <c r="DC357" s="134"/>
      <c r="DD357" s="134"/>
      <c r="DE357" s="134">
        <f t="array" ref="DE357">IFERROR(INDEX(TABLACONSOLIDADA[Buff Act],MATCH("AGROINSUMOSAGRONUEVO"&amp;Tabla_Buffers_Agroinsumos[[#This Row],[CODIGO ]],TABLACONSOLIDADA[Bodega]&amp;TABLACONSOLIDADA[Codigo],0)),"")</f>
        <v>0</v>
      </c>
      <c r="DF357" s="157">
        <f t="array" ref="DF357">IFERROR(INDEX(TABLACONSOLIDADA[Inv Fís Act],MATCH("AGROINSUMOSAGRONUEVO"&amp;Tabla_Buffers_Agroinsumos[[#This Row],[CODIGO ]],TABLACONSOLIDADA[Bodega]&amp;TABLACONSOLIDADA[Codigo],0)),"")</f>
        <v>20</v>
      </c>
      <c r="DG357" s="157">
        <f t="array" ref="DG35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20</v>
      </c>
      <c r="DH35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57" s="134">
        <f>IFERROR(SUM(Tabla_Buffers_Agroinsumos[[#This Row],[AN-MP]:[AN-VL]]),"")</f>
        <v>0</v>
      </c>
      <c r="DJ357" s="92">
        <f>IFERROR(Tabla_Buffers_Agroinsumos[[#This Row],[INV FIS AN]]-Tabla_Buffers_Agroinsumos[[#This Row],[BUFFER AN]],"")</f>
        <v>20</v>
      </c>
      <c r="DK357" s="92">
        <f>IFERROR(Tabla_Buffers_Agroinsumos[[#This Row],[INV FIS AN]]+Tabla_Buffers_Agroinsumos[[#This Row],[TRANSFERENCIAS A AN]]-Tabla_Buffers_Agroinsumos[[#This Row],[BUFFER AN]]-Tabla_Buffers_Agroinsumos[[#This Row],[TRANSFERENCIAS DE AN]],"")</f>
        <v>20</v>
      </c>
      <c r="DL357" s="134"/>
      <c r="DM357" s="134"/>
      <c r="DN357" s="134"/>
      <c r="DO357" s="134"/>
      <c r="DP357" s="134"/>
      <c r="DQ357" s="134"/>
      <c r="DR357" s="134"/>
      <c r="DS357" s="134"/>
      <c r="DT357" s="134"/>
      <c r="DU357" s="134">
        <f t="array" ref="DU357">IFERROR(INDEX(TABLACONSOLIDADA[Buff Act],MATCH("AGROINSUMOSAGROQUIMICOSSUR"&amp;Tabla_Buffers_Agroinsumos[[#This Row],[CODIGO ]],TABLACONSOLIDADA[Bodega]&amp;TABLACONSOLIDADA[Codigo],0)),"")</f>
        <v>0</v>
      </c>
      <c r="DV357" s="157">
        <f t="array" ref="DV357">IFERROR(INDEX(TABLACONSOLIDADA[Inv Fís Act],MATCH("AGROINSUMOSAGROQUIMICOSSUR"&amp;Tabla_Buffers_Agroinsumos[[#This Row],[CODIGO ]],TABLACONSOLIDADA[Bodega]&amp;TABLACONSOLIDADA[Codigo],0)),"")</f>
        <v>0</v>
      </c>
      <c r="DW357" s="157">
        <f t="array" ref="DW35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5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57" s="134">
        <f>IFERROR(SUM(Tabla_Buffers_Agroinsumos[[#This Row],[AS-MP]:[AS-VL]]),"")</f>
        <v>0</v>
      </c>
      <c r="DZ357" s="92">
        <f>IFERROR(Tabla_Buffers_Agroinsumos[[#This Row],[INV FIS AS]]-Tabla_Buffers_Agroinsumos[[#This Row],[BUFFER AS]],"")</f>
        <v>0</v>
      </c>
      <c r="EA35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57" s="134"/>
      <c r="EC357" s="134"/>
      <c r="ED357" s="134"/>
      <c r="EE357" s="134"/>
      <c r="EF357" s="134"/>
      <c r="EG357" s="134"/>
      <c r="EH357" s="134"/>
      <c r="EI357" s="134"/>
      <c r="EJ357" s="134"/>
      <c r="EK357" s="134">
        <f t="array" ref="EK357">IFERROR(INDEX(TABLACONSOLIDADA[Buff Act],MATCH("AGROINSUMOSLAFINCA"&amp;Tabla_Buffers_Agroinsumos[[#This Row],[CODIGO ]],TABLACONSOLIDADA[Bodega]&amp;TABLACONSOLIDADA[Codigo],0)),"")</f>
        <v>0</v>
      </c>
      <c r="EL357" s="157">
        <f t="array" ref="EL357">IFERROR(INDEX(TABLACONSOLIDADA[Inv Fís Act],MATCH("AGROINSUMOSLAFINCA"&amp;Tabla_Buffers_Agroinsumos[[#This Row],[CODIGO ]],TABLACONSOLIDADA[Bodega]&amp;TABLACONSOLIDADA[Codigo],0)),"")</f>
        <v>0</v>
      </c>
      <c r="EM357" s="157">
        <f t="array" ref="EM35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5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57" s="134">
        <f>IFERROR(SUM(Tabla_Buffers_Agroinsumos[[#This Row],[LF-MP]:[LF-VL]]),"")</f>
        <v>0</v>
      </c>
      <c r="EP357" s="92">
        <f>IFERROR(Tabla_Buffers_Agroinsumos[[#This Row],[INV FIS LF]]-Tabla_Buffers_Agroinsumos[[#This Row],[BUFFER LF]],"")</f>
        <v>0</v>
      </c>
      <c r="EQ35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57" s="134"/>
      <c r="ES357" s="134"/>
      <c r="ET357" s="134"/>
      <c r="EU357" s="134"/>
      <c r="EV357" s="134"/>
      <c r="EW357" s="134"/>
      <c r="EX357" s="134"/>
      <c r="EY357" s="134"/>
      <c r="EZ357" s="134"/>
      <c r="FA357" s="134">
        <f t="array" ref="FA357">IFERROR(INDEX(TABLACONSOLIDADA[Buff Act],MATCH("AGROINSUMOSVERONICALEDESMA"&amp;Tabla_Buffers_Agroinsumos[[#This Row],[CODIGO ]],TABLACONSOLIDADA[Bodega]&amp;TABLACONSOLIDADA[Codigo],0)),"")</f>
        <v>0</v>
      </c>
      <c r="FB357" s="157">
        <f t="array" ref="FB357">IFERROR(INDEX(TABLACONSOLIDADA[Inv Fís Act],MATCH("AGROINSUMOSVERONICALEDESMA"&amp;Tabla_Buffers_Agroinsumos[[#This Row],[CODIGO ]],TABLACONSOLIDADA[Bodega]&amp;TABLACONSOLIDADA[Codigo],0)),"")</f>
        <v>0</v>
      </c>
      <c r="FC357" s="157">
        <f t="array" ref="FC35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5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57" s="134">
        <f>IFERROR(SUM(Tabla_Buffers_Agroinsumos[[#This Row],[VL-MP]:[VL-LF]]),"")</f>
        <v>0</v>
      </c>
      <c r="FF357" s="92">
        <f>IFERROR(Tabla_Buffers_Agroinsumos[[#This Row],[INV FIS VL]]-Tabla_Buffers_Agroinsumos[[#This Row],[BUFFER VL]],"")</f>
        <v>0</v>
      </c>
      <c r="FG35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57" s="134"/>
      <c r="FI357" s="134"/>
      <c r="FJ357" s="134"/>
      <c r="FK357" s="134"/>
      <c r="FL357" s="134"/>
      <c r="FM357" s="134"/>
      <c r="FN357" s="134"/>
      <c r="FO357" s="134"/>
      <c r="FP357" s="134"/>
    </row>
    <row r="358" spans="1:172">
      <c r="A358" s="7" t="s">
        <v>596</v>
      </c>
      <c r="B358" s="7" t="s">
        <v>597</v>
      </c>
      <c r="C358" s="7" t="s">
        <v>712</v>
      </c>
      <c r="D358" s="7" t="s">
        <v>715</v>
      </c>
      <c r="E358" s="7" t="s">
        <v>975</v>
      </c>
      <c r="F358" s="19" t="s">
        <v>698</v>
      </c>
      <c r="G358" s="19" t="s">
        <v>698</v>
      </c>
      <c r="H358" s="19">
        <f>VLOOKUP(Tabla_Buffers_Agroinsumos[[#This Row],[CODIGO ]],TABLACONSOLIDADA[[Codigo]:[PV]],6,0)</f>
        <v>4.99</v>
      </c>
      <c r="I358" s="19">
        <f>VLOOKUP(Tabla_Buffers_Agroinsumos[[#This Row],[CODIGO ]],TABLACONSOLIDADA[[Codigo]:[PV]],5,0)</f>
        <v>2.71</v>
      </c>
      <c r="J358" s="19" t="s">
        <v>698</v>
      </c>
      <c r="K358" s="19" t="s">
        <v>698</v>
      </c>
      <c r="L358" s="19">
        <f>IFERROR(Tabla_Buffers_Agroinsumos[[#This Row],[BUFFER CENTRAL]]/((Tabla_Buffers_Agroinsumos[[#This Row],[TIEMPO REPOSICION ]]/Tabla_Buffers_Agroinsumos[[#This Row],[FRECUENCIA]])+1),0)</f>
        <v>0</v>
      </c>
      <c r="M358" s="19" t="str">
        <f t="array" ref="M358">IFERROR(INDEX(TABLACONSOLIDADA[Buff Act],MATCH("AGROINSUMOSMATERIAPRIMA"&amp;Tabla_Buffers_Agroinsumos[[#This Row],[CODIGO ]],TABLACONSOLIDADA[Bodega]&amp;TABLACONSOLIDADA[Codigo],0)),"")</f>
        <v/>
      </c>
      <c r="N358" s="157" t="str">
        <f t="array" ref="N358">IFERROR(INDEX(TABLACONSOLIDADA[Inv Fís Act],MATCH("AGROINSUMOSMATERIAPRIMA"&amp;Tabla_Buffers_Agroinsumos[[#This Row],[CODIGO ]],TABLACONSOLIDADA[Bodega]&amp;TABLACONSOLIDADA[Codigo],0)),"")</f>
        <v/>
      </c>
      <c r="O358" s="157" t="str">
        <f t="array" ref="O35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5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58" s="19">
        <f>IFERROR(SUM(Tabla_Buffers_Agroinsumos[[#This Row],[MP-C]:[MP-VL]]),"")</f>
        <v>0</v>
      </c>
      <c r="R358" s="92" t="str">
        <f>IFERROR(Tabla_Buffers_Agroinsumos[[#This Row],[INV FIS MATERIA PRIMA]]-Tabla_Buffers_Agroinsumos[[#This Row],[BUFFER MATERIA PRIMA]],"")</f>
        <v/>
      </c>
      <c r="S35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58" s="19"/>
      <c r="U358" s="19"/>
      <c r="V358" s="19"/>
      <c r="W358" s="19"/>
      <c r="X358" s="19"/>
      <c r="Y358" s="19"/>
      <c r="Z358" s="19"/>
      <c r="AA358" s="19"/>
      <c r="AB358" s="19"/>
      <c r="AC358" s="135">
        <f t="array" ref="AC358">IFERROR(INDEX(TABLACONSOLIDADA[Buff Act],MATCH("AGROINSUMOSCENTRAL"&amp;Tabla_Buffers_Agroinsumos[[#This Row],[CODIGO ]],TABLACONSOLIDADA[Bodega]&amp;TABLACONSOLIDADA[Codigo],0)),"")</f>
        <v>1000</v>
      </c>
      <c r="AD358" s="157">
        <f t="array" ref="AD358">IFERROR(INDEX(TABLACONSOLIDADA[Inv Fís Act],MATCH("AGROINSUMOSCENTRAL"&amp;Tabla_Buffers_Agroinsumos[[#This Row],[CODIGO ]],TABLACONSOLIDADA[Bodega]&amp;TABLACONSOLIDADA[Codigo],0)),"")</f>
        <v>243</v>
      </c>
      <c r="AE358" s="157">
        <f t="array" ref="AE35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913</v>
      </c>
      <c r="AF35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58" s="91">
        <f>IFERROR(SUM(Tabla_Buffers_Agroinsumos[[#This Row],[C-MP]:[C-VL]]),"")</f>
        <v>0</v>
      </c>
      <c r="AH358" s="92">
        <f>IFERROR(Tabla_Buffers_Agroinsumos[[#This Row],[INV FIS CENTRAL]]-Tabla_Buffers_Agroinsumos[[#This Row],[BUFFER CENTRAL]],"")</f>
        <v>-757</v>
      </c>
      <c r="AI35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-757</v>
      </c>
      <c r="AJ358" s="134"/>
      <c r="AK358" s="134"/>
      <c r="AL358" s="134"/>
      <c r="AM358" s="134"/>
      <c r="AN358" s="134"/>
      <c r="AO358" s="134"/>
      <c r="AP358" s="134"/>
      <c r="AQ358" s="134"/>
      <c r="AR358" s="134"/>
      <c r="AS358" s="134">
        <f t="array" ref="AS358">IFERROR(INDEX(TABLACONSOLIDADA[Buff Act],MATCH("AGROINSUMOScentralPROPIA"&amp;Tabla_Buffers_Agroinsumos[[#This Row],[CODIGO ]],TABLACONSOLIDADA[Bodega]&amp;TABLACONSOLIDADA[Codigo],0)),"")</f>
        <v>300</v>
      </c>
      <c r="AT358" s="157">
        <f t="array" ref="AT358">IFERROR(INDEX(TABLACONSOLIDADA[Inv Fís Act],MATCH("AGROINSUMOScentralPROPIA"&amp;Tabla_Buffers_Agroinsumos[[#This Row],[CODIGO ]],TABLACONSOLIDADA[Bodega]&amp;TABLACONSOLIDADA[Codigo],0)),"")</f>
        <v>0</v>
      </c>
      <c r="AU358" s="157">
        <f t="array" ref="AU35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5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58" s="134">
        <f>IFERROR(SUM(Tabla_Buffers_Agroinsumos[[#This Row],[P-MP]:[P-VL]]),"")</f>
        <v>0</v>
      </c>
      <c r="AX358" s="92">
        <f>IFERROR(Tabla_Buffers_Agroinsumos[[#This Row],[INV FIS PROPIA]]-Tabla_Buffers_Agroinsumos[[#This Row],[BUFFER PROPIA]],"")</f>
        <v>-300</v>
      </c>
      <c r="AY35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-300</v>
      </c>
      <c r="AZ358" s="134"/>
      <c r="BA358" s="134"/>
      <c r="BB358" s="134"/>
      <c r="BC358" s="134"/>
      <c r="BD358" s="134"/>
      <c r="BE358" s="134"/>
      <c r="BF358" s="134"/>
      <c r="BG358" s="134"/>
      <c r="BH358" s="134"/>
      <c r="BI358" s="91">
        <f t="array" ref="BI358">IFERROR(INDEX(TABLACONSOLIDADA[Buff Act],MATCH("AGROINSUMOSSTODOMINGO"&amp;Tabla_Buffers_Agroinsumos[[#This Row],[CODIGO ]],TABLACONSOLIDADA[Bodega]&amp;TABLACONSOLIDADA[Codigo],0)),"")</f>
        <v>80</v>
      </c>
      <c r="BJ358" s="157">
        <f t="array" ref="BJ358">IFERROR(INDEX(TABLACONSOLIDADA[Inv Fís Act],MATCH("AGROINSUMOSSTODOMINGO"&amp;Tabla_Buffers_Agroinsumos[[#This Row],[CODIGO ]],TABLACONSOLIDADA[Bodega]&amp;TABLACONSOLIDADA[Codigo],0)),"")</f>
        <v>60</v>
      </c>
      <c r="BK358" s="157">
        <f t="array" ref="BK35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60</v>
      </c>
      <c r="BL35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58" s="91">
        <f>IFERROR(SUM(Tabla_Buffers_Agroinsumos[[#This Row],[SD-MP]:[SD-VL]]),"")</f>
        <v>0</v>
      </c>
      <c r="BN358" s="92"/>
      <c r="BO358" s="92"/>
      <c r="BP358" s="134"/>
      <c r="BQ358" s="134"/>
      <c r="BR358" s="134"/>
      <c r="BS358" s="134"/>
      <c r="BT358" s="134"/>
      <c r="BU358" s="134"/>
      <c r="BV358" s="134"/>
      <c r="BW358" s="134"/>
      <c r="BX358" s="134"/>
      <c r="BY358" s="134">
        <f t="array" ref="BY358">IFERROR(INDEX(TABLACONSOLIDADA[Buff Act],MATCH("AGROINSUMOSMONCAYOLOPEZ"&amp;Tabla_Buffers_Agroinsumos[[#This Row],[CODIGO ]],TABLACONSOLIDADA[Bodega]&amp;TABLACONSOLIDADA[Codigo],0)),"")</f>
        <v>10</v>
      </c>
      <c r="BZ358" s="157">
        <f t="array" ref="BZ358">IFERROR(INDEX(TABLACONSOLIDADA[Inv Fís Act],MATCH("AGROINSUMOSMONCAYOLOPEZ"&amp;Tabla_Buffers_Agroinsumos[[#This Row],[CODIGO ]],TABLACONSOLIDADA[Bodega]&amp;TABLACONSOLIDADA[Codigo],0)),"")</f>
        <v>12</v>
      </c>
      <c r="CA358" s="157">
        <f t="array" ref="CA35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12</v>
      </c>
      <c r="CB35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58" s="134">
        <f>IFERROR(SUM(Tabla_Buffers_Agroinsumos[[#This Row],[ML-MP]:[ML-VL]]),"")</f>
        <v>0</v>
      </c>
      <c r="CD358" s="92">
        <f>IFERROR(Tabla_Buffers_Agroinsumos[[#This Row],[INV FIS ML]]-Tabla_Buffers_Agroinsumos[[#This Row],[BUFFER ML]],"")</f>
        <v>2</v>
      </c>
      <c r="CE358" s="92">
        <f>IFERROR(Tabla_Buffers_Agroinsumos[[#This Row],[INV FIS ML]]+Tabla_Buffers_Agroinsumos[[#This Row],[TRANSFERENCIAS A ML]]-Tabla_Buffers_Agroinsumos[[#This Row],[BUFFER ML]]-Tabla_Buffers_Agroinsumos[[#This Row],[TRANSFERENCIAS DE ML]],"")</f>
        <v>2</v>
      </c>
      <c r="CF358" s="134"/>
      <c r="CG358" s="134"/>
      <c r="CH358" s="134"/>
      <c r="CI358" s="134"/>
      <c r="CJ358" s="134"/>
      <c r="CK358" s="134"/>
      <c r="CL358" s="134"/>
      <c r="CM358" s="134"/>
      <c r="CN358" s="134"/>
      <c r="CO358" s="134">
        <f t="array" ref="CO358">IFERROR(INDEX(TABLACONSOLIDADA[Buff Act],MATCH("AGROINSUMOSAGROHERMANOSLEON"&amp;Tabla_Buffers_Agroinsumos[[#This Row],[CODIGO ]],TABLACONSOLIDADA[Bodega]&amp;TABLACONSOLIDADA[Codigo],0)),"")</f>
        <v>0</v>
      </c>
      <c r="CP358" s="157">
        <f t="array" ref="CP358">IFERROR(INDEX(TABLACONSOLIDADA[Inv Fís Act],MATCH("AGROINSUMOSAGROHERMANOSLEON"&amp;Tabla_Buffers_Agroinsumos[[#This Row],[CODIGO ]],TABLACONSOLIDADA[Bodega]&amp;TABLACONSOLIDADA[Codigo],0)),"")</f>
        <v>0</v>
      </c>
      <c r="CQ358" s="157">
        <f t="array" ref="CQ35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5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58" s="134">
        <f>IFERROR(SUM(Tabla_Buffers_Agroinsumos[[#This Row],[AL-MP]:[AL-VL]]),"")</f>
        <v>0</v>
      </c>
      <c r="CT358" s="92">
        <f>IFERROR(Tabla_Buffers_Agroinsumos[[#This Row],[INV FIS AL]]-Tabla_Buffers_Agroinsumos[[#This Row],[BUFFER AL]],"")</f>
        <v>0</v>
      </c>
      <c r="CU35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58" s="134"/>
      <c r="CW358" s="134"/>
      <c r="CX358" s="134"/>
      <c r="CY358" s="134"/>
      <c r="CZ358" s="134"/>
      <c r="DA358" s="134"/>
      <c r="DB358" s="134"/>
      <c r="DC358" s="134"/>
      <c r="DD358" s="134"/>
      <c r="DE358" s="134">
        <f t="array" ref="DE358">IFERROR(INDEX(TABLACONSOLIDADA[Buff Act],MATCH("AGROINSUMOSAGRONUEVO"&amp;Tabla_Buffers_Agroinsumos[[#This Row],[CODIGO ]],TABLACONSOLIDADA[Bodega]&amp;TABLACONSOLIDADA[Codigo],0)),"")</f>
        <v>0</v>
      </c>
      <c r="DF358" s="157">
        <f t="array" ref="DF358">IFERROR(INDEX(TABLACONSOLIDADA[Inv Fís Act],MATCH("AGROINSUMOSAGRONUEVO"&amp;Tabla_Buffers_Agroinsumos[[#This Row],[CODIGO ]],TABLACONSOLIDADA[Bodega]&amp;TABLACONSOLIDADA[Codigo],0)),"")</f>
        <v>0</v>
      </c>
      <c r="DG358" s="157">
        <f t="array" ref="DG35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5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58" s="134">
        <f>IFERROR(SUM(Tabla_Buffers_Agroinsumos[[#This Row],[AN-MP]:[AN-VL]]),"")</f>
        <v>0</v>
      </c>
      <c r="DJ358" s="92">
        <f>IFERROR(Tabla_Buffers_Agroinsumos[[#This Row],[INV FIS AN]]-Tabla_Buffers_Agroinsumos[[#This Row],[BUFFER AN]],"")</f>
        <v>0</v>
      </c>
      <c r="DK35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58" s="134"/>
      <c r="DM358" s="134"/>
      <c r="DN358" s="134"/>
      <c r="DO358" s="134"/>
      <c r="DP358" s="134"/>
      <c r="DQ358" s="134"/>
      <c r="DR358" s="134"/>
      <c r="DS358" s="134"/>
      <c r="DT358" s="134"/>
      <c r="DU358" s="134">
        <f t="array" ref="DU358">IFERROR(INDEX(TABLACONSOLIDADA[Buff Act],MATCH("AGROINSUMOSAGROQUIMICOSSUR"&amp;Tabla_Buffers_Agroinsumos[[#This Row],[CODIGO ]],TABLACONSOLIDADA[Bodega]&amp;TABLACONSOLIDADA[Codigo],0)),"")</f>
        <v>0</v>
      </c>
      <c r="DV358" s="157">
        <f t="array" ref="DV358">IFERROR(INDEX(TABLACONSOLIDADA[Inv Fís Act],MATCH("AGROINSUMOSAGROQUIMICOSSUR"&amp;Tabla_Buffers_Agroinsumos[[#This Row],[CODIGO ]],TABLACONSOLIDADA[Bodega]&amp;TABLACONSOLIDADA[Codigo],0)),"")</f>
        <v>0</v>
      </c>
      <c r="DW358" s="157">
        <f t="array" ref="DW35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5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58" s="134">
        <f>IFERROR(SUM(Tabla_Buffers_Agroinsumos[[#This Row],[AS-MP]:[AS-VL]]),"")</f>
        <v>0</v>
      </c>
      <c r="DZ358" s="92">
        <f>IFERROR(Tabla_Buffers_Agroinsumos[[#This Row],[INV FIS AS]]-Tabla_Buffers_Agroinsumos[[#This Row],[BUFFER AS]],"")</f>
        <v>0</v>
      </c>
      <c r="EA35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58" s="134"/>
      <c r="EC358" s="134"/>
      <c r="ED358" s="134"/>
      <c r="EE358" s="134"/>
      <c r="EF358" s="134"/>
      <c r="EG358" s="134"/>
      <c r="EH358" s="134"/>
      <c r="EI358" s="134"/>
      <c r="EJ358" s="134"/>
      <c r="EK358" s="134">
        <f t="array" ref="EK358">IFERROR(INDEX(TABLACONSOLIDADA[Buff Act],MATCH("AGROINSUMOSLAFINCA"&amp;Tabla_Buffers_Agroinsumos[[#This Row],[CODIGO ]],TABLACONSOLIDADA[Bodega]&amp;TABLACONSOLIDADA[Codigo],0)),"")</f>
        <v>20</v>
      </c>
      <c r="EL358" s="157">
        <f t="array" ref="EL358">IFERROR(INDEX(TABLACONSOLIDADA[Inv Fís Act],MATCH("AGROINSUMOSLAFINCA"&amp;Tabla_Buffers_Agroinsumos[[#This Row],[CODIGO ]],TABLACONSOLIDADA[Bodega]&amp;TABLACONSOLIDADA[Codigo],0)),"")</f>
        <v>20</v>
      </c>
      <c r="EM358" s="157">
        <f t="array" ref="EM35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20</v>
      </c>
      <c r="EN35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58" s="134">
        <f>IFERROR(SUM(Tabla_Buffers_Agroinsumos[[#This Row],[LF-MP]:[LF-VL]]),"")</f>
        <v>0</v>
      </c>
      <c r="EP358" s="92">
        <f>IFERROR(Tabla_Buffers_Agroinsumos[[#This Row],[INV FIS LF]]-Tabla_Buffers_Agroinsumos[[#This Row],[BUFFER LF]],"")</f>
        <v>0</v>
      </c>
      <c r="EQ35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58" s="134"/>
      <c r="ES358" s="134"/>
      <c r="ET358" s="134"/>
      <c r="EU358" s="134"/>
      <c r="EV358" s="134"/>
      <c r="EW358" s="134"/>
      <c r="EX358" s="134"/>
      <c r="EY358" s="134"/>
      <c r="EZ358" s="134"/>
      <c r="FA358" s="134">
        <f t="array" ref="FA358">IFERROR(INDEX(TABLACONSOLIDADA[Buff Act],MATCH("AGROINSUMOSVERONICALEDESMA"&amp;Tabla_Buffers_Agroinsumos[[#This Row],[CODIGO ]],TABLACONSOLIDADA[Bodega]&amp;TABLACONSOLIDADA[Codigo],0)),"")</f>
        <v>63</v>
      </c>
      <c r="FB358" s="157">
        <f t="array" ref="FB358">IFERROR(INDEX(TABLACONSOLIDADA[Inv Fís Act],MATCH("AGROINSUMOSVERONICALEDESMA"&amp;Tabla_Buffers_Agroinsumos[[#This Row],[CODIGO ]],TABLACONSOLIDADA[Bodega]&amp;TABLACONSOLIDADA[Codigo],0)),"")</f>
        <v>42</v>
      </c>
      <c r="FC358" s="157">
        <f t="array" ref="FC35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128</v>
      </c>
      <c r="FD35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58" s="134">
        <f>IFERROR(SUM(Tabla_Buffers_Agroinsumos[[#This Row],[VL-MP]:[VL-LF]]),"")</f>
        <v>0</v>
      </c>
      <c r="FF358" s="92">
        <f>IFERROR(Tabla_Buffers_Agroinsumos[[#This Row],[INV FIS VL]]-Tabla_Buffers_Agroinsumos[[#This Row],[BUFFER VL]],"")</f>
        <v>-21</v>
      </c>
      <c r="FG358" s="92">
        <f>IFERROR(Tabla_Buffers_Agroinsumos[[#This Row],[INV FIS VL]]+Tabla_Buffers_Agroinsumos[[#This Row],[TRANSFERENCIAS A VL]]-Tabla_Buffers_Agroinsumos[[#This Row],[BUFFER VL]]-Tabla_Buffers_Agroinsumos[[#This Row],[TRANSFERENCIAS DE VL]],"")</f>
        <v>-21</v>
      </c>
      <c r="FH358" s="134"/>
      <c r="FI358" s="134"/>
      <c r="FJ358" s="134"/>
      <c r="FK358" s="134"/>
      <c r="FL358" s="134"/>
      <c r="FM358" s="134"/>
      <c r="FN358" s="134"/>
      <c r="FO358" s="134"/>
      <c r="FP358" s="134"/>
    </row>
    <row r="359" spans="1:172">
      <c r="A359" s="7" t="s">
        <v>598</v>
      </c>
      <c r="B359" s="7" t="s">
        <v>599</v>
      </c>
      <c r="C359" s="7" t="s">
        <v>712</v>
      </c>
      <c r="D359" s="7" t="s">
        <v>715</v>
      </c>
      <c r="E359" s="7" t="s">
        <v>975</v>
      </c>
      <c r="F359" s="19" t="s">
        <v>698</v>
      </c>
      <c r="G359" s="19" t="s">
        <v>698</v>
      </c>
      <c r="H359" s="19">
        <f>VLOOKUP(Tabla_Buffers_Agroinsumos[[#This Row],[CODIGO ]],TABLACONSOLIDADA[[Codigo]:[PV]],6,0)</f>
        <v>11.9</v>
      </c>
      <c r="I359" s="19">
        <f>VLOOKUP(Tabla_Buffers_Agroinsumos[[#This Row],[CODIGO ]],TABLACONSOLIDADA[[Codigo]:[PV]],5,0)</f>
        <v>6.66</v>
      </c>
      <c r="J359" s="19" t="s">
        <v>698</v>
      </c>
      <c r="K359" s="19" t="s">
        <v>698</v>
      </c>
      <c r="L359" s="19">
        <f>IFERROR(Tabla_Buffers_Agroinsumos[[#This Row],[BUFFER CENTRAL]]/((Tabla_Buffers_Agroinsumos[[#This Row],[TIEMPO REPOSICION ]]/Tabla_Buffers_Agroinsumos[[#This Row],[FRECUENCIA]])+1),0)</f>
        <v>0</v>
      </c>
      <c r="M359" s="19" t="str">
        <f t="array" ref="M359">IFERROR(INDEX(TABLACONSOLIDADA[Buff Act],MATCH("AGROINSUMOSMATERIAPRIMA"&amp;Tabla_Buffers_Agroinsumos[[#This Row],[CODIGO ]],TABLACONSOLIDADA[Bodega]&amp;TABLACONSOLIDADA[Codigo],0)),"")</f>
        <v/>
      </c>
      <c r="N359" s="157" t="str">
        <f t="array" ref="N359">IFERROR(INDEX(TABLACONSOLIDADA[Inv Fís Act],MATCH("AGROINSUMOSMATERIAPRIMA"&amp;Tabla_Buffers_Agroinsumos[[#This Row],[CODIGO ]],TABLACONSOLIDADA[Bodega]&amp;TABLACONSOLIDADA[Codigo],0)),"")</f>
        <v/>
      </c>
      <c r="O359" s="157" t="str">
        <f t="array" ref="O35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5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59" s="19">
        <f>IFERROR(SUM(Tabla_Buffers_Agroinsumos[[#This Row],[MP-C]:[MP-VL]]),"")</f>
        <v>0</v>
      </c>
      <c r="R359" s="92" t="str">
        <f>IFERROR(Tabla_Buffers_Agroinsumos[[#This Row],[INV FIS MATERIA PRIMA]]-Tabla_Buffers_Agroinsumos[[#This Row],[BUFFER MATERIA PRIMA]],"")</f>
        <v/>
      </c>
      <c r="S35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59" s="19"/>
      <c r="U359" s="19"/>
      <c r="V359" s="19"/>
      <c r="W359" s="19"/>
      <c r="X359" s="19"/>
      <c r="Y359" s="19"/>
      <c r="Z359" s="19"/>
      <c r="AA359" s="19"/>
      <c r="AB359" s="19"/>
      <c r="AC359" s="135">
        <f t="array" ref="AC359">IFERROR(INDEX(TABLACONSOLIDADA[Buff Act],MATCH("AGROINSUMOSCENTRAL"&amp;Tabla_Buffers_Agroinsumos[[#This Row],[CODIGO ]],TABLACONSOLIDADA[Bodega]&amp;TABLACONSOLIDADA[Codigo],0)),"")</f>
        <v>650</v>
      </c>
      <c r="AD359" s="157">
        <f t="array" ref="AD359">IFERROR(INDEX(TABLACONSOLIDADA[Inv Fís Act],MATCH("AGROINSUMOSCENTRAL"&amp;Tabla_Buffers_Agroinsumos[[#This Row],[CODIGO ]],TABLACONSOLIDADA[Bodega]&amp;TABLACONSOLIDADA[Codigo],0)),"")</f>
        <v>220</v>
      </c>
      <c r="AE359" s="157">
        <f t="array" ref="AE35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643</v>
      </c>
      <c r="AF35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59" s="91">
        <f>IFERROR(SUM(Tabla_Buffers_Agroinsumos[[#This Row],[C-MP]:[C-VL]]),"")</f>
        <v>0</v>
      </c>
      <c r="AH359" s="92">
        <f>IFERROR(Tabla_Buffers_Agroinsumos[[#This Row],[INV FIS CENTRAL]]-Tabla_Buffers_Agroinsumos[[#This Row],[BUFFER CENTRAL]],"")</f>
        <v>-430</v>
      </c>
      <c r="AI35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-430</v>
      </c>
      <c r="AJ359" s="134"/>
      <c r="AK359" s="134"/>
      <c r="AL359" s="134"/>
      <c r="AM359" s="134"/>
      <c r="AN359" s="134"/>
      <c r="AO359" s="134"/>
      <c r="AP359" s="134"/>
      <c r="AQ359" s="134"/>
      <c r="AR359" s="134"/>
      <c r="AS359" s="134">
        <f t="array" ref="AS359">IFERROR(INDEX(TABLACONSOLIDADA[Buff Act],MATCH("AGROINSUMOScentralPROPIA"&amp;Tabla_Buffers_Agroinsumos[[#This Row],[CODIGO ]],TABLACONSOLIDADA[Bodega]&amp;TABLACONSOLIDADA[Codigo],0)),"")</f>
        <v>180</v>
      </c>
      <c r="AT359" s="157">
        <f t="array" ref="AT359">IFERROR(INDEX(TABLACONSOLIDADA[Inv Fís Act],MATCH("AGROINSUMOScentralPROPIA"&amp;Tabla_Buffers_Agroinsumos[[#This Row],[CODIGO ]],TABLACONSOLIDADA[Bodega]&amp;TABLACONSOLIDADA[Codigo],0)),"")</f>
        <v>0</v>
      </c>
      <c r="AU359" s="157">
        <f t="array" ref="AU35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5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59" s="134">
        <f>IFERROR(SUM(Tabla_Buffers_Agroinsumos[[#This Row],[P-MP]:[P-VL]]),"")</f>
        <v>0</v>
      </c>
      <c r="AX359" s="92">
        <f>IFERROR(Tabla_Buffers_Agroinsumos[[#This Row],[INV FIS PROPIA]]-Tabla_Buffers_Agroinsumos[[#This Row],[BUFFER PROPIA]],"")</f>
        <v>-180</v>
      </c>
      <c r="AY35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-180</v>
      </c>
      <c r="AZ359" s="134"/>
      <c r="BA359" s="134"/>
      <c r="BB359" s="134"/>
      <c r="BC359" s="134"/>
      <c r="BD359" s="134"/>
      <c r="BE359" s="134"/>
      <c r="BF359" s="134"/>
      <c r="BG359" s="134"/>
      <c r="BH359" s="134"/>
      <c r="BI359" s="91">
        <f t="array" ref="BI359">IFERROR(INDEX(TABLACONSOLIDADA[Buff Act],MATCH("AGROINSUMOSSTODOMINGO"&amp;Tabla_Buffers_Agroinsumos[[#This Row],[CODIGO ]],TABLACONSOLIDADA[Bodega]&amp;TABLACONSOLIDADA[Codigo],0)),"")</f>
        <v>40</v>
      </c>
      <c r="BJ359" s="157">
        <f t="array" ref="BJ359">IFERROR(INDEX(TABLACONSOLIDADA[Inv Fís Act],MATCH("AGROINSUMOSSTODOMINGO"&amp;Tabla_Buffers_Agroinsumos[[#This Row],[CODIGO ]],TABLACONSOLIDADA[Bodega]&amp;TABLACONSOLIDADA[Codigo],0)),"")</f>
        <v>30</v>
      </c>
      <c r="BK359" s="157">
        <f t="array" ref="BK35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30</v>
      </c>
      <c r="BL35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59" s="91">
        <f>IFERROR(SUM(Tabla_Buffers_Agroinsumos[[#This Row],[SD-MP]:[SD-VL]]),"")</f>
        <v>0</v>
      </c>
      <c r="BN359" s="92"/>
      <c r="BO359" s="92"/>
      <c r="BP359" s="134"/>
      <c r="BQ359" s="134"/>
      <c r="BR359" s="134"/>
      <c r="BS359" s="134"/>
      <c r="BT359" s="134"/>
      <c r="BU359" s="134"/>
      <c r="BV359" s="134"/>
      <c r="BW359" s="134"/>
      <c r="BX359" s="134"/>
      <c r="BY359" s="134">
        <f t="array" ref="BY359">IFERROR(INDEX(TABLACONSOLIDADA[Buff Act],MATCH("AGROINSUMOSMONCAYOLOPEZ"&amp;Tabla_Buffers_Agroinsumos[[#This Row],[CODIGO ]],TABLACONSOLIDADA[Bodega]&amp;TABLACONSOLIDADA[Codigo],0)),"")</f>
        <v>15</v>
      </c>
      <c r="BZ359" s="157">
        <f t="array" ref="BZ359">IFERROR(INDEX(TABLACONSOLIDADA[Inv Fís Act],MATCH("AGROINSUMOSMONCAYOLOPEZ"&amp;Tabla_Buffers_Agroinsumos[[#This Row],[CODIGO ]],TABLACONSOLIDADA[Bodega]&amp;TABLACONSOLIDADA[Codigo],0)),"")</f>
        <v>27</v>
      </c>
      <c r="CA359" s="157">
        <f t="array" ref="CA35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27</v>
      </c>
      <c r="CB35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59" s="134">
        <f>IFERROR(SUM(Tabla_Buffers_Agroinsumos[[#This Row],[ML-MP]:[ML-VL]]),"")</f>
        <v>0</v>
      </c>
      <c r="CD359" s="92">
        <f>IFERROR(Tabla_Buffers_Agroinsumos[[#This Row],[INV FIS ML]]-Tabla_Buffers_Agroinsumos[[#This Row],[BUFFER ML]],"")</f>
        <v>12</v>
      </c>
      <c r="CE359" s="92">
        <f>IFERROR(Tabla_Buffers_Agroinsumos[[#This Row],[INV FIS ML]]+Tabla_Buffers_Agroinsumos[[#This Row],[TRANSFERENCIAS A ML]]-Tabla_Buffers_Agroinsumos[[#This Row],[BUFFER ML]]-Tabla_Buffers_Agroinsumos[[#This Row],[TRANSFERENCIAS DE ML]],"")</f>
        <v>12</v>
      </c>
      <c r="CF359" s="134"/>
      <c r="CG359" s="134"/>
      <c r="CH359" s="134"/>
      <c r="CI359" s="134"/>
      <c r="CJ359" s="134"/>
      <c r="CK359" s="134"/>
      <c r="CL359" s="134"/>
      <c r="CM359" s="134"/>
      <c r="CN359" s="134"/>
      <c r="CO359" s="134">
        <f t="array" ref="CO359">IFERROR(INDEX(TABLACONSOLIDADA[Buff Act],MATCH("AGROINSUMOSAGROHERMANOSLEON"&amp;Tabla_Buffers_Agroinsumos[[#This Row],[CODIGO ]],TABLACONSOLIDADA[Bodega]&amp;TABLACONSOLIDADA[Codigo],0)),"")</f>
        <v>25</v>
      </c>
      <c r="CP359" s="157">
        <f t="array" ref="CP359">IFERROR(INDEX(TABLACONSOLIDADA[Inv Fís Act],MATCH("AGROINSUMOSAGROHERMANOSLEON"&amp;Tabla_Buffers_Agroinsumos[[#This Row],[CODIGO ]],TABLACONSOLIDADA[Bodega]&amp;TABLACONSOLIDADA[Codigo],0)),"")</f>
        <v>38</v>
      </c>
      <c r="CQ359" s="157">
        <f t="array" ref="CQ35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38</v>
      </c>
      <c r="CR35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59" s="134">
        <f>IFERROR(SUM(Tabla_Buffers_Agroinsumos[[#This Row],[AL-MP]:[AL-VL]]),"")</f>
        <v>0</v>
      </c>
      <c r="CT359" s="92">
        <f>IFERROR(Tabla_Buffers_Agroinsumos[[#This Row],[INV FIS AL]]-Tabla_Buffers_Agroinsumos[[#This Row],[BUFFER AL]],"")</f>
        <v>13</v>
      </c>
      <c r="CU359" s="92">
        <f>IFERROR(Tabla_Buffers_Agroinsumos[[#This Row],[INV FIS AL]]+Tabla_Buffers_Agroinsumos[[#This Row],[TRANSFERENCIAS A AL]]-Tabla_Buffers_Agroinsumos[[#This Row],[BUFFER AL]]-Tabla_Buffers_Agroinsumos[[#This Row],[TRANSFERENCIAS DE AL]],"")</f>
        <v>13</v>
      </c>
      <c r="CV359" s="134"/>
      <c r="CW359" s="134"/>
      <c r="CX359" s="134"/>
      <c r="CY359" s="134"/>
      <c r="CZ359" s="134"/>
      <c r="DA359" s="134"/>
      <c r="DB359" s="134"/>
      <c r="DC359" s="134"/>
      <c r="DD359" s="134"/>
      <c r="DE359" s="134">
        <f t="array" ref="DE359">IFERROR(INDEX(TABLACONSOLIDADA[Buff Act],MATCH("AGROINSUMOSAGRONUEVO"&amp;Tabla_Buffers_Agroinsumos[[#This Row],[CODIGO ]],TABLACONSOLIDADA[Bodega]&amp;TABLACONSOLIDADA[Codigo],0)),"")</f>
        <v>25</v>
      </c>
      <c r="DF359" s="157">
        <f t="array" ref="DF359">IFERROR(INDEX(TABLACONSOLIDADA[Inv Fís Act],MATCH("AGROINSUMOSAGRONUEVO"&amp;Tabla_Buffers_Agroinsumos[[#This Row],[CODIGO ]],TABLACONSOLIDADA[Bodega]&amp;TABLACONSOLIDADA[Codigo],0)),"")</f>
        <v>38</v>
      </c>
      <c r="DG359" s="157">
        <f t="array" ref="DG35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38</v>
      </c>
      <c r="DH35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59" s="134">
        <f>IFERROR(SUM(Tabla_Buffers_Agroinsumos[[#This Row],[AN-MP]:[AN-VL]]),"")</f>
        <v>0</v>
      </c>
      <c r="DJ359" s="92">
        <f>IFERROR(Tabla_Buffers_Agroinsumos[[#This Row],[INV FIS AN]]-Tabla_Buffers_Agroinsumos[[#This Row],[BUFFER AN]],"")</f>
        <v>13</v>
      </c>
      <c r="DK359" s="92">
        <f>IFERROR(Tabla_Buffers_Agroinsumos[[#This Row],[INV FIS AN]]+Tabla_Buffers_Agroinsumos[[#This Row],[TRANSFERENCIAS A AN]]-Tabla_Buffers_Agroinsumos[[#This Row],[BUFFER AN]]-Tabla_Buffers_Agroinsumos[[#This Row],[TRANSFERENCIAS DE AN]],"")</f>
        <v>13</v>
      </c>
      <c r="DL359" s="134"/>
      <c r="DM359" s="134"/>
      <c r="DN359" s="134"/>
      <c r="DO359" s="134"/>
      <c r="DP359" s="134"/>
      <c r="DQ359" s="134"/>
      <c r="DR359" s="134"/>
      <c r="DS359" s="134"/>
      <c r="DT359" s="134"/>
      <c r="DU359" s="134">
        <f t="array" ref="DU359">IFERROR(INDEX(TABLACONSOLIDADA[Buff Act],MATCH("AGROINSUMOSAGROQUIMICOSSUR"&amp;Tabla_Buffers_Agroinsumos[[#This Row],[CODIGO ]],TABLACONSOLIDADA[Bodega]&amp;TABLACONSOLIDADA[Codigo],0)),"")</f>
        <v>0</v>
      </c>
      <c r="DV359" s="157">
        <f t="array" ref="DV359">IFERROR(INDEX(TABLACONSOLIDADA[Inv Fís Act],MATCH("AGROINSUMOSAGROQUIMICOSSUR"&amp;Tabla_Buffers_Agroinsumos[[#This Row],[CODIGO ]],TABLACONSOLIDADA[Bodega]&amp;TABLACONSOLIDADA[Codigo],0)),"")</f>
        <v>0</v>
      </c>
      <c r="DW359" s="157">
        <f t="array" ref="DW35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5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59" s="134">
        <f>IFERROR(SUM(Tabla_Buffers_Agroinsumos[[#This Row],[AS-MP]:[AS-VL]]),"")</f>
        <v>0</v>
      </c>
      <c r="DZ359" s="92">
        <f>IFERROR(Tabla_Buffers_Agroinsumos[[#This Row],[INV FIS AS]]-Tabla_Buffers_Agroinsumos[[#This Row],[BUFFER AS]],"")</f>
        <v>0</v>
      </c>
      <c r="EA35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59" s="134"/>
      <c r="EC359" s="134"/>
      <c r="ED359" s="134"/>
      <c r="EE359" s="134"/>
      <c r="EF359" s="134"/>
      <c r="EG359" s="134"/>
      <c r="EH359" s="134"/>
      <c r="EI359" s="134"/>
      <c r="EJ359" s="134"/>
      <c r="EK359" s="134">
        <f t="array" ref="EK359">IFERROR(INDEX(TABLACONSOLIDADA[Buff Act],MATCH("AGROINSUMOSLAFINCA"&amp;Tabla_Buffers_Agroinsumos[[#This Row],[CODIGO ]],TABLACONSOLIDADA[Bodega]&amp;TABLACONSOLIDADA[Codigo],0)),"")</f>
        <v>20</v>
      </c>
      <c r="EL359" s="157">
        <f t="array" ref="EL359">IFERROR(INDEX(TABLACONSOLIDADA[Inv Fís Act],MATCH("AGROINSUMOSLAFINCA"&amp;Tabla_Buffers_Agroinsumos[[#This Row],[CODIGO ]],TABLACONSOLIDADA[Bodega]&amp;TABLACONSOLIDADA[Codigo],0)),"")</f>
        <v>20</v>
      </c>
      <c r="EM359" s="157">
        <f t="array" ref="EM35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20</v>
      </c>
      <c r="EN35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59" s="134">
        <f>IFERROR(SUM(Tabla_Buffers_Agroinsumos[[#This Row],[LF-MP]:[LF-VL]]),"")</f>
        <v>0</v>
      </c>
      <c r="EP359" s="92">
        <f>IFERROR(Tabla_Buffers_Agroinsumos[[#This Row],[INV FIS LF]]-Tabla_Buffers_Agroinsumos[[#This Row],[BUFFER LF]],"")</f>
        <v>0</v>
      </c>
      <c r="EQ35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59" s="134"/>
      <c r="ES359" s="134"/>
      <c r="ET359" s="134"/>
      <c r="EU359" s="134"/>
      <c r="EV359" s="134"/>
      <c r="EW359" s="134"/>
      <c r="EX359" s="134"/>
      <c r="EY359" s="134"/>
      <c r="EZ359" s="134"/>
      <c r="FA359" s="134">
        <f t="array" ref="FA359">IFERROR(INDEX(TABLACONSOLIDADA[Buff Act],MATCH("AGROINSUMOSVERONICALEDESMA"&amp;Tabla_Buffers_Agroinsumos[[#This Row],[CODIGO ]],TABLACONSOLIDADA[Bodega]&amp;TABLACONSOLIDADA[Codigo],0)),"")</f>
        <v>21</v>
      </c>
      <c r="FB359" s="157">
        <f t="array" ref="FB359">IFERROR(INDEX(TABLACONSOLIDADA[Inv Fís Act],MATCH("AGROINSUMOSVERONICALEDESMA"&amp;Tabla_Buffers_Agroinsumos[[#This Row],[CODIGO ]],TABLACONSOLIDADA[Bodega]&amp;TABLACONSOLIDADA[Codigo],0)),"")</f>
        <v>21</v>
      </c>
      <c r="FC359" s="157">
        <f t="array" ref="FC35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21</v>
      </c>
      <c r="FD35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59" s="134">
        <f>IFERROR(SUM(Tabla_Buffers_Agroinsumos[[#This Row],[VL-MP]:[VL-LF]]),"")</f>
        <v>0</v>
      </c>
      <c r="FF359" s="92">
        <f>IFERROR(Tabla_Buffers_Agroinsumos[[#This Row],[INV FIS VL]]-Tabla_Buffers_Agroinsumos[[#This Row],[BUFFER VL]],"")</f>
        <v>0</v>
      </c>
      <c r="FG35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59" s="134"/>
      <c r="FI359" s="134"/>
      <c r="FJ359" s="134"/>
      <c r="FK359" s="134"/>
      <c r="FL359" s="134"/>
      <c r="FM359" s="134"/>
      <c r="FN359" s="134"/>
      <c r="FO359" s="134"/>
      <c r="FP359" s="134"/>
    </row>
    <row r="360" spans="1:172">
      <c r="A360" s="7" t="s">
        <v>601</v>
      </c>
      <c r="B360" s="7" t="s">
        <v>602</v>
      </c>
      <c r="C360" s="7" t="s">
        <v>712</v>
      </c>
      <c r="D360" s="7" t="s">
        <v>715</v>
      </c>
      <c r="E360" s="7" t="s">
        <v>975</v>
      </c>
      <c r="F360" s="19" t="s">
        <v>698</v>
      </c>
      <c r="G360" s="19" t="s">
        <v>698</v>
      </c>
      <c r="H360" s="19">
        <f>VLOOKUP(Tabla_Buffers_Agroinsumos[[#This Row],[CODIGO ]],TABLACONSOLIDADA[[Codigo]:[PV]],6,0)</f>
        <v>729</v>
      </c>
      <c r="I360" s="19">
        <f>VLOOKUP(Tabla_Buffers_Agroinsumos[[#This Row],[CODIGO ]],TABLACONSOLIDADA[[Codigo]:[PV]],5,0)</f>
        <v>349.85</v>
      </c>
      <c r="J360" s="19" t="s">
        <v>698</v>
      </c>
      <c r="K360" s="19" t="s">
        <v>698</v>
      </c>
      <c r="L360" s="19">
        <f>IFERROR(Tabla_Buffers_Agroinsumos[[#This Row],[BUFFER CENTRAL]]/((Tabla_Buffers_Agroinsumos[[#This Row],[TIEMPO REPOSICION ]]/Tabla_Buffers_Agroinsumos[[#This Row],[FRECUENCIA]])+1),0)</f>
        <v>0</v>
      </c>
      <c r="M360" s="19" t="str">
        <f t="array" ref="M360">IFERROR(INDEX(TABLACONSOLIDADA[Buff Act],MATCH("AGROINSUMOSMATERIAPRIMA"&amp;Tabla_Buffers_Agroinsumos[[#This Row],[CODIGO ]],TABLACONSOLIDADA[Bodega]&amp;TABLACONSOLIDADA[Codigo],0)),"")</f>
        <v/>
      </c>
      <c r="N360" s="157" t="str">
        <f t="array" ref="N360">IFERROR(INDEX(TABLACONSOLIDADA[Inv Fís Act],MATCH("AGROINSUMOSMATERIAPRIMA"&amp;Tabla_Buffers_Agroinsumos[[#This Row],[CODIGO ]],TABLACONSOLIDADA[Bodega]&amp;TABLACONSOLIDADA[Codigo],0)),"")</f>
        <v/>
      </c>
      <c r="O360" s="157" t="str">
        <f t="array" ref="O36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6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60" s="19">
        <f>IFERROR(SUM(Tabla_Buffers_Agroinsumos[[#This Row],[MP-C]:[MP-VL]]),"")</f>
        <v>0</v>
      </c>
      <c r="R360" s="92" t="str">
        <f>IFERROR(Tabla_Buffers_Agroinsumos[[#This Row],[INV FIS MATERIA PRIMA]]-Tabla_Buffers_Agroinsumos[[#This Row],[BUFFER MATERIA PRIMA]],"")</f>
        <v/>
      </c>
      <c r="S36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60" s="19"/>
      <c r="U360" s="19"/>
      <c r="V360" s="19"/>
      <c r="W360" s="19"/>
      <c r="X360" s="19"/>
      <c r="Y360" s="19"/>
      <c r="Z360" s="19"/>
      <c r="AA360" s="19"/>
      <c r="AB360" s="19"/>
      <c r="AC360" s="135">
        <f t="array" ref="AC360">IFERROR(INDEX(TABLACONSOLIDADA[Buff Act],MATCH("AGROINSUMOSCENTRAL"&amp;Tabla_Buffers_Agroinsumos[[#This Row],[CODIGO ]],TABLACONSOLIDADA[Bodega]&amp;TABLACONSOLIDADA[Codigo],0)),"")</f>
        <v>0</v>
      </c>
      <c r="AD360" s="157">
        <f t="array" ref="AD360">IFERROR(INDEX(TABLACONSOLIDADA[Inv Fís Act],MATCH("AGROINSUMOSCENTRAL"&amp;Tabla_Buffers_Agroinsumos[[#This Row],[CODIGO ]],TABLACONSOLIDADA[Bodega]&amp;TABLACONSOLIDADA[Codigo],0)),"")</f>
        <v>0</v>
      </c>
      <c r="AE360" s="157">
        <f t="array" ref="AE36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6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60" s="91">
        <f>IFERROR(SUM(Tabla_Buffers_Agroinsumos[[#This Row],[C-MP]:[C-VL]]),"")</f>
        <v>0</v>
      </c>
      <c r="AH360" s="92">
        <f>IFERROR(Tabla_Buffers_Agroinsumos[[#This Row],[INV FIS CENTRAL]]-Tabla_Buffers_Agroinsumos[[#This Row],[BUFFER CENTRAL]],"")</f>
        <v>0</v>
      </c>
      <c r="AI36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60" s="134"/>
      <c r="AK360" s="134"/>
      <c r="AL360" s="134"/>
      <c r="AM360" s="134"/>
      <c r="AN360" s="134"/>
      <c r="AO360" s="134"/>
      <c r="AP360" s="134"/>
      <c r="AQ360" s="134"/>
      <c r="AR360" s="134"/>
      <c r="AS360" s="134">
        <f t="array" ref="AS360">IFERROR(INDEX(TABLACONSOLIDADA[Buff Act],MATCH("AGROINSUMOScentralPROPIA"&amp;Tabla_Buffers_Agroinsumos[[#This Row],[CODIGO ]],TABLACONSOLIDADA[Bodega]&amp;TABLACONSOLIDADA[Codigo],0)),"")</f>
        <v>0</v>
      </c>
      <c r="AT360" s="157">
        <f t="array" ref="AT360">IFERROR(INDEX(TABLACONSOLIDADA[Inv Fís Act],MATCH("AGROINSUMOScentralPROPIA"&amp;Tabla_Buffers_Agroinsumos[[#This Row],[CODIGO ]],TABLACONSOLIDADA[Bodega]&amp;TABLACONSOLIDADA[Codigo],0)),"")</f>
        <v>0</v>
      </c>
      <c r="AU360" s="157">
        <f t="array" ref="AU36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6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60" s="134">
        <f>IFERROR(SUM(Tabla_Buffers_Agroinsumos[[#This Row],[P-MP]:[P-VL]]),"")</f>
        <v>0</v>
      </c>
      <c r="AX360" s="92">
        <f>IFERROR(Tabla_Buffers_Agroinsumos[[#This Row],[INV FIS PROPIA]]-Tabla_Buffers_Agroinsumos[[#This Row],[BUFFER PROPIA]],"")</f>
        <v>0</v>
      </c>
      <c r="AY36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60" s="134"/>
      <c r="BA360" s="134"/>
      <c r="BB360" s="134"/>
      <c r="BC360" s="134"/>
      <c r="BD360" s="134"/>
      <c r="BE360" s="134"/>
      <c r="BF360" s="134"/>
      <c r="BG360" s="134"/>
      <c r="BH360" s="134"/>
      <c r="BI360" s="91">
        <f t="array" ref="BI360">IFERROR(INDEX(TABLACONSOLIDADA[Buff Act],MATCH("AGROINSUMOSSTODOMINGO"&amp;Tabla_Buffers_Agroinsumos[[#This Row],[CODIGO ]],TABLACONSOLIDADA[Bodega]&amp;TABLACONSOLIDADA[Codigo],0)),"")</f>
        <v>0</v>
      </c>
      <c r="BJ360" s="157">
        <f t="array" ref="BJ360">IFERROR(INDEX(TABLACONSOLIDADA[Inv Fís Act],MATCH("AGROINSUMOSSTODOMINGO"&amp;Tabla_Buffers_Agroinsumos[[#This Row],[CODIGO ]],TABLACONSOLIDADA[Bodega]&amp;TABLACONSOLIDADA[Codigo],0)),"")</f>
        <v>0</v>
      </c>
      <c r="BK360" s="157">
        <f t="array" ref="BK36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6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60" s="91">
        <f>IFERROR(SUM(Tabla_Buffers_Agroinsumos[[#This Row],[SD-MP]:[SD-VL]]),"")</f>
        <v>0</v>
      </c>
      <c r="BN360" s="92"/>
      <c r="BO360" s="92"/>
      <c r="BP360" s="134"/>
      <c r="BQ360" s="134"/>
      <c r="BR360" s="134"/>
      <c r="BS360" s="134"/>
      <c r="BT360" s="134"/>
      <c r="BU360" s="134"/>
      <c r="BV360" s="134"/>
      <c r="BW360" s="134"/>
      <c r="BX360" s="134"/>
      <c r="BY360" s="134">
        <f t="array" ref="BY360">IFERROR(INDEX(TABLACONSOLIDADA[Buff Act],MATCH("AGROINSUMOSMONCAYOLOPEZ"&amp;Tabla_Buffers_Agroinsumos[[#This Row],[CODIGO ]],TABLACONSOLIDADA[Bodega]&amp;TABLACONSOLIDADA[Codigo],0)),"")</f>
        <v>0</v>
      </c>
      <c r="BZ360" s="157">
        <f t="array" ref="BZ360">IFERROR(INDEX(TABLACONSOLIDADA[Inv Fís Act],MATCH("AGROINSUMOSMONCAYOLOPEZ"&amp;Tabla_Buffers_Agroinsumos[[#This Row],[CODIGO ]],TABLACONSOLIDADA[Bodega]&amp;TABLACONSOLIDADA[Codigo],0)),"")</f>
        <v>0</v>
      </c>
      <c r="CA360" s="157">
        <f t="array" ref="CA36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6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60" s="134">
        <f>IFERROR(SUM(Tabla_Buffers_Agroinsumos[[#This Row],[ML-MP]:[ML-VL]]),"")</f>
        <v>0</v>
      </c>
      <c r="CD360" s="92">
        <f>IFERROR(Tabla_Buffers_Agroinsumos[[#This Row],[INV FIS ML]]-Tabla_Buffers_Agroinsumos[[#This Row],[BUFFER ML]],"")</f>
        <v>0</v>
      </c>
      <c r="CE36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60" s="134"/>
      <c r="CG360" s="134"/>
      <c r="CH360" s="134"/>
      <c r="CI360" s="134"/>
      <c r="CJ360" s="134"/>
      <c r="CK360" s="134"/>
      <c r="CL360" s="134"/>
      <c r="CM360" s="134"/>
      <c r="CN360" s="134"/>
      <c r="CO360" s="134">
        <f t="array" ref="CO360">IFERROR(INDEX(TABLACONSOLIDADA[Buff Act],MATCH("AGROINSUMOSAGROHERMANOSLEON"&amp;Tabla_Buffers_Agroinsumos[[#This Row],[CODIGO ]],TABLACONSOLIDADA[Bodega]&amp;TABLACONSOLIDADA[Codigo],0)),"")</f>
        <v>0</v>
      </c>
      <c r="CP360" s="157">
        <f t="array" ref="CP360">IFERROR(INDEX(TABLACONSOLIDADA[Inv Fís Act],MATCH("AGROINSUMOSAGROHERMANOSLEON"&amp;Tabla_Buffers_Agroinsumos[[#This Row],[CODIGO ]],TABLACONSOLIDADA[Bodega]&amp;TABLACONSOLIDADA[Codigo],0)),"")</f>
        <v>0</v>
      </c>
      <c r="CQ360" s="157">
        <f t="array" ref="CQ36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6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60" s="134">
        <f>IFERROR(SUM(Tabla_Buffers_Agroinsumos[[#This Row],[AL-MP]:[AL-VL]]),"")</f>
        <v>0</v>
      </c>
      <c r="CT360" s="92">
        <f>IFERROR(Tabla_Buffers_Agroinsumos[[#This Row],[INV FIS AL]]-Tabla_Buffers_Agroinsumos[[#This Row],[BUFFER AL]],"")</f>
        <v>0</v>
      </c>
      <c r="CU360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60" s="134"/>
      <c r="CW360" s="134"/>
      <c r="CX360" s="134"/>
      <c r="CY360" s="134"/>
      <c r="CZ360" s="134"/>
      <c r="DA360" s="134"/>
      <c r="DB360" s="134"/>
      <c r="DC360" s="134"/>
      <c r="DD360" s="134"/>
      <c r="DE360" s="134">
        <f t="array" ref="DE360">IFERROR(INDEX(TABLACONSOLIDADA[Buff Act],MATCH("AGROINSUMOSAGRONUEVO"&amp;Tabla_Buffers_Agroinsumos[[#This Row],[CODIGO ]],TABLACONSOLIDADA[Bodega]&amp;TABLACONSOLIDADA[Codigo],0)),"")</f>
        <v>0</v>
      </c>
      <c r="DF360" s="157">
        <f t="array" ref="DF360">IFERROR(INDEX(TABLACONSOLIDADA[Inv Fís Act],MATCH("AGROINSUMOSAGRONUEVO"&amp;Tabla_Buffers_Agroinsumos[[#This Row],[CODIGO ]],TABLACONSOLIDADA[Bodega]&amp;TABLACONSOLIDADA[Codigo],0)),"")</f>
        <v>0</v>
      </c>
      <c r="DG360" s="157">
        <f t="array" ref="DG36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6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60" s="134">
        <f>IFERROR(SUM(Tabla_Buffers_Agroinsumos[[#This Row],[AN-MP]:[AN-VL]]),"")</f>
        <v>0</v>
      </c>
      <c r="DJ360" s="92">
        <f>IFERROR(Tabla_Buffers_Agroinsumos[[#This Row],[INV FIS AN]]-Tabla_Buffers_Agroinsumos[[#This Row],[BUFFER AN]],"")</f>
        <v>0</v>
      </c>
      <c r="DK36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60" s="134"/>
      <c r="DM360" s="134"/>
      <c r="DN360" s="134"/>
      <c r="DO360" s="134"/>
      <c r="DP360" s="134"/>
      <c r="DQ360" s="134"/>
      <c r="DR360" s="134"/>
      <c r="DS360" s="134"/>
      <c r="DT360" s="134"/>
      <c r="DU360" s="134">
        <f t="array" ref="DU360">IFERROR(INDEX(TABLACONSOLIDADA[Buff Act],MATCH("AGROINSUMOSAGROQUIMICOSSUR"&amp;Tabla_Buffers_Agroinsumos[[#This Row],[CODIGO ]],TABLACONSOLIDADA[Bodega]&amp;TABLACONSOLIDADA[Codigo],0)),"")</f>
        <v>0</v>
      </c>
      <c r="DV360" s="157">
        <f t="array" ref="DV360">IFERROR(INDEX(TABLACONSOLIDADA[Inv Fís Act],MATCH("AGROINSUMOSAGROQUIMICOSSUR"&amp;Tabla_Buffers_Agroinsumos[[#This Row],[CODIGO ]],TABLACONSOLIDADA[Bodega]&amp;TABLACONSOLIDADA[Codigo],0)),"")</f>
        <v>0</v>
      </c>
      <c r="DW360" s="157">
        <f t="array" ref="DW36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6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60" s="134">
        <f>IFERROR(SUM(Tabla_Buffers_Agroinsumos[[#This Row],[AS-MP]:[AS-VL]]),"")</f>
        <v>0</v>
      </c>
      <c r="DZ360" s="92">
        <f>IFERROR(Tabla_Buffers_Agroinsumos[[#This Row],[INV FIS AS]]-Tabla_Buffers_Agroinsumos[[#This Row],[BUFFER AS]],"")</f>
        <v>0</v>
      </c>
      <c r="EA36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60" s="134"/>
      <c r="EC360" s="134"/>
      <c r="ED360" s="134"/>
      <c r="EE360" s="134"/>
      <c r="EF360" s="134"/>
      <c r="EG360" s="134"/>
      <c r="EH360" s="134"/>
      <c r="EI360" s="134"/>
      <c r="EJ360" s="134"/>
      <c r="EK360" s="134">
        <f t="array" ref="EK360">IFERROR(INDEX(TABLACONSOLIDADA[Buff Act],MATCH("AGROINSUMOSLAFINCA"&amp;Tabla_Buffers_Agroinsumos[[#This Row],[CODIGO ]],TABLACONSOLIDADA[Bodega]&amp;TABLACONSOLIDADA[Codigo],0)),"")</f>
        <v>0</v>
      </c>
      <c r="EL360" s="157">
        <f t="array" ref="EL360">IFERROR(INDEX(TABLACONSOLIDADA[Inv Fís Act],MATCH("AGROINSUMOSLAFINCA"&amp;Tabla_Buffers_Agroinsumos[[#This Row],[CODIGO ]],TABLACONSOLIDADA[Bodega]&amp;TABLACONSOLIDADA[Codigo],0)),"")</f>
        <v>0</v>
      </c>
      <c r="EM360" s="157">
        <f t="array" ref="EM36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6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60" s="134">
        <f>IFERROR(SUM(Tabla_Buffers_Agroinsumos[[#This Row],[LF-MP]:[LF-VL]]),"")</f>
        <v>0</v>
      </c>
      <c r="EP360" s="92">
        <f>IFERROR(Tabla_Buffers_Agroinsumos[[#This Row],[INV FIS LF]]-Tabla_Buffers_Agroinsumos[[#This Row],[BUFFER LF]],"")</f>
        <v>0</v>
      </c>
      <c r="EQ360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60" s="134"/>
      <c r="ES360" s="134"/>
      <c r="ET360" s="134"/>
      <c r="EU360" s="134"/>
      <c r="EV360" s="134"/>
      <c r="EW360" s="134"/>
      <c r="EX360" s="134"/>
      <c r="EY360" s="134"/>
      <c r="EZ360" s="134"/>
      <c r="FA360" s="134">
        <f t="array" ref="FA360">IFERROR(INDEX(TABLACONSOLIDADA[Buff Act],MATCH("AGROINSUMOSVERONICALEDESMA"&amp;Tabla_Buffers_Agroinsumos[[#This Row],[CODIGO ]],TABLACONSOLIDADA[Bodega]&amp;TABLACONSOLIDADA[Codigo],0)),"")</f>
        <v>0</v>
      </c>
      <c r="FB360" s="157">
        <f t="array" ref="FB360">IFERROR(INDEX(TABLACONSOLIDADA[Inv Fís Act],MATCH("AGROINSUMOSVERONICALEDESMA"&amp;Tabla_Buffers_Agroinsumos[[#This Row],[CODIGO ]],TABLACONSOLIDADA[Bodega]&amp;TABLACONSOLIDADA[Codigo],0)),"")</f>
        <v>0</v>
      </c>
      <c r="FC360" s="157">
        <f t="array" ref="FC36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6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60" s="134">
        <f>IFERROR(SUM(Tabla_Buffers_Agroinsumos[[#This Row],[VL-MP]:[VL-LF]]),"")</f>
        <v>0</v>
      </c>
      <c r="FF360" s="92">
        <f>IFERROR(Tabla_Buffers_Agroinsumos[[#This Row],[INV FIS VL]]-Tabla_Buffers_Agroinsumos[[#This Row],[BUFFER VL]],"")</f>
        <v>0</v>
      </c>
      <c r="FG36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60" s="134"/>
      <c r="FI360" s="134"/>
      <c r="FJ360" s="134"/>
      <c r="FK360" s="134"/>
      <c r="FL360" s="134"/>
      <c r="FM360" s="134"/>
      <c r="FN360" s="134"/>
      <c r="FO360" s="134"/>
      <c r="FP360" s="134"/>
    </row>
    <row r="361" spans="1:172">
      <c r="A361" s="7" t="s">
        <v>603</v>
      </c>
      <c r="B361" s="7" t="s">
        <v>604</v>
      </c>
      <c r="C361" s="7" t="s">
        <v>712</v>
      </c>
      <c r="D361" s="7" t="s">
        <v>715</v>
      </c>
      <c r="E361" s="7" t="s">
        <v>975</v>
      </c>
      <c r="F361" s="19" t="s">
        <v>698</v>
      </c>
      <c r="G361" s="19" t="s">
        <v>698</v>
      </c>
      <c r="H361" s="19">
        <f>VLOOKUP(Tabla_Buffers_Agroinsumos[[#This Row],[CODIGO ]],TABLACONSOLIDADA[[Codigo]:[PV]],6,0)</f>
        <v>41</v>
      </c>
      <c r="I361" s="19">
        <f>VLOOKUP(Tabla_Buffers_Agroinsumos[[#This Row],[CODIGO ]],TABLACONSOLIDADA[[Codigo]:[PV]],5,0)</f>
        <v>20.54</v>
      </c>
      <c r="J361" s="19" t="s">
        <v>698</v>
      </c>
      <c r="K361" s="19" t="s">
        <v>698</v>
      </c>
      <c r="L361" s="19">
        <f>IFERROR(Tabla_Buffers_Agroinsumos[[#This Row],[BUFFER CENTRAL]]/((Tabla_Buffers_Agroinsumos[[#This Row],[TIEMPO REPOSICION ]]/Tabla_Buffers_Agroinsumos[[#This Row],[FRECUENCIA]])+1),0)</f>
        <v>0</v>
      </c>
      <c r="M361" s="19" t="str">
        <f t="array" ref="M361">IFERROR(INDEX(TABLACONSOLIDADA[Buff Act],MATCH("AGROINSUMOSMATERIAPRIMA"&amp;Tabla_Buffers_Agroinsumos[[#This Row],[CODIGO ]],TABLACONSOLIDADA[Bodega]&amp;TABLACONSOLIDADA[Codigo],0)),"")</f>
        <v/>
      </c>
      <c r="N361" s="157" t="str">
        <f t="array" ref="N361">IFERROR(INDEX(TABLACONSOLIDADA[Inv Fís Act],MATCH("AGROINSUMOSMATERIAPRIMA"&amp;Tabla_Buffers_Agroinsumos[[#This Row],[CODIGO ]],TABLACONSOLIDADA[Bodega]&amp;TABLACONSOLIDADA[Codigo],0)),"")</f>
        <v/>
      </c>
      <c r="O361" s="157" t="str">
        <f t="array" ref="O36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6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61" s="19">
        <f>IFERROR(SUM(Tabla_Buffers_Agroinsumos[[#This Row],[MP-C]:[MP-VL]]),"")</f>
        <v>0</v>
      </c>
      <c r="R361" s="92" t="str">
        <f>IFERROR(Tabla_Buffers_Agroinsumos[[#This Row],[INV FIS MATERIA PRIMA]]-Tabla_Buffers_Agroinsumos[[#This Row],[BUFFER MATERIA PRIMA]],"")</f>
        <v/>
      </c>
      <c r="S36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61" s="19"/>
      <c r="U361" s="19"/>
      <c r="V361" s="19"/>
      <c r="W361" s="19"/>
      <c r="X361" s="19"/>
      <c r="Y361" s="19"/>
      <c r="Z361" s="19"/>
      <c r="AA361" s="19"/>
      <c r="AB361" s="19"/>
      <c r="AC361" s="135">
        <f t="array" ref="AC361">IFERROR(INDEX(TABLACONSOLIDADA[Buff Act],MATCH("AGROINSUMOSCENTRAL"&amp;Tabla_Buffers_Agroinsumos[[#This Row],[CODIGO ]],TABLACONSOLIDADA[Bodega]&amp;TABLACONSOLIDADA[Codigo],0)),"")</f>
        <v>0</v>
      </c>
      <c r="AD361" s="157">
        <f t="array" ref="AD361">IFERROR(INDEX(TABLACONSOLIDADA[Inv Fís Act],MATCH("AGROINSUMOSCENTRAL"&amp;Tabla_Buffers_Agroinsumos[[#This Row],[CODIGO ]],TABLACONSOLIDADA[Bodega]&amp;TABLACONSOLIDADA[Codigo],0)),"")</f>
        <v>0</v>
      </c>
      <c r="AE361" s="157">
        <f t="array" ref="AE36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</v>
      </c>
      <c r="AF36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61" s="91">
        <f>IFERROR(SUM(Tabla_Buffers_Agroinsumos[[#This Row],[C-MP]:[C-VL]]),"")</f>
        <v>0</v>
      </c>
      <c r="AH361" s="92">
        <f>IFERROR(Tabla_Buffers_Agroinsumos[[#This Row],[INV FIS CENTRAL]]-Tabla_Buffers_Agroinsumos[[#This Row],[BUFFER CENTRAL]],"")</f>
        <v>0</v>
      </c>
      <c r="AI36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61" s="134"/>
      <c r="AK361" s="134"/>
      <c r="AL361" s="134"/>
      <c r="AM361" s="134"/>
      <c r="AN361" s="134"/>
      <c r="AO361" s="134"/>
      <c r="AP361" s="134"/>
      <c r="AQ361" s="134"/>
      <c r="AR361" s="134"/>
      <c r="AS361" s="134">
        <f t="array" ref="AS361">IFERROR(INDEX(TABLACONSOLIDADA[Buff Act],MATCH("AGROINSUMOScentralPROPIA"&amp;Tabla_Buffers_Agroinsumos[[#This Row],[CODIGO ]],TABLACONSOLIDADA[Bodega]&amp;TABLACONSOLIDADA[Codigo],0)),"")</f>
        <v>0</v>
      </c>
      <c r="AT361" s="157">
        <f t="array" ref="AT361">IFERROR(INDEX(TABLACONSOLIDADA[Inv Fís Act],MATCH("AGROINSUMOScentralPROPIA"&amp;Tabla_Buffers_Agroinsumos[[#This Row],[CODIGO ]],TABLACONSOLIDADA[Bodega]&amp;TABLACONSOLIDADA[Codigo],0)),"")</f>
        <v>0</v>
      </c>
      <c r="AU361" s="157">
        <f t="array" ref="AU36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6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61" s="134">
        <f>IFERROR(SUM(Tabla_Buffers_Agroinsumos[[#This Row],[P-MP]:[P-VL]]),"")</f>
        <v>0</v>
      </c>
      <c r="AX361" s="92">
        <f>IFERROR(Tabla_Buffers_Agroinsumos[[#This Row],[INV FIS PROPIA]]-Tabla_Buffers_Agroinsumos[[#This Row],[BUFFER PROPIA]],"")</f>
        <v>0</v>
      </c>
      <c r="AY36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61" s="134"/>
      <c r="BA361" s="134"/>
      <c r="BB361" s="134"/>
      <c r="BC361" s="134"/>
      <c r="BD361" s="134"/>
      <c r="BE361" s="134"/>
      <c r="BF361" s="134"/>
      <c r="BG361" s="134"/>
      <c r="BH361" s="134"/>
      <c r="BI361" s="91">
        <f t="array" ref="BI361">IFERROR(INDEX(TABLACONSOLIDADA[Buff Act],MATCH("AGROINSUMOSSTODOMINGO"&amp;Tabla_Buffers_Agroinsumos[[#This Row],[CODIGO ]],TABLACONSOLIDADA[Bodega]&amp;TABLACONSOLIDADA[Codigo],0)),"")</f>
        <v>0</v>
      </c>
      <c r="BJ361" s="157">
        <f t="array" ref="BJ361">IFERROR(INDEX(TABLACONSOLIDADA[Inv Fís Act],MATCH("AGROINSUMOSSTODOMINGO"&amp;Tabla_Buffers_Agroinsumos[[#This Row],[CODIGO ]],TABLACONSOLIDADA[Bodega]&amp;TABLACONSOLIDADA[Codigo],0)),"")</f>
        <v>0</v>
      </c>
      <c r="BK361" s="157">
        <f t="array" ref="BK36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6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61" s="91">
        <f>IFERROR(SUM(Tabla_Buffers_Agroinsumos[[#This Row],[SD-MP]:[SD-VL]]),"")</f>
        <v>0</v>
      </c>
      <c r="BN361" s="92"/>
      <c r="BO361" s="92"/>
      <c r="BP361" s="134"/>
      <c r="BQ361" s="134"/>
      <c r="BR361" s="134"/>
      <c r="BS361" s="134"/>
      <c r="BT361" s="134"/>
      <c r="BU361" s="134"/>
      <c r="BV361" s="134"/>
      <c r="BW361" s="134"/>
      <c r="BX361" s="134"/>
      <c r="BY361" s="134">
        <f t="array" ref="BY361">IFERROR(INDEX(TABLACONSOLIDADA[Buff Act],MATCH("AGROINSUMOSMONCAYOLOPEZ"&amp;Tabla_Buffers_Agroinsumos[[#This Row],[CODIGO ]],TABLACONSOLIDADA[Bodega]&amp;TABLACONSOLIDADA[Codigo],0)),"")</f>
        <v>8</v>
      </c>
      <c r="BZ361" s="157">
        <f t="array" ref="BZ361">IFERROR(INDEX(TABLACONSOLIDADA[Inv Fís Act],MATCH("AGROINSUMOSMONCAYOLOPEZ"&amp;Tabla_Buffers_Agroinsumos[[#This Row],[CODIGO ]],TABLACONSOLIDADA[Bodega]&amp;TABLACONSOLIDADA[Codigo],0)),"")</f>
        <v>2</v>
      </c>
      <c r="CA361" s="157">
        <f t="array" ref="CA36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2</v>
      </c>
      <c r="CB36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61" s="134">
        <f>IFERROR(SUM(Tabla_Buffers_Agroinsumos[[#This Row],[ML-MP]:[ML-VL]]),"")</f>
        <v>0</v>
      </c>
      <c r="CD361" s="92">
        <f>IFERROR(Tabla_Buffers_Agroinsumos[[#This Row],[INV FIS ML]]-Tabla_Buffers_Agroinsumos[[#This Row],[BUFFER ML]],"")</f>
        <v>-6</v>
      </c>
      <c r="CE361" s="92">
        <f>IFERROR(Tabla_Buffers_Agroinsumos[[#This Row],[INV FIS ML]]+Tabla_Buffers_Agroinsumos[[#This Row],[TRANSFERENCIAS A ML]]-Tabla_Buffers_Agroinsumos[[#This Row],[BUFFER ML]]-Tabla_Buffers_Agroinsumos[[#This Row],[TRANSFERENCIAS DE ML]],"")</f>
        <v>-6</v>
      </c>
      <c r="CF361" s="134"/>
      <c r="CG361" s="134"/>
      <c r="CH361" s="134"/>
      <c r="CI361" s="134"/>
      <c r="CJ361" s="134"/>
      <c r="CK361" s="134"/>
      <c r="CL361" s="134"/>
      <c r="CM361" s="134"/>
      <c r="CN361" s="134"/>
      <c r="CO361" s="134">
        <f t="array" ref="CO361">IFERROR(INDEX(TABLACONSOLIDADA[Buff Act],MATCH("AGROINSUMOSAGROHERMANOSLEON"&amp;Tabla_Buffers_Agroinsumos[[#This Row],[CODIGO ]],TABLACONSOLIDADA[Bodega]&amp;TABLACONSOLIDADA[Codigo],0)),"")</f>
        <v>0</v>
      </c>
      <c r="CP361" s="157">
        <f t="array" ref="CP361">IFERROR(INDEX(TABLACONSOLIDADA[Inv Fís Act],MATCH("AGROINSUMOSAGROHERMANOSLEON"&amp;Tabla_Buffers_Agroinsumos[[#This Row],[CODIGO ]],TABLACONSOLIDADA[Bodega]&amp;TABLACONSOLIDADA[Codigo],0)),"")</f>
        <v>0</v>
      </c>
      <c r="CQ361" s="157">
        <f t="array" ref="CQ36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6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61" s="134">
        <f>IFERROR(SUM(Tabla_Buffers_Agroinsumos[[#This Row],[AL-MP]:[AL-VL]]),"")</f>
        <v>0</v>
      </c>
      <c r="CT361" s="92">
        <f>IFERROR(Tabla_Buffers_Agroinsumos[[#This Row],[INV FIS AL]]-Tabla_Buffers_Agroinsumos[[#This Row],[BUFFER AL]],"")</f>
        <v>0</v>
      </c>
      <c r="CU361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61" s="134"/>
      <c r="CW361" s="134"/>
      <c r="CX361" s="134"/>
      <c r="CY361" s="134"/>
      <c r="CZ361" s="134"/>
      <c r="DA361" s="134"/>
      <c r="DB361" s="134"/>
      <c r="DC361" s="134"/>
      <c r="DD361" s="134"/>
      <c r="DE361" s="134">
        <f t="array" ref="DE361">IFERROR(INDEX(TABLACONSOLIDADA[Buff Act],MATCH("AGROINSUMOSAGRONUEVO"&amp;Tabla_Buffers_Agroinsumos[[#This Row],[CODIGO ]],TABLACONSOLIDADA[Bodega]&amp;TABLACONSOLIDADA[Codigo],0)),"")</f>
        <v>0</v>
      </c>
      <c r="DF361" s="157">
        <f t="array" ref="DF361">IFERROR(INDEX(TABLACONSOLIDADA[Inv Fís Act],MATCH("AGROINSUMOSAGRONUEVO"&amp;Tabla_Buffers_Agroinsumos[[#This Row],[CODIGO ]],TABLACONSOLIDADA[Bodega]&amp;TABLACONSOLIDADA[Codigo],0)),"")</f>
        <v>0</v>
      </c>
      <c r="DG361" s="157">
        <f t="array" ref="DG36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6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61" s="134">
        <f>IFERROR(SUM(Tabla_Buffers_Agroinsumos[[#This Row],[AN-MP]:[AN-VL]]),"")</f>
        <v>0</v>
      </c>
      <c r="DJ361" s="92">
        <f>IFERROR(Tabla_Buffers_Agroinsumos[[#This Row],[INV FIS AN]]-Tabla_Buffers_Agroinsumos[[#This Row],[BUFFER AN]],"")</f>
        <v>0</v>
      </c>
      <c r="DK361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61" s="134"/>
      <c r="DM361" s="134"/>
      <c r="DN361" s="134"/>
      <c r="DO361" s="134"/>
      <c r="DP361" s="134"/>
      <c r="DQ361" s="134"/>
      <c r="DR361" s="134"/>
      <c r="DS361" s="134"/>
      <c r="DT361" s="134"/>
      <c r="DU361" s="134">
        <f t="array" ref="DU361">IFERROR(INDEX(TABLACONSOLIDADA[Buff Act],MATCH("AGROINSUMOSAGROQUIMICOSSUR"&amp;Tabla_Buffers_Agroinsumos[[#This Row],[CODIGO ]],TABLACONSOLIDADA[Bodega]&amp;TABLACONSOLIDADA[Codigo],0)),"")</f>
        <v>0</v>
      </c>
      <c r="DV361" s="157">
        <f t="array" ref="DV361">IFERROR(INDEX(TABLACONSOLIDADA[Inv Fís Act],MATCH("AGROINSUMOSAGROQUIMICOSSUR"&amp;Tabla_Buffers_Agroinsumos[[#This Row],[CODIGO ]],TABLACONSOLIDADA[Bodega]&amp;TABLACONSOLIDADA[Codigo],0)),"")</f>
        <v>0</v>
      </c>
      <c r="DW361" s="157">
        <f t="array" ref="DW36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6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61" s="134">
        <f>IFERROR(SUM(Tabla_Buffers_Agroinsumos[[#This Row],[AS-MP]:[AS-VL]]),"")</f>
        <v>0</v>
      </c>
      <c r="DZ361" s="92">
        <f>IFERROR(Tabla_Buffers_Agroinsumos[[#This Row],[INV FIS AS]]-Tabla_Buffers_Agroinsumos[[#This Row],[BUFFER AS]],"")</f>
        <v>0</v>
      </c>
      <c r="EA361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61" s="134"/>
      <c r="EC361" s="134"/>
      <c r="ED361" s="134"/>
      <c r="EE361" s="134"/>
      <c r="EF361" s="134"/>
      <c r="EG361" s="134"/>
      <c r="EH361" s="134"/>
      <c r="EI361" s="134"/>
      <c r="EJ361" s="134"/>
      <c r="EK361" s="134">
        <f t="array" ref="EK361">IFERROR(INDEX(TABLACONSOLIDADA[Buff Act],MATCH("AGROINSUMOSLAFINCA"&amp;Tabla_Buffers_Agroinsumos[[#This Row],[CODIGO ]],TABLACONSOLIDADA[Bodega]&amp;TABLACONSOLIDADA[Codigo],0)),"")</f>
        <v>0</v>
      </c>
      <c r="EL361" s="157">
        <f t="array" ref="EL361">IFERROR(INDEX(TABLACONSOLIDADA[Inv Fís Act],MATCH("AGROINSUMOSLAFINCA"&amp;Tabla_Buffers_Agroinsumos[[#This Row],[CODIGO ]],TABLACONSOLIDADA[Bodega]&amp;TABLACONSOLIDADA[Codigo],0)),"")</f>
        <v>0</v>
      </c>
      <c r="EM361" s="157">
        <f t="array" ref="EM36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6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61" s="134">
        <f>IFERROR(SUM(Tabla_Buffers_Agroinsumos[[#This Row],[LF-MP]:[LF-VL]]),"")</f>
        <v>0</v>
      </c>
      <c r="EP361" s="92">
        <f>IFERROR(Tabla_Buffers_Agroinsumos[[#This Row],[INV FIS LF]]-Tabla_Buffers_Agroinsumos[[#This Row],[BUFFER LF]],"")</f>
        <v>0</v>
      </c>
      <c r="EQ361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61" s="134"/>
      <c r="ES361" s="134"/>
      <c r="ET361" s="134"/>
      <c r="EU361" s="134"/>
      <c r="EV361" s="134"/>
      <c r="EW361" s="134"/>
      <c r="EX361" s="134"/>
      <c r="EY361" s="134"/>
      <c r="EZ361" s="134"/>
      <c r="FA361" s="134">
        <f t="array" ref="FA361">IFERROR(INDEX(TABLACONSOLIDADA[Buff Act],MATCH("AGROINSUMOSVERONICALEDESMA"&amp;Tabla_Buffers_Agroinsumos[[#This Row],[CODIGO ]],TABLACONSOLIDADA[Bodega]&amp;TABLACONSOLIDADA[Codigo],0)),"")</f>
        <v>0</v>
      </c>
      <c r="FB361" s="157">
        <f t="array" ref="FB361">IFERROR(INDEX(TABLACONSOLIDADA[Inv Fís Act],MATCH("AGROINSUMOSVERONICALEDESMA"&amp;Tabla_Buffers_Agroinsumos[[#This Row],[CODIGO ]],TABLACONSOLIDADA[Bodega]&amp;TABLACONSOLIDADA[Codigo],0)),"")</f>
        <v>0</v>
      </c>
      <c r="FC361" s="157">
        <f t="array" ref="FC36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6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61" s="134">
        <f>IFERROR(SUM(Tabla_Buffers_Agroinsumos[[#This Row],[VL-MP]:[VL-LF]]),"")</f>
        <v>0</v>
      </c>
      <c r="FF361" s="92">
        <f>IFERROR(Tabla_Buffers_Agroinsumos[[#This Row],[INV FIS VL]]-Tabla_Buffers_Agroinsumos[[#This Row],[BUFFER VL]],"")</f>
        <v>0</v>
      </c>
      <c r="FG361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61" s="134"/>
      <c r="FI361" s="134"/>
      <c r="FJ361" s="134"/>
      <c r="FK361" s="134"/>
      <c r="FL361" s="134"/>
      <c r="FM361" s="134"/>
      <c r="FN361" s="134"/>
      <c r="FO361" s="134"/>
      <c r="FP361" s="134"/>
    </row>
    <row r="362" spans="1:172">
      <c r="A362" s="7" t="s">
        <v>605</v>
      </c>
      <c r="B362" s="7" t="s">
        <v>606</v>
      </c>
      <c r="C362" s="7" t="s">
        <v>709</v>
      </c>
      <c r="D362" s="7" t="s">
        <v>719</v>
      </c>
      <c r="E362" s="7" t="s">
        <v>975</v>
      </c>
      <c r="F362" s="19" t="s">
        <v>698</v>
      </c>
      <c r="G362" s="19" t="s">
        <v>698</v>
      </c>
      <c r="H362" s="19">
        <f>VLOOKUP(Tabla_Buffers_Agroinsumos[[#This Row],[CODIGO ]],TABLACONSOLIDADA[[Codigo]:[PV]],6,0)</f>
        <v>8.69</v>
      </c>
      <c r="I362" s="19">
        <f>VLOOKUP(Tabla_Buffers_Agroinsumos[[#This Row],[CODIGO ]],TABLACONSOLIDADA[[Codigo]:[PV]],5,0)</f>
        <v>1.35</v>
      </c>
      <c r="J362" s="19" t="s">
        <v>698</v>
      </c>
      <c r="K362" s="19" t="s">
        <v>698</v>
      </c>
      <c r="L362" s="19">
        <f>IFERROR(Tabla_Buffers_Agroinsumos[[#This Row],[BUFFER CENTRAL]]/((Tabla_Buffers_Agroinsumos[[#This Row],[TIEMPO REPOSICION ]]/Tabla_Buffers_Agroinsumos[[#This Row],[FRECUENCIA]])+1),0)</f>
        <v>0</v>
      </c>
      <c r="M362" s="19" t="str">
        <f t="array" ref="M362">IFERROR(INDEX(TABLACONSOLIDADA[Buff Act],MATCH("AGROINSUMOSMATERIAPRIMA"&amp;Tabla_Buffers_Agroinsumos[[#This Row],[CODIGO ]],TABLACONSOLIDADA[Bodega]&amp;TABLACONSOLIDADA[Codigo],0)),"")</f>
        <v/>
      </c>
      <c r="N362" s="157" t="str">
        <f t="array" ref="N362">IFERROR(INDEX(TABLACONSOLIDADA[Inv Fís Act],MATCH("AGROINSUMOSMATERIAPRIMA"&amp;Tabla_Buffers_Agroinsumos[[#This Row],[CODIGO ]],TABLACONSOLIDADA[Bodega]&amp;TABLACONSOLIDADA[Codigo],0)),"")</f>
        <v/>
      </c>
      <c r="O362" s="157" t="str">
        <f t="array" ref="O36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6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62" s="19">
        <f>IFERROR(SUM(Tabla_Buffers_Agroinsumos[[#This Row],[MP-C]:[MP-VL]]),"")</f>
        <v>0</v>
      </c>
      <c r="R362" s="92" t="str">
        <f>IFERROR(Tabla_Buffers_Agroinsumos[[#This Row],[INV FIS MATERIA PRIMA]]-Tabla_Buffers_Agroinsumos[[#This Row],[BUFFER MATERIA PRIMA]],"")</f>
        <v/>
      </c>
      <c r="S362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62" s="19"/>
      <c r="U362" s="19"/>
      <c r="V362" s="19"/>
      <c r="W362" s="19"/>
      <c r="X362" s="19"/>
      <c r="Y362" s="19"/>
      <c r="Z362" s="19"/>
      <c r="AA362" s="19"/>
      <c r="AB362" s="19"/>
      <c r="AC362" s="135">
        <f t="array" ref="AC362">IFERROR(INDEX(TABLACONSOLIDADA[Buff Act],MATCH("AGROINSUMOSCENTRAL"&amp;Tabla_Buffers_Agroinsumos[[#This Row],[CODIGO ]],TABLACONSOLIDADA[Bodega]&amp;TABLACONSOLIDADA[Codigo],0)),"")</f>
        <v>1200</v>
      </c>
      <c r="AD362" s="157">
        <f t="array" ref="AD362">IFERROR(INDEX(TABLACONSOLIDADA[Inv Fís Act],MATCH("AGROINSUMOSCENTRAL"&amp;Tabla_Buffers_Agroinsumos[[#This Row],[CODIGO ]],TABLACONSOLIDADA[Bodega]&amp;TABLACONSOLIDADA[Codigo],0)),"")</f>
        <v>1048</v>
      </c>
      <c r="AE362" s="157">
        <f t="array" ref="AE36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1269</v>
      </c>
      <c r="AF36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62" s="91">
        <f>IFERROR(SUM(Tabla_Buffers_Agroinsumos[[#This Row],[C-MP]:[C-VL]]),"")</f>
        <v>0</v>
      </c>
      <c r="AH362" s="92">
        <f>IFERROR(Tabla_Buffers_Agroinsumos[[#This Row],[INV FIS CENTRAL]]-Tabla_Buffers_Agroinsumos[[#This Row],[BUFFER CENTRAL]],"")</f>
        <v>-152</v>
      </c>
      <c r="AI362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-152</v>
      </c>
      <c r="AJ362" s="134"/>
      <c r="AK362" s="134"/>
      <c r="AL362" s="134"/>
      <c r="AM362" s="134"/>
      <c r="AN362" s="134"/>
      <c r="AO362" s="134"/>
      <c r="AP362" s="134"/>
      <c r="AQ362" s="134"/>
      <c r="AR362" s="134"/>
      <c r="AS362" s="134">
        <f t="array" ref="AS362">IFERROR(INDEX(TABLACONSOLIDADA[Buff Act],MATCH("AGROINSUMOScentralPROPIA"&amp;Tabla_Buffers_Agroinsumos[[#This Row],[CODIGO ]],TABLACONSOLIDADA[Bodega]&amp;TABLACONSOLIDADA[Codigo],0)),"")</f>
        <v>780</v>
      </c>
      <c r="AT362" s="157">
        <f t="array" ref="AT362">IFERROR(INDEX(TABLACONSOLIDADA[Inv Fís Act],MATCH("AGROINSUMOScentralPROPIA"&amp;Tabla_Buffers_Agroinsumos[[#This Row],[CODIGO ]],TABLACONSOLIDADA[Bodega]&amp;TABLACONSOLIDADA[Codigo],0)),"")</f>
        <v>0</v>
      </c>
      <c r="AU362" s="157">
        <f t="array" ref="AU36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6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62" s="134">
        <f>IFERROR(SUM(Tabla_Buffers_Agroinsumos[[#This Row],[P-MP]:[P-VL]]),"")</f>
        <v>0</v>
      </c>
      <c r="AX362" s="92">
        <f>IFERROR(Tabla_Buffers_Agroinsumos[[#This Row],[INV FIS PROPIA]]-Tabla_Buffers_Agroinsumos[[#This Row],[BUFFER PROPIA]],"")</f>
        <v>-780</v>
      </c>
      <c r="AY362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-780</v>
      </c>
      <c r="AZ362" s="134"/>
      <c r="BA362" s="134"/>
      <c r="BB362" s="134"/>
      <c r="BC362" s="134"/>
      <c r="BD362" s="134"/>
      <c r="BE362" s="134"/>
      <c r="BF362" s="134"/>
      <c r="BG362" s="134"/>
      <c r="BH362" s="134"/>
      <c r="BI362" s="91">
        <f t="array" ref="BI362">IFERROR(INDEX(TABLACONSOLIDADA[Buff Act],MATCH("AGROINSUMOSSTODOMINGO"&amp;Tabla_Buffers_Agroinsumos[[#This Row],[CODIGO ]],TABLACONSOLIDADA[Bodega]&amp;TABLACONSOLIDADA[Codigo],0)),"")</f>
        <v>0</v>
      </c>
      <c r="BJ362" s="157">
        <f t="array" ref="BJ362">IFERROR(INDEX(TABLACONSOLIDADA[Inv Fís Act],MATCH("AGROINSUMOSSTODOMINGO"&amp;Tabla_Buffers_Agroinsumos[[#This Row],[CODIGO ]],TABLACONSOLIDADA[Bodega]&amp;TABLACONSOLIDADA[Codigo],0)),"")</f>
        <v>10</v>
      </c>
      <c r="BK362" s="157">
        <f t="array" ref="BK36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10</v>
      </c>
      <c r="BL36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62" s="91">
        <f>IFERROR(SUM(Tabla_Buffers_Agroinsumos[[#This Row],[SD-MP]:[SD-VL]]),"")</f>
        <v>0</v>
      </c>
      <c r="BN362" s="92"/>
      <c r="BO362" s="92"/>
      <c r="BP362" s="134"/>
      <c r="BQ362" s="134"/>
      <c r="BR362" s="134"/>
      <c r="BS362" s="134"/>
      <c r="BT362" s="134"/>
      <c r="BU362" s="134"/>
      <c r="BV362" s="134"/>
      <c r="BW362" s="134"/>
      <c r="BX362" s="134"/>
      <c r="BY362" s="134">
        <f t="array" ref="BY362">IFERROR(INDEX(TABLACONSOLIDADA[Buff Act],MATCH("AGROINSUMOSMONCAYOLOPEZ"&amp;Tabla_Buffers_Agroinsumos[[#This Row],[CODIGO ]],TABLACONSOLIDADA[Bodega]&amp;TABLACONSOLIDADA[Codigo],0)),"")</f>
        <v>15</v>
      </c>
      <c r="BZ362" s="157">
        <f t="array" ref="BZ362">IFERROR(INDEX(TABLACONSOLIDADA[Inv Fís Act],MATCH("AGROINSUMOSMONCAYOLOPEZ"&amp;Tabla_Buffers_Agroinsumos[[#This Row],[CODIGO ]],TABLACONSOLIDADA[Bodega]&amp;TABLACONSOLIDADA[Codigo],0)),"")</f>
        <v>13</v>
      </c>
      <c r="CA362" s="157">
        <f t="array" ref="CA36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13</v>
      </c>
      <c r="CB36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62" s="134">
        <f>IFERROR(SUM(Tabla_Buffers_Agroinsumos[[#This Row],[ML-MP]:[ML-VL]]),"")</f>
        <v>0</v>
      </c>
      <c r="CD362" s="92">
        <f>IFERROR(Tabla_Buffers_Agroinsumos[[#This Row],[INV FIS ML]]-Tabla_Buffers_Agroinsumos[[#This Row],[BUFFER ML]],"")</f>
        <v>-2</v>
      </c>
      <c r="CE362" s="92">
        <f>IFERROR(Tabla_Buffers_Agroinsumos[[#This Row],[INV FIS ML]]+Tabla_Buffers_Agroinsumos[[#This Row],[TRANSFERENCIAS A ML]]-Tabla_Buffers_Agroinsumos[[#This Row],[BUFFER ML]]-Tabla_Buffers_Agroinsumos[[#This Row],[TRANSFERENCIAS DE ML]],"")</f>
        <v>-2</v>
      </c>
      <c r="CF362" s="134"/>
      <c r="CG362" s="134"/>
      <c r="CH362" s="134"/>
      <c r="CI362" s="134"/>
      <c r="CJ362" s="134"/>
      <c r="CK362" s="134"/>
      <c r="CL362" s="134"/>
      <c r="CM362" s="134"/>
      <c r="CN362" s="134"/>
      <c r="CO362" s="134">
        <f t="array" ref="CO362">IFERROR(INDEX(TABLACONSOLIDADA[Buff Act],MATCH("AGROINSUMOSAGROHERMANOSLEON"&amp;Tabla_Buffers_Agroinsumos[[#This Row],[CODIGO ]],TABLACONSOLIDADA[Bodega]&amp;TABLACONSOLIDADA[Codigo],0)),"")</f>
        <v>300</v>
      </c>
      <c r="CP362" s="157">
        <f t="array" ref="CP362">IFERROR(INDEX(TABLACONSOLIDADA[Inv Fís Act],MATCH("AGROINSUMOSAGROHERMANOSLEON"&amp;Tabla_Buffers_Agroinsumos[[#This Row],[CODIGO ]],TABLACONSOLIDADA[Bodega]&amp;TABLACONSOLIDADA[Codigo],0)),"")</f>
        <v>300</v>
      </c>
      <c r="CQ362" s="157">
        <f t="array" ref="CQ36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300</v>
      </c>
      <c r="CR36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62" s="134">
        <f>IFERROR(SUM(Tabla_Buffers_Agroinsumos[[#This Row],[AL-MP]:[AL-VL]]),"")</f>
        <v>0</v>
      </c>
      <c r="CT362" s="92">
        <f>IFERROR(Tabla_Buffers_Agroinsumos[[#This Row],[INV FIS AL]]-Tabla_Buffers_Agroinsumos[[#This Row],[BUFFER AL]],"")</f>
        <v>0</v>
      </c>
      <c r="CU362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62" s="134"/>
      <c r="CW362" s="134"/>
      <c r="CX362" s="134"/>
      <c r="CY362" s="134"/>
      <c r="CZ362" s="134"/>
      <c r="DA362" s="134"/>
      <c r="DB362" s="134"/>
      <c r="DC362" s="134"/>
      <c r="DD362" s="134"/>
      <c r="DE362" s="134">
        <f t="array" ref="DE362">IFERROR(INDEX(TABLACONSOLIDADA[Buff Act],MATCH("AGROINSUMOSAGRONUEVO"&amp;Tabla_Buffers_Agroinsumos[[#This Row],[CODIGO ]],TABLACONSOLIDADA[Bodega]&amp;TABLACONSOLIDADA[Codigo],0)),"")</f>
        <v>100</v>
      </c>
      <c r="DF362" s="157">
        <f t="array" ref="DF362">IFERROR(INDEX(TABLACONSOLIDADA[Inv Fís Act],MATCH("AGROINSUMOSAGRONUEVO"&amp;Tabla_Buffers_Agroinsumos[[#This Row],[CODIGO ]],TABLACONSOLIDADA[Bodega]&amp;TABLACONSOLIDADA[Codigo],0)),"")</f>
        <v>100</v>
      </c>
      <c r="DG362" s="157">
        <f t="array" ref="DG36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100</v>
      </c>
      <c r="DH36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62" s="134">
        <f>IFERROR(SUM(Tabla_Buffers_Agroinsumos[[#This Row],[AN-MP]:[AN-VL]]),"")</f>
        <v>0</v>
      </c>
      <c r="DJ362" s="92">
        <f>IFERROR(Tabla_Buffers_Agroinsumos[[#This Row],[INV FIS AN]]-Tabla_Buffers_Agroinsumos[[#This Row],[BUFFER AN]],"")</f>
        <v>0</v>
      </c>
      <c r="DK362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62" s="134"/>
      <c r="DM362" s="134"/>
      <c r="DN362" s="134"/>
      <c r="DO362" s="134"/>
      <c r="DP362" s="134"/>
      <c r="DQ362" s="134"/>
      <c r="DR362" s="134"/>
      <c r="DS362" s="134"/>
      <c r="DT362" s="134"/>
      <c r="DU362" s="134">
        <f t="array" ref="DU362">IFERROR(INDEX(TABLACONSOLIDADA[Buff Act],MATCH("AGROINSUMOSAGROQUIMICOSSUR"&amp;Tabla_Buffers_Agroinsumos[[#This Row],[CODIGO ]],TABLACONSOLIDADA[Bodega]&amp;TABLACONSOLIDADA[Codigo],0)),"")</f>
        <v>0</v>
      </c>
      <c r="DV362" s="157">
        <f t="array" ref="DV362">IFERROR(INDEX(TABLACONSOLIDADA[Inv Fís Act],MATCH("AGROINSUMOSAGROQUIMICOSSUR"&amp;Tabla_Buffers_Agroinsumos[[#This Row],[CODIGO ]],TABLACONSOLIDADA[Bodega]&amp;TABLACONSOLIDADA[Codigo],0)),"")</f>
        <v>0</v>
      </c>
      <c r="DW362" s="157">
        <f t="array" ref="DW36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6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62" s="134">
        <f>IFERROR(SUM(Tabla_Buffers_Agroinsumos[[#This Row],[AS-MP]:[AS-VL]]),"")</f>
        <v>0</v>
      </c>
      <c r="DZ362" s="92">
        <f>IFERROR(Tabla_Buffers_Agroinsumos[[#This Row],[INV FIS AS]]-Tabla_Buffers_Agroinsumos[[#This Row],[BUFFER AS]],"")</f>
        <v>0</v>
      </c>
      <c r="EA362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62" s="134"/>
      <c r="EC362" s="134"/>
      <c r="ED362" s="134"/>
      <c r="EE362" s="134"/>
      <c r="EF362" s="134"/>
      <c r="EG362" s="134"/>
      <c r="EH362" s="134"/>
      <c r="EI362" s="134"/>
      <c r="EJ362" s="134"/>
      <c r="EK362" s="134">
        <f t="array" ref="EK362">IFERROR(INDEX(TABLACONSOLIDADA[Buff Act],MATCH("AGROINSUMOSLAFINCA"&amp;Tabla_Buffers_Agroinsumos[[#This Row],[CODIGO ]],TABLACONSOLIDADA[Bodega]&amp;TABLACONSOLIDADA[Codigo],0)),"")</f>
        <v>30</v>
      </c>
      <c r="EL362" s="157">
        <f t="array" ref="EL362">IFERROR(INDEX(TABLACONSOLIDADA[Inv Fís Act],MATCH("AGROINSUMOSLAFINCA"&amp;Tabla_Buffers_Agroinsumos[[#This Row],[CODIGO ]],TABLACONSOLIDADA[Bodega]&amp;TABLACONSOLIDADA[Codigo],0)),"")</f>
        <v>30</v>
      </c>
      <c r="EM362" s="157">
        <f t="array" ref="EM36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30</v>
      </c>
      <c r="EN36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62" s="134">
        <f>IFERROR(SUM(Tabla_Buffers_Agroinsumos[[#This Row],[LF-MP]:[LF-VL]]),"")</f>
        <v>0</v>
      </c>
      <c r="EP362" s="92">
        <f>IFERROR(Tabla_Buffers_Agroinsumos[[#This Row],[INV FIS LF]]-Tabla_Buffers_Agroinsumos[[#This Row],[BUFFER LF]],"")</f>
        <v>0</v>
      </c>
      <c r="EQ362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62" s="134"/>
      <c r="ES362" s="134"/>
      <c r="ET362" s="134"/>
      <c r="EU362" s="134"/>
      <c r="EV362" s="134"/>
      <c r="EW362" s="134"/>
      <c r="EX362" s="134"/>
      <c r="EY362" s="134"/>
      <c r="EZ362" s="134"/>
      <c r="FA362" s="134">
        <f t="array" ref="FA362">IFERROR(INDEX(TABLACONSOLIDADA[Buff Act],MATCH("AGROINSUMOSVERONICALEDESMA"&amp;Tabla_Buffers_Agroinsumos[[#This Row],[CODIGO ]],TABLACONSOLIDADA[Bodega]&amp;TABLACONSOLIDADA[Codigo],0)),"")</f>
        <v>63</v>
      </c>
      <c r="FB362" s="157">
        <f t="array" ref="FB362">IFERROR(INDEX(TABLACONSOLIDADA[Inv Fís Act],MATCH("AGROINSUMOSVERONICALEDESMA"&amp;Tabla_Buffers_Agroinsumos[[#This Row],[CODIGO ]],TABLACONSOLIDADA[Bodega]&amp;TABLACONSOLIDADA[Codigo],0)),"")</f>
        <v>104</v>
      </c>
      <c r="FC362" s="157">
        <f t="array" ref="FC36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104</v>
      </c>
      <c r="FD36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62" s="134">
        <f>IFERROR(SUM(Tabla_Buffers_Agroinsumos[[#This Row],[VL-MP]:[VL-LF]]),"")</f>
        <v>0</v>
      </c>
      <c r="FF362" s="92">
        <f>IFERROR(Tabla_Buffers_Agroinsumos[[#This Row],[INV FIS VL]]-Tabla_Buffers_Agroinsumos[[#This Row],[BUFFER VL]],"")</f>
        <v>41</v>
      </c>
      <c r="FG362" s="92">
        <f>IFERROR(Tabla_Buffers_Agroinsumos[[#This Row],[INV FIS VL]]+Tabla_Buffers_Agroinsumos[[#This Row],[TRANSFERENCIAS A VL]]-Tabla_Buffers_Agroinsumos[[#This Row],[BUFFER VL]]-Tabla_Buffers_Agroinsumos[[#This Row],[TRANSFERENCIAS DE VL]],"")</f>
        <v>41</v>
      </c>
      <c r="FH362" s="134"/>
      <c r="FI362" s="134"/>
      <c r="FJ362" s="134"/>
      <c r="FK362" s="134"/>
      <c r="FL362" s="134"/>
      <c r="FM362" s="134"/>
      <c r="FN362" s="134"/>
      <c r="FO362" s="134"/>
      <c r="FP362" s="134"/>
    </row>
    <row r="363" spans="1:172">
      <c r="A363" s="7" t="s">
        <v>607</v>
      </c>
      <c r="B363" s="7" t="s">
        <v>608</v>
      </c>
      <c r="C363" s="7" t="s">
        <v>709</v>
      </c>
      <c r="D363" s="7" t="s">
        <v>719</v>
      </c>
      <c r="E363" s="7" t="s">
        <v>975</v>
      </c>
      <c r="F363" s="19" t="s">
        <v>698</v>
      </c>
      <c r="G363" s="19" t="s">
        <v>698</v>
      </c>
      <c r="H363" s="19">
        <f>VLOOKUP(Tabla_Buffers_Agroinsumos[[#This Row],[CODIGO ]],TABLACONSOLIDADA[[Codigo]:[PV]],6,0)</f>
        <v>4.8899999999999997</v>
      </c>
      <c r="I363" s="19">
        <f>VLOOKUP(Tabla_Buffers_Agroinsumos[[#This Row],[CODIGO ]],TABLACONSOLIDADA[[Codigo]:[PV]],5,0)</f>
        <v>0.99</v>
      </c>
      <c r="J363" s="19" t="s">
        <v>698</v>
      </c>
      <c r="K363" s="19" t="s">
        <v>698</v>
      </c>
      <c r="L363" s="19">
        <f>IFERROR(Tabla_Buffers_Agroinsumos[[#This Row],[BUFFER CENTRAL]]/((Tabla_Buffers_Agroinsumos[[#This Row],[TIEMPO REPOSICION ]]/Tabla_Buffers_Agroinsumos[[#This Row],[FRECUENCIA]])+1),0)</f>
        <v>0</v>
      </c>
      <c r="M363" s="19" t="str">
        <f t="array" ref="M363">IFERROR(INDEX(TABLACONSOLIDADA[Buff Act],MATCH("AGROINSUMOSMATERIAPRIMA"&amp;Tabla_Buffers_Agroinsumos[[#This Row],[CODIGO ]],TABLACONSOLIDADA[Bodega]&amp;TABLACONSOLIDADA[Codigo],0)),"")</f>
        <v/>
      </c>
      <c r="N363" s="157" t="str">
        <f t="array" ref="N363">IFERROR(INDEX(TABLACONSOLIDADA[Inv Fís Act],MATCH("AGROINSUMOSMATERIAPRIMA"&amp;Tabla_Buffers_Agroinsumos[[#This Row],[CODIGO ]],TABLACONSOLIDADA[Bodega]&amp;TABLACONSOLIDADA[Codigo],0)),"")</f>
        <v/>
      </c>
      <c r="O363" s="157" t="str">
        <f t="array" ref="O36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6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63" s="19">
        <f>IFERROR(SUM(Tabla_Buffers_Agroinsumos[[#This Row],[MP-C]:[MP-VL]]),"")</f>
        <v>0</v>
      </c>
      <c r="R363" s="92" t="str">
        <f>IFERROR(Tabla_Buffers_Agroinsumos[[#This Row],[INV FIS MATERIA PRIMA]]-Tabla_Buffers_Agroinsumos[[#This Row],[BUFFER MATERIA PRIMA]],"")</f>
        <v/>
      </c>
      <c r="S36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63" s="19"/>
      <c r="U363" s="19"/>
      <c r="V363" s="19"/>
      <c r="W363" s="19"/>
      <c r="X363" s="19"/>
      <c r="Y363" s="19"/>
      <c r="Z363" s="19"/>
      <c r="AA363" s="19"/>
      <c r="AB363" s="19"/>
      <c r="AC363" s="135">
        <f t="array" ref="AC363">IFERROR(INDEX(TABLACONSOLIDADA[Buff Act],MATCH("AGROINSUMOSCENTRAL"&amp;Tabla_Buffers_Agroinsumos[[#This Row],[CODIGO ]],TABLACONSOLIDADA[Bodega]&amp;TABLACONSOLIDADA[Codigo],0)),"")</f>
        <v>0</v>
      </c>
      <c r="AD363" s="157">
        <f t="array" ref="AD363">IFERROR(INDEX(TABLACONSOLIDADA[Inv Fís Act],MATCH("AGROINSUMOSCENTRAL"&amp;Tabla_Buffers_Agroinsumos[[#This Row],[CODIGO ]],TABLACONSOLIDADA[Bodega]&amp;TABLACONSOLIDADA[Codigo],0)),"")</f>
        <v>0</v>
      </c>
      <c r="AE363" s="157">
        <f t="array" ref="AE36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0</v>
      </c>
      <c r="AF36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63" s="91">
        <f>IFERROR(SUM(Tabla_Buffers_Agroinsumos[[#This Row],[C-MP]:[C-VL]]),"")</f>
        <v>0</v>
      </c>
      <c r="AH363" s="92">
        <f>IFERROR(Tabla_Buffers_Agroinsumos[[#This Row],[INV FIS CENTRAL]]-Tabla_Buffers_Agroinsumos[[#This Row],[BUFFER CENTRAL]],"")</f>
        <v>0</v>
      </c>
      <c r="AI36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63" s="134"/>
      <c r="AK363" s="134"/>
      <c r="AL363" s="134"/>
      <c r="AM363" s="134"/>
      <c r="AN363" s="134"/>
      <c r="AO363" s="134"/>
      <c r="AP363" s="134"/>
      <c r="AQ363" s="134"/>
      <c r="AR363" s="134"/>
      <c r="AS363" s="134">
        <f t="array" ref="AS363">IFERROR(INDEX(TABLACONSOLIDADA[Buff Act],MATCH("AGROINSUMOScentralPROPIA"&amp;Tabla_Buffers_Agroinsumos[[#This Row],[CODIGO ]],TABLACONSOLIDADA[Bodega]&amp;TABLACONSOLIDADA[Codigo],0)),"")</f>
        <v>0</v>
      </c>
      <c r="AT363" s="157">
        <f t="array" ref="AT363">IFERROR(INDEX(TABLACONSOLIDADA[Inv Fís Act],MATCH("AGROINSUMOScentralPROPIA"&amp;Tabla_Buffers_Agroinsumos[[#This Row],[CODIGO ]],TABLACONSOLIDADA[Bodega]&amp;TABLACONSOLIDADA[Codigo],0)),"")</f>
        <v>0</v>
      </c>
      <c r="AU363" s="157">
        <f t="array" ref="AU36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6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63" s="134">
        <f>IFERROR(SUM(Tabla_Buffers_Agroinsumos[[#This Row],[P-MP]:[P-VL]]),"")</f>
        <v>0</v>
      </c>
      <c r="AX363" s="92">
        <f>IFERROR(Tabla_Buffers_Agroinsumos[[#This Row],[INV FIS PROPIA]]-Tabla_Buffers_Agroinsumos[[#This Row],[BUFFER PROPIA]],"")</f>
        <v>0</v>
      </c>
      <c r="AY36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63" s="134"/>
      <c r="BA363" s="134"/>
      <c r="BB363" s="134"/>
      <c r="BC363" s="134"/>
      <c r="BD363" s="134"/>
      <c r="BE363" s="134"/>
      <c r="BF363" s="134"/>
      <c r="BG363" s="134"/>
      <c r="BH363" s="134"/>
      <c r="BI363" s="91">
        <f t="array" ref="BI363">IFERROR(INDEX(TABLACONSOLIDADA[Buff Act],MATCH("AGROINSUMOSSTODOMINGO"&amp;Tabla_Buffers_Agroinsumos[[#This Row],[CODIGO ]],TABLACONSOLIDADA[Bodega]&amp;TABLACONSOLIDADA[Codigo],0)),"")</f>
        <v>0</v>
      </c>
      <c r="BJ363" s="157">
        <f t="array" ref="BJ363">IFERROR(INDEX(TABLACONSOLIDADA[Inv Fís Act],MATCH("AGROINSUMOSSTODOMINGO"&amp;Tabla_Buffers_Agroinsumos[[#This Row],[CODIGO ]],TABLACONSOLIDADA[Bodega]&amp;TABLACONSOLIDADA[Codigo],0)),"")</f>
        <v>0</v>
      </c>
      <c r="BK363" s="157">
        <f t="array" ref="BK36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6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63" s="91">
        <f>IFERROR(SUM(Tabla_Buffers_Agroinsumos[[#This Row],[SD-MP]:[SD-VL]]),"")</f>
        <v>0</v>
      </c>
      <c r="BN363" s="92"/>
      <c r="BO363" s="92"/>
      <c r="BP363" s="134"/>
      <c r="BQ363" s="134"/>
      <c r="BR363" s="134"/>
      <c r="BS363" s="134"/>
      <c r="BT363" s="134"/>
      <c r="BU363" s="134"/>
      <c r="BV363" s="134"/>
      <c r="BW363" s="134"/>
      <c r="BX363" s="134"/>
      <c r="BY363" s="134">
        <f t="array" ref="BY363">IFERROR(INDEX(TABLACONSOLIDADA[Buff Act],MATCH("AGROINSUMOSMONCAYOLOPEZ"&amp;Tabla_Buffers_Agroinsumos[[#This Row],[CODIGO ]],TABLACONSOLIDADA[Bodega]&amp;TABLACONSOLIDADA[Codigo],0)),"")</f>
        <v>0</v>
      </c>
      <c r="BZ363" s="157">
        <f t="array" ref="BZ363">IFERROR(INDEX(TABLACONSOLIDADA[Inv Fís Act],MATCH("AGROINSUMOSMONCAYOLOPEZ"&amp;Tabla_Buffers_Agroinsumos[[#This Row],[CODIGO ]],TABLACONSOLIDADA[Bodega]&amp;TABLACONSOLIDADA[Codigo],0)),"")</f>
        <v>0</v>
      </c>
      <c r="CA363" s="157">
        <f t="array" ref="CA36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6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63" s="134">
        <f>IFERROR(SUM(Tabla_Buffers_Agroinsumos[[#This Row],[ML-MP]:[ML-VL]]),"")</f>
        <v>0</v>
      </c>
      <c r="CD363" s="92">
        <f>IFERROR(Tabla_Buffers_Agroinsumos[[#This Row],[INV FIS ML]]-Tabla_Buffers_Agroinsumos[[#This Row],[BUFFER ML]],"")</f>
        <v>0</v>
      </c>
      <c r="CE363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63" s="134"/>
      <c r="CG363" s="134"/>
      <c r="CH363" s="134"/>
      <c r="CI363" s="134"/>
      <c r="CJ363" s="134"/>
      <c r="CK363" s="134"/>
      <c r="CL363" s="134"/>
      <c r="CM363" s="134"/>
      <c r="CN363" s="134"/>
      <c r="CO363" s="134">
        <f t="array" ref="CO363">IFERROR(INDEX(TABLACONSOLIDADA[Buff Act],MATCH("AGROINSUMOSAGROHERMANOSLEON"&amp;Tabla_Buffers_Agroinsumos[[#This Row],[CODIGO ]],TABLACONSOLIDADA[Bodega]&amp;TABLACONSOLIDADA[Codigo],0)),"")</f>
        <v>0</v>
      </c>
      <c r="CP363" s="157">
        <f t="array" ref="CP363">IFERROR(INDEX(TABLACONSOLIDADA[Inv Fís Act],MATCH("AGROINSUMOSAGROHERMANOSLEON"&amp;Tabla_Buffers_Agroinsumos[[#This Row],[CODIGO ]],TABLACONSOLIDADA[Bodega]&amp;TABLACONSOLIDADA[Codigo],0)),"")</f>
        <v>0</v>
      </c>
      <c r="CQ363" s="157">
        <f t="array" ref="CQ36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6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63" s="134">
        <f>IFERROR(SUM(Tabla_Buffers_Agroinsumos[[#This Row],[AL-MP]:[AL-VL]]),"")</f>
        <v>0</v>
      </c>
      <c r="CT363" s="92">
        <f>IFERROR(Tabla_Buffers_Agroinsumos[[#This Row],[INV FIS AL]]-Tabla_Buffers_Agroinsumos[[#This Row],[BUFFER AL]],"")</f>
        <v>0</v>
      </c>
      <c r="CU363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63" s="134"/>
      <c r="CW363" s="134"/>
      <c r="CX363" s="134"/>
      <c r="CY363" s="134"/>
      <c r="CZ363" s="134"/>
      <c r="DA363" s="134"/>
      <c r="DB363" s="134"/>
      <c r="DC363" s="134"/>
      <c r="DD363" s="134"/>
      <c r="DE363" s="134">
        <f t="array" ref="DE363">IFERROR(INDEX(TABLACONSOLIDADA[Buff Act],MATCH("AGROINSUMOSAGRONUEVO"&amp;Tabla_Buffers_Agroinsumos[[#This Row],[CODIGO ]],TABLACONSOLIDADA[Bodega]&amp;TABLACONSOLIDADA[Codigo],0)),"")</f>
        <v>0</v>
      </c>
      <c r="DF363" s="157">
        <f t="array" ref="DF363">IFERROR(INDEX(TABLACONSOLIDADA[Inv Fís Act],MATCH("AGROINSUMOSAGRONUEVO"&amp;Tabla_Buffers_Agroinsumos[[#This Row],[CODIGO ]],TABLACONSOLIDADA[Bodega]&amp;TABLACONSOLIDADA[Codigo],0)),"")</f>
        <v>0</v>
      </c>
      <c r="DG363" s="157">
        <f t="array" ref="DG36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6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63" s="134">
        <f>IFERROR(SUM(Tabla_Buffers_Agroinsumos[[#This Row],[AN-MP]:[AN-VL]]),"")</f>
        <v>0</v>
      </c>
      <c r="DJ363" s="92">
        <f>IFERROR(Tabla_Buffers_Agroinsumos[[#This Row],[INV FIS AN]]-Tabla_Buffers_Agroinsumos[[#This Row],[BUFFER AN]],"")</f>
        <v>0</v>
      </c>
      <c r="DK363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63" s="134"/>
      <c r="DM363" s="134"/>
      <c r="DN363" s="134"/>
      <c r="DO363" s="134"/>
      <c r="DP363" s="134"/>
      <c r="DQ363" s="134"/>
      <c r="DR363" s="134"/>
      <c r="DS363" s="134"/>
      <c r="DT363" s="134"/>
      <c r="DU363" s="134">
        <f t="array" ref="DU363">IFERROR(INDEX(TABLACONSOLIDADA[Buff Act],MATCH("AGROINSUMOSAGROQUIMICOSSUR"&amp;Tabla_Buffers_Agroinsumos[[#This Row],[CODIGO ]],TABLACONSOLIDADA[Bodega]&amp;TABLACONSOLIDADA[Codigo],0)),"")</f>
        <v>0</v>
      </c>
      <c r="DV363" s="157">
        <f t="array" ref="DV363">IFERROR(INDEX(TABLACONSOLIDADA[Inv Fís Act],MATCH("AGROINSUMOSAGROQUIMICOSSUR"&amp;Tabla_Buffers_Agroinsumos[[#This Row],[CODIGO ]],TABLACONSOLIDADA[Bodega]&amp;TABLACONSOLIDADA[Codigo],0)),"")</f>
        <v>0</v>
      </c>
      <c r="DW363" s="157">
        <f t="array" ref="DW36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6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63" s="134">
        <f>IFERROR(SUM(Tabla_Buffers_Agroinsumos[[#This Row],[AS-MP]:[AS-VL]]),"")</f>
        <v>0</v>
      </c>
      <c r="DZ363" s="92">
        <f>IFERROR(Tabla_Buffers_Agroinsumos[[#This Row],[INV FIS AS]]-Tabla_Buffers_Agroinsumos[[#This Row],[BUFFER AS]],"")</f>
        <v>0</v>
      </c>
      <c r="EA363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63" s="134"/>
      <c r="EC363" s="134"/>
      <c r="ED363" s="134"/>
      <c r="EE363" s="134"/>
      <c r="EF363" s="134"/>
      <c r="EG363" s="134"/>
      <c r="EH363" s="134"/>
      <c r="EI363" s="134"/>
      <c r="EJ363" s="134"/>
      <c r="EK363" s="134">
        <f t="array" ref="EK363">IFERROR(INDEX(TABLACONSOLIDADA[Buff Act],MATCH("AGROINSUMOSLAFINCA"&amp;Tabla_Buffers_Agroinsumos[[#This Row],[CODIGO ]],TABLACONSOLIDADA[Bodega]&amp;TABLACONSOLIDADA[Codigo],0)),"")</f>
        <v>0</v>
      </c>
      <c r="EL363" s="157">
        <f t="array" ref="EL363">IFERROR(INDEX(TABLACONSOLIDADA[Inv Fís Act],MATCH("AGROINSUMOSLAFINCA"&amp;Tabla_Buffers_Agroinsumos[[#This Row],[CODIGO ]],TABLACONSOLIDADA[Bodega]&amp;TABLACONSOLIDADA[Codigo],0)),"")</f>
        <v>0</v>
      </c>
      <c r="EM363" s="157">
        <f t="array" ref="EM36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6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63" s="134">
        <f>IFERROR(SUM(Tabla_Buffers_Agroinsumos[[#This Row],[LF-MP]:[LF-VL]]),"")</f>
        <v>0</v>
      </c>
      <c r="EP363" s="92">
        <f>IFERROR(Tabla_Buffers_Agroinsumos[[#This Row],[INV FIS LF]]-Tabla_Buffers_Agroinsumos[[#This Row],[BUFFER LF]],"")</f>
        <v>0</v>
      </c>
      <c r="EQ36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63" s="134"/>
      <c r="ES363" s="134"/>
      <c r="ET363" s="134"/>
      <c r="EU363" s="134"/>
      <c r="EV363" s="134"/>
      <c r="EW363" s="134"/>
      <c r="EX363" s="134"/>
      <c r="EY363" s="134"/>
      <c r="EZ363" s="134"/>
      <c r="FA363" s="134">
        <f t="array" ref="FA363">IFERROR(INDEX(TABLACONSOLIDADA[Buff Act],MATCH("AGROINSUMOSVERONICALEDESMA"&amp;Tabla_Buffers_Agroinsumos[[#This Row],[CODIGO ]],TABLACONSOLIDADA[Bodega]&amp;TABLACONSOLIDADA[Codigo],0)),"")</f>
        <v>0</v>
      </c>
      <c r="FB363" s="157">
        <f t="array" ref="FB363">IFERROR(INDEX(TABLACONSOLIDADA[Inv Fís Act],MATCH("AGROINSUMOSVERONICALEDESMA"&amp;Tabla_Buffers_Agroinsumos[[#This Row],[CODIGO ]],TABLACONSOLIDADA[Bodega]&amp;TABLACONSOLIDADA[Codigo],0)),"")</f>
        <v>0</v>
      </c>
      <c r="FC363" s="157">
        <f t="array" ref="FC36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6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63" s="134">
        <f>IFERROR(SUM(Tabla_Buffers_Agroinsumos[[#This Row],[VL-MP]:[VL-LF]]),"")</f>
        <v>0</v>
      </c>
      <c r="FF363" s="92">
        <f>IFERROR(Tabla_Buffers_Agroinsumos[[#This Row],[INV FIS VL]]-Tabla_Buffers_Agroinsumos[[#This Row],[BUFFER VL]],"")</f>
        <v>0</v>
      </c>
      <c r="FG363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63" s="134"/>
      <c r="FI363" s="134"/>
      <c r="FJ363" s="134"/>
      <c r="FK363" s="134"/>
      <c r="FL363" s="134"/>
      <c r="FM363" s="134"/>
      <c r="FN363" s="134"/>
      <c r="FO363" s="134"/>
      <c r="FP363" s="134"/>
    </row>
    <row r="364" spans="1:172">
      <c r="A364" s="7" t="s">
        <v>609</v>
      </c>
      <c r="B364" s="7" t="s">
        <v>610</v>
      </c>
      <c r="C364" s="7" t="s">
        <v>709</v>
      </c>
      <c r="D364" s="7" t="s">
        <v>719</v>
      </c>
      <c r="E364" s="7" t="s">
        <v>975</v>
      </c>
      <c r="F364" s="19" t="s">
        <v>698</v>
      </c>
      <c r="G364" s="19" t="s">
        <v>698</v>
      </c>
      <c r="H364" s="19">
        <f>VLOOKUP(Tabla_Buffers_Agroinsumos[[#This Row],[CODIGO ]],TABLACONSOLIDADA[[Codigo]:[PV]],6,0)</f>
        <v>34.9</v>
      </c>
      <c r="I364" s="19">
        <f>VLOOKUP(Tabla_Buffers_Agroinsumos[[#This Row],[CODIGO ]],TABLACONSOLIDADA[[Codigo]:[PV]],5,0)</f>
        <v>5.9</v>
      </c>
      <c r="J364" s="19" t="s">
        <v>698</v>
      </c>
      <c r="K364" s="19" t="s">
        <v>698</v>
      </c>
      <c r="L364" s="19">
        <f>IFERROR(Tabla_Buffers_Agroinsumos[[#This Row],[BUFFER CENTRAL]]/((Tabla_Buffers_Agroinsumos[[#This Row],[TIEMPO REPOSICION ]]/Tabla_Buffers_Agroinsumos[[#This Row],[FRECUENCIA]])+1),0)</f>
        <v>0</v>
      </c>
      <c r="M364" s="19" t="str">
        <f t="array" ref="M364">IFERROR(INDEX(TABLACONSOLIDADA[Buff Act],MATCH("AGROINSUMOSMATERIAPRIMA"&amp;Tabla_Buffers_Agroinsumos[[#This Row],[CODIGO ]],TABLACONSOLIDADA[Bodega]&amp;TABLACONSOLIDADA[Codigo],0)),"")</f>
        <v/>
      </c>
      <c r="N364" s="157" t="str">
        <f t="array" ref="N364">IFERROR(INDEX(TABLACONSOLIDADA[Inv Fís Act],MATCH("AGROINSUMOSMATERIAPRIMA"&amp;Tabla_Buffers_Agroinsumos[[#This Row],[CODIGO ]],TABLACONSOLIDADA[Bodega]&amp;TABLACONSOLIDADA[Codigo],0)),"")</f>
        <v/>
      </c>
      <c r="O364" s="157" t="str">
        <f t="array" ref="O36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6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64" s="19">
        <f>IFERROR(SUM(Tabla_Buffers_Agroinsumos[[#This Row],[MP-C]:[MP-VL]]),"")</f>
        <v>0</v>
      </c>
      <c r="R364" s="92" t="str">
        <f>IFERROR(Tabla_Buffers_Agroinsumos[[#This Row],[INV FIS MATERIA PRIMA]]-Tabla_Buffers_Agroinsumos[[#This Row],[BUFFER MATERIA PRIMA]],"")</f>
        <v/>
      </c>
      <c r="S36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64" s="19"/>
      <c r="U364" s="19"/>
      <c r="V364" s="19"/>
      <c r="W364" s="19"/>
      <c r="X364" s="19"/>
      <c r="Y364" s="19"/>
      <c r="Z364" s="19"/>
      <c r="AA364" s="19"/>
      <c r="AB364" s="19"/>
      <c r="AC364" s="135">
        <f t="array" ref="AC364">IFERROR(INDEX(TABLACONSOLIDADA[Buff Act],MATCH("AGROINSUMOSCENTRAL"&amp;Tabla_Buffers_Agroinsumos[[#This Row],[CODIGO ]],TABLACONSOLIDADA[Bodega]&amp;TABLACONSOLIDADA[Codigo],0)),"")</f>
        <v>30</v>
      </c>
      <c r="AD364" s="157">
        <f t="array" ref="AD364">IFERROR(INDEX(TABLACONSOLIDADA[Inv Fís Act],MATCH("AGROINSUMOSCENTRAL"&amp;Tabla_Buffers_Agroinsumos[[#This Row],[CODIGO ]],TABLACONSOLIDADA[Bodega]&amp;TABLACONSOLIDADA[Codigo],0)),"")</f>
        <v>20</v>
      </c>
      <c r="AE364" s="157">
        <f t="array" ref="AE36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30</v>
      </c>
      <c r="AF36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64" s="91">
        <f>IFERROR(SUM(Tabla_Buffers_Agroinsumos[[#This Row],[C-MP]:[C-VL]]),"")</f>
        <v>0</v>
      </c>
      <c r="AH364" s="92">
        <f>IFERROR(Tabla_Buffers_Agroinsumos[[#This Row],[INV FIS CENTRAL]]-Tabla_Buffers_Agroinsumos[[#This Row],[BUFFER CENTRAL]],"")</f>
        <v>-10</v>
      </c>
      <c r="AI36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-10</v>
      </c>
      <c r="AJ364" s="134"/>
      <c r="AK364" s="134"/>
      <c r="AL364" s="134"/>
      <c r="AM364" s="134"/>
      <c r="AN364" s="134"/>
      <c r="AO364" s="134"/>
      <c r="AP364" s="134"/>
      <c r="AQ364" s="134"/>
      <c r="AR364" s="134"/>
      <c r="AS364" s="134">
        <f t="array" ref="AS364">IFERROR(INDEX(TABLACONSOLIDADA[Buff Act],MATCH("AGROINSUMOScentralPROPIA"&amp;Tabla_Buffers_Agroinsumos[[#This Row],[CODIGO ]],TABLACONSOLIDADA[Bodega]&amp;TABLACONSOLIDADA[Codigo],0)),"")</f>
        <v>9</v>
      </c>
      <c r="AT364" s="157">
        <f t="array" ref="AT364">IFERROR(INDEX(TABLACONSOLIDADA[Inv Fís Act],MATCH("AGROINSUMOScentralPROPIA"&amp;Tabla_Buffers_Agroinsumos[[#This Row],[CODIGO ]],TABLACONSOLIDADA[Bodega]&amp;TABLACONSOLIDADA[Codigo],0)),"")</f>
        <v>0</v>
      </c>
      <c r="AU364" s="157">
        <f t="array" ref="AU36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6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64" s="134">
        <f>IFERROR(SUM(Tabla_Buffers_Agroinsumos[[#This Row],[P-MP]:[P-VL]]),"")</f>
        <v>0</v>
      </c>
      <c r="AX364" s="92">
        <f>IFERROR(Tabla_Buffers_Agroinsumos[[#This Row],[INV FIS PROPIA]]-Tabla_Buffers_Agroinsumos[[#This Row],[BUFFER PROPIA]],"")</f>
        <v>-9</v>
      </c>
      <c r="AY36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-9</v>
      </c>
      <c r="AZ364" s="134"/>
      <c r="BA364" s="134"/>
      <c r="BB364" s="134"/>
      <c r="BC364" s="134"/>
      <c r="BD364" s="134"/>
      <c r="BE364" s="134"/>
      <c r="BF364" s="134"/>
      <c r="BG364" s="134"/>
      <c r="BH364" s="134"/>
      <c r="BI364" s="91">
        <f t="array" ref="BI364">IFERROR(INDEX(TABLACONSOLIDADA[Buff Act],MATCH("AGROINSUMOSSTODOMINGO"&amp;Tabla_Buffers_Agroinsumos[[#This Row],[CODIGO ]],TABLACONSOLIDADA[Bodega]&amp;TABLACONSOLIDADA[Codigo],0)),"")</f>
        <v>0</v>
      </c>
      <c r="BJ364" s="157">
        <f t="array" ref="BJ364">IFERROR(INDEX(TABLACONSOLIDADA[Inv Fís Act],MATCH("AGROINSUMOSSTODOMINGO"&amp;Tabla_Buffers_Agroinsumos[[#This Row],[CODIGO ]],TABLACONSOLIDADA[Bodega]&amp;TABLACONSOLIDADA[Codigo],0)),"")</f>
        <v>9</v>
      </c>
      <c r="BK364" s="157">
        <f t="array" ref="BK36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9</v>
      </c>
      <c r="BL36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64" s="91">
        <f>IFERROR(SUM(Tabla_Buffers_Agroinsumos[[#This Row],[SD-MP]:[SD-VL]]),"")</f>
        <v>0</v>
      </c>
      <c r="BN364" s="92"/>
      <c r="BO364" s="92"/>
      <c r="BP364" s="134"/>
      <c r="BQ364" s="134"/>
      <c r="BR364" s="134"/>
      <c r="BS364" s="134"/>
      <c r="BT364" s="134"/>
      <c r="BU364" s="134"/>
      <c r="BV364" s="134"/>
      <c r="BW364" s="134"/>
      <c r="BX364" s="134"/>
      <c r="BY364" s="134">
        <f t="array" ref="BY364">IFERROR(INDEX(TABLACONSOLIDADA[Buff Act],MATCH("AGROINSUMOSMONCAYOLOPEZ"&amp;Tabla_Buffers_Agroinsumos[[#This Row],[CODIGO ]],TABLACONSOLIDADA[Bodega]&amp;TABLACONSOLIDADA[Codigo],0)),"")</f>
        <v>0</v>
      </c>
      <c r="BZ364" s="157">
        <f t="array" ref="BZ364">IFERROR(INDEX(TABLACONSOLIDADA[Inv Fís Act],MATCH("AGROINSUMOSMONCAYOLOPEZ"&amp;Tabla_Buffers_Agroinsumos[[#This Row],[CODIGO ]],TABLACONSOLIDADA[Bodega]&amp;TABLACONSOLIDADA[Codigo],0)),"")</f>
        <v>0</v>
      </c>
      <c r="CA364" s="157">
        <f t="array" ref="CA36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6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64" s="134">
        <f>IFERROR(SUM(Tabla_Buffers_Agroinsumos[[#This Row],[ML-MP]:[ML-VL]]),"")</f>
        <v>0</v>
      </c>
      <c r="CD364" s="92">
        <f>IFERROR(Tabla_Buffers_Agroinsumos[[#This Row],[INV FIS ML]]-Tabla_Buffers_Agroinsumos[[#This Row],[BUFFER ML]],"")</f>
        <v>0</v>
      </c>
      <c r="CE364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64" s="134"/>
      <c r="CG364" s="134"/>
      <c r="CH364" s="134"/>
      <c r="CI364" s="134"/>
      <c r="CJ364" s="134"/>
      <c r="CK364" s="134"/>
      <c r="CL364" s="134"/>
      <c r="CM364" s="134"/>
      <c r="CN364" s="134"/>
      <c r="CO364" s="134">
        <f t="array" ref="CO364">IFERROR(INDEX(TABLACONSOLIDADA[Buff Act],MATCH("AGROINSUMOSAGROHERMANOSLEON"&amp;Tabla_Buffers_Agroinsumos[[#This Row],[CODIGO ]],TABLACONSOLIDADA[Bodega]&amp;TABLACONSOLIDADA[Codigo],0)),"")</f>
        <v>0</v>
      </c>
      <c r="CP364" s="157">
        <f t="array" ref="CP364">IFERROR(INDEX(TABLACONSOLIDADA[Inv Fís Act],MATCH("AGROINSUMOSAGROHERMANOSLEON"&amp;Tabla_Buffers_Agroinsumos[[#This Row],[CODIGO ]],TABLACONSOLIDADA[Bodega]&amp;TABLACONSOLIDADA[Codigo],0)),"")</f>
        <v>0</v>
      </c>
      <c r="CQ364" s="157">
        <f t="array" ref="CQ36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6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64" s="134">
        <f>IFERROR(SUM(Tabla_Buffers_Agroinsumos[[#This Row],[AL-MP]:[AL-VL]]),"")</f>
        <v>0</v>
      </c>
      <c r="CT364" s="92">
        <f>IFERROR(Tabla_Buffers_Agroinsumos[[#This Row],[INV FIS AL]]-Tabla_Buffers_Agroinsumos[[#This Row],[BUFFER AL]],"")</f>
        <v>0</v>
      </c>
      <c r="CU364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64" s="134"/>
      <c r="CW364" s="134"/>
      <c r="CX364" s="134"/>
      <c r="CY364" s="134"/>
      <c r="CZ364" s="134"/>
      <c r="DA364" s="134"/>
      <c r="DB364" s="134"/>
      <c r="DC364" s="134"/>
      <c r="DD364" s="134"/>
      <c r="DE364" s="134">
        <f t="array" ref="DE364">IFERROR(INDEX(TABLACONSOLIDADA[Buff Act],MATCH("AGROINSUMOSAGRONUEVO"&amp;Tabla_Buffers_Agroinsumos[[#This Row],[CODIGO ]],TABLACONSOLIDADA[Bodega]&amp;TABLACONSOLIDADA[Codigo],0)),"")</f>
        <v>0</v>
      </c>
      <c r="DF364" s="157">
        <f t="array" ref="DF364">IFERROR(INDEX(TABLACONSOLIDADA[Inv Fís Act],MATCH("AGROINSUMOSAGRONUEVO"&amp;Tabla_Buffers_Agroinsumos[[#This Row],[CODIGO ]],TABLACONSOLIDADA[Bodega]&amp;TABLACONSOLIDADA[Codigo],0)),"")</f>
        <v>0</v>
      </c>
      <c r="DG364" s="157">
        <f t="array" ref="DG36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6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64" s="134">
        <f>IFERROR(SUM(Tabla_Buffers_Agroinsumos[[#This Row],[AN-MP]:[AN-VL]]),"")</f>
        <v>0</v>
      </c>
      <c r="DJ364" s="92">
        <f>IFERROR(Tabla_Buffers_Agroinsumos[[#This Row],[INV FIS AN]]-Tabla_Buffers_Agroinsumos[[#This Row],[BUFFER AN]],"")</f>
        <v>0</v>
      </c>
      <c r="DK364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64" s="134"/>
      <c r="DM364" s="134"/>
      <c r="DN364" s="134"/>
      <c r="DO364" s="134"/>
      <c r="DP364" s="134"/>
      <c r="DQ364" s="134"/>
      <c r="DR364" s="134"/>
      <c r="DS364" s="134"/>
      <c r="DT364" s="134"/>
      <c r="DU364" s="134">
        <f t="array" ref="DU364">IFERROR(INDEX(TABLACONSOLIDADA[Buff Act],MATCH("AGROINSUMOSAGROQUIMICOSSUR"&amp;Tabla_Buffers_Agroinsumos[[#This Row],[CODIGO ]],TABLACONSOLIDADA[Bodega]&amp;TABLACONSOLIDADA[Codigo],0)),"")</f>
        <v>0</v>
      </c>
      <c r="DV364" s="157">
        <f t="array" ref="DV364">IFERROR(INDEX(TABLACONSOLIDADA[Inv Fís Act],MATCH("AGROINSUMOSAGROQUIMICOSSUR"&amp;Tabla_Buffers_Agroinsumos[[#This Row],[CODIGO ]],TABLACONSOLIDADA[Bodega]&amp;TABLACONSOLIDADA[Codigo],0)),"")</f>
        <v>0</v>
      </c>
      <c r="DW364" s="157">
        <f t="array" ref="DW36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6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64" s="134">
        <f>IFERROR(SUM(Tabla_Buffers_Agroinsumos[[#This Row],[AS-MP]:[AS-VL]]),"")</f>
        <v>0</v>
      </c>
      <c r="DZ364" s="92">
        <f>IFERROR(Tabla_Buffers_Agroinsumos[[#This Row],[INV FIS AS]]-Tabla_Buffers_Agroinsumos[[#This Row],[BUFFER AS]],"")</f>
        <v>0</v>
      </c>
      <c r="EA364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64" s="134"/>
      <c r="EC364" s="134"/>
      <c r="ED364" s="134"/>
      <c r="EE364" s="134"/>
      <c r="EF364" s="134"/>
      <c r="EG364" s="134"/>
      <c r="EH364" s="134"/>
      <c r="EI364" s="134"/>
      <c r="EJ364" s="134"/>
      <c r="EK364" s="134">
        <f t="array" ref="EK364">IFERROR(INDEX(TABLACONSOLIDADA[Buff Act],MATCH("AGROINSUMOSLAFINCA"&amp;Tabla_Buffers_Agroinsumos[[#This Row],[CODIGO ]],TABLACONSOLIDADA[Bodega]&amp;TABLACONSOLIDADA[Codigo],0)),"")</f>
        <v>0</v>
      </c>
      <c r="EL364" s="157">
        <f t="array" ref="EL364">IFERROR(INDEX(TABLACONSOLIDADA[Inv Fís Act],MATCH("AGROINSUMOSLAFINCA"&amp;Tabla_Buffers_Agroinsumos[[#This Row],[CODIGO ]],TABLACONSOLIDADA[Bodega]&amp;TABLACONSOLIDADA[Codigo],0)),"")</f>
        <v>0</v>
      </c>
      <c r="EM364" s="157">
        <f t="array" ref="EM36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6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64" s="134">
        <f>IFERROR(SUM(Tabla_Buffers_Agroinsumos[[#This Row],[LF-MP]:[LF-VL]]),"")</f>
        <v>0</v>
      </c>
      <c r="EP364" s="92">
        <f>IFERROR(Tabla_Buffers_Agroinsumos[[#This Row],[INV FIS LF]]-Tabla_Buffers_Agroinsumos[[#This Row],[BUFFER LF]],"")</f>
        <v>0</v>
      </c>
      <c r="EQ364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64" s="134"/>
      <c r="ES364" s="134"/>
      <c r="ET364" s="134"/>
      <c r="EU364" s="134"/>
      <c r="EV364" s="134"/>
      <c r="EW364" s="134"/>
      <c r="EX364" s="134"/>
      <c r="EY364" s="134"/>
      <c r="EZ364" s="134"/>
      <c r="FA364" s="134">
        <f t="array" ref="FA364">IFERROR(INDEX(TABLACONSOLIDADA[Buff Act],MATCH("AGROINSUMOSVERONICALEDESMA"&amp;Tabla_Buffers_Agroinsumos[[#This Row],[CODIGO ]],TABLACONSOLIDADA[Bodega]&amp;TABLACONSOLIDADA[Codigo],0)),"")</f>
        <v>0</v>
      </c>
      <c r="FB364" s="157">
        <f t="array" ref="FB364">IFERROR(INDEX(TABLACONSOLIDADA[Inv Fís Act],MATCH("AGROINSUMOSVERONICALEDESMA"&amp;Tabla_Buffers_Agroinsumos[[#This Row],[CODIGO ]],TABLACONSOLIDADA[Bodega]&amp;TABLACONSOLIDADA[Codigo],0)),"")</f>
        <v>0</v>
      </c>
      <c r="FC364" s="157">
        <f t="array" ref="FC36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6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64" s="134">
        <f>IFERROR(SUM(Tabla_Buffers_Agroinsumos[[#This Row],[VL-MP]:[VL-LF]]),"")</f>
        <v>0</v>
      </c>
      <c r="FF364" s="92">
        <f>IFERROR(Tabla_Buffers_Agroinsumos[[#This Row],[INV FIS VL]]-Tabla_Buffers_Agroinsumos[[#This Row],[BUFFER VL]],"")</f>
        <v>0</v>
      </c>
      <c r="FG364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64" s="134"/>
      <c r="FI364" s="134"/>
      <c r="FJ364" s="134"/>
      <c r="FK364" s="134"/>
      <c r="FL364" s="134"/>
      <c r="FM364" s="134"/>
      <c r="FN364" s="134"/>
      <c r="FO364" s="134"/>
      <c r="FP364" s="134"/>
    </row>
    <row r="365" spans="1:172">
      <c r="A365" s="7" t="s">
        <v>611</v>
      </c>
      <c r="B365" s="7" t="s">
        <v>612</v>
      </c>
      <c r="C365" s="7" t="s">
        <v>712</v>
      </c>
      <c r="D365" s="7" t="s">
        <v>719</v>
      </c>
      <c r="E365" s="7" t="s">
        <v>975</v>
      </c>
      <c r="F365" s="19" t="s">
        <v>698</v>
      </c>
      <c r="G365" s="19" t="s">
        <v>698</v>
      </c>
      <c r="H365" s="19">
        <f>VLOOKUP(Tabla_Buffers_Agroinsumos[[#This Row],[CODIGO ]],TABLACONSOLIDADA[[Codigo]:[PV]],6,0)</f>
        <v>2.29</v>
      </c>
      <c r="I365" s="19">
        <f>VLOOKUP(Tabla_Buffers_Agroinsumos[[#This Row],[CODIGO ]],TABLACONSOLIDADA[[Codigo]:[PV]],5,0)</f>
        <v>0.76</v>
      </c>
      <c r="J365" s="19" t="s">
        <v>698</v>
      </c>
      <c r="K365" s="19" t="s">
        <v>698</v>
      </c>
      <c r="L365" s="19">
        <f>IFERROR(Tabla_Buffers_Agroinsumos[[#This Row],[BUFFER CENTRAL]]/((Tabla_Buffers_Agroinsumos[[#This Row],[TIEMPO REPOSICION ]]/Tabla_Buffers_Agroinsumos[[#This Row],[FRECUENCIA]])+1),0)</f>
        <v>0</v>
      </c>
      <c r="M365" s="19" t="str">
        <f t="array" ref="M365">IFERROR(INDEX(TABLACONSOLIDADA[Buff Act],MATCH("AGROINSUMOSMATERIAPRIMA"&amp;Tabla_Buffers_Agroinsumos[[#This Row],[CODIGO ]],TABLACONSOLIDADA[Bodega]&amp;TABLACONSOLIDADA[Codigo],0)),"")</f>
        <v/>
      </c>
      <c r="N365" s="157" t="str">
        <f t="array" ref="N365">IFERROR(INDEX(TABLACONSOLIDADA[Inv Fís Act],MATCH("AGROINSUMOSMATERIAPRIMA"&amp;Tabla_Buffers_Agroinsumos[[#This Row],[CODIGO ]],TABLACONSOLIDADA[Bodega]&amp;TABLACONSOLIDADA[Codigo],0)),"")</f>
        <v/>
      </c>
      <c r="O365" s="157" t="str">
        <f t="array" ref="O36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6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65" s="19">
        <f>IFERROR(SUM(Tabla_Buffers_Agroinsumos[[#This Row],[MP-C]:[MP-VL]]),"")</f>
        <v>0</v>
      </c>
      <c r="R365" s="92" t="str">
        <f>IFERROR(Tabla_Buffers_Agroinsumos[[#This Row],[INV FIS MATERIA PRIMA]]-Tabla_Buffers_Agroinsumos[[#This Row],[BUFFER MATERIA PRIMA]],"")</f>
        <v/>
      </c>
      <c r="S36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65" s="19"/>
      <c r="U365" s="19"/>
      <c r="V365" s="19"/>
      <c r="W365" s="19"/>
      <c r="X365" s="19"/>
      <c r="Y365" s="19"/>
      <c r="Z365" s="19"/>
      <c r="AA365" s="19"/>
      <c r="AB365" s="19"/>
      <c r="AC365" s="135">
        <f t="array" ref="AC365">IFERROR(INDEX(TABLACONSOLIDADA[Buff Act],MATCH("AGROINSUMOSCENTRAL"&amp;Tabla_Buffers_Agroinsumos[[#This Row],[CODIGO ]],TABLACONSOLIDADA[Bodega]&amp;TABLACONSOLIDADA[Codigo],0)),"")</f>
        <v>350</v>
      </c>
      <c r="AD365" s="157">
        <f t="array" ref="AD365">IFERROR(INDEX(TABLACONSOLIDADA[Inv Fís Act],MATCH("AGROINSUMOSCENTRAL"&amp;Tabla_Buffers_Agroinsumos[[#This Row],[CODIGO ]],TABLACONSOLIDADA[Bodega]&amp;TABLACONSOLIDADA[Codigo],0)),"")</f>
        <v>407</v>
      </c>
      <c r="AE365" s="157">
        <f t="array" ref="AE36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407</v>
      </c>
      <c r="AF36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65" s="91">
        <f>IFERROR(SUM(Tabla_Buffers_Agroinsumos[[#This Row],[C-MP]:[C-VL]]),"")</f>
        <v>0</v>
      </c>
      <c r="AH365" s="92">
        <f>IFERROR(Tabla_Buffers_Agroinsumos[[#This Row],[INV FIS CENTRAL]]-Tabla_Buffers_Agroinsumos[[#This Row],[BUFFER CENTRAL]],"")</f>
        <v>57</v>
      </c>
      <c r="AI36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57</v>
      </c>
      <c r="AJ365" s="134"/>
      <c r="AK365" s="134"/>
      <c r="AL365" s="134"/>
      <c r="AM365" s="134"/>
      <c r="AN365" s="134"/>
      <c r="AO365" s="134"/>
      <c r="AP365" s="134"/>
      <c r="AQ365" s="134"/>
      <c r="AR365" s="134"/>
      <c r="AS365" s="134">
        <f t="array" ref="AS365">IFERROR(INDEX(TABLACONSOLIDADA[Buff Act],MATCH("AGROINSUMOScentralPROPIA"&amp;Tabla_Buffers_Agroinsumos[[#This Row],[CODIGO ]],TABLACONSOLIDADA[Bodega]&amp;TABLACONSOLIDADA[Codigo],0)),"")</f>
        <v>90</v>
      </c>
      <c r="AT365" s="157">
        <f t="array" ref="AT365">IFERROR(INDEX(TABLACONSOLIDADA[Inv Fís Act],MATCH("AGROINSUMOScentralPROPIA"&amp;Tabla_Buffers_Agroinsumos[[#This Row],[CODIGO ]],TABLACONSOLIDADA[Bodega]&amp;TABLACONSOLIDADA[Codigo],0)),"")</f>
        <v>0</v>
      </c>
      <c r="AU365" s="157">
        <f t="array" ref="AU36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6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65" s="134">
        <f>IFERROR(SUM(Tabla_Buffers_Agroinsumos[[#This Row],[P-MP]:[P-VL]]),"")</f>
        <v>0</v>
      </c>
      <c r="AX365" s="92">
        <f>IFERROR(Tabla_Buffers_Agroinsumos[[#This Row],[INV FIS PROPIA]]-Tabla_Buffers_Agroinsumos[[#This Row],[BUFFER PROPIA]],"")</f>
        <v>-90</v>
      </c>
      <c r="AY36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-90</v>
      </c>
      <c r="AZ365" s="134"/>
      <c r="BA365" s="134"/>
      <c r="BB365" s="134"/>
      <c r="BC365" s="134"/>
      <c r="BD365" s="134"/>
      <c r="BE365" s="134"/>
      <c r="BF365" s="134"/>
      <c r="BG365" s="134"/>
      <c r="BH365" s="134"/>
      <c r="BI365" s="91">
        <f t="array" ref="BI365">IFERROR(INDEX(TABLACONSOLIDADA[Buff Act],MATCH("AGROINSUMOSSTODOMINGO"&amp;Tabla_Buffers_Agroinsumos[[#This Row],[CODIGO ]],TABLACONSOLIDADA[Bodega]&amp;TABLACONSOLIDADA[Codigo],0)),"")</f>
        <v>0</v>
      </c>
      <c r="BJ365" s="157">
        <f t="array" ref="BJ365">IFERROR(INDEX(TABLACONSOLIDADA[Inv Fís Act],MATCH("AGROINSUMOSSTODOMINGO"&amp;Tabla_Buffers_Agroinsumos[[#This Row],[CODIGO ]],TABLACONSOLIDADA[Bodega]&amp;TABLACONSOLIDADA[Codigo],0)),"")</f>
        <v>11</v>
      </c>
      <c r="BK365" s="157">
        <f t="array" ref="BK36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11</v>
      </c>
      <c r="BL36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65" s="91">
        <f>IFERROR(SUM(Tabla_Buffers_Agroinsumos[[#This Row],[SD-MP]:[SD-VL]]),"")</f>
        <v>0</v>
      </c>
      <c r="BN365" s="92"/>
      <c r="BO365" s="92"/>
      <c r="BP365" s="134"/>
      <c r="BQ365" s="134"/>
      <c r="BR365" s="134"/>
      <c r="BS365" s="134"/>
      <c r="BT365" s="134"/>
      <c r="BU365" s="134"/>
      <c r="BV365" s="134"/>
      <c r="BW365" s="134"/>
      <c r="BX365" s="134"/>
      <c r="BY365" s="134">
        <f t="array" ref="BY365">IFERROR(INDEX(TABLACONSOLIDADA[Buff Act],MATCH("AGROINSUMOSMONCAYOLOPEZ"&amp;Tabla_Buffers_Agroinsumos[[#This Row],[CODIGO ]],TABLACONSOLIDADA[Bodega]&amp;TABLACONSOLIDADA[Codigo],0)),"")</f>
        <v>0</v>
      </c>
      <c r="BZ365" s="157">
        <f t="array" ref="BZ365">IFERROR(INDEX(TABLACONSOLIDADA[Inv Fís Act],MATCH("AGROINSUMOSMONCAYOLOPEZ"&amp;Tabla_Buffers_Agroinsumos[[#This Row],[CODIGO ]],TABLACONSOLIDADA[Bodega]&amp;TABLACONSOLIDADA[Codigo],0)),"")</f>
        <v>0</v>
      </c>
      <c r="CA365" s="157">
        <f t="array" ref="CA36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6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65" s="134">
        <f>IFERROR(SUM(Tabla_Buffers_Agroinsumos[[#This Row],[ML-MP]:[ML-VL]]),"")</f>
        <v>0</v>
      </c>
      <c r="CD365" s="92">
        <f>IFERROR(Tabla_Buffers_Agroinsumos[[#This Row],[INV FIS ML]]-Tabla_Buffers_Agroinsumos[[#This Row],[BUFFER ML]],"")</f>
        <v>0</v>
      </c>
      <c r="CE36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65" s="134"/>
      <c r="CG365" s="134"/>
      <c r="CH365" s="134"/>
      <c r="CI365" s="134"/>
      <c r="CJ365" s="134"/>
      <c r="CK365" s="134"/>
      <c r="CL365" s="134"/>
      <c r="CM365" s="134"/>
      <c r="CN365" s="134"/>
      <c r="CO365" s="134">
        <f t="array" ref="CO365">IFERROR(INDEX(TABLACONSOLIDADA[Buff Act],MATCH("AGROINSUMOSAGROHERMANOSLEON"&amp;Tabla_Buffers_Agroinsumos[[#This Row],[CODIGO ]],TABLACONSOLIDADA[Bodega]&amp;TABLACONSOLIDADA[Codigo],0)),"")</f>
        <v>0</v>
      </c>
      <c r="CP365" s="157">
        <f t="array" ref="CP365">IFERROR(INDEX(TABLACONSOLIDADA[Inv Fís Act],MATCH("AGROINSUMOSAGROHERMANOSLEON"&amp;Tabla_Buffers_Agroinsumos[[#This Row],[CODIGO ]],TABLACONSOLIDADA[Bodega]&amp;TABLACONSOLIDADA[Codigo],0)),"")</f>
        <v>0</v>
      </c>
      <c r="CQ365" s="157">
        <f t="array" ref="CQ36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6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65" s="134">
        <f>IFERROR(SUM(Tabla_Buffers_Agroinsumos[[#This Row],[AL-MP]:[AL-VL]]),"")</f>
        <v>0</v>
      </c>
      <c r="CT365" s="92">
        <f>IFERROR(Tabla_Buffers_Agroinsumos[[#This Row],[INV FIS AL]]-Tabla_Buffers_Agroinsumos[[#This Row],[BUFFER AL]],"")</f>
        <v>0</v>
      </c>
      <c r="CU36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65" s="134"/>
      <c r="CW365" s="134"/>
      <c r="CX365" s="134"/>
      <c r="CY365" s="134"/>
      <c r="CZ365" s="134"/>
      <c r="DA365" s="134"/>
      <c r="DB365" s="134"/>
      <c r="DC365" s="134"/>
      <c r="DD365" s="134"/>
      <c r="DE365" s="134">
        <f t="array" ref="DE365">IFERROR(INDEX(TABLACONSOLIDADA[Buff Act],MATCH("AGROINSUMOSAGRONUEVO"&amp;Tabla_Buffers_Agroinsumos[[#This Row],[CODIGO ]],TABLACONSOLIDADA[Bodega]&amp;TABLACONSOLIDADA[Codigo],0)),"")</f>
        <v>0</v>
      </c>
      <c r="DF365" s="157">
        <f t="array" ref="DF365">IFERROR(INDEX(TABLACONSOLIDADA[Inv Fís Act],MATCH("AGROINSUMOSAGRONUEVO"&amp;Tabla_Buffers_Agroinsumos[[#This Row],[CODIGO ]],TABLACONSOLIDADA[Bodega]&amp;TABLACONSOLIDADA[Codigo],0)),"")</f>
        <v>0</v>
      </c>
      <c r="DG365" s="157">
        <f t="array" ref="DG36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6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65" s="134">
        <f>IFERROR(SUM(Tabla_Buffers_Agroinsumos[[#This Row],[AN-MP]:[AN-VL]]),"")</f>
        <v>0</v>
      </c>
      <c r="DJ365" s="92">
        <f>IFERROR(Tabla_Buffers_Agroinsumos[[#This Row],[INV FIS AN]]-Tabla_Buffers_Agroinsumos[[#This Row],[BUFFER AN]],"")</f>
        <v>0</v>
      </c>
      <c r="DK36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65" s="134"/>
      <c r="DM365" s="134"/>
      <c r="DN365" s="134"/>
      <c r="DO365" s="134"/>
      <c r="DP365" s="134"/>
      <c r="DQ365" s="134"/>
      <c r="DR365" s="134"/>
      <c r="DS365" s="134"/>
      <c r="DT365" s="134"/>
      <c r="DU365" s="134">
        <f t="array" ref="DU365">IFERROR(INDEX(TABLACONSOLIDADA[Buff Act],MATCH("AGROINSUMOSAGROQUIMICOSSUR"&amp;Tabla_Buffers_Agroinsumos[[#This Row],[CODIGO ]],TABLACONSOLIDADA[Bodega]&amp;TABLACONSOLIDADA[Codigo],0)),"")</f>
        <v>0</v>
      </c>
      <c r="DV365" s="157">
        <f t="array" ref="DV365">IFERROR(INDEX(TABLACONSOLIDADA[Inv Fís Act],MATCH("AGROINSUMOSAGROQUIMICOSSUR"&amp;Tabla_Buffers_Agroinsumos[[#This Row],[CODIGO ]],TABLACONSOLIDADA[Bodega]&amp;TABLACONSOLIDADA[Codigo],0)),"")</f>
        <v>0</v>
      </c>
      <c r="DW365" s="157">
        <f t="array" ref="DW36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6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65" s="134">
        <f>IFERROR(SUM(Tabla_Buffers_Agroinsumos[[#This Row],[AS-MP]:[AS-VL]]),"")</f>
        <v>0</v>
      </c>
      <c r="DZ365" s="92">
        <f>IFERROR(Tabla_Buffers_Agroinsumos[[#This Row],[INV FIS AS]]-Tabla_Buffers_Agroinsumos[[#This Row],[BUFFER AS]],"")</f>
        <v>0</v>
      </c>
      <c r="EA36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65" s="134"/>
      <c r="EC365" s="134"/>
      <c r="ED365" s="134"/>
      <c r="EE365" s="134"/>
      <c r="EF365" s="134"/>
      <c r="EG365" s="134"/>
      <c r="EH365" s="134"/>
      <c r="EI365" s="134"/>
      <c r="EJ365" s="134"/>
      <c r="EK365" s="134">
        <f t="array" ref="EK365">IFERROR(INDEX(TABLACONSOLIDADA[Buff Act],MATCH("AGROINSUMOSLAFINCA"&amp;Tabla_Buffers_Agroinsumos[[#This Row],[CODIGO ]],TABLACONSOLIDADA[Bodega]&amp;TABLACONSOLIDADA[Codigo],0)),"")</f>
        <v>0</v>
      </c>
      <c r="EL365" s="157">
        <f t="array" ref="EL365">IFERROR(INDEX(TABLACONSOLIDADA[Inv Fís Act],MATCH("AGROINSUMOSLAFINCA"&amp;Tabla_Buffers_Agroinsumos[[#This Row],[CODIGO ]],TABLACONSOLIDADA[Bodega]&amp;TABLACONSOLIDADA[Codigo],0)),"")</f>
        <v>0</v>
      </c>
      <c r="EM365" s="157">
        <f t="array" ref="EM36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6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65" s="134">
        <f>IFERROR(SUM(Tabla_Buffers_Agroinsumos[[#This Row],[LF-MP]:[LF-VL]]),"")</f>
        <v>0</v>
      </c>
      <c r="EP365" s="92">
        <f>IFERROR(Tabla_Buffers_Agroinsumos[[#This Row],[INV FIS LF]]-Tabla_Buffers_Agroinsumos[[#This Row],[BUFFER LF]],"")</f>
        <v>0</v>
      </c>
      <c r="EQ36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65" s="134"/>
      <c r="ES365" s="134"/>
      <c r="ET365" s="134"/>
      <c r="EU365" s="134"/>
      <c r="EV365" s="134"/>
      <c r="EW365" s="134"/>
      <c r="EX365" s="134"/>
      <c r="EY365" s="134"/>
      <c r="EZ365" s="134"/>
      <c r="FA365" s="134">
        <f t="array" ref="FA365">IFERROR(INDEX(TABLACONSOLIDADA[Buff Act],MATCH("AGROINSUMOSVERONICALEDESMA"&amp;Tabla_Buffers_Agroinsumos[[#This Row],[CODIGO ]],TABLACONSOLIDADA[Bodega]&amp;TABLACONSOLIDADA[Codigo],0)),"")</f>
        <v>42</v>
      </c>
      <c r="FB365" s="157">
        <f t="array" ref="FB365">IFERROR(INDEX(TABLACONSOLIDADA[Inv Fís Act],MATCH("AGROINSUMOSVERONICALEDESMA"&amp;Tabla_Buffers_Agroinsumos[[#This Row],[CODIGO ]],TABLACONSOLIDADA[Bodega]&amp;TABLACONSOLIDADA[Codigo],0)),"")</f>
        <v>42</v>
      </c>
      <c r="FC365" s="157">
        <f t="array" ref="FC36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42</v>
      </c>
      <c r="FD36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65" s="134">
        <f>IFERROR(SUM(Tabla_Buffers_Agroinsumos[[#This Row],[VL-MP]:[VL-LF]]),"")</f>
        <v>0</v>
      </c>
      <c r="FF365" s="92">
        <f>IFERROR(Tabla_Buffers_Agroinsumos[[#This Row],[INV FIS VL]]-Tabla_Buffers_Agroinsumos[[#This Row],[BUFFER VL]],"")</f>
        <v>0</v>
      </c>
      <c r="FG365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65" s="134"/>
      <c r="FI365" s="134"/>
      <c r="FJ365" s="134"/>
      <c r="FK365" s="134"/>
      <c r="FL365" s="134"/>
      <c r="FM365" s="134"/>
      <c r="FN365" s="134"/>
      <c r="FO365" s="134"/>
      <c r="FP365" s="134"/>
    </row>
    <row r="366" spans="1:172">
      <c r="A366" s="7" t="s">
        <v>613</v>
      </c>
      <c r="B366" s="7" t="s">
        <v>614</v>
      </c>
      <c r="C366" s="7" t="s">
        <v>712</v>
      </c>
      <c r="D366" s="7" t="s">
        <v>719</v>
      </c>
      <c r="E366" s="7" t="s">
        <v>975</v>
      </c>
      <c r="F366" s="19" t="s">
        <v>698</v>
      </c>
      <c r="G366" s="19" t="s">
        <v>698</v>
      </c>
      <c r="H366" s="19">
        <f>VLOOKUP(Tabla_Buffers_Agroinsumos[[#This Row],[CODIGO ]],TABLACONSOLIDADA[[Codigo]:[PV]],6,0)</f>
        <v>7.84</v>
      </c>
      <c r="I366" s="19">
        <f>VLOOKUP(Tabla_Buffers_Agroinsumos[[#This Row],[CODIGO ]],TABLACONSOLIDADA[[Codigo]:[PV]],5,0)</f>
        <v>3.05</v>
      </c>
      <c r="J366" s="19" t="s">
        <v>698</v>
      </c>
      <c r="K366" s="19" t="s">
        <v>698</v>
      </c>
      <c r="L366" s="19">
        <f>IFERROR(Tabla_Buffers_Agroinsumos[[#This Row],[BUFFER CENTRAL]]/((Tabla_Buffers_Agroinsumos[[#This Row],[TIEMPO REPOSICION ]]/Tabla_Buffers_Agroinsumos[[#This Row],[FRECUENCIA]])+1),0)</f>
        <v>0</v>
      </c>
      <c r="M366" s="19" t="str">
        <f t="array" ref="M366">IFERROR(INDEX(TABLACONSOLIDADA[Buff Act],MATCH("AGROINSUMOSMATERIAPRIMA"&amp;Tabla_Buffers_Agroinsumos[[#This Row],[CODIGO ]],TABLACONSOLIDADA[Bodega]&amp;TABLACONSOLIDADA[Codigo],0)),"")</f>
        <v/>
      </c>
      <c r="N366" s="157" t="str">
        <f t="array" ref="N366">IFERROR(INDEX(TABLACONSOLIDADA[Inv Fís Act],MATCH("AGROINSUMOSMATERIAPRIMA"&amp;Tabla_Buffers_Agroinsumos[[#This Row],[CODIGO ]],TABLACONSOLIDADA[Bodega]&amp;TABLACONSOLIDADA[Codigo],0)),"")</f>
        <v/>
      </c>
      <c r="O366" s="157" t="str">
        <f t="array" ref="O36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6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66" s="19">
        <f>IFERROR(SUM(Tabla_Buffers_Agroinsumos[[#This Row],[MP-C]:[MP-VL]]),"")</f>
        <v>0</v>
      </c>
      <c r="R366" s="92" t="str">
        <f>IFERROR(Tabla_Buffers_Agroinsumos[[#This Row],[INV FIS MATERIA PRIMA]]-Tabla_Buffers_Agroinsumos[[#This Row],[BUFFER MATERIA PRIMA]],"")</f>
        <v/>
      </c>
      <c r="S36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66" s="19"/>
      <c r="U366" s="19"/>
      <c r="V366" s="19"/>
      <c r="W366" s="19"/>
      <c r="X366" s="19"/>
      <c r="Y366" s="19"/>
      <c r="Z366" s="19"/>
      <c r="AA366" s="19"/>
      <c r="AB366" s="19"/>
      <c r="AC366" s="135">
        <f t="array" ref="AC366">IFERROR(INDEX(TABLACONSOLIDADA[Buff Act],MATCH("AGROINSUMOSCENTRAL"&amp;Tabla_Buffers_Agroinsumos[[#This Row],[CODIGO ]],TABLACONSOLIDADA[Bodega]&amp;TABLACONSOLIDADA[Codigo],0)),"")</f>
        <v>300</v>
      </c>
      <c r="AD366" s="157">
        <f t="array" ref="AD366">IFERROR(INDEX(TABLACONSOLIDADA[Inv Fís Act],MATCH("AGROINSUMOSCENTRAL"&amp;Tabla_Buffers_Agroinsumos[[#This Row],[CODIGO ]],TABLACONSOLIDADA[Bodega]&amp;TABLACONSOLIDADA[Codigo],0)),"")</f>
        <v>256</v>
      </c>
      <c r="AE366" s="157">
        <f t="array" ref="AE36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362</v>
      </c>
      <c r="AF36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66" s="91">
        <f>IFERROR(SUM(Tabla_Buffers_Agroinsumos[[#This Row],[C-MP]:[C-VL]]),"")</f>
        <v>0</v>
      </c>
      <c r="AH366" s="92">
        <f>IFERROR(Tabla_Buffers_Agroinsumos[[#This Row],[INV FIS CENTRAL]]-Tabla_Buffers_Agroinsumos[[#This Row],[BUFFER CENTRAL]],"")</f>
        <v>-44</v>
      </c>
      <c r="AI366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-44</v>
      </c>
      <c r="AJ366" s="134"/>
      <c r="AK366" s="134"/>
      <c r="AL366" s="134"/>
      <c r="AM366" s="134"/>
      <c r="AN366" s="134"/>
      <c r="AO366" s="134"/>
      <c r="AP366" s="134"/>
      <c r="AQ366" s="134"/>
      <c r="AR366" s="134"/>
      <c r="AS366" s="134">
        <f t="array" ref="AS366">IFERROR(INDEX(TABLACONSOLIDADA[Buff Act],MATCH("AGROINSUMOScentralPROPIA"&amp;Tabla_Buffers_Agroinsumos[[#This Row],[CODIGO ]],TABLACONSOLIDADA[Bodega]&amp;TABLACONSOLIDADA[Codigo],0)),"")</f>
        <v>90</v>
      </c>
      <c r="AT366" s="157">
        <f t="array" ref="AT366">IFERROR(INDEX(TABLACONSOLIDADA[Inv Fís Act],MATCH("AGROINSUMOScentralPROPIA"&amp;Tabla_Buffers_Agroinsumos[[#This Row],[CODIGO ]],TABLACONSOLIDADA[Bodega]&amp;TABLACONSOLIDADA[Codigo],0)),"")</f>
        <v>0</v>
      </c>
      <c r="AU366" s="157">
        <f t="array" ref="AU36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6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66" s="134">
        <f>IFERROR(SUM(Tabla_Buffers_Agroinsumos[[#This Row],[P-MP]:[P-VL]]),"")</f>
        <v>0</v>
      </c>
      <c r="AX366" s="92">
        <f>IFERROR(Tabla_Buffers_Agroinsumos[[#This Row],[INV FIS PROPIA]]-Tabla_Buffers_Agroinsumos[[#This Row],[BUFFER PROPIA]],"")</f>
        <v>-90</v>
      </c>
      <c r="AY366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-90</v>
      </c>
      <c r="AZ366" s="134"/>
      <c r="BA366" s="134"/>
      <c r="BB366" s="134"/>
      <c r="BC366" s="134"/>
      <c r="BD366" s="134"/>
      <c r="BE366" s="134"/>
      <c r="BF366" s="134"/>
      <c r="BG366" s="134"/>
      <c r="BH366" s="134"/>
      <c r="BI366" s="91">
        <f t="array" ref="BI366">IFERROR(INDEX(TABLACONSOLIDADA[Buff Act],MATCH("AGROINSUMOSSTODOMINGO"&amp;Tabla_Buffers_Agroinsumos[[#This Row],[CODIGO ]],TABLACONSOLIDADA[Bodega]&amp;TABLACONSOLIDADA[Codigo],0)),"")</f>
        <v>0</v>
      </c>
      <c r="BJ366" s="157">
        <f t="array" ref="BJ366">IFERROR(INDEX(TABLACONSOLIDADA[Inv Fís Act],MATCH("AGROINSUMOSSTODOMINGO"&amp;Tabla_Buffers_Agroinsumos[[#This Row],[CODIGO ]],TABLACONSOLIDADA[Bodega]&amp;TABLACONSOLIDADA[Codigo],0)),"")</f>
        <v>50</v>
      </c>
      <c r="BK366" s="157">
        <f t="array" ref="BK36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50</v>
      </c>
      <c r="BL36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66" s="91">
        <f>IFERROR(SUM(Tabla_Buffers_Agroinsumos[[#This Row],[SD-MP]:[SD-VL]]),"")</f>
        <v>0</v>
      </c>
      <c r="BN366" s="92"/>
      <c r="BO366" s="92"/>
      <c r="BP366" s="134"/>
      <c r="BQ366" s="134"/>
      <c r="BR366" s="134"/>
      <c r="BS366" s="134"/>
      <c r="BT366" s="134"/>
      <c r="BU366" s="134"/>
      <c r="BV366" s="134"/>
      <c r="BW366" s="134"/>
      <c r="BX366" s="134"/>
      <c r="BY366" s="134">
        <f t="array" ref="BY366">IFERROR(INDEX(TABLACONSOLIDADA[Buff Act],MATCH("AGROINSUMOSMONCAYOLOPEZ"&amp;Tabla_Buffers_Agroinsumos[[#This Row],[CODIGO ]],TABLACONSOLIDADA[Bodega]&amp;TABLACONSOLIDADA[Codigo],0)),"")</f>
        <v>50</v>
      </c>
      <c r="BZ366" s="157">
        <f t="array" ref="BZ366">IFERROR(INDEX(TABLACONSOLIDADA[Inv Fís Act],MATCH("AGROINSUMOSMONCAYOLOPEZ"&amp;Tabla_Buffers_Agroinsumos[[#This Row],[CODIGO ]],TABLACONSOLIDADA[Bodega]&amp;TABLACONSOLIDADA[Codigo],0)),"")</f>
        <v>30</v>
      </c>
      <c r="CA366" s="157">
        <f t="array" ref="CA36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30</v>
      </c>
      <c r="CB36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66" s="134">
        <f>IFERROR(SUM(Tabla_Buffers_Agroinsumos[[#This Row],[ML-MP]:[ML-VL]]),"")</f>
        <v>0</v>
      </c>
      <c r="CD366" s="92">
        <f>IFERROR(Tabla_Buffers_Agroinsumos[[#This Row],[INV FIS ML]]-Tabla_Buffers_Agroinsumos[[#This Row],[BUFFER ML]],"")</f>
        <v>-20</v>
      </c>
      <c r="CE366" s="92">
        <f>IFERROR(Tabla_Buffers_Agroinsumos[[#This Row],[INV FIS ML]]+Tabla_Buffers_Agroinsumos[[#This Row],[TRANSFERENCIAS A ML]]-Tabla_Buffers_Agroinsumos[[#This Row],[BUFFER ML]]-Tabla_Buffers_Agroinsumos[[#This Row],[TRANSFERENCIAS DE ML]],"")</f>
        <v>-20</v>
      </c>
      <c r="CF366" s="134"/>
      <c r="CG366" s="134"/>
      <c r="CH366" s="134"/>
      <c r="CI366" s="134"/>
      <c r="CJ366" s="134"/>
      <c r="CK366" s="134"/>
      <c r="CL366" s="134"/>
      <c r="CM366" s="134"/>
      <c r="CN366" s="134"/>
      <c r="CO366" s="134">
        <f t="array" ref="CO366">IFERROR(INDEX(TABLACONSOLIDADA[Buff Act],MATCH("AGROINSUMOSAGROHERMANOSLEON"&amp;Tabla_Buffers_Agroinsumos[[#This Row],[CODIGO ]],TABLACONSOLIDADA[Bodega]&amp;TABLACONSOLIDADA[Codigo],0)),"")</f>
        <v>0</v>
      </c>
      <c r="CP366" s="157">
        <f t="array" ref="CP366">IFERROR(INDEX(TABLACONSOLIDADA[Inv Fís Act],MATCH("AGROINSUMOSAGROHERMANOSLEON"&amp;Tabla_Buffers_Agroinsumos[[#This Row],[CODIGO ]],TABLACONSOLIDADA[Bodega]&amp;TABLACONSOLIDADA[Codigo],0)),"")</f>
        <v>0</v>
      </c>
      <c r="CQ366" s="157">
        <f t="array" ref="CQ36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6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66" s="134">
        <f>IFERROR(SUM(Tabla_Buffers_Agroinsumos[[#This Row],[AL-MP]:[AL-VL]]),"")</f>
        <v>0</v>
      </c>
      <c r="CT366" s="92">
        <f>IFERROR(Tabla_Buffers_Agroinsumos[[#This Row],[INV FIS AL]]-Tabla_Buffers_Agroinsumos[[#This Row],[BUFFER AL]],"")</f>
        <v>0</v>
      </c>
      <c r="CU366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66" s="134"/>
      <c r="CW366" s="134"/>
      <c r="CX366" s="134"/>
      <c r="CY366" s="134"/>
      <c r="CZ366" s="134"/>
      <c r="DA366" s="134"/>
      <c r="DB366" s="134"/>
      <c r="DC366" s="134"/>
      <c r="DD366" s="134"/>
      <c r="DE366" s="134">
        <f t="array" ref="DE366">IFERROR(INDEX(TABLACONSOLIDADA[Buff Act],MATCH("AGROINSUMOSAGRONUEVO"&amp;Tabla_Buffers_Agroinsumos[[#This Row],[CODIGO ]],TABLACONSOLIDADA[Bodega]&amp;TABLACONSOLIDADA[Codigo],0)),"")</f>
        <v>0</v>
      </c>
      <c r="DF366" s="157">
        <f t="array" ref="DF366">IFERROR(INDEX(TABLACONSOLIDADA[Inv Fís Act],MATCH("AGROINSUMOSAGRONUEVO"&amp;Tabla_Buffers_Agroinsumos[[#This Row],[CODIGO ]],TABLACONSOLIDADA[Bodega]&amp;TABLACONSOLIDADA[Codigo],0)),"")</f>
        <v>0</v>
      </c>
      <c r="DG366" s="157">
        <f t="array" ref="DG36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6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66" s="134">
        <f>IFERROR(SUM(Tabla_Buffers_Agroinsumos[[#This Row],[AN-MP]:[AN-VL]]),"")</f>
        <v>0</v>
      </c>
      <c r="DJ366" s="92">
        <f>IFERROR(Tabla_Buffers_Agroinsumos[[#This Row],[INV FIS AN]]-Tabla_Buffers_Agroinsumos[[#This Row],[BUFFER AN]],"")</f>
        <v>0</v>
      </c>
      <c r="DK366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66" s="134"/>
      <c r="DM366" s="134"/>
      <c r="DN366" s="134"/>
      <c r="DO366" s="134"/>
      <c r="DP366" s="134"/>
      <c r="DQ366" s="134"/>
      <c r="DR366" s="134"/>
      <c r="DS366" s="134"/>
      <c r="DT366" s="134"/>
      <c r="DU366" s="134">
        <f t="array" ref="DU366">IFERROR(INDEX(TABLACONSOLIDADA[Buff Act],MATCH("AGROINSUMOSAGROQUIMICOSSUR"&amp;Tabla_Buffers_Agroinsumos[[#This Row],[CODIGO ]],TABLACONSOLIDADA[Bodega]&amp;TABLACONSOLIDADA[Codigo],0)),"")</f>
        <v>0</v>
      </c>
      <c r="DV366" s="157">
        <f t="array" ref="DV366">IFERROR(INDEX(TABLACONSOLIDADA[Inv Fís Act],MATCH("AGROINSUMOSAGROQUIMICOSSUR"&amp;Tabla_Buffers_Agroinsumos[[#This Row],[CODIGO ]],TABLACONSOLIDADA[Bodega]&amp;TABLACONSOLIDADA[Codigo],0)),"")</f>
        <v>0</v>
      </c>
      <c r="DW366" s="157">
        <f t="array" ref="DW36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6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66" s="134">
        <f>IFERROR(SUM(Tabla_Buffers_Agroinsumos[[#This Row],[AS-MP]:[AS-VL]]),"")</f>
        <v>0</v>
      </c>
      <c r="DZ366" s="92">
        <f>IFERROR(Tabla_Buffers_Agroinsumos[[#This Row],[INV FIS AS]]-Tabla_Buffers_Agroinsumos[[#This Row],[BUFFER AS]],"")</f>
        <v>0</v>
      </c>
      <c r="EA366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66" s="134"/>
      <c r="EC366" s="134"/>
      <c r="ED366" s="134"/>
      <c r="EE366" s="134"/>
      <c r="EF366" s="134"/>
      <c r="EG366" s="134"/>
      <c r="EH366" s="134"/>
      <c r="EI366" s="134"/>
      <c r="EJ366" s="134"/>
      <c r="EK366" s="134">
        <f t="array" ref="EK366">IFERROR(INDEX(TABLACONSOLIDADA[Buff Act],MATCH("AGROINSUMOSLAFINCA"&amp;Tabla_Buffers_Agroinsumos[[#This Row],[CODIGO ]],TABLACONSOLIDADA[Bodega]&amp;TABLACONSOLIDADA[Codigo],0)),"")</f>
        <v>0</v>
      </c>
      <c r="EL366" s="157">
        <f t="array" ref="EL366">IFERROR(INDEX(TABLACONSOLIDADA[Inv Fís Act],MATCH("AGROINSUMOSLAFINCA"&amp;Tabla_Buffers_Agroinsumos[[#This Row],[CODIGO ]],TABLACONSOLIDADA[Bodega]&amp;TABLACONSOLIDADA[Codigo],0)),"")</f>
        <v>0</v>
      </c>
      <c r="EM366" s="157">
        <f t="array" ref="EM36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6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66" s="134">
        <f>IFERROR(SUM(Tabla_Buffers_Agroinsumos[[#This Row],[LF-MP]:[LF-VL]]),"")</f>
        <v>0</v>
      </c>
      <c r="EP366" s="92">
        <f>IFERROR(Tabla_Buffers_Agroinsumos[[#This Row],[INV FIS LF]]-Tabla_Buffers_Agroinsumos[[#This Row],[BUFFER LF]],"")</f>
        <v>0</v>
      </c>
      <c r="EQ366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66" s="134"/>
      <c r="ES366" s="134"/>
      <c r="ET366" s="134"/>
      <c r="EU366" s="134"/>
      <c r="EV366" s="134"/>
      <c r="EW366" s="134"/>
      <c r="EX366" s="134"/>
      <c r="EY366" s="134"/>
      <c r="EZ366" s="134"/>
      <c r="FA366" s="134">
        <f t="array" ref="FA366">IFERROR(INDEX(TABLACONSOLIDADA[Buff Act],MATCH("AGROINSUMOSVERONICALEDESMA"&amp;Tabla_Buffers_Agroinsumos[[#This Row],[CODIGO ]],TABLACONSOLIDADA[Bodega]&amp;TABLACONSOLIDADA[Codigo],0)),"")</f>
        <v>0</v>
      </c>
      <c r="FB366" s="157">
        <f t="array" ref="FB366">IFERROR(INDEX(TABLACONSOLIDADA[Inv Fís Act],MATCH("AGROINSUMOSVERONICALEDESMA"&amp;Tabla_Buffers_Agroinsumos[[#This Row],[CODIGO ]],TABLACONSOLIDADA[Bodega]&amp;TABLACONSOLIDADA[Codigo],0)),"")</f>
        <v>0</v>
      </c>
      <c r="FC366" s="157">
        <f t="array" ref="FC36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6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66" s="134">
        <f>IFERROR(SUM(Tabla_Buffers_Agroinsumos[[#This Row],[VL-MP]:[VL-LF]]),"")</f>
        <v>0</v>
      </c>
      <c r="FF366" s="92">
        <f>IFERROR(Tabla_Buffers_Agroinsumos[[#This Row],[INV FIS VL]]-Tabla_Buffers_Agroinsumos[[#This Row],[BUFFER VL]],"")</f>
        <v>0</v>
      </c>
      <c r="FG366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66" s="134"/>
      <c r="FI366" s="134"/>
      <c r="FJ366" s="134"/>
      <c r="FK366" s="134"/>
      <c r="FL366" s="134"/>
      <c r="FM366" s="134"/>
      <c r="FN366" s="134"/>
      <c r="FO366" s="134"/>
      <c r="FP366" s="134"/>
    </row>
    <row r="367" spans="1:172">
      <c r="A367" s="7" t="s">
        <v>615</v>
      </c>
      <c r="B367" s="7" t="s">
        <v>616</v>
      </c>
      <c r="C367" s="7" t="s">
        <v>712</v>
      </c>
      <c r="D367" s="7" t="s">
        <v>719</v>
      </c>
      <c r="E367" s="7" t="s">
        <v>975</v>
      </c>
      <c r="F367" s="19" t="s">
        <v>698</v>
      </c>
      <c r="G367" s="19" t="s">
        <v>698</v>
      </c>
      <c r="H367" s="19">
        <f>VLOOKUP(Tabla_Buffers_Agroinsumos[[#This Row],[CODIGO ]],TABLACONSOLIDADA[[Codigo]:[PV]],6,0)</f>
        <v>14.39</v>
      </c>
      <c r="I367" s="19">
        <f>VLOOKUP(Tabla_Buffers_Agroinsumos[[#This Row],[CODIGO ]],TABLACONSOLIDADA[[Codigo]:[PV]],5,0)</f>
        <v>5.97</v>
      </c>
      <c r="J367" s="19" t="s">
        <v>698</v>
      </c>
      <c r="K367" s="19" t="s">
        <v>698</v>
      </c>
      <c r="L367" s="19">
        <f>IFERROR(Tabla_Buffers_Agroinsumos[[#This Row],[BUFFER CENTRAL]]/((Tabla_Buffers_Agroinsumos[[#This Row],[TIEMPO REPOSICION ]]/Tabla_Buffers_Agroinsumos[[#This Row],[FRECUENCIA]])+1),0)</f>
        <v>0</v>
      </c>
      <c r="M367" s="19" t="str">
        <f t="array" ref="M367">IFERROR(INDEX(TABLACONSOLIDADA[Buff Act],MATCH("AGROINSUMOSMATERIAPRIMA"&amp;Tabla_Buffers_Agroinsumos[[#This Row],[CODIGO ]],TABLACONSOLIDADA[Bodega]&amp;TABLACONSOLIDADA[Codigo],0)),"")</f>
        <v/>
      </c>
      <c r="N367" s="157" t="str">
        <f t="array" ref="N367">IFERROR(INDEX(TABLACONSOLIDADA[Inv Fís Act],MATCH("AGROINSUMOSMATERIAPRIMA"&amp;Tabla_Buffers_Agroinsumos[[#This Row],[CODIGO ]],TABLACONSOLIDADA[Bodega]&amp;TABLACONSOLIDADA[Codigo],0)),"")</f>
        <v/>
      </c>
      <c r="O367" s="157" t="str">
        <f t="array" ref="O36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6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67" s="19">
        <f>IFERROR(SUM(Tabla_Buffers_Agroinsumos[[#This Row],[MP-C]:[MP-VL]]),"")</f>
        <v>0</v>
      </c>
      <c r="R367" s="92" t="str">
        <f>IFERROR(Tabla_Buffers_Agroinsumos[[#This Row],[INV FIS MATERIA PRIMA]]-Tabla_Buffers_Agroinsumos[[#This Row],[BUFFER MATERIA PRIMA]],"")</f>
        <v/>
      </c>
      <c r="S36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67" s="19"/>
      <c r="U367" s="19"/>
      <c r="V367" s="19"/>
      <c r="W367" s="19"/>
      <c r="X367" s="19"/>
      <c r="Y367" s="19"/>
      <c r="Z367" s="19"/>
      <c r="AA367" s="19"/>
      <c r="AB367" s="19"/>
      <c r="AC367" s="135">
        <f t="array" ref="AC367">IFERROR(INDEX(TABLACONSOLIDADA[Buff Act],MATCH("AGROINSUMOSCENTRAL"&amp;Tabla_Buffers_Agroinsumos[[#This Row],[CODIGO ]],TABLACONSOLIDADA[Bodega]&amp;TABLACONSOLIDADA[Codigo],0)),"")</f>
        <v>300</v>
      </c>
      <c r="AD367" s="157">
        <f t="array" ref="AD367">IFERROR(INDEX(TABLACONSOLIDADA[Inv Fís Act],MATCH("AGROINSUMOSCENTRAL"&amp;Tabla_Buffers_Agroinsumos[[#This Row],[CODIGO ]],TABLACONSOLIDADA[Bodega]&amp;TABLACONSOLIDADA[Codigo],0)),"")</f>
        <v>267</v>
      </c>
      <c r="AE367" s="157">
        <f t="array" ref="AE36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308</v>
      </c>
      <c r="AF36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67" s="91">
        <f>IFERROR(SUM(Tabla_Buffers_Agroinsumos[[#This Row],[C-MP]:[C-VL]]),"")</f>
        <v>0</v>
      </c>
      <c r="AH367" s="92">
        <f>IFERROR(Tabla_Buffers_Agroinsumos[[#This Row],[INV FIS CENTRAL]]-Tabla_Buffers_Agroinsumos[[#This Row],[BUFFER CENTRAL]],"")</f>
        <v>-33</v>
      </c>
      <c r="AI36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-33</v>
      </c>
      <c r="AJ367" s="134"/>
      <c r="AK367" s="134"/>
      <c r="AL367" s="134"/>
      <c r="AM367" s="134"/>
      <c r="AN367" s="134"/>
      <c r="AO367" s="134"/>
      <c r="AP367" s="134"/>
      <c r="AQ367" s="134"/>
      <c r="AR367" s="134"/>
      <c r="AS367" s="134">
        <f t="array" ref="AS367">IFERROR(INDEX(TABLACONSOLIDADA[Buff Act],MATCH("AGROINSUMOScentralPROPIA"&amp;Tabla_Buffers_Agroinsumos[[#This Row],[CODIGO ]],TABLACONSOLIDADA[Bodega]&amp;TABLACONSOLIDADA[Codigo],0)),"")</f>
        <v>60</v>
      </c>
      <c r="AT367" s="157">
        <f t="array" ref="AT367">IFERROR(INDEX(TABLACONSOLIDADA[Inv Fís Act],MATCH("AGROINSUMOScentralPROPIA"&amp;Tabla_Buffers_Agroinsumos[[#This Row],[CODIGO ]],TABLACONSOLIDADA[Bodega]&amp;TABLACONSOLIDADA[Codigo],0)),"")</f>
        <v>0</v>
      </c>
      <c r="AU367" s="157">
        <f t="array" ref="AU36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6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67" s="134">
        <f>IFERROR(SUM(Tabla_Buffers_Agroinsumos[[#This Row],[P-MP]:[P-VL]]),"")</f>
        <v>0</v>
      </c>
      <c r="AX367" s="92">
        <f>IFERROR(Tabla_Buffers_Agroinsumos[[#This Row],[INV FIS PROPIA]]-Tabla_Buffers_Agroinsumos[[#This Row],[BUFFER PROPIA]],"")</f>
        <v>-60</v>
      </c>
      <c r="AY36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-60</v>
      </c>
      <c r="AZ367" s="134"/>
      <c r="BA367" s="134"/>
      <c r="BB367" s="134"/>
      <c r="BC367" s="134"/>
      <c r="BD367" s="134"/>
      <c r="BE367" s="134"/>
      <c r="BF367" s="134"/>
      <c r="BG367" s="134"/>
      <c r="BH367" s="134"/>
      <c r="BI367" s="91">
        <f t="array" ref="BI367">IFERROR(INDEX(TABLACONSOLIDADA[Buff Act],MATCH("AGROINSUMOSSTODOMINGO"&amp;Tabla_Buffers_Agroinsumos[[#This Row],[CODIGO ]],TABLACONSOLIDADA[Bodega]&amp;TABLACONSOLIDADA[Codigo],0)),"")</f>
        <v>0</v>
      </c>
      <c r="BJ367" s="157">
        <f t="array" ref="BJ367">IFERROR(INDEX(TABLACONSOLIDADA[Inv Fís Act],MATCH("AGROINSUMOSSTODOMINGO"&amp;Tabla_Buffers_Agroinsumos[[#This Row],[CODIGO ]],TABLACONSOLIDADA[Bodega]&amp;TABLACONSOLIDADA[Codigo],0)),"")</f>
        <v>0</v>
      </c>
      <c r="BK367" s="157">
        <f t="array" ref="BK36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6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67" s="91">
        <f>IFERROR(SUM(Tabla_Buffers_Agroinsumos[[#This Row],[SD-MP]:[SD-VL]]),"")</f>
        <v>0</v>
      </c>
      <c r="BN367" s="92"/>
      <c r="BO367" s="92"/>
      <c r="BP367" s="134"/>
      <c r="BQ367" s="134"/>
      <c r="BR367" s="134"/>
      <c r="BS367" s="134"/>
      <c r="BT367" s="134"/>
      <c r="BU367" s="134"/>
      <c r="BV367" s="134"/>
      <c r="BW367" s="134"/>
      <c r="BX367" s="134"/>
      <c r="BY367" s="134">
        <f t="array" ref="BY367">IFERROR(INDEX(TABLACONSOLIDADA[Buff Act],MATCH("AGROINSUMOSMONCAYOLOPEZ"&amp;Tabla_Buffers_Agroinsumos[[#This Row],[CODIGO ]],TABLACONSOLIDADA[Bodega]&amp;TABLACONSOLIDADA[Codigo],0)),"")</f>
        <v>0</v>
      </c>
      <c r="BZ367" s="157">
        <f t="array" ref="BZ367">IFERROR(INDEX(TABLACONSOLIDADA[Inv Fís Act],MATCH("AGROINSUMOSMONCAYOLOPEZ"&amp;Tabla_Buffers_Agroinsumos[[#This Row],[CODIGO ]],TABLACONSOLIDADA[Bodega]&amp;TABLACONSOLIDADA[Codigo],0)),"")</f>
        <v>0</v>
      </c>
      <c r="CA367" s="157">
        <f t="array" ref="CA36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6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67" s="134">
        <f>IFERROR(SUM(Tabla_Buffers_Agroinsumos[[#This Row],[ML-MP]:[ML-VL]]),"")</f>
        <v>0</v>
      </c>
      <c r="CD367" s="92">
        <f>IFERROR(Tabla_Buffers_Agroinsumos[[#This Row],[INV FIS ML]]-Tabla_Buffers_Agroinsumos[[#This Row],[BUFFER ML]],"")</f>
        <v>0</v>
      </c>
      <c r="CE367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67" s="134"/>
      <c r="CG367" s="134"/>
      <c r="CH367" s="134"/>
      <c r="CI367" s="134"/>
      <c r="CJ367" s="134"/>
      <c r="CK367" s="134"/>
      <c r="CL367" s="134"/>
      <c r="CM367" s="134"/>
      <c r="CN367" s="134"/>
      <c r="CO367" s="134">
        <f t="array" ref="CO367">IFERROR(INDEX(TABLACONSOLIDADA[Buff Act],MATCH("AGROINSUMOSAGROHERMANOSLEON"&amp;Tabla_Buffers_Agroinsumos[[#This Row],[CODIGO ]],TABLACONSOLIDADA[Bodega]&amp;TABLACONSOLIDADA[Codigo],0)),"")</f>
        <v>60</v>
      </c>
      <c r="CP367" s="157">
        <f t="array" ref="CP367">IFERROR(INDEX(TABLACONSOLIDADA[Inv Fís Act],MATCH("AGROINSUMOSAGROHERMANOSLEON"&amp;Tabla_Buffers_Agroinsumos[[#This Row],[CODIGO ]],TABLACONSOLIDADA[Bodega]&amp;TABLACONSOLIDADA[Codigo],0)),"")</f>
        <v>60</v>
      </c>
      <c r="CQ367" s="157">
        <f t="array" ref="CQ36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60</v>
      </c>
      <c r="CR36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67" s="134">
        <f>IFERROR(SUM(Tabla_Buffers_Agroinsumos[[#This Row],[AL-MP]:[AL-VL]]),"")</f>
        <v>0</v>
      </c>
      <c r="CT367" s="92">
        <f>IFERROR(Tabla_Buffers_Agroinsumos[[#This Row],[INV FIS AL]]-Tabla_Buffers_Agroinsumos[[#This Row],[BUFFER AL]],"")</f>
        <v>0</v>
      </c>
      <c r="CU36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67" s="134"/>
      <c r="CW367" s="134"/>
      <c r="CX367" s="134"/>
      <c r="CY367" s="134"/>
      <c r="CZ367" s="134"/>
      <c r="DA367" s="134"/>
      <c r="DB367" s="134"/>
      <c r="DC367" s="134"/>
      <c r="DD367" s="134"/>
      <c r="DE367" s="134">
        <f t="array" ref="DE367">IFERROR(INDEX(TABLACONSOLIDADA[Buff Act],MATCH("AGROINSUMOSAGRONUEVO"&amp;Tabla_Buffers_Agroinsumos[[#This Row],[CODIGO ]],TABLACONSOLIDADA[Bodega]&amp;TABLACONSOLIDADA[Codigo],0)),"")</f>
        <v>30</v>
      </c>
      <c r="DF367" s="157">
        <f t="array" ref="DF367">IFERROR(INDEX(TABLACONSOLIDADA[Inv Fís Act],MATCH("AGROINSUMOSAGRONUEVO"&amp;Tabla_Buffers_Agroinsumos[[#This Row],[CODIGO ]],TABLACONSOLIDADA[Bodega]&amp;TABLACONSOLIDADA[Codigo],0)),"")</f>
        <v>30</v>
      </c>
      <c r="DG367" s="157">
        <f t="array" ref="DG36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30</v>
      </c>
      <c r="DH36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67" s="134">
        <f>IFERROR(SUM(Tabla_Buffers_Agroinsumos[[#This Row],[AN-MP]:[AN-VL]]),"")</f>
        <v>0</v>
      </c>
      <c r="DJ367" s="92">
        <f>IFERROR(Tabla_Buffers_Agroinsumos[[#This Row],[INV FIS AN]]-Tabla_Buffers_Agroinsumos[[#This Row],[BUFFER AN]],"")</f>
        <v>0</v>
      </c>
      <c r="DK36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67" s="134"/>
      <c r="DM367" s="134"/>
      <c r="DN367" s="134"/>
      <c r="DO367" s="134"/>
      <c r="DP367" s="134"/>
      <c r="DQ367" s="134"/>
      <c r="DR367" s="134"/>
      <c r="DS367" s="134"/>
      <c r="DT367" s="134"/>
      <c r="DU367" s="134">
        <f t="array" ref="DU367">IFERROR(INDEX(TABLACONSOLIDADA[Buff Act],MATCH("AGROINSUMOSAGROQUIMICOSSUR"&amp;Tabla_Buffers_Agroinsumos[[#This Row],[CODIGO ]],TABLACONSOLIDADA[Bodega]&amp;TABLACONSOLIDADA[Codigo],0)),"")</f>
        <v>0</v>
      </c>
      <c r="DV367" s="157">
        <f t="array" ref="DV367">IFERROR(INDEX(TABLACONSOLIDADA[Inv Fís Act],MATCH("AGROINSUMOSAGROQUIMICOSSUR"&amp;Tabla_Buffers_Agroinsumos[[#This Row],[CODIGO ]],TABLACONSOLIDADA[Bodega]&amp;TABLACONSOLIDADA[Codigo],0)),"")</f>
        <v>0</v>
      </c>
      <c r="DW367" s="157">
        <f t="array" ref="DW36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6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67" s="134">
        <f>IFERROR(SUM(Tabla_Buffers_Agroinsumos[[#This Row],[AS-MP]:[AS-VL]]),"")</f>
        <v>0</v>
      </c>
      <c r="DZ367" s="92">
        <f>IFERROR(Tabla_Buffers_Agroinsumos[[#This Row],[INV FIS AS]]-Tabla_Buffers_Agroinsumos[[#This Row],[BUFFER AS]],"")</f>
        <v>0</v>
      </c>
      <c r="EA36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67" s="134"/>
      <c r="EC367" s="134"/>
      <c r="ED367" s="134"/>
      <c r="EE367" s="134"/>
      <c r="EF367" s="134"/>
      <c r="EG367" s="134"/>
      <c r="EH367" s="134"/>
      <c r="EI367" s="134"/>
      <c r="EJ367" s="134"/>
      <c r="EK367" s="134">
        <f t="array" ref="EK367">IFERROR(INDEX(TABLACONSOLIDADA[Buff Act],MATCH("AGROINSUMOSLAFINCA"&amp;Tabla_Buffers_Agroinsumos[[#This Row],[CODIGO ]],TABLACONSOLIDADA[Bodega]&amp;TABLACONSOLIDADA[Codigo],0)),"")</f>
        <v>0</v>
      </c>
      <c r="EL367" s="157">
        <f t="array" ref="EL367">IFERROR(INDEX(TABLACONSOLIDADA[Inv Fís Act],MATCH("AGROINSUMOSLAFINCA"&amp;Tabla_Buffers_Agroinsumos[[#This Row],[CODIGO ]],TABLACONSOLIDADA[Bodega]&amp;TABLACONSOLIDADA[Codigo],0)),"")</f>
        <v>0</v>
      </c>
      <c r="EM367" s="157">
        <f t="array" ref="EM36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6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67" s="134">
        <f>IFERROR(SUM(Tabla_Buffers_Agroinsumos[[#This Row],[LF-MP]:[LF-VL]]),"")</f>
        <v>0</v>
      </c>
      <c r="EP367" s="92">
        <f>IFERROR(Tabla_Buffers_Agroinsumos[[#This Row],[INV FIS LF]]-Tabla_Buffers_Agroinsumos[[#This Row],[BUFFER LF]],"")</f>
        <v>0</v>
      </c>
      <c r="EQ36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67" s="134"/>
      <c r="ES367" s="134"/>
      <c r="ET367" s="134"/>
      <c r="EU367" s="134"/>
      <c r="EV367" s="134"/>
      <c r="EW367" s="134"/>
      <c r="EX367" s="134"/>
      <c r="EY367" s="134"/>
      <c r="EZ367" s="134"/>
      <c r="FA367" s="134">
        <f t="array" ref="FA367">IFERROR(INDEX(TABLACONSOLIDADA[Buff Act],MATCH("AGROINSUMOSVERONICALEDESMA"&amp;Tabla_Buffers_Agroinsumos[[#This Row],[CODIGO ]],TABLACONSOLIDADA[Bodega]&amp;TABLACONSOLIDADA[Codigo],0)),"")</f>
        <v>0</v>
      </c>
      <c r="FB367" s="157">
        <f t="array" ref="FB367">IFERROR(INDEX(TABLACONSOLIDADA[Inv Fís Act],MATCH("AGROINSUMOSVERONICALEDESMA"&amp;Tabla_Buffers_Agroinsumos[[#This Row],[CODIGO ]],TABLACONSOLIDADA[Bodega]&amp;TABLACONSOLIDADA[Codigo],0)),"")</f>
        <v>0</v>
      </c>
      <c r="FC367" s="157">
        <f t="array" ref="FC36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6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67" s="134">
        <f>IFERROR(SUM(Tabla_Buffers_Agroinsumos[[#This Row],[VL-MP]:[VL-LF]]),"")</f>
        <v>0</v>
      </c>
      <c r="FF367" s="92">
        <f>IFERROR(Tabla_Buffers_Agroinsumos[[#This Row],[INV FIS VL]]-Tabla_Buffers_Agroinsumos[[#This Row],[BUFFER VL]],"")</f>
        <v>0</v>
      </c>
      <c r="FG36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67" s="134"/>
      <c r="FI367" s="134"/>
      <c r="FJ367" s="134"/>
      <c r="FK367" s="134"/>
      <c r="FL367" s="134"/>
      <c r="FM367" s="134"/>
      <c r="FN367" s="134"/>
      <c r="FO367" s="134"/>
      <c r="FP367" s="134"/>
    </row>
    <row r="368" spans="1:172">
      <c r="A368" s="7" t="s">
        <v>617</v>
      </c>
      <c r="B368" s="7" t="s">
        <v>618</v>
      </c>
      <c r="C368" s="7" t="s">
        <v>709</v>
      </c>
      <c r="D368" s="7" t="s">
        <v>719</v>
      </c>
      <c r="E368" s="7" t="s">
        <v>975</v>
      </c>
      <c r="F368" s="19" t="s">
        <v>698</v>
      </c>
      <c r="G368" s="19" t="s">
        <v>698</v>
      </c>
      <c r="H368" s="19">
        <f>VLOOKUP(Tabla_Buffers_Agroinsumos[[#This Row],[CODIGO ]],TABLACONSOLIDADA[[Codigo]:[PV]],6,0)</f>
        <v>6.3</v>
      </c>
      <c r="I368" s="19">
        <f>VLOOKUP(Tabla_Buffers_Agroinsumos[[#This Row],[CODIGO ]],TABLACONSOLIDADA[[Codigo]:[PV]],5,0)</f>
        <v>2.37</v>
      </c>
      <c r="J368" s="19" t="s">
        <v>698</v>
      </c>
      <c r="K368" s="19" t="s">
        <v>698</v>
      </c>
      <c r="L368" s="19">
        <f>IFERROR(Tabla_Buffers_Agroinsumos[[#This Row],[BUFFER CENTRAL]]/((Tabla_Buffers_Agroinsumos[[#This Row],[TIEMPO REPOSICION ]]/Tabla_Buffers_Agroinsumos[[#This Row],[FRECUENCIA]])+1),0)</f>
        <v>0</v>
      </c>
      <c r="M368" s="19" t="str">
        <f t="array" ref="M368">IFERROR(INDEX(TABLACONSOLIDADA[Buff Act],MATCH("AGROINSUMOSMATERIAPRIMA"&amp;Tabla_Buffers_Agroinsumos[[#This Row],[CODIGO ]],TABLACONSOLIDADA[Bodega]&amp;TABLACONSOLIDADA[Codigo],0)),"")</f>
        <v/>
      </c>
      <c r="N368" s="157" t="str">
        <f t="array" ref="N368">IFERROR(INDEX(TABLACONSOLIDADA[Inv Fís Act],MATCH("AGROINSUMOSMATERIAPRIMA"&amp;Tabla_Buffers_Agroinsumos[[#This Row],[CODIGO ]],TABLACONSOLIDADA[Bodega]&amp;TABLACONSOLIDADA[Codigo],0)),"")</f>
        <v/>
      </c>
      <c r="O368" s="157" t="str">
        <f t="array" ref="O36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6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68" s="19">
        <f>IFERROR(SUM(Tabla_Buffers_Agroinsumos[[#This Row],[MP-C]:[MP-VL]]),"")</f>
        <v>0</v>
      </c>
      <c r="R368" s="92" t="str">
        <f>IFERROR(Tabla_Buffers_Agroinsumos[[#This Row],[INV FIS MATERIA PRIMA]]-Tabla_Buffers_Agroinsumos[[#This Row],[BUFFER MATERIA PRIMA]],"")</f>
        <v/>
      </c>
      <c r="S36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68" s="19"/>
      <c r="U368" s="19"/>
      <c r="V368" s="19"/>
      <c r="W368" s="19"/>
      <c r="X368" s="19"/>
      <c r="Y368" s="19"/>
      <c r="Z368" s="19"/>
      <c r="AA368" s="19"/>
      <c r="AB368" s="19"/>
      <c r="AC368" s="135">
        <f t="array" ref="AC368">IFERROR(INDEX(TABLACONSOLIDADA[Buff Act],MATCH("AGROINSUMOSCENTRAL"&amp;Tabla_Buffers_Agroinsumos[[#This Row],[CODIGO ]],TABLACONSOLIDADA[Bodega]&amp;TABLACONSOLIDADA[Codigo],0)),"")</f>
        <v>800</v>
      </c>
      <c r="AD368" s="157">
        <f t="array" ref="AD368">IFERROR(INDEX(TABLACONSOLIDADA[Inv Fís Act],MATCH("AGROINSUMOSCENTRAL"&amp;Tabla_Buffers_Agroinsumos[[#This Row],[CODIGO ]],TABLACONSOLIDADA[Bodega]&amp;TABLACONSOLIDADA[Codigo],0)),"")</f>
        <v>935</v>
      </c>
      <c r="AE368" s="157">
        <f t="array" ref="AE36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935</v>
      </c>
      <c r="AF36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68" s="91">
        <f>IFERROR(SUM(Tabla_Buffers_Agroinsumos[[#This Row],[C-MP]:[C-VL]]),"")</f>
        <v>0</v>
      </c>
      <c r="AH368" s="92">
        <f>IFERROR(Tabla_Buffers_Agroinsumos[[#This Row],[INV FIS CENTRAL]]-Tabla_Buffers_Agroinsumos[[#This Row],[BUFFER CENTRAL]],"")</f>
        <v>135</v>
      </c>
      <c r="AI36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135</v>
      </c>
      <c r="AJ368" s="134"/>
      <c r="AK368" s="134"/>
      <c r="AL368" s="134"/>
      <c r="AM368" s="134"/>
      <c r="AN368" s="134"/>
      <c r="AO368" s="134"/>
      <c r="AP368" s="134"/>
      <c r="AQ368" s="134"/>
      <c r="AR368" s="134"/>
      <c r="AS368" s="134">
        <f t="array" ref="AS368">IFERROR(INDEX(TABLACONSOLIDADA[Buff Act],MATCH("AGROINSUMOScentralPROPIA"&amp;Tabla_Buffers_Agroinsumos[[#This Row],[CODIGO ]],TABLACONSOLIDADA[Bodega]&amp;TABLACONSOLIDADA[Codigo],0)),"")</f>
        <v>210</v>
      </c>
      <c r="AT368" s="157">
        <f t="array" ref="AT368">IFERROR(INDEX(TABLACONSOLIDADA[Inv Fís Act],MATCH("AGROINSUMOScentralPROPIA"&amp;Tabla_Buffers_Agroinsumos[[#This Row],[CODIGO ]],TABLACONSOLIDADA[Bodega]&amp;TABLACONSOLIDADA[Codigo],0)),"")</f>
        <v>0</v>
      </c>
      <c r="AU368" s="157">
        <f t="array" ref="AU36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6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68" s="134">
        <f>IFERROR(SUM(Tabla_Buffers_Agroinsumos[[#This Row],[P-MP]:[P-VL]]),"")</f>
        <v>0</v>
      </c>
      <c r="AX368" s="92">
        <f>IFERROR(Tabla_Buffers_Agroinsumos[[#This Row],[INV FIS PROPIA]]-Tabla_Buffers_Agroinsumos[[#This Row],[BUFFER PROPIA]],"")</f>
        <v>-210</v>
      </c>
      <c r="AY36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-210</v>
      </c>
      <c r="AZ368" s="134"/>
      <c r="BA368" s="134"/>
      <c r="BB368" s="134"/>
      <c r="BC368" s="134"/>
      <c r="BD368" s="134"/>
      <c r="BE368" s="134"/>
      <c r="BF368" s="134"/>
      <c r="BG368" s="134"/>
      <c r="BH368" s="134"/>
      <c r="BI368" s="91">
        <f t="array" ref="BI368">IFERROR(INDEX(TABLACONSOLIDADA[Buff Act],MATCH("AGROINSUMOSSTODOMINGO"&amp;Tabla_Buffers_Agroinsumos[[#This Row],[CODIGO ]],TABLACONSOLIDADA[Bodega]&amp;TABLACONSOLIDADA[Codigo],0)),"")</f>
        <v>0</v>
      </c>
      <c r="BJ368" s="157">
        <f t="array" ref="BJ368">IFERROR(INDEX(TABLACONSOLIDADA[Inv Fís Act],MATCH("AGROINSUMOSSTODOMINGO"&amp;Tabla_Buffers_Agroinsumos[[#This Row],[CODIGO ]],TABLACONSOLIDADA[Bodega]&amp;TABLACONSOLIDADA[Codigo],0)),"")</f>
        <v>141</v>
      </c>
      <c r="BK368" s="157">
        <f t="array" ref="BK36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141</v>
      </c>
      <c r="BL36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68" s="91">
        <f>IFERROR(SUM(Tabla_Buffers_Agroinsumos[[#This Row],[SD-MP]:[SD-VL]]),"")</f>
        <v>0</v>
      </c>
      <c r="BN368" s="92"/>
      <c r="BO368" s="92"/>
      <c r="BP368" s="134"/>
      <c r="BQ368" s="134"/>
      <c r="BR368" s="134"/>
      <c r="BS368" s="134"/>
      <c r="BT368" s="134"/>
      <c r="BU368" s="134"/>
      <c r="BV368" s="134"/>
      <c r="BW368" s="134"/>
      <c r="BX368" s="134"/>
      <c r="BY368" s="134">
        <f t="array" ref="BY368">IFERROR(INDEX(TABLACONSOLIDADA[Buff Act],MATCH("AGROINSUMOSMONCAYOLOPEZ"&amp;Tabla_Buffers_Agroinsumos[[#This Row],[CODIGO ]],TABLACONSOLIDADA[Bodega]&amp;TABLACONSOLIDADA[Codigo],0)),"")</f>
        <v>60</v>
      </c>
      <c r="BZ368" s="157">
        <f t="array" ref="BZ368">IFERROR(INDEX(TABLACONSOLIDADA[Inv Fís Act],MATCH("AGROINSUMOSMONCAYOLOPEZ"&amp;Tabla_Buffers_Agroinsumos[[#This Row],[CODIGO ]],TABLACONSOLIDADA[Bodega]&amp;TABLACONSOLIDADA[Codigo],0)),"")</f>
        <v>3</v>
      </c>
      <c r="CA368" s="157">
        <f t="array" ref="CA36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3</v>
      </c>
      <c r="CB36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68" s="134">
        <f>IFERROR(SUM(Tabla_Buffers_Agroinsumos[[#This Row],[ML-MP]:[ML-VL]]),"")</f>
        <v>0</v>
      </c>
      <c r="CD368" s="92">
        <f>IFERROR(Tabla_Buffers_Agroinsumos[[#This Row],[INV FIS ML]]-Tabla_Buffers_Agroinsumos[[#This Row],[BUFFER ML]],"")</f>
        <v>-57</v>
      </c>
      <c r="CE368" s="92">
        <f>IFERROR(Tabla_Buffers_Agroinsumos[[#This Row],[INV FIS ML]]+Tabla_Buffers_Agroinsumos[[#This Row],[TRANSFERENCIAS A ML]]-Tabla_Buffers_Agroinsumos[[#This Row],[BUFFER ML]]-Tabla_Buffers_Agroinsumos[[#This Row],[TRANSFERENCIAS DE ML]],"")</f>
        <v>-57</v>
      </c>
      <c r="CF368" s="134"/>
      <c r="CG368" s="134"/>
      <c r="CH368" s="134"/>
      <c r="CI368" s="134"/>
      <c r="CJ368" s="134"/>
      <c r="CK368" s="134"/>
      <c r="CL368" s="134"/>
      <c r="CM368" s="134"/>
      <c r="CN368" s="134"/>
      <c r="CO368" s="134">
        <f t="array" ref="CO368">IFERROR(INDEX(TABLACONSOLIDADA[Buff Act],MATCH("AGROINSUMOSAGROHERMANOSLEON"&amp;Tabla_Buffers_Agroinsumos[[#This Row],[CODIGO ]],TABLACONSOLIDADA[Bodega]&amp;TABLACONSOLIDADA[Codigo],0)),"")</f>
        <v>0</v>
      </c>
      <c r="CP368" s="157">
        <f t="array" ref="CP368">IFERROR(INDEX(TABLACONSOLIDADA[Inv Fís Act],MATCH("AGROINSUMOSAGROHERMANOSLEON"&amp;Tabla_Buffers_Agroinsumos[[#This Row],[CODIGO ]],TABLACONSOLIDADA[Bodega]&amp;TABLACONSOLIDADA[Codigo],0)),"")</f>
        <v>0</v>
      </c>
      <c r="CQ368" s="157">
        <f t="array" ref="CQ36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6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68" s="134">
        <f>IFERROR(SUM(Tabla_Buffers_Agroinsumos[[#This Row],[AL-MP]:[AL-VL]]),"")</f>
        <v>0</v>
      </c>
      <c r="CT368" s="92">
        <f>IFERROR(Tabla_Buffers_Agroinsumos[[#This Row],[INV FIS AL]]-Tabla_Buffers_Agroinsumos[[#This Row],[BUFFER AL]],"")</f>
        <v>0</v>
      </c>
      <c r="CU36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68" s="134"/>
      <c r="CW368" s="134"/>
      <c r="CX368" s="134"/>
      <c r="CY368" s="134"/>
      <c r="CZ368" s="134"/>
      <c r="DA368" s="134"/>
      <c r="DB368" s="134"/>
      <c r="DC368" s="134"/>
      <c r="DD368" s="134"/>
      <c r="DE368" s="134">
        <f t="array" ref="DE368">IFERROR(INDEX(TABLACONSOLIDADA[Buff Act],MATCH("AGROINSUMOSAGRONUEVO"&amp;Tabla_Buffers_Agroinsumos[[#This Row],[CODIGO ]],TABLACONSOLIDADA[Bodega]&amp;TABLACONSOLIDADA[Codigo],0)),"")</f>
        <v>20</v>
      </c>
      <c r="DF368" s="157">
        <f t="array" ref="DF368">IFERROR(INDEX(TABLACONSOLIDADA[Inv Fís Act],MATCH("AGROINSUMOSAGRONUEVO"&amp;Tabla_Buffers_Agroinsumos[[#This Row],[CODIGO ]],TABLACONSOLIDADA[Bodega]&amp;TABLACONSOLIDADA[Codigo],0)),"")</f>
        <v>23</v>
      </c>
      <c r="DG368" s="157">
        <f t="array" ref="DG36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23</v>
      </c>
      <c r="DH36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68" s="134">
        <f>IFERROR(SUM(Tabla_Buffers_Agroinsumos[[#This Row],[AN-MP]:[AN-VL]]),"")</f>
        <v>0</v>
      </c>
      <c r="DJ368" s="92">
        <f>IFERROR(Tabla_Buffers_Agroinsumos[[#This Row],[INV FIS AN]]-Tabla_Buffers_Agroinsumos[[#This Row],[BUFFER AN]],"")</f>
        <v>3</v>
      </c>
      <c r="DK368" s="92">
        <f>IFERROR(Tabla_Buffers_Agroinsumos[[#This Row],[INV FIS AN]]+Tabla_Buffers_Agroinsumos[[#This Row],[TRANSFERENCIAS A AN]]-Tabla_Buffers_Agroinsumos[[#This Row],[BUFFER AN]]-Tabla_Buffers_Agroinsumos[[#This Row],[TRANSFERENCIAS DE AN]],"")</f>
        <v>3</v>
      </c>
      <c r="DL368" s="134"/>
      <c r="DM368" s="134"/>
      <c r="DN368" s="134"/>
      <c r="DO368" s="134"/>
      <c r="DP368" s="134"/>
      <c r="DQ368" s="134"/>
      <c r="DR368" s="134"/>
      <c r="DS368" s="134"/>
      <c r="DT368" s="134"/>
      <c r="DU368" s="134">
        <f t="array" ref="DU368">IFERROR(INDEX(TABLACONSOLIDADA[Buff Act],MATCH("AGROINSUMOSAGROQUIMICOSSUR"&amp;Tabla_Buffers_Agroinsumos[[#This Row],[CODIGO ]],TABLACONSOLIDADA[Bodega]&amp;TABLACONSOLIDADA[Codigo],0)),"")</f>
        <v>0</v>
      </c>
      <c r="DV368" s="157">
        <f t="array" ref="DV368">IFERROR(INDEX(TABLACONSOLIDADA[Inv Fís Act],MATCH("AGROINSUMOSAGROQUIMICOSSUR"&amp;Tabla_Buffers_Agroinsumos[[#This Row],[CODIGO ]],TABLACONSOLIDADA[Bodega]&amp;TABLACONSOLIDADA[Codigo],0)),"")</f>
        <v>0</v>
      </c>
      <c r="DW368" s="157">
        <f t="array" ref="DW36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6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68" s="134">
        <f>IFERROR(SUM(Tabla_Buffers_Agroinsumos[[#This Row],[AS-MP]:[AS-VL]]),"")</f>
        <v>0</v>
      </c>
      <c r="DZ368" s="92">
        <f>IFERROR(Tabla_Buffers_Agroinsumos[[#This Row],[INV FIS AS]]-Tabla_Buffers_Agroinsumos[[#This Row],[BUFFER AS]],"")</f>
        <v>0</v>
      </c>
      <c r="EA36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68" s="134"/>
      <c r="EC368" s="134"/>
      <c r="ED368" s="134"/>
      <c r="EE368" s="134"/>
      <c r="EF368" s="134"/>
      <c r="EG368" s="134"/>
      <c r="EH368" s="134"/>
      <c r="EI368" s="134"/>
      <c r="EJ368" s="134"/>
      <c r="EK368" s="134">
        <f t="array" ref="EK368">IFERROR(INDEX(TABLACONSOLIDADA[Buff Act],MATCH("AGROINSUMOSLAFINCA"&amp;Tabla_Buffers_Agroinsumos[[#This Row],[CODIGO ]],TABLACONSOLIDADA[Bodega]&amp;TABLACONSOLIDADA[Codigo],0)),"")</f>
        <v>0</v>
      </c>
      <c r="EL368" s="157">
        <f t="array" ref="EL368">IFERROR(INDEX(TABLACONSOLIDADA[Inv Fís Act],MATCH("AGROINSUMOSLAFINCA"&amp;Tabla_Buffers_Agroinsumos[[#This Row],[CODIGO ]],TABLACONSOLIDADA[Bodega]&amp;TABLACONSOLIDADA[Codigo],0)),"")</f>
        <v>0</v>
      </c>
      <c r="EM368" s="157">
        <f t="array" ref="EM36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6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68" s="134">
        <f>IFERROR(SUM(Tabla_Buffers_Agroinsumos[[#This Row],[LF-MP]:[LF-VL]]),"")</f>
        <v>0</v>
      </c>
      <c r="EP368" s="92">
        <f>IFERROR(Tabla_Buffers_Agroinsumos[[#This Row],[INV FIS LF]]-Tabla_Buffers_Agroinsumos[[#This Row],[BUFFER LF]],"")</f>
        <v>0</v>
      </c>
      <c r="EQ36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68" s="134"/>
      <c r="ES368" s="134"/>
      <c r="ET368" s="134"/>
      <c r="EU368" s="134"/>
      <c r="EV368" s="134"/>
      <c r="EW368" s="134"/>
      <c r="EX368" s="134"/>
      <c r="EY368" s="134"/>
      <c r="EZ368" s="134"/>
      <c r="FA368" s="134">
        <f t="array" ref="FA368">IFERROR(INDEX(TABLACONSOLIDADA[Buff Act],MATCH("AGROINSUMOSVERONICALEDESMA"&amp;Tabla_Buffers_Agroinsumos[[#This Row],[CODIGO ]],TABLACONSOLIDADA[Bodega]&amp;TABLACONSOLIDADA[Codigo],0)),"")</f>
        <v>0</v>
      </c>
      <c r="FB368" s="157">
        <f t="array" ref="FB368">IFERROR(INDEX(TABLACONSOLIDADA[Inv Fís Act],MATCH("AGROINSUMOSVERONICALEDESMA"&amp;Tabla_Buffers_Agroinsumos[[#This Row],[CODIGO ]],TABLACONSOLIDADA[Bodega]&amp;TABLACONSOLIDADA[Codigo],0)),"")</f>
        <v>0</v>
      </c>
      <c r="FC368" s="157">
        <f t="array" ref="FC36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6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68" s="134">
        <f>IFERROR(SUM(Tabla_Buffers_Agroinsumos[[#This Row],[VL-MP]:[VL-LF]]),"")</f>
        <v>0</v>
      </c>
      <c r="FF368" s="92">
        <f>IFERROR(Tabla_Buffers_Agroinsumos[[#This Row],[INV FIS VL]]-Tabla_Buffers_Agroinsumos[[#This Row],[BUFFER VL]],"")</f>
        <v>0</v>
      </c>
      <c r="FG36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68" s="134"/>
      <c r="FI368" s="134"/>
      <c r="FJ368" s="134"/>
      <c r="FK368" s="134"/>
      <c r="FL368" s="134"/>
      <c r="FM368" s="134"/>
      <c r="FN368" s="134"/>
      <c r="FO368" s="134"/>
      <c r="FP368" s="134"/>
    </row>
    <row r="369" spans="1:172">
      <c r="A369" s="7" t="s">
        <v>619</v>
      </c>
      <c r="B369" s="7" t="s">
        <v>620</v>
      </c>
      <c r="C369" s="7" t="s">
        <v>709</v>
      </c>
      <c r="D369" s="7" t="s">
        <v>719</v>
      </c>
      <c r="E369" s="7" t="s">
        <v>975</v>
      </c>
      <c r="F369" s="19" t="s">
        <v>698</v>
      </c>
      <c r="G369" s="19" t="s">
        <v>698</v>
      </c>
      <c r="H369" s="19">
        <f>VLOOKUP(Tabla_Buffers_Agroinsumos[[#This Row],[CODIGO ]],TABLACONSOLIDADA[[Codigo]:[PV]],6,0)</f>
        <v>29</v>
      </c>
      <c r="I369" s="19">
        <f>VLOOKUP(Tabla_Buffers_Agroinsumos[[#This Row],[CODIGO ]],TABLACONSOLIDADA[[Codigo]:[PV]],5,0)</f>
        <v>11.05</v>
      </c>
      <c r="J369" s="19" t="s">
        <v>698</v>
      </c>
      <c r="K369" s="19" t="s">
        <v>698</v>
      </c>
      <c r="L369" s="19">
        <f>IFERROR(Tabla_Buffers_Agroinsumos[[#This Row],[BUFFER CENTRAL]]/((Tabla_Buffers_Agroinsumos[[#This Row],[TIEMPO REPOSICION ]]/Tabla_Buffers_Agroinsumos[[#This Row],[FRECUENCIA]])+1),0)</f>
        <v>0</v>
      </c>
      <c r="M369" s="19" t="str">
        <f t="array" ref="M369">IFERROR(INDEX(TABLACONSOLIDADA[Buff Act],MATCH("AGROINSUMOSMATERIAPRIMA"&amp;Tabla_Buffers_Agroinsumos[[#This Row],[CODIGO ]],TABLACONSOLIDADA[Bodega]&amp;TABLACONSOLIDADA[Codigo],0)),"")</f>
        <v/>
      </c>
      <c r="N369" s="157" t="str">
        <f t="array" ref="N369">IFERROR(INDEX(TABLACONSOLIDADA[Inv Fís Act],MATCH("AGROINSUMOSMATERIAPRIMA"&amp;Tabla_Buffers_Agroinsumos[[#This Row],[CODIGO ]],TABLACONSOLIDADA[Bodega]&amp;TABLACONSOLIDADA[Codigo],0)),"")</f>
        <v/>
      </c>
      <c r="O369" s="157" t="str">
        <f t="array" ref="O36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6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69" s="19">
        <f>IFERROR(SUM(Tabla_Buffers_Agroinsumos[[#This Row],[MP-C]:[MP-VL]]),"")</f>
        <v>0</v>
      </c>
      <c r="R369" s="92" t="str">
        <f>IFERROR(Tabla_Buffers_Agroinsumos[[#This Row],[INV FIS MATERIA PRIMA]]-Tabla_Buffers_Agroinsumos[[#This Row],[BUFFER MATERIA PRIMA]],"")</f>
        <v/>
      </c>
      <c r="S36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69" s="19"/>
      <c r="U369" s="19"/>
      <c r="V369" s="19"/>
      <c r="W369" s="19"/>
      <c r="X369" s="19"/>
      <c r="Y369" s="19"/>
      <c r="Z369" s="19"/>
      <c r="AA369" s="19"/>
      <c r="AB369" s="19"/>
      <c r="AC369" s="135">
        <f t="array" ref="AC369">IFERROR(INDEX(TABLACONSOLIDADA[Buff Act],MATCH("AGROINSUMOSCENTRAL"&amp;Tabla_Buffers_Agroinsumos[[#This Row],[CODIGO ]],TABLACONSOLIDADA[Bodega]&amp;TABLACONSOLIDADA[Codigo],0)),"")</f>
        <v>40</v>
      </c>
      <c r="AD369" s="157">
        <f t="array" ref="AD369">IFERROR(INDEX(TABLACONSOLIDADA[Inv Fís Act],MATCH("AGROINSUMOSCENTRAL"&amp;Tabla_Buffers_Agroinsumos[[#This Row],[CODIGO ]],TABLACONSOLIDADA[Bodega]&amp;TABLACONSOLIDADA[Codigo],0)),"")</f>
        <v>64</v>
      </c>
      <c r="AE369" s="157">
        <f t="array" ref="AE36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64</v>
      </c>
      <c r="AF36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69" s="91">
        <f>IFERROR(SUM(Tabla_Buffers_Agroinsumos[[#This Row],[C-MP]:[C-VL]]),"")</f>
        <v>0</v>
      </c>
      <c r="AH369" s="92">
        <f>IFERROR(Tabla_Buffers_Agroinsumos[[#This Row],[INV FIS CENTRAL]]-Tabla_Buffers_Agroinsumos[[#This Row],[BUFFER CENTRAL]],"")</f>
        <v>24</v>
      </c>
      <c r="AI36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24</v>
      </c>
      <c r="AJ369" s="134"/>
      <c r="AK369" s="134"/>
      <c r="AL369" s="134"/>
      <c r="AM369" s="134"/>
      <c r="AN369" s="134"/>
      <c r="AO369" s="134"/>
      <c r="AP369" s="134"/>
      <c r="AQ369" s="134"/>
      <c r="AR369" s="134"/>
      <c r="AS369" s="134">
        <f t="array" ref="AS369">IFERROR(INDEX(TABLACONSOLIDADA[Buff Act],MATCH("AGROINSUMOScentralPROPIA"&amp;Tabla_Buffers_Agroinsumos[[#This Row],[CODIGO ]],TABLACONSOLIDADA[Bodega]&amp;TABLACONSOLIDADA[Codigo],0)),"")</f>
        <v>12</v>
      </c>
      <c r="AT369" s="157">
        <f t="array" ref="AT369">IFERROR(INDEX(TABLACONSOLIDADA[Inv Fís Act],MATCH("AGROINSUMOScentralPROPIA"&amp;Tabla_Buffers_Agroinsumos[[#This Row],[CODIGO ]],TABLACONSOLIDADA[Bodega]&amp;TABLACONSOLIDADA[Codigo],0)),"")</f>
        <v>0</v>
      </c>
      <c r="AU369" s="157">
        <f t="array" ref="AU36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6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69" s="134">
        <f>IFERROR(SUM(Tabla_Buffers_Agroinsumos[[#This Row],[P-MP]:[P-VL]]),"")</f>
        <v>0</v>
      </c>
      <c r="AX369" s="92">
        <f>IFERROR(Tabla_Buffers_Agroinsumos[[#This Row],[INV FIS PROPIA]]-Tabla_Buffers_Agroinsumos[[#This Row],[BUFFER PROPIA]],"")</f>
        <v>-12</v>
      </c>
      <c r="AY36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</v>
      </c>
      <c r="AZ369" s="134"/>
      <c r="BA369" s="134"/>
      <c r="BB369" s="134"/>
      <c r="BC369" s="134"/>
      <c r="BD369" s="134"/>
      <c r="BE369" s="134"/>
      <c r="BF369" s="134"/>
      <c r="BG369" s="134"/>
      <c r="BH369" s="134"/>
      <c r="BI369" s="91">
        <f t="array" ref="BI369">IFERROR(INDEX(TABLACONSOLIDADA[Buff Act],MATCH("AGROINSUMOSSTODOMINGO"&amp;Tabla_Buffers_Agroinsumos[[#This Row],[CODIGO ]],TABLACONSOLIDADA[Bodega]&amp;TABLACONSOLIDADA[Codigo],0)),"")</f>
        <v>0</v>
      </c>
      <c r="BJ369" s="157">
        <f t="array" ref="BJ369">IFERROR(INDEX(TABLACONSOLIDADA[Inv Fís Act],MATCH("AGROINSUMOSSTODOMINGO"&amp;Tabla_Buffers_Agroinsumos[[#This Row],[CODIGO ]],TABLACONSOLIDADA[Bodega]&amp;TABLACONSOLIDADA[Codigo],0)),"")</f>
        <v>20</v>
      </c>
      <c r="BK369" s="157">
        <f t="array" ref="BK36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20</v>
      </c>
      <c r="BL36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69" s="91">
        <f>IFERROR(SUM(Tabla_Buffers_Agroinsumos[[#This Row],[SD-MP]:[SD-VL]]),"")</f>
        <v>0</v>
      </c>
      <c r="BN369" s="92"/>
      <c r="BO369" s="92"/>
      <c r="BP369" s="134"/>
      <c r="BQ369" s="134"/>
      <c r="BR369" s="134"/>
      <c r="BS369" s="134"/>
      <c r="BT369" s="134"/>
      <c r="BU369" s="134"/>
      <c r="BV369" s="134"/>
      <c r="BW369" s="134"/>
      <c r="BX369" s="134"/>
      <c r="BY369" s="134">
        <f t="array" ref="BY369">IFERROR(INDEX(TABLACONSOLIDADA[Buff Act],MATCH("AGROINSUMOSMONCAYOLOPEZ"&amp;Tabla_Buffers_Agroinsumos[[#This Row],[CODIGO ]],TABLACONSOLIDADA[Bodega]&amp;TABLACONSOLIDADA[Codigo],0)),"")</f>
        <v>0</v>
      </c>
      <c r="BZ369" s="157">
        <f t="array" ref="BZ369">IFERROR(INDEX(TABLACONSOLIDADA[Inv Fís Act],MATCH("AGROINSUMOSMONCAYOLOPEZ"&amp;Tabla_Buffers_Agroinsumos[[#This Row],[CODIGO ]],TABLACONSOLIDADA[Bodega]&amp;TABLACONSOLIDADA[Codigo],0)),"")</f>
        <v>0</v>
      </c>
      <c r="CA369" s="157">
        <f t="array" ref="CA36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6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69" s="134">
        <f>IFERROR(SUM(Tabla_Buffers_Agroinsumos[[#This Row],[ML-MP]:[ML-VL]]),"")</f>
        <v>0</v>
      </c>
      <c r="CD369" s="92">
        <f>IFERROR(Tabla_Buffers_Agroinsumos[[#This Row],[INV FIS ML]]-Tabla_Buffers_Agroinsumos[[#This Row],[BUFFER ML]],"")</f>
        <v>0</v>
      </c>
      <c r="CE36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69" s="134"/>
      <c r="CG369" s="134"/>
      <c r="CH369" s="134"/>
      <c r="CI369" s="134"/>
      <c r="CJ369" s="134"/>
      <c r="CK369" s="134"/>
      <c r="CL369" s="134"/>
      <c r="CM369" s="134"/>
      <c r="CN369" s="134"/>
      <c r="CO369" s="134">
        <f t="array" ref="CO369">IFERROR(INDEX(TABLACONSOLIDADA[Buff Act],MATCH("AGROINSUMOSAGROHERMANOSLEON"&amp;Tabla_Buffers_Agroinsumos[[#This Row],[CODIGO ]],TABLACONSOLIDADA[Bodega]&amp;TABLACONSOLIDADA[Codigo],0)),"")</f>
        <v>20</v>
      </c>
      <c r="CP369" s="157">
        <f t="array" ref="CP369">IFERROR(INDEX(TABLACONSOLIDADA[Inv Fís Act],MATCH("AGROINSUMOSAGROHERMANOSLEON"&amp;Tabla_Buffers_Agroinsumos[[#This Row],[CODIGO ]],TABLACONSOLIDADA[Bodega]&amp;TABLACONSOLIDADA[Codigo],0)),"")</f>
        <v>30</v>
      </c>
      <c r="CQ369" s="157">
        <f t="array" ref="CQ36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30</v>
      </c>
      <c r="CR36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69" s="134">
        <f>IFERROR(SUM(Tabla_Buffers_Agroinsumos[[#This Row],[AL-MP]:[AL-VL]]),"")</f>
        <v>0</v>
      </c>
      <c r="CT369" s="92">
        <f>IFERROR(Tabla_Buffers_Agroinsumos[[#This Row],[INV FIS AL]]-Tabla_Buffers_Agroinsumos[[#This Row],[BUFFER AL]],"")</f>
        <v>10</v>
      </c>
      <c r="CU369" s="92">
        <f>IFERROR(Tabla_Buffers_Agroinsumos[[#This Row],[INV FIS AL]]+Tabla_Buffers_Agroinsumos[[#This Row],[TRANSFERENCIAS A AL]]-Tabla_Buffers_Agroinsumos[[#This Row],[BUFFER AL]]-Tabla_Buffers_Agroinsumos[[#This Row],[TRANSFERENCIAS DE AL]],"")</f>
        <v>10</v>
      </c>
      <c r="CV369" s="134"/>
      <c r="CW369" s="134"/>
      <c r="CX369" s="134"/>
      <c r="CY369" s="134"/>
      <c r="CZ369" s="134"/>
      <c r="DA369" s="134"/>
      <c r="DB369" s="134"/>
      <c r="DC369" s="134"/>
      <c r="DD369" s="134"/>
      <c r="DE369" s="134">
        <f t="array" ref="DE369">IFERROR(INDEX(TABLACONSOLIDADA[Buff Act],MATCH("AGROINSUMOSAGRONUEVO"&amp;Tabla_Buffers_Agroinsumos[[#This Row],[CODIGO ]],TABLACONSOLIDADA[Bodega]&amp;TABLACONSOLIDADA[Codigo],0)),"")</f>
        <v>0</v>
      </c>
      <c r="DF369" s="157">
        <f t="array" ref="DF369">IFERROR(INDEX(TABLACONSOLIDADA[Inv Fís Act],MATCH("AGROINSUMOSAGRONUEVO"&amp;Tabla_Buffers_Agroinsumos[[#This Row],[CODIGO ]],TABLACONSOLIDADA[Bodega]&amp;TABLACONSOLIDADA[Codigo],0)),"")</f>
        <v>0</v>
      </c>
      <c r="DG369" s="157">
        <f t="array" ref="DG36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6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69" s="134">
        <f>IFERROR(SUM(Tabla_Buffers_Agroinsumos[[#This Row],[AN-MP]:[AN-VL]]),"")</f>
        <v>0</v>
      </c>
      <c r="DJ369" s="92">
        <f>IFERROR(Tabla_Buffers_Agroinsumos[[#This Row],[INV FIS AN]]-Tabla_Buffers_Agroinsumos[[#This Row],[BUFFER AN]],"")</f>
        <v>0</v>
      </c>
      <c r="DK36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69" s="134"/>
      <c r="DM369" s="134"/>
      <c r="DN369" s="134"/>
      <c r="DO369" s="134"/>
      <c r="DP369" s="134"/>
      <c r="DQ369" s="134"/>
      <c r="DR369" s="134"/>
      <c r="DS369" s="134"/>
      <c r="DT369" s="134"/>
      <c r="DU369" s="134">
        <f t="array" ref="DU369">IFERROR(INDEX(TABLACONSOLIDADA[Buff Act],MATCH("AGROINSUMOSAGROQUIMICOSSUR"&amp;Tabla_Buffers_Agroinsumos[[#This Row],[CODIGO ]],TABLACONSOLIDADA[Bodega]&amp;TABLACONSOLIDADA[Codigo],0)),"")</f>
        <v>0</v>
      </c>
      <c r="DV369" s="157">
        <f t="array" ref="DV369">IFERROR(INDEX(TABLACONSOLIDADA[Inv Fís Act],MATCH("AGROINSUMOSAGROQUIMICOSSUR"&amp;Tabla_Buffers_Agroinsumos[[#This Row],[CODIGO ]],TABLACONSOLIDADA[Bodega]&amp;TABLACONSOLIDADA[Codigo],0)),"")</f>
        <v>0</v>
      </c>
      <c r="DW369" s="157">
        <f t="array" ref="DW36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6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69" s="134">
        <f>IFERROR(SUM(Tabla_Buffers_Agroinsumos[[#This Row],[AS-MP]:[AS-VL]]),"")</f>
        <v>0</v>
      </c>
      <c r="DZ369" s="92">
        <f>IFERROR(Tabla_Buffers_Agroinsumos[[#This Row],[INV FIS AS]]-Tabla_Buffers_Agroinsumos[[#This Row],[BUFFER AS]],"")</f>
        <v>0</v>
      </c>
      <c r="EA36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69" s="134"/>
      <c r="EC369" s="134"/>
      <c r="ED369" s="134"/>
      <c r="EE369" s="134"/>
      <c r="EF369" s="134"/>
      <c r="EG369" s="134"/>
      <c r="EH369" s="134"/>
      <c r="EI369" s="134"/>
      <c r="EJ369" s="134"/>
      <c r="EK369" s="134">
        <f t="array" ref="EK369">IFERROR(INDEX(TABLACONSOLIDADA[Buff Act],MATCH("AGROINSUMOSLAFINCA"&amp;Tabla_Buffers_Agroinsumos[[#This Row],[CODIGO ]],TABLACONSOLIDADA[Bodega]&amp;TABLACONSOLIDADA[Codigo],0)),"")</f>
        <v>0</v>
      </c>
      <c r="EL369" s="157">
        <f t="array" ref="EL369">IFERROR(INDEX(TABLACONSOLIDADA[Inv Fís Act],MATCH("AGROINSUMOSLAFINCA"&amp;Tabla_Buffers_Agroinsumos[[#This Row],[CODIGO ]],TABLACONSOLIDADA[Bodega]&amp;TABLACONSOLIDADA[Codigo],0)),"")</f>
        <v>0</v>
      </c>
      <c r="EM369" s="157">
        <f t="array" ref="EM36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6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69" s="134">
        <f>IFERROR(SUM(Tabla_Buffers_Agroinsumos[[#This Row],[LF-MP]:[LF-VL]]),"")</f>
        <v>0</v>
      </c>
      <c r="EP369" s="92">
        <f>IFERROR(Tabla_Buffers_Agroinsumos[[#This Row],[INV FIS LF]]-Tabla_Buffers_Agroinsumos[[#This Row],[BUFFER LF]],"")</f>
        <v>0</v>
      </c>
      <c r="EQ36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69" s="134"/>
      <c r="ES369" s="134"/>
      <c r="ET369" s="134"/>
      <c r="EU369" s="134"/>
      <c r="EV369" s="134"/>
      <c r="EW369" s="134"/>
      <c r="EX369" s="134"/>
      <c r="EY369" s="134"/>
      <c r="EZ369" s="134"/>
      <c r="FA369" s="134">
        <f t="array" ref="FA369">IFERROR(INDEX(TABLACONSOLIDADA[Buff Act],MATCH("AGROINSUMOSVERONICALEDESMA"&amp;Tabla_Buffers_Agroinsumos[[#This Row],[CODIGO ]],TABLACONSOLIDADA[Bodega]&amp;TABLACONSOLIDADA[Codigo],0)),"")</f>
        <v>0</v>
      </c>
      <c r="FB369" s="157">
        <f t="array" ref="FB369">IFERROR(INDEX(TABLACONSOLIDADA[Inv Fís Act],MATCH("AGROINSUMOSVERONICALEDESMA"&amp;Tabla_Buffers_Agroinsumos[[#This Row],[CODIGO ]],TABLACONSOLIDADA[Bodega]&amp;TABLACONSOLIDADA[Codigo],0)),"")</f>
        <v>0</v>
      </c>
      <c r="FC369" s="157">
        <f t="array" ref="FC36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6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69" s="134">
        <f>IFERROR(SUM(Tabla_Buffers_Agroinsumos[[#This Row],[VL-MP]:[VL-LF]]),"")</f>
        <v>0</v>
      </c>
      <c r="FF369" s="92">
        <f>IFERROR(Tabla_Buffers_Agroinsumos[[#This Row],[INV FIS VL]]-Tabla_Buffers_Agroinsumos[[#This Row],[BUFFER VL]],"")</f>
        <v>0</v>
      </c>
      <c r="FG36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69" s="134"/>
      <c r="FI369" s="134"/>
      <c r="FJ369" s="134"/>
      <c r="FK369" s="134"/>
      <c r="FL369" s="134"/>
      <c r="FM369" s="134"/>
      <c r="FN369" s="134"/>
      <c r="FO369" s="134"/>
      <c r="FP369" s="134"/>
    </row>
    <row r="370" spans="1:172">
      <c r="A370" s="7" t="s">
        <v>621</v>
      </c>
      <c r="B370" s="7" t="s">
        <v>622</v>
      </c>
      <c r="C370" s="7" t="s">
        <v>712</v>
      </c>
      <c r="D370" s="7" t="s">
        <v>719</v>
      </c>
      <c r="E370" s="7" t="s">
        <v>975</v>
      </c>
      <c r="F370" s="19" t="s">
        <v>698</v>
      </c>
      <c r="G370" s="19" t="s">
        <v>698</v>
      </c>
      <c r="H370" s="19">
        <f>VLOOKUP(Tabla_Buffers_Agroinsumos[[#This Row],[CODIGO ]],TABLACONSOLIDADA[[Codigo]:[PV]],6,0)</f>
        <v>1.99</v>
      </c>
      <c r="I370" s="19">
        <f>VLOOKUP(Tabla_Buffers_Agroinsumos[[#This Row],[CODIGO ]],TABLACONSOLIDADA[[Codigo]:[PV]],5,0)</f>
        <v>0.7</v>
      </c>
      <c r="J370" s="19" t="s">
        <v>698</v>
      </c>
      <c r="K370" s="19" t="s">
        <v>698</v>
      </c>
      <c r="L370" s="19">
        <f>IFERROR(Tabla_Buffers_Agroinsumos[[#This Row],[BUFFER CENTRAL]]/((Tabla_Buffers_Agroinsumos[[#This Row],[TIEMPO REPOSICION ]]/Tabla_Buffers_Agroinsumos[[#This Row],[FRECUENCIA]])+1),0)</f>
        <v>0</v>
      </c>
      <c r="M370" s="19" t="str">
        <f t="array" ref="M370">IFERROR(INDEX(TABLACONSOLIDADA[Buff Act],MATCH("AGROINSUMOSMATERIAPRIMA"&amp;Tabla_Buffers_Agroinsumos[[#This Row],[CODIGO ]],TABLACONSOLIDADA[Bodega]&amp;TABLACONSOLIDADA[Codigo],0)),"")</f>
        <v/>
      </c>
      <c r="N370" s="157" t="str">
        <f t="array" ref="N370">IFERROR(INDEX(TABLACONSOLIDADA[Inv Fís Act],MATCH("AGROINSUMOSMATERIAPRIMA"&amp;Tabla_Buffers_Agroinsumos[[#This Row],[CODIGO ]],TABLACONSOLIDADA[Bodega]&amp;TABLACONSOLIDADA[Codigo],0)),"")</f>
        <v/>
      </c>
      <c r="O370" s="157" t="str">
        <f t="array" ref="O37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7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70" s="19">
        <f>IFERROR(SUM(Tabla_Buffers_Agroinsumos[[#This Row],[MP-C]:[MP-VL]]),"")</f>
        <v>0</v>
      </c>
      <c r="R370" s="92" t="str">
        <f>IFERROR(Tabla_Buffers_Agroinsumos[[#This Row],[INV FIS MATERIA PRIMA]]-Tabla_Buffers_Agroinsumos[[#This Row],[BUFFER MATERIA PRIMA]],"")</f>
        <v/>
      </c>
      <c r="S37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70" s="19"/>
      <c r="U370" s="19"/>
      <c r="V370" s="19"/>
      <c r="W370" s="19"/>
      <c r="X370" s="19"/>
      <c r="Y370" s="19"/>
      <c r="Z370" s="19"/>
      <c r="AA370" s="19"/>
      <c r="AB370" s="19"/>
      <c r="AC370" s="135">
        <f t="array" ref="AC370">IFERROR(INDEX(TABLACONSOLIDADA[Buff Act],MATCH("AGROINSUMOSCENTRAL"&amp;Tabla_Buffers_Agroinsumos[[#This Row],[CODIGO ]],TABLACONSOLIDADA[Bodega]&amp;TABLACONSOLIDADA[Codigo],0)),"")</f>
        <v>800</v>
      </c>
      <c r="AD370" s="157">
        <f t="array" ref="AD370">IFERROR(INDEX(TABLACONSOLIDADA[Inv Fís Act],MATCH("AGROINSUMOSCENTRAL"&amp;Tabla_Buffers_Agroinsumos[[#This Row],[CODIGO ]],TABLACONSOLIDADA[Bodega]&amp;TABLACONSOLIDADA[Codigo],0)),"")</f>
        <v>52</v>
      </c>
      <c r="AE370" s="157">
        <f t="array" ref="AE37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800</v>
      </c>
      <c r="AF37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70" s="91">
        <f>IFERROR(SUM(Tabla_Buffers_Agroinsumos[[#This Row],[C-MP]:[C-VL]]),"")</f>
        <v>0</v>
      </c>
      <c r="AH370" s="92">
        <f>IFERROR(Tabla_Buffers_Agroinsumos[[#This Row],[INV FIS CENTRAL]]-Tabla_Buffers_Agroinsumos[[#This Row],[BUFFER CENTRAL]],"")</f>
        <v>-748</v>
      </c>
      <c r="AI37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-748</v>
      </c>
      <c r="AJ370" s="134"/>
      <c r="AK370" s="134"/>
      <c r="AL370" s="134"/>
      <c r="AM370" s="134"/>
      <c r="AN370" s="134"/>
      <c r="AO370" s="134"/>
      <c r="AP370" s="134"/>
      <c r="AQ370" s="134"/>
      <c r="AR370" s="134"/>
      <c r="AS370" s="134">
        <f t="array" ref="AS370">IFERROR(INDEX(TABLACONSOLIDADA[Buff Act],MATCH("AGROINSUMOScentralPROPIA"&amp;Tabla_Buffers_Agroinsumos[[#This Row],[CODIGO ]],TABLACONSOLIDADA[Bodega]&amp;TABLACONSOLIDADA[Codigo],0)),"")</f>
        <v>120</v>
      </c>
      <c r="AT370" s="157">
        <f t="array" ref="AT370">IFERROR(INDEX(TABLACONSOLIDADA[Inv Fís Act],MATCH("AGROINSUMOScentralPROPIA"&amp;Tabla_Buffers_Agroinsumos[[#This Row],[CODIGO ]],TABLACONSOLIDADA[Bodega]&amp;TABLACONSOLIDADA[Codigo],0)),"")</f>
        <v>0</v>
      </c>
      <c r="AU370" s="157">
        <f t="array" ref="AU37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7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70" s="134">
        <f>IFERROR(SUM(Tabla_Buffers_Agroinsumos[[#This Row],[P-MP]:[P-VL]]),"")</f>
        <v>0</v>
      </c>
      <c r="AX370" s="92">
        <f>IFERROR(Tabla_Buffers_Agroinsumos[[#This Row],[INV FIS PROPIA]]-Tabla_Buffers_Agroinsumos[[#This Row],[BUFFER PROPIA]],"")</f>
        <v>-120</v>
      </c>
      <c r="AY37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-120</v>
      </c>
      <c r="AZ370" s="134"/>
      <c r="BA370" s="134"/>
      <c r="BB370" s="134"/>
      <c r="BC370" s="134"/>
      <c r="BD370" s="134"/>
      <c r="BE370" s="134"/>
      <c r="BF370" s="134"/>
      <c r="BG370" s="134"/>
      <c r="BH370" s="134"/>
      <c r="BI370" s="91">
        <f t="array" ref="BI370">IFERROR(INDEX(TABLACONSOLIDADA[Buff Act],MATCH("AGROINSUMOSSTODOMINGO"&amp;Tabla_Buffers_Agroinsumos[[#This Row],[CODIGO ]],TABLACONSOLIDADA[Bodega]&amp;TABLACONSOLIDADA[Codigo],0)),"")</f>
        <v>0</v>
      </c>
      <c r="BJ370" s="157">
        <f t="array" ref="BJ370">IFERROR(INDEX(TABLACONSOLIDADA[Inv Fís Act],MATCH("AGROINSUMOSSTODOMINGO"&amp;Tabla_Buffers_Agroinsumos[[#This Row],[CODIGO ]],TABLACONSOLIDADA[Bodega]&amp;TABLACONSOLIDADA[Codigo],0)),"")</f>
        <v>0</v>
      </c>
      <c r="BK370" s="157">
        <f t="array" ref="BK37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7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70" s="91">
        <f>IFERROR(SUM(Tabla_Buffers_Agroinsumos[[#This Row],[SD-MP]:[SD-VL]]),"")</f>
        <v>0</v>
      </c>
      <c r="BN370" s="92"/>
      <c r="BO370" s="92"/>
      <c r="BP370" s="134"/>
      <c r="BQ370" s="134"/>
      <c r="BR370" s="134"/>
      <c r="BS370" s="134"/>
      <c r="BT370" s="134"/>
      <c r="BU370" s="134"/>
      <c r="BV370" s="134"/>
      <c r="BW370" s="134"/>
      <c r="BX370" s="134"/>
      <c r="BY370" s="134">
        <f t="array" ref="BY370">IFERROR(INDEX(TABLACONSOLIDADA[Buff Act],MATCH("AGROINSUMOSMONCAYOLOPEZ"&amp;Tabla_Buffers_Agroinsumos[[#This Row],[CODIGO ]],TABLACONSOLIDADA[Bodega]&amp;TABLACONSOLIDADA[Codigo],0)),"")</f>
        <v>0</v>
      </c>
      <c r="BZ370" s="157">
        <f t="array" ref="BZ370">IFERROR(INDEX(TABLACONSOLIDADA[Inv Fís Act],MATCH("AGROINSUMOSMONCAYOLOPEZ"&amp;Tabla_Buffers_Agroinsumos[[#This Row],[CODIGO ]],TABLACONSOLIDADA[Bodega]&amp;TABLACONSOLIDADA[Codigo],0)),"")</f>
        <v>0</v>
      </c>
      <c r="CA370" s="157">
        <f t="array" ref="CA37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7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70" s="134">
        <f>IFERROR(SUM(Tabla_Buffers_Agroinsumos[[#This Row],[ML-MP]:[ML-VL]]),"")</f>
        <v>0</v>
      </c>
      <c r="CD370" s="92">
        <f>IFERROR(Tabla_Buffers_Agroinsumos[[#This Row],[INV FIS ML]]-Tabla_Buffers_Agroinsumos[[#This Row],[BUFFER ML]],"")</f>
        <v>0</v>
      </c>
      <c r="CE37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70" s="134"/>
      <c r="CG370" s="134"/>
      <c r="CH370" s="134"/>
      <c r="CI370" s="134"/>
      <c r="CJ370" s="134"/>
      <c r="CK370" s="134"/>
      <c r="CL370" s="134"/>
      <c r="CM370" s="134"/>
      <c r="CN370" s="134"/>
      <c r="CO370" s="134">
        <f t="array" ref="CO370">IFERROR(INDEX(TABLACONSOLIDADA[Buff Act],MATCH("AGROINSUMOSAGROHERMANOSLEON"&amp;Tabla_Buffers_Agroinsumos[[#This Row],[CODIGO ]],TABLACONSOLIDADA[Bodega]&amp;TABLACONSOLIDADA[Codigo],0)),"")</f>
        <v>0</v>
      </c>
      <c r="CP370" s="157">
        <f t="array" ref="CP370">IFERROR(INDEX(TABLACONSOLIDADA[Inv Fís Act],MATCH("AGROINSUMOSAGROHERMANOSLEON"&amp;Tabla_Buffers_Agroinsumos[[#This Row],[CODIGO ]],TABLACONSOLIDADA[Bodega]&amp;TABLACONSOLIDADA[Codigo],0)),"")</f>
        <v>0</v>
      </c>
      <c r="CQ370" s="157">
        <f t="array" ref="CQ37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7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70" s="134">
        <f>IFERROR(SUM(Tabla_Buffers_Agroinsumos[[#This Row],[AL-MP]:[AL-VL]]),"")</f>
        <v>0</v>
      </c>
      <c r="CT370" s="92">
        <f>IFERROR(Tabla_Buffers_Agroinsumos[[#This Row],[INV FIS AL]]-Tabla_Buffers_Agroinsumos[[#This Row],[BUFFER AL]],"")</f>
        <v>0</v>
      </c>
      <c r="CU370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70" s="134"/>
      <c r="CW370" s="134"/>
      <c r="CX370" s="134"/>
      <c r="CY370" s="134"/>
      <c r="CZ370" s="134"/>
      <c r="DA370" s="134"/>
      <c r="DB370" s="134"/>
      <c r="DC370" s="134"/>
      <c r="DD370" s="134"/>
      <c r="DE370" s="134">
        <f t="array" ref="DE370">IFERROR(INDEX(TABLACONSOLIDADA[Buff Act],MATCH("AGROINSUMOSAGRONUEVO"&amp;Tabla_Buffers_Agroinsumos[[#This Row],[CODIGO ]],TABLACONSOLIDADA[Bodega]&amp;TABLACONSOLIDADA[Codigo],0)),"")</f>
        <v>0</v>
      </c>
      <c r="DF370" s="157">
        <f t="array" ref="DF370">IFERROR(INDEX(TABLACONSOLIDADA[Inv Fís Act],MATCH("AGROINSUMOSAGRONUEVO"&amp;Tabla_Buffers_Agroinsumos[[#This Row],[CODIGO ]],TABLACONSOLIDADA[Bodega]&amp;TABLACONSOLIDADA[Codigo],0)),"")</f>
        <v>0</v>
      </c>
      <c r="DG370" s="157">
        <f t="array" ref="DG37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7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70" s="134">
        <f>IFERROR(SUM(Tabla_Buffers_Agroinsumos[[#This Row],[AN-MP]:[AN-VL]]),"")</f>
        <v>0</v>
      </c>
      <c r="DJ370" s="92">
        <f>IFERROR(Tabla_Buffers_Agroinsumos[[#This Row],[INV FIS AN]]-Tabla_Buffers_Agroinsumos[[#This Row],[BUFFER AN]],"")</f>
        <v>0</v>
      </c>
      <c r="DK37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70" s="134"/>
      <c r="DM370" s="134"/>
      <c r="DN370" s="134"/>
      <c r="DO370" s="134"/>
      <c r="DP370" s="134"/>
      <c r="DQ370" s="134"/>
      <c r="DR370" s="134"/>
      <c r="DS370" s="134"/>
      <c r="DT370" s="134"/>
      <c r="DU370" s="134">
        <f t="array" ref="DU370">IFERROR(INDEX(TABLACONSOLIDADA[Buff Act],MATCH("AGROINSUMOSAGROQUIMICOSSUR"&amp;Tabla_Buffers_Agroinsumos[[#This Row],[CODIGO ]],TABLACONSOLIDADA[Bodega]&amp;TABLACONSOLIDADA[Codigo],0)),"")</f>
        <v>0</v>
      </c>
      <c r="DV370" s="157">
        <f t="array" ref="DV370">IFERROR(INDEX(TABLACONSOLIDADA[Inv Fís Act],MATCH("AGROINSUMOSAGROQUIMICOSSUR"&amp;Tabla_Buffers_Agroinsumos[[#This Row],[CODIGO ]],TABLACONSOLIDADA[Bodega]&amp;TABLACONSOLIDADA[Codigo],0)),"")</f>
        <v>0</v>
      </c>
      <c r="DW370" s="157">
        <f t="array" ref="DW37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7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70" s="134">
        <f>IFERROR(SUM(Tabla_Buffers_Agroinsumos[[#This Row],[AS-MP]:[AS-VL]]),"")</f>
        <v>0</v>
      </c>
      <c r="DZ370" s="92">
        <f>IFERROR(Tabla_Buffers_Agroinsumos[[#This Row],[INV FIS AS]]-Tabla_Buffers_Agroinsumos[[#This Row],[BUFFER AS]],"")</f>
        <v>0</v>
      </c>
      <c r="EA37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70" s="134"/>
      <c r="EC370" s="134"/>
      <c r="ED370" s="134"/>
      <c r="EE370" s="134"/>
      <c r="EF370" s="134"/>
      <c r="EG370" s="134"/>
      <c r="EH370" s="134"/>
      <c r="EI370" s="134"/>
      <c r="EJ370" s="134"/>
      <c r="EK370" s="134">
        <f t="array" ref="EK370">IFERROR(INDEX(TABLACONSOLIDADA[Buff Act],MATCH("AGROINSUMOSLAFINCA"&amp;Tabla_Buffers_Agroinsumos[[#This Row],[CODIGO ]],TABLACONSOLIDADA[Bodega]&amp;TABLACONSOLIDADA[Codigo],0)),"")</f>
        <v>25</v>
      </c>
      <c r="EL370" s="157">
        <f t="array" ref="EL370">IFERROR(INDEX(TABLACONSOLIDADA[Inv Fís Act],MATCH("AGROINSUMOSLAFINCA"&amp;Tabla_Buffers_Agroinsumos[[#This Row],[CODIGO ]],TABLACONSOLIDADA[Bodega]&amp;TABLACONSOLIDADA[Codigo],0)),"")</f>
        <v>12</v>
      </c>
      <c r="EM370" s="157">
        <f t="array" ref="EM37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12</v>
      </c>
      <c r="EN37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70" s="134">
        <f>IFERROR(SUM(Tabla_Buffers_Agroinsumos[[#This Row],[LF-MP]:[LF-VL]]),"")</f>
        <v>0</v>
      </c>
      <c r="EP370" s="92">
        <f>IFERROR(Tabla_Buffers_Agroinsumos[[#This Row],[INV FIS LF]]-Tabla_Buffers_Agroinsumos[[#This Row],[BUFFER LF]],"")</f>
        <v>-13</v>
      </c>
      <c r="EQ370" s="92">
        <f>IFERROR(Tabla_Buffers_Agroinsumos[[#This Row],[INV FIS LF]]+Tabla_Buffers_Agroinsumos[[#This Row],[TRANSFERENCIAS A LF]]-Tabla_Buffers_Agroinsumos[[#This Row],[BUFFER LF]]-Tabla_Buffers_Agroinsumos[[#This Row],[TRANSFERENCIAS DE LF]],"")</f>
        <v>-13</v>
      </c>
      <c r="ER370" s="134"/>
      <c r="ES370" s="134"/>
      <c r="ET370" s="134"/>
      <c r="EU370" s="134"/>
      <c r="EV370" s="134"/>
      <c r="EW370" s="134"/>
      <c r="EX370" s="134"/>
      <c r="EY370" s="134"/>
      <c r="EZ370" s="134"/>
      <c r="FA370" s="134">
        <f t="array" ref="FA370">IFERROR(INDEX(TABLACONSOLIDADA[Buff Act],MATCH("AGROINSUMOSVERONICALEDESMA"&amp;Tabla_Buffers_Agroinsumos[[#This Row],[CODIGO ]],TABLACONSOLIDADA[Bodega]&amp;TABLACONSOLIDADA[Codigo],0)),"")</f>
        <v>0</v>
      </c>
      <c r="FB370" s="157">
        <f t="array" ref="FB370">IFERROR(INDEX(TABLACONSOLIDADA[Inv Fís Act],MATCH("AGROINSUMOSVERONICALEDESMA"&amp;Tabla_Buffers_Agroinsumos[[#This Row],[CODIGO ]],TABLACONSOLIDADA[Bodega]&amp;TABLACONSOLIDADA[Codigo],0)),"")</f>
        <v>0</v>
      </c>
      <c r="FC370" s="157">
        <f t="array" ref="FC37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7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70" s="134">
        <f>IFERROR(SUM(Tabla_Buffers_Agroinsumos[[#This Row],[VL-MP]:[VL-LF]]),"")</f>
        <v>0</v>
      </c>
      <c r="FF370" s="92">
        <f>IFERROR(Tabla_Buffers_Agroinsumos[[#This Row],[INV FIS VL]]-Tabla_Buffers_Agroinsumos[[#This Row],[BUFFER VL]],"")</f>
        <v>0</v>
      </c>
      <c r="FG37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70" s="134"/>
      <c r="FI370" s="134"/>
      <c r="FJ370" s="134"/>
      <c r="FK370" s="134"/>
      <c r="FL370" s="134"/>
      <c r="FM370" s="134"/>
      <c r="FN370" s="134"/>
      <c r="FO370" s="134"/>
      <c r="FP370" s="134"/>
    </row>
    <row r="371" spans="1:172">
      <c r="A371" s="7" t="s">
        <v>623</v>
      </c>
      <c r="B371" s="7" t="s">
        <v>624</v>
      </c>
      <c r="C371" s="7" t="s">
        <v>712</v>
      </c>
      <c r="D371" s="7" t="s">
        <v>719</v>
      </c>
      <c r="E371" s="7" t="s">
        <v>975</v>
      </c>
      <c r="F371" s="19" t="s">
        <v>698</v>
      </c>
      <c r="G371" s="19" t="s">
        <v>698</v>
      </c>
      <c r="H371" s="19">
        <f>VLOOKUP(Tabla_Buffers_Agroinsumos[[#This Row],[CODIGO ]],TABLACONSOLIDADA[[Codigo]:[PV]],6,0)</f>
        <v>2.99</v>
      </c>
      <c r="I371" s="19">
        <f>VLOOKUP(Tabla_Buffers_Agroinsumos[[#This Row],[CODIGO ]],TABLACONSOLIDADA[[Codigo]:[PV]],5,0)</f>
        <v>1.3</v>
      </c>
      <c r="J371" s="19" t="s">
        <v>698</v>
      </c>
      <c r="K371" s="19" t="s">
        <v>698</v>
      </c>
      <c r="L371" s="19">
        <f>IFERROR(Tabla_Buffers_Agroinsumos[[#This Row],[BUFFER CENTRAL]]/((Tabla_Buffers_Agroinsumos[[#This Row],[TIEMPO REPOSICION ]]/Tabla_Buffers_Agroinsumos[[#This Row],[FRECUENCIA]])+1),0)</f>
        <v>0</v>
      </c>
      <c r="M371" s="19" t="str">
        <f t="array" ref="M371">IFERROR(INDEX(TABLACONSOLIDADA[Buff Act],MATCH("AGROINSUMOSMATERIAPRIMA"&amp;Tabla_Buffers_Agroinsumos[[#This Row],[CODIGO ]],TABLACONSOLIDADA[Bodega]&amp;TABLACONSOLIDADA[Codigo],0)),"")</f>
        <v/>
      </c>
      <c r="N371" s="157" t="str">
        <f t="array" ref="N371">IFERROR(INDEX(TABLACONSOLIDADA[Inv Fís Act],MATCH("AGROINSUMOSMATERIAPRIMA"&amp;Tabla_Buffers_Agroinsumos[[#This Row],[CODIGO ]],TABLACONSOLIDADA[Bodega]&amp;TABLACONSOLIDADA[Codigo],0)),"")</f>
        <v/>
      </c>
      <c r="O371" s="157" t="str">
        <f t="array" ref="O37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7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71" s="19">
        <f>IFERROR(SUM(Tabla_Buffers_Agroinsumos[[#This Row],[MP-C]:[MP-VL]]),"")</f>
        <v>0</v>
      </c>
      <c r="R371" s="92" t="str">
        <f>IFERROR(Tabla_Buffers_Agroinsumos[[#This Row],[INV FIS MATERIA PRIMA]]-Tabla_Buffers_Agroinsumos[[#This Row],[BUFFER MATERIA PRIMA]],"")</f>
        <v/>
      </c>
      <c r="S37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71" s="19"/>
      <c r="U371" s="19"/>
      <c r="V371" s="19"/>
      <c r="W371" s="19"/>
      <c r="X371" s="19"/>
      <c r="Y371" s="19"/>
      <c r="Z371" s="19"/>
      <c r="AA371" s="19"/>
      <c r="AB371" s="19"/>
      <c r="AC371" s="135">
        <f t="array" ref="AC371">IFERROR(INDEX(TABLACONSOLIDADA[Buff Act],MATCH("AGROINSUMOSCENTRAL"&amp;Tabla_Buffers_Agroinsumos[[#This Row],[CODIGO ]],TABLACONSOLIDADA[Bodega]&amp;TABLACONSOLIDADA[Codigo],0)),"")</f>
        <v>3000</v>
      </c>
      <c r="AD371" s="157">
        <f t="array" ref="AD371">IFERROR(INDEX(TABLACONSOLIDADA[Inv Fís Act],MATCH("AGROINSUMOSCENTRAL"&amp;Tabla_Buffers_Agroinsumos[[#This Row],[CODIGO ]],TABLACONSOLIDADA[Bodega]&amp;TABLACONSOLIDADA[Codigo],0)),"")</f>
        <v>448</v>
      </c>
      <c r="AE371" s="157">
        <f t="array" ref="AE37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2937</v>
      </c>
      <c r="AF37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71" s="91">
        <f>IFERROR(SUM(Tabla_Buffers_Agroinsumos[[#This Row],[C-MP]:[C-VL]]),"")</f>
        <v>0</v>
      </c>
      <c r="AH371" s="92">
        <f>IFERROR(Tabla_Buffers_Agroinsumos[[#This Row],[INV FIS CENTRAL]]-Tabla_Buffers_Agroinsumos[[#This Row],[BUFFER CENTRAL]],"")</f>
        <v>-2552</v>
      </c>
      <c r="AI37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-2552</v>
      </c>
      <c r="AJ371" s="134"/>
      <c r="AK371" s="134"/>
      <c r="AL371" s="134"/>
      <c r="AM371" s="134"/>
      <c r="AN371" s="134"/>
      <c r="AO371" s="134"/>
      <c r="AP371" s="134"/>
      <c r="AQ371" s="134"/>
      <c r="AR371" s="134"/>
      <c r="AS371" s="134">
        <f t="array" ref="AS371">IFERROR(INDEX(TABLACONSOLIDADA[Buff Act],MATCH("AGROINSUMOScentralPROPIA"&amp;Tabla_Buffers_Agroinsumos[[#This Row],[CODIGO ]],TABLACONSOLIDADA[Bodega]&amp;TABLACONSOLIDADA[Codigo],0)),"")</f>
        <v>900</v>
      </c>
      <c r="AT371" s="157">
        <f t="array" ref="AT371">IFERROR(INDEX(TABLACONSOLIDADA[Inv Fís Act],MATCH("AGROINSUMOScentralPROPIA"&amp;Tabla_Buffers_Agroinsumos[[#This Row],[CODIGO ]],TABLACONSOLIDADA[Bodega]&amp;TABLACONSOLIDADA[Codigo],0)),"")</f>
        <v>0</v>
      </c>
      <c r="AU371" s="157">
        <f t="array" ref="AU37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7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71" s="134">
        <f>IFERROR(SUM(Tabla_Buffers_Agroinsumos[[#This Row],[P-MP]:[P-VL]]),"")</f>
        <v>0</v>
      </c>
      <c r="AX371" s="92">
        <f>IFERROR(Tabla_Buffers_Agroinsumos[[#This Row],[INV FIS PROPIA]]-Tabla_Buffers_Agroinsumos[[#This Row],[BUFFER PROPIA]],"")</f>
        <v>-900</v>
      </c>
      <c r="AY37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-900</v>
      </c>
      <c r="AZ371" s="134"/>
      <c r="BA371" s="134"/>
      <c r="BB371" s="134"/>
      <c r="BC371" s="134"/>
      <c r="BD371" s="134"/>
      <c r="BE371" s="134"/>
      <c r="BF371" s="134"/>
      <c r="BG371" s="134"/>
      <c r="BH371" s="134"/>
      <c r="BI371" s="91">
        <f t="array" ref="BI371">IFERROR(INDEX(TABLACONSOLIDADA[Buff Act],MATCH("AGROINSUMOSSTODOMINGO"&amp;Tabla_Buffers_Agroinsumos[[#This Row],[CODIGO ]],TABLACONSOLIDADA[Bodega]&amp;TABLACONSOLIDADA[Codigo],0)),"")</f>
        <v>250</v>
      </c>
      <c r="BJ371" s="157">
        <f t="array" ref="BJ371">IFERROR(INDEX(TABLACONSOLIDADA[Inv Fís Act],MATCH("AGROINSUMOSSTODOMINGO"&amp;Tabla_Buffers_Agroinsumos[[#This Row],[CODIGO ]],TABLACONSOLIDADA[Bodega]&amp;TABLACONSOLIDADA[Codigo],0)),"")</f>
        <v>106</v>
      </c>
      <c r="BK371" s="157">
        <f t="array" ref="BK37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106</v>
      </c>
      <c r="BL37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71" s="91">
        <f>IFERROR(SUM(Tabla_Buffers_Agroinsumos[[#This Row],[SD-MP]:[SD-VL]]),"")</f>
        <v>0</v>
      </c>
      <c r="BN371" s="92"/>
      <c r="BO371" s="92"/>
      <c r="BP371" s="134"/>
      <c r="BQ371" s="134"/>
      <c r="BR371" s="134"/>
      <c r="BS371" s="134"/>
      <c r="BT371" s="134"/>
      <c r="BU371" s="134"/>
      <c r="BV371" s="134"/>
      <c r="BW371" s="134"/>
      <c r="BX371" s="134"/>
      <c r="BY371" s="134">
        <f t="array" ref="BY371">IFERROR(INDEX(TABLACONSOLIDADA[Buff Act],MATCH("AGROINSUMOSMONCAYOLOPEZ"&amp;Tabla_Buffers_Agroinsumos[[#This Row],[CODIGO ]],TABLACONSOLIDADA[Bodega]&amp;TABLACONSOLIDADA[Codigo],0)),"")</f>
        <v>12</v>
      </c>
      <c r="BZ371" s="157">
        <f t="array" ref="BZ371">IFERROR(INDEX(TABLACONSOLIDADA[Inv Fís Act],MATCH("AGROINSUMOSMONCAYOLOPEZ"&amp;Tabla_Buffers_Agroinsumos[[#This Row],[CODIGO ]],TABLACONSOLIDADA[Bodega]&amp;TABLACONSOLIDADA[Codigo],0)),"")</f>
        <v>1</v>
      </c>
      <c r="CA371" s="157">
        <f t="array" ref="CA37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</v>
      </c>
      <c r="CB37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71" s="134">
        <f>IFERROR(SUM(Tabla_Buffers_Agroinsumos[[#This Row],[ML-MP]:[ML-VL]]),"")</f>
        <v>0</v>
      </c>
      <c r="CD371" s="92">
        <f>IFERROR(Tabla_Buffers_Agroinsumos[[#This Row],[INV FIS ML]]-Tabla_Buffers_Agroinsumos[[#This Row],[BUFFER ML]],"")</f>
        <v>-11</v>
      </c>
      <c r="CE371" s="92">
        <f>IFERROR(Tabla_Buffers_Agroinsumos[[#This Row],[INV FIS ML]]+Tabla_Buffers_Agroinsumos[[#This Row],[TRANSFERENCIAS A ML]]-Tabla_Buffers_Agroinsumos[[#This Row],[BUFFER ML]]-Tabla_Buffers_Agroinsumos[[#This Row],[TRANSFERENCIAS DE ML]],"")</f>
        <v>-11</v>
      </c>
      <c r="CF371" s="134"/>
      <c r="CG371" s="134"/>
      <c r="CH371" s="134"/>
      <c r="CI371" s="134"/>
      <c r="CJ371" s="134"/>
      <c r="CK371" s="134"/>
      <c r="CL371" s="134"/>
      <c r="CM371" s="134"/>
      <c r="CN371" s="134"/>
      <c r="CO371" s="134">
        <f t="array" ref="CO371">IFERROR(INDEX(TABLACONSOLIDADA[Buff Act],MATCH("AGROINSUMOSAGROHERMANOSLEON"&amp;Tabla_Buffers_Agroinsumos[[#This Row],[CODIGO ]],TABLACONSOLIDADA[Bodega]&amp;TABLACONSOLIDADA[Codigo],0)),"")</f>
        <v>100</v>
      </c>
      <c r="CP371" s="157">
        <f t="array" ref="CP371">IFERROR(INDEX(TABLACONSOLIDADA[Inv Fís Act],MATCH("AGROINSUMOSAGROHERMANOSLEON"&amp;Tabla_Buffers_Agroinsumos[[#This Row],[CODIGO ]],TABLACONSOLIDADA[Bodega]&amp;TABLACONSOLIDADA[Codigo],0)),"")</f>
        <v>200</v>
      </c>
      <c r="CQ371" s="157">
        <f t="array" ref="CQ37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200</v>
      </c>
      <c r="CR37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71" s="134">
        <f>IFERROR(SUM(Tabla_Buffers_Agroinsumos[[#This Row],[AL-MP]:[AL-VL]]),"")</f>
        <v>0</v>
      </c>
      <c r="CT371" s="92">
        <f>IFERROR(Tabla_Buffers_Agroinsumos[[#This Row],[INV FIS AL]]-Tabla_Buffers_Agroinsumos[[#This Row],[BUFFER AL]],"")</f>
        <v>100</v>
      </c>
      <c r="CU371" s="92">
        <f>IFERROR(Tabla_Buffers_Agroinsumos[[#This Row],[INV FIS AL]]+Tabla_Buffers_Agroinsumos[[#This Row],[TRANSFERENCIAS A AL]]-Tabla_Buffers_Agroinsumos[[#This Row],[BUFFER AL]]-Tabla_Buffers_Agroinsumos[[#This Row],[TRANSFERENCIAS DE AL]],"")</f>
        <v>100</v>
      </c>
      <c r="CV371" s="134"/>
      <c r="CW371" s="134"/>
      <c r="CX371" s="134"/>
      <c r="CY371" s="134"/>
      <c r="CZ371" s="134"/>
      <c r="DA371" s="134"/>
      <c r="DB371" s="134"/>
      <c r="DC371" s="134"/>
      <c r="DD371" s="134"/>
      <c r="DE371" s="134">
        <f t="array" ref="DE371">IFERROR(INDEX(TABLACONSOLIDADA[Buff Act],MATCH("AGROINSUMOSAGRONUEVO"&amp;Tabla_Buffers_Agroinsumos[[#This Row],[CODIGO ]],TABLACONSOLIDADA[Bodega]&amp;TABLACONSOLIDADA[Codigo],0)),"")</f>
        <v>40</v>
      </c>
      <c r="DF371" s="157">
        <f t="array" ref="DF371">IFERROR(INDEX(TABLACONSOLIDADA[Inv Fís Act],MATCH("AGROINSUMOSAGRONUEVO"&amp;Tabla_Buffers_Agroinsumos[[#This Row],[CODIGO ]],TABLACONSOLIDADA[Bodega]&amp;TABLACONSOLIDADA[Codigo],0)),"")</f>
        <v>48</v>
      </c>
      <c r="DG371" s="157">
        <f t="array" ref="DG37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48</v>
      </c>
      <c r="DH37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71" s="134">
        <f>IFERROR(SUM(Tabla_Buffers_Agroinsumos[[#This Row],[AN-MP]:[AN-VL]]),"")</f>
        <v>0</v>
      </c>
      <c r="DJ371" s="92">
        <f>IFERROR(Tabla_Buffers_Agroinsumos[[#This Row],[INV FIS AN]]-Tabla_Buffers_Agroinsumos[[#This Row],[BUFFER AN]],"")</f>
        <v>8</v>
      </c>
      <c r="DK371" s="92">
        <f>IFERROR(Tabla_Buffers_Agroinsumos[[#This Row],[INV FIS AN]]+Tabla_Buffers_Agroinsumos[[#This Row],[TRANSFERENCIAS A AN]]-Tabla_Buffers_Agroinsumos[[#This Row],[BUFFER AN]]-Tabla_Buffers_Agroinsumos[[#This Row],[TRANSFERENCIAS DE AN]],"")</f>
        <v>8</v>
      </c>
      <c r="DL371" s="134"/>
      <c r="DM371" s="134"/>
      <c r="DN371" s="134"/>
      <c r="DO371" s="134"/>
      <c r="DP371" s="134"/>
      <c r="DQ371" s="134"/>
      <c r="DR371" s="134"/>
      <c r="DS371" s="134"/>
      <c r="DT371" s="134"/>
      <c r="DU371" s="134">
        <f t="array" ref="DU371">IFERROR(INDEX(TABLACONSOLIDADA[Buff Act],MATCH("AGROINSUMOSAGROQUIMICOSSUR"&amp;Tabla_Buffers_Agroinsumos[[#This Row],[CODIGO ]],TABLACONSOLIDADA[Bodega]&amp;TABLACONSOLIDADA[Codigo],0)),"")</f>
        <v>0</v>
      </c>
      <c r="DV371" s="157">
        <f t="array" ref="DV371">IFERROR(INDEX(TABLACONSOLIDADA[Inv Fís Act],MATCH("AGROINSUMOSAGROQUIMICOSSUR"&amp;Tabla_Buffers_Agroinsumos[[#This Row],[CODIGO ]],TABLACONSOLIDADA[Bodega]&amp;TABLACONSOLIDADA[Codigo],0)),"")</f>
        <v>3</v>
      </c>
      <c r="DW371" s="157">
        <f t="array" ref="DW37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3</v>
      </c>
      <c r="DX37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71" s="134">
        <f>IFERROR(SUM(Tabla_Buffers_Agroinsumos[[#This Row],[AS-MP]:[AS-VL]]),"")</f>
        <v>0</v>
      </c>
      <c r="DZ371" s="92">
        <f>IFERROR(Tabla_Buffers_Agroinsumos[[#This Row],[INV FIS AS]]-Tabla_Buffers_Agroinsumos[[#This Row],[BUFFER AS]],"")</f>
        <v>3</v>
      </c>
      <c r="EA371" s="92">
        <f>IFERROR(Tabla_Buffers_Agroinsumos[[#This Row],[INV FIS AS]]+Tabla_Buffers_Agroinsumos[[#This Row],[TRANSFERENCIAS A AS]]-Tabla_Buffers_Agroinsumos[[#This Row],[BUFFER AS]]-Tabla_Buffers_Agroinsumos[[#This Row],[TRANSFERENCIAS DE AS]],"")</f>
        <v>3</v>
      </c>
      <c r="EB371" s="134"/>
      <c r="EC371" s="134"/>
      <c r="ED371" s="134"/>
      <c r="EE371" s="134"/>
      <c r="EF371" s="134"/>
      <c r="EG371" s="134"/>
      <c r="EH371" s="134"/>
      <c r="EI371" s="134"/>
      <c r="EJ371" s="134"/>
      <c r="EK371" s="134">
        <f t="array" ref="EK371">IFERROR(INDEX(TABLACONSOLIDADA[Buff Act],MATCH("AGROINSUMOSLAFINCA"&amp;Tabla_Buffers_Agroinsumos[[#This Row],[CODIGO ]],TABLACONSOLIDADA[Bodega]&amp;TABLACONSOLIDADA[Codigo],0)),"")</f>
        <v>30</v>
      </c>
      <c r="EL371" s="157">
        <f t="array" ref="EL371">IFERROR(INDEX(TABLACONSOLIDADA[Inv Fís Act],MATCH("AGROINSUMOSLAFINCA"&amp;Tabla_Buffers_Agroinsumos[[#This Row],[CODIGO ]],TABLACONSOLIDADA[Bodega]&amp;TABLACONSOLIDADA[Codigo],0)),"")</f>
        <v>7</v>
      </c>
      <c r="EM371" s="157">
        <f t="array" ref="EM37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7</v>
      </c>
      <c r="EN37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71" s="134">
        <f>IFERROR(SUM(Tabla_Buffers_Agroinsumos[[#This Row],[LF-MP]:[LF-VL]]),"")</f>
        <v>0</v>
      </c>
      <c r="EP371" s="92">
        <f>IFERROR(Tabla_Buffers_Agroinsumos[[#This Row],[INV FIS LF]]-Tabla_Buffers_Agroinsumos[[#This Row],[BUFFER LF]],"")</f>
        <v>-23</v>
      </c>
      <c r="EQ371" s="92">
        <f>IFERROR(Tabla_Buffers_Agroinsumos[[#This Row],[INV FIS LF]]+Tabla_Buffers_Agroinsumos[[#This Row],[TRANSFERENCIAS A LF]]-Tabla_Buffers_Agroinsumos[[#This Row],[BUFFER LF]]-Tabla_Buffers_Agroinsumos[[#This Row],[TRANSFERENCIAS DE LF]],"")</f>
        <v>-23</v>
      </c>
      <c r="ER371" s="134"/>
      <c r="ES371" s="134"/>
      <c r="ET371" s="134"/>
      <c r="EU371" s="134"/>
      <c r="EV371" s="134"/>
      <c r="EW371" s="134"/>
      <c r="EX371" s="134"/>
      <c r="EY371" s="134"/>
      <c r="EZ371" s="134"/>
      <c r="FA371" s="134">
        <f t="array" ref="FA371">IFERROR(INDEX(TABLACONSOLIDADA[Buff Act],MATCH("AGROINSUMOSVERONICALEDESMA"&amp;Tabla_Buffers_Agroinsumos[[#This Row],[CODIGO ]],TABLACONSOLIDADA[Bodega]&amp;TABLACONSOLIDADA[Codigo],0)),"")</f>
        <v>63</v>
      </c>
      <c r="FB371" s="157">
        <f t="array" ref="FB371">IFERROR(INDEX(TABLACONSOLIDADA[Inv Fís Act],MATCH("AGROINSUMOSVERONICALEDESMA"&amp;Tabla_Buffers_Agroinsumos[[#This Row],[CODIGO ]],TABLACONSOLIDADA[Bodega]&amp;TABLACONSOLIDADA[Codigo],0)),"")</f>
        <v>-21</v>
      </c>
      <c r="FC371" s="157">
        <f t="array" ref="FC37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128</v>
      </c>
      <c r="FD37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71" s="134">
        <f>IFERROR(SUM(Tabla_Buffers_Agroinsumos[[#This Row],[VL-MP]:[VL-LF]]),"")</f>
        <v>0</v>
      </c>
      <c r="FF371" s="92">
        <f>IFERROR(Tabla_Buffers_Agroinsumos[[#This Row],[INV FIS VL]]-Tabla_Buffers_Agroinsumos[[#This Row],[BUFFER VL]],"")</f>
        <v>-84</v>
      </c>
      <c r="FG371" s="92">
        <f>IFERROR(Tabla_Buffers_Agroinsumos[[#This Row],[INV FIS VL]]+Tabla_Buffers_Agroinsumos[[#This Row],[TRANSFERENCIAS A VL]]-Tabla_Buffers_Agroinsumos[[#This Row],[BUFFER VL]]-Tabla_Buffers_Agroinsumos[[#This Row],[TRANSFERENCIAS DE VL]],"")</f>
        <v>-84</v>
      </c>
      <c r="FH371" s="134"/>
      <c r="FI371" s="134"/>
      <c r="FJ371" s="134"/>
      <c r="FK371" s="134"/>
      <c r="FL371" s="134"/>
      <c r="FM371" s="134"/>
      <c r="FN371" s="134"/>
      <c r="FO371" s="134"/>
      <c r="FP371" s="134"/>
    </row>
    <row r="372" spans="1:172">
      <c r="A372" s="20" t="s">
        <v>1213</v>
      </c>
      <c r="B372" s="20" t="s">
        <v>1212</v>
      </c>
      <c r="C372" s="7" t="s">
        <v>712</v>
      </c>
      <c r="D372" s="7" t="s">
        <v>719</v>
      </c>
      <c r="E372" s="7" t="s">
        <v>975</v>
      </c>
      <c r="F372" s="111"/>
      <c r="G372" s="111"/>
      <c r="H372" s="111" t="e">
        <f>VLOOKUP(Tabla_Buffers_Agroinsumos[[#This Row],[CODIGO ]],TABLACONSOLIDADA[[Codigo]:[PV]],6,0)</f>
        <v>#N/A</v>
      </c>
      <c r="I372" s="111" t="e">
        <f>VLOOKUP(Tabla_Buffers_Agroinsumos[[#This Row],[CODIGO ]],TABLACONSOLIDADA[[Codigo]:[PV]],5,0)</f>
        <v>#N/A</v>
      </c>
      <c r="J372" s="111"/>
      <c r="K372" s="111"/>
      <c r="L372" s="111">
        <f>IFERROR(Tabla_Buffers_Agroinsumos[[#This Row],[BUFFER CENTRAL]]/((Tabla_Buffers_Agroinsumos[[#This Row],[TIEMPO REPOSICION ]]/Tabla_Buffers_Agroinsumos[[#This Row],[FRECUENCIA]])+1),0)</f>
        <v>0</v>
      </c>
      <c r="M372" s="111" t="str">
        <f t="array" ref="M372">IFERROR(INDEX(TABLACONSOLIDADA[Buff Act],MATCH("AGROINSUMOSMATERIAPRIMA"&amp;Tabla_Buffers_Agroinsumos[[#This Row],[CODIGO ]],TABLACONSOLIDADA[Bodega]&amp;TABLACONSOLIDADA[Codigo],0)),"")</f>
        <v/>
      </c>
      <c r="N372" s="111" t="str">
        <f t="array" ref="N372">IFERROR(INDEX(TABLACONSOLIDADA[Inv Fís Act],MATCH("AGROINSUMOSMATERIAPRIMA"&amp;Tabla_Buffers_Agroinsumos[[#This Row],[CODIGO ]],TABLACONSOLIDADA[Bodega]&amp;TABLACONSOLIDADA[Codigo],0)),"")</f>
        <v/>
      </c>
      <c r="O372" s="178" t="str">
        <f t="array" ref="O37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72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72" s="111">
        <f>IFERROR(SUM(Tabla_Buffers_Agroinsumos[[#This Row],[MP-C]:[MP-VL]]),"")</f>
        <v>0</v>
      </c>
      <c r="R372" s="154" t="str">
        <f>IFERROR(Tabla_Buffers_Agroinsumos[[#This Row],[INV FIS MATERIA PRIMA]]-Tabla_Buffers_Agroinsumos[[#This Row],[BUFFER MATERIA PRIMA]],"")</f>
        <v/>
      </c>
      <c r="S372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72" s="111"/>
      <c r="U372" s="111"/>
      <c r="V372" s="111"/>
      <c r="W372" s="111"/>
      <c r="X372" s="111"/>
      <c r="Y372" s="111"/>
      <c r="Z372" s="111"/>
      <c r="AA372" s="111"/>
      <c r="AB372" s="111"/>
      <c r="AC372" s="135">
        <v>300</v>
      </c>
      <c r="AD372" s="111" t="str">
        <f t="array" ref="AD372">IFERROR(INDEX(TABLACONSOLIDADA[Inv Fís Act],MATCH("AGROINSUMOSCENTRAL"&amp;Tabla_Buffers_Agroinsumos[[#This Row],[CODIGO ]],TABLACONSOLIDADA[Bodega]&amp;TABLACONSOLIDADA[Codigo],0)),"")</f>
        <v/>
      </c>
      <c r="AE372" s="178" t="str">
        <f t="array" ref="AE37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72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72" s="153">
        <f>IFERROR(SUM(Tabla_Buffers_Agroinsumos[[#This Row],[C-MP]:[C-VL]]),"")</f>
        <v>0</v>
      </c>
      <c r="AH372" s="154" t="str">
        <f>IFERROR(Tabla_Buffers_Agroinsumos[[#This Row],[INV FIS CENTRAL]]-Tabla_Buffers_Agroinsumos[[#This Row],[BUFFER CENTRAL]],"")</f>
        <v/>
      </c>
      <c r="AI372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72" s="135"/>
      <c r="AK372" s="135"/>
      <c r="AL372" s="135"/>
      <c r="AM372" s="135"/>
      <c r="AN372" s="135"/>
      <c r="AO372" s="135"/>
      <c r="AP372" s="135"/>
      <c r="AQ372" s="135"/>
      <c r="AR372" s="135"/>
      <c r="AS372" s="135" t="str">
        <f t="array" ref="AS372">IFERROR(INDEX(TABLACONSOLIDADA[Buff Act],MATCH("AGROINSUMOScentralPROPIA"&amp;Tabla_Buffers_Agroinsumos[[#This Row],[CODIGO ]],TABLACONSOLIDADA[Bodega]&amp;TABLACONSOLIDADA[Codigo],0)),"")</f>
        <v/>
      </c>
      <c r="AT372" s="111" t="str">
        <f t="array" ref="AT372">IFERROR(INDEX(TABLACONSOLIDADA[Inv Fís Act],MATCH("AGROINSUMOScentralPROPIA"&amp;Tabla_Buffers_Agroinsumos[[#This Row],[CODIGO ]],TABLACONSOLIDADA[Bodega]&amp;TABLACONSOLIDADA[Codigo],0)),"")</f>
        <v/>
      </c>
      <c r="AU372" s="178" t="str">
        <f t="array" ref="AU37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72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72" s="135">
        <f>IFERROR(SUM(Tabla_Buffers_Agroinsumos[[#This Row],[P-MP]:[P-VL]]),"")</f>
        <v>0</v>
      </c>
      <c r="AX372" s="154" t="str">
        <f>IFERROR(Tabla_Buffers_Agroinsumos[[#This Row],[INV FIS PROPIA]]-Tabla_Buffers_Agroinsumos[[#This Row],[BUFFER PROPIA]],"")</f>
        <v/>
      </c>
      <c r="AY372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72" s="135"/>
      <c r="BA372" s="135"/>
      <c r="BB372" s="135"/>
      <c r="BC372" s="135"/>
      <c r="BD372" s="135"/>
      <c r="BE372" s="135"/>
      <c r="BF372" s="135"/>
      <c r="BG372" s="135"/>
      <c r="BH372" s="135"/>
      <c r="BI372" s="153" t="str">
        <f t="array" ref="BI372">IFERROR(INDEX(TABLACONSOLIDADA[Buff Act],MATCH("AGROINSUMOSSTODOMINGO"&amp;Tabla_Buffers_Agroinsumos[[#This Row],[CODIGO ]],TABLACONSOLIDADA[Bodega]&amp;TABLACONSOLIDADA[Codigo],0)),"")</f>
        <v/>
      </c>
      <c r="BJ372" s="111" t="str">
        <f t="array" ref="BJ372">IFERROR(INDEX(TABLACONSOLIDADA[Inv Fís Act],MATCH("AGROINSUMOSSTODOMINGO"&amp;Tabla_Buffers_Agroinsumos[[#This Row],[CODIGO ]],TABLACONSOLIDADA[Bodega]&amp;TABLACONSOLIDADA[Codigo],0)),"")</f>
        <v/>
      </c>
      <c r="BK372" s="178" t="str">
        <f t="array" ref="BK37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72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72" s="153">
        <f>IFERROR(SUM(Tabla_Buffers_Agroinsumos[[#This Row],[SD-MP]:[SD-VL]]),"")</f>
        <v>0</v>
      </c>
      <c r="BN372" s="154"/>
      <c r="BO372" s="154"/>
      <c r="BP372" s="135"/>
      <c r="BQ372" s="135"/>
      <c r="BR372" s="135"/>
      <c r="BS372" s="135"/>
      <c r="BT372" s="135"/>
      <c r="BU372" s="135"/>
      <c r="BV372" s="135"/>
      <c r="BW372" s="135"/>
      <c r="BX372" s="135"/>
      <c r="BY372" s="135" t="str">
        <f t="array" ref="BY372">IFERROR(INDEX(TABLACONSOLIDADA[Buff Act],MATCH("AGROINSUMOSMONCAYOLOPEZ"&amp;Tabla_Buffers_Agroinsumos[[#This Row],[CODIGO ]],TABLACONSOLIDADA[Bodega]&amp;TABLACONSOLIDADA[Codigo],0)),"")</f>
        <v/>
      </c>
      <c r="BZ372" s="111" t="str">
        <f t="array" ref="BZ372">IFERROR(INDEX(TABLACONSOLIDADA[Inv Fís Act],MATCH("AGROINSUMOSMONCAYOLOPEZ"&amp;Tabla_Buffers_Agroinsumos[[#This Row],[CODIGO ]],TABLACONSOLIDADA[Bodega]&amp;TABLACONSOLIDADA[Codigo],0)),"")</f>
        <v/>
      </c>
      <c r="CA372" s="178" t="str">
        <f t="array" ref="CA37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72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72" s="135">
        <f>IFERROR(SUM(Tabla_Buffers_Agroinsumos[[#This Row],[ML-MP]:[ML-VL]]),"")</f>
        <v>0</v>
      </c>
      <c r="CD372" s="154" t="str">
        <f>IFERROR(Tabla_Buffers_Agroinsumos[[#This Row],[INV FIS ML]]-Tabla_Buffers_Agroinsumos[[#This Row],[BUFFER ML]],"")</f>
        <v/>
      </c>
      <c r="CE372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72" s="135"/>
      <c r="CG372" s="135"/>
      <c r="CH372" s="135"/>
      <c r="CI372" s="135"/>
      <c r="CJ372" s="135"/>
      <c r="CK372" s="135"/>
      <c r="CL372" s="135"/>
      <c r="CM372" s="135"/>
      <c r="CN372" s="135"/>
      <c r="CO372" s="135" t="str">
        <f t="array" ref="CO372">IFERROR(INDEX(TABLACONSOLIDADA[Buff Act],MATCH("AGROINSUMOSAGROHERMANOSLEON"&amp;Tabla_Buffers_Agroinsumos[[#This Row],[CODIGO ]],TABLACONSOLIDADA[Bodega]&amp;TABLACONSOLIDADA[Codigo],0)),"")</f>
        <v/>
      </c>
      <c r="CP372" s="111" t="str">
        <f t="array" ref="CP372">IFERROR(INDEX(TABLACONSOLIDADA[Inv Fís Act],MATCH("AGROINSUMOSAGROHERMANOSLEON"&amp;Tabla_Buffers_Agroinsumos[[#This Row],[CODIGO ]],TABLACONSOLIDADA[Bodega]&amp;TABLACONSOLIDADA[Codigo],0)),"")</f>
        <v/>
      </c>
      <c r="CQ372" s="178" t="str">
        <f t="array" ref="CQ37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72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72" s="135">
        <f>IFERROR(SUM(Tabla_Buffers_Agroinsumos[[#This Row],[AL-MP]:[AL-VL]]),"")</f>
        <v>0</v>
      </c>
      <c r="CT372" s="154" t="str">
        <f>IFERROR(Tabla_Buffers_Agroinsumos[[#This Row],[INV FIS AL]]-Tabla_Buffers_Agroinsumos[[#This Row],[BUFFER AL]],"")</f>
        <v/>
      </c>
      <c r="CU372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72" s="135"/>
      <c r="CW372" s="135"/>
      <c r="CX372" s="135"/>
      <c r="CY372" s="135"/>
      <c r="CZ372" s="135"/>
      <c r="DA372" s="135"/>
      <c r="DB372" s="135"/>
      <c r="DC372" s="135"/>
      <c r="DD372" s="135"/>
      <c r="DE372" s="135" t="str">
        <f t="array" ref="DE372">IFERROR(INDEX(TABLACONSOLIDADA[Buff Act],MATCH("AGROINSUMOSAGRONUEVO"&amp;Tabla_Buffers_Agroinsumos[[#This Row],[CODIGO ]],TABLACONSOLIDADA[Bodega]&amp;TABLACONSOLIDADA[Codigo],0)),"")</f>
        <v/>
      </c>
      <c r="DF372" s="111" t="str">
        <f t="array" ref="DF372">IFERROR(INDEX(TABLACONSOLIDADA[Inv Fís Act],MATCH("AGROINSUMOSAGRONUEVO"&amp;Tabla_Buffers_Agroinsumos[[#This Row],[CODIGO ]],TABLACONSOLIDADA[Bodega]&amp;TABLACONSOLIDADA[Codigo],0)),"")</f>
        <v/>
      </c>
      <c r="DG372" s="178" t="str">
        <f t="array" ref="DG37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72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72" s="135">
        <f>IFERROR(SUM(Tabla_Buffers_Agroinsumos[[#This Row],[AN-MP]:[AN-VL]]),"")</f>
        <v>0</v>
      </c>
      <c r="DJ372" s="154" t="str">
        <f>IFERROR(Tabla_Buffers_Agroinsumos[[#This Row],[INV FIS AN]]-Tabla_Buffers_Agroinsumos[[#This Row],[BUFFER AN]],"")</f>
        <v/>
      </c>
      <c r="DK372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72" s="135"/>
      <c r="DM372" s="135"/>
      <c r="DN372" s="135"/>
      <c r="DO372" s="135"/>
      <c r="DP372" s="135"/>
      <c r="DQ372" s="135"/>
      <c r="DR372" s="135"/>
      <c r="DS372" s="135"/>
      <c r="DT372" s="135"/>
      <c r="DU372" s="135" t="str">
        <f t="array" ref="DU372">IFERROR(INDEX(TABLACONSOLIDADA[Buff Act],MATCH("AGROINSUMOSAGROQUIMICOSSUR"&amp;Tabla_Buffers_Agroinsumos[[#This Row],[CODIGO ]],TABLACONSOLIDADA[Bodega]&amp;TABLACONSOLIDADA[Codigo],0)),"")</f>
        <v/>
      </c>
      <c r="DV372" s="111" t="str">
        <f t="array" ref="DV372">IFERROR(INDEX(TABLACONSOLIDADA[Inv Fís Act],MATCH("AGROINSUMOSAGROQUIMICOSSUR"&amp;Tabla_Buffers_Agroinsumos[[#This Row],[CODIGO ]],TABLACONSOLIDADA[Bodega]&amp;TABLACONSOLIDADA[Codigo],0)),"")</f>
        <v/>
      </c>
      <c r="DW372" s="178" t="str">
        <f t="array" ref="DW37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72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72" s="135">
        <f>IFERROR(SUM(Tabla_Buffers_Agroinsumos[[#This Row],[AS-MP]:[AS-VL]]),"")</f>
        <v>0</v>
      </c>
      <c r="DZ372" s="154" t="str">
        <f>IFERROR(Tabla_Buffers_Agroinsumos[[#This Row],[INV FIS AS]]-Tabla_Buffers_Agroinsumos[[#This Row],[BUFFER AS]],"")</f>
        <v/>
      </c>
      <c r="EA372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72" s="135"/>
      <c r="EC372" s="135"/>
      <c r="ED372" s="135"/>
      <c r="EE372" s="135"/>
      <c r="EF372" s="135"/>
      <c r="EG372" s="135"/>
      <c r="EH372" s="135"/>
      <c r="EI372" s="135"/>
      <c r="EJ372" s="135"/>
      <c r="EK372" s="135" t="str">
        <f t="array" ref="EK372">IFERROR(INDEX(TABLACONSOLIDADA[Buff Act],MATCH("AGROINSUMOSLAFINCA"&amp;Tabla_Buffers_Agroinsumos[[#This Row],[CODIGO ]],TABLACONSOLIDADA[Bodega]&amp;TABLACONSOLIDADA[Codigo],0)),"")</f>
        <v/>
      </c>
      <c r="EL372" s="111" t="str">
        <f t="array" ref="EL372">IFERROR(INDEX(TABLACONSOLIDADA[Inv Fís Act],MATCH("AGROINSUMOSLAFINCA"&amp;Tabla_Buffers_Agroinsumos[[#This Row],[CODIGO ]],TABLACONSOLIDADA[Bodega]&amp;TABLACONSOLIDADA[Codigo],0)),"")</f>
        <v/>
      </c>
      <c r="EM372" s="178" t="str">
        <f t="array" ref="EM37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72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72" s="135">
        <f>IFERROR(SUM(Tabla_Buffers_Agroinsumos[[#This Row],[LF-MP]:[LF-VL]]),"")</f>
        <v>0</v>
      </c>
      <c r="EP372" s="154" t="str">
        <f>IFERROR(Tabla_Buffers_Agroinsumos[[#This Row],[INV FIS LF]]-Tabla_Buffers_Agroinsumos[[#This Row],[BUFFER LF]],"")</f>
        <v/>
      </c>
      <c r="EQ372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72" s="135"/>
      <c r="ES372" s="135"/>
      <c r="ET372" s="135"/>
      <c r="EU372" s="135"/>
      <c r="EV372" s="135"/>
      <c r="EW372" s="135"/>
      <c r="EX372" s="135"/>
      <c r="EY372" s="135"/>
      <c r="EZ372" s="135"/>
      <c r="FA372" s="135" t="str">
        <f t="array" ref="FA372">IFERROR(INDEX(TABLACONSOLIDADA[Buff Act],MATCH("AGROINSUMOSVERONICALEDESMA"&amp;Tabla_Buffers_Agroinsumos[[#This Row],[CODIGO ]],TABLACONSOLIDADA[Bodega]&amp;TABLACONSOLIDADA[Codigo],0)),"")</f>
        <v/>
      </c>
      <c r="FB372" s="111" t="str">
        <f t="array" ref="FB372">IFERROR(INDEX(TABLACONSOLIDADA[Inv Fís Act],MATCH("AGROINSUMOSVERONICALEDESMA"&amp;Tabla_Buffers_Agroinsumos[[#This Row],[CODIGO ]],TABLACONSOLIDADA[Bodega]&amp;TABLACONSOLIDADA[Codigo],0)),"")</f>
        <v/>
      </c>
      <c r="FC372" s="178" t="str">
        <f t="array" ref="FC37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72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72" s="135">
        <f>IFERROR(SUM(Tabla_Buffers_Agroinsumos[[#This Row],[VL-MP]:[VL-LF]]),"")</f>
        <v>0</v>
      </c>
      <c r="FF372" s="154" t="str">
        <f>IFERROR(Tabla_Buffers_Agroinsumos[[#This Row],[INV FIS VL]]-Tabla_Buffers_Agroinsumos[[#This Row],[BUFFER VL]],"")</f>
        <v/>
      </c>
      <c r="FG372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72" s="135"/>
      <c r="FI372" s="135"/>
      <c r="FJ372" s="135"/>
      <c r="FK372" s="135"/>
      <c r="FL372" s="135"/>
      <c r="FM372" s="135"/>
      <c r="FN372" s="135"/>
      <c r="FO372" s="135"/>
      <c r="FP372" s="135"/>
    </row>
    <row r="373" spans="1:172">
      <c r="A373" s="7" t="s">
        <v>625</v>
      </c>
      <c r="B373" s="7" t="s">
        <v>626</v>
      </c>
      <c r="C373" s="7" t="s">
        <v>712</v>
      </c>
      <c r="D373" s="7" t="s">
        <v>719</v>
      </c>
      <c r="E373" s="7" t="s">
        <v>975</v>
      </c>
      <c r="F373" s="19" t="s">
        <v>698</v>
      </c>
      <c r="G373" s="19" t="s">
        <v>698</v>
      </c>
      <c r="H373" s="19">
        <f>VLOOKUP(Tabla_Buffers_Agroinsumos[[#This Row],[CODIGO ]],TABLACONSOLIDADA[[Codigo]:[PV]],6,0)</f>
        <v>12.99</v>
      </c>
      <c r="I373" s="19">
        <f>VLOOKUP(Tabla_Buffers_Agroinsumos[[#This Row],[CODIGO ]],TABLACONSOLIDADA[[Codigo]:[PV]],5,0)</f>
        <v>6</v>
      </c>
      <c r="J373" s="19" t="s">
        <v>698</v>
      </c>
      <c r="K373" s="19" t="s">
        <v>698</v>
      </c>
      <c r="L373" s="19">
        <f>IFERROR(Tabla_Buffers_Agroinsumos[[#This Row],[BUFFER CENTRAL]]/((Tabla_Buffers_Agroinsumos[[#This Row],[TIEMPO REPOSICION ]]/Tabla_Buffers_Agroinsumos[[#This Row],[FRECUENCIA]])+1),0)</f>
        <v>0</v>
      </c>
      <c r="M373" s="19" t="str">
        <f t="array" ref="M373">IFERROR(INDEX(TABLACONSOLIDADA[Buff Act],MATCH("AGROINSUMOSMATERIAPRIMA"&amp;Tabla_Buffers_Agroinsumos[[#This Row],[CODIGO ]],TABLACONSOLIDADA[Bodega]&amp;TABLACONSOLIDADA[Codigo],0)),"")</f>
        <v/>
      </c>
      <c r="N373" s="157" t="str">
        <f t="array" ref="N373">IFERROR(INDEX(TABLACONSOLIDADA[Inv Fís Act],MATCH("AGROINSUMOSMATERIAPRIMA"&amp;Tabla_Buffers_Agroinsumos[[#This Row],[CODIGO ]],TABLACONSOLIDADA[Bodega]&amp;TABLACONSOLIDADA[Codigo],0)),"")</f>
        <v/>
      </c>
      <c r="O373" s="157" t="str">
        <f t="array" ref="O37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7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73" s="19">
        <f>IFERROR(SUM(Tabla_Buffers_Agroinsumos[[#This Row],[MP-C]:[MP-VL]]),"")</f>
        <v>0</v>
      </c>
      <c r="R373" s="92" t="str">
        <f>IFERROR(Tabla_Buffers_Agroinsumos[[#This Row],[INV FIS MATERIA PRIMA]]-Tabla_Buffers_Agroinsumos[[#This Row],[BUFFER MATERIA PRIMA]],"")</f>
        <v/>
      </c>
      <c r="S37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73" s="19"/>
      <c r="U373" s="19"/>
      <c r="V373" s="19"/>
      <c r="W373" s="19"/>
      <c r="X373" s="19"/>
      <c r="Y373" s="19"/>
      <c r="Z373" s="19"/>
      <c r="AA373" s="19"/>
      <c r="AB373" s="19"/>
      <c r="AC373" s="135">
        <f t="array" ref="AC373">IFERROR(INDEX(TABLACONSOLIDADA[Buff Act],MATCH("AGROINSUMOSCENTRAL"&amp;Tabla_Buffers_Agroinsumos[[#This Row],[CODIGO ]],TABLACONSOLIDADA[Bodega]&amp;TABLACONSOLIDADA[Codigo],0)),"")</f>
        <v>300</v>
      </c>
      <c r="AD373" s="157">
        <f t="array" ref="AD373">IFERROR(INDEX(TABLACONSOLIDADA[Inv Fís Act],MATCH("AGROINSUMOSCENTRAL"&amp;Tabla_Buffers_Agroinsumos[[#This Row],[CODIGO ]],TABLACONSOLIDADA[Bodega]&amp;TABLACONSOLIDADA[Codigo],0)),"")</f>
        <v>539</v>
      </c>
      <c r="AE373" s="157">
        <f t="array" ref="AE37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555</v>
      </c>
      <c r="AF37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73" s="91">
        <f>IFERROR(SUM(Tabla_Buffers_Agroinsumos[[#This Row],[C-MP]:[C-VL]]),"")</f>
        <v>0</v>
      </c>
      <c r="AH373" s="92">
        <f>IFERROR(Tabla_Buffers_Agroinsumos[[#This Row],[INV FIS CENTRAL]]-Tabla_Buffers_Agroinsumos[[#This Row],[BUFFER CENTRAL]],"")</f>
        <v>239</v>
      </c>
      <c r="AI37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239</v>
      </c>
      <c r="AJ373" s="134"/>
      <c r="AK373" s="134"/>
      <c r="AL373" s="134"/>
      <c r="AM373" s="134"/>
      <c r="AN373" s="134"/>
      <c r="AO373" s="134"/>
      <c r="AP373" s="134"/>
      <c r="AQ373" s="134"/>
      <c r="AR373" s="134"/>
      <c r="AS373" s="134">
        <f t="array" ref="AS373">IFERROR(INDEX(TABLACONSOLIDADA[Buff Act],MATCH("AGROINSUMOScentralPROPIA"&amp;Tabla_Buffers_Agroinsumos[[#This Row],[CODIGO ]],TABLACONSOLIDADA[Bodega]&amp;TABLACONSOLIDADA[Codigo],0)),"")</f>
        <v>120</v>
      </c>
      <c r="AT373" s="157">
        <f t="array" ref="AT373">IFERROR(INDEX(TABLACONSOLIDADA[Inv Fís Act],MATCH("AGROINSUMOScentralPROPIA"&amp;Tabla_Buffers_Agroinsumos[[#This Row],[CODIGO ]],TABLACONSOLIDADA[Bodega]&amp;TABLACONSOLIDADA[Codigo],0)),"")</f>
        <v>0</v>
      </c>
      <c r="AU373" s="157">
        <f t="array" ref="AU37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7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73" s="134">
        <f>IFERROR(SUM(Tabla_Buffers_Agroinsumos[[#This Row],[P-MP]:[P-VL]]),"")</f>
        <v>0</v>
      </c>
      <c r="AX373" s="92">
        <f>IFERROR(Tabla_Buffers_Agroinsumos[[#This Row],[INV FIS PROPIA]]-Tabla_Buffers_Agroinsumos[[#This Row],[BUFFER PROPIA]],"")</f>
        <v>-120</v>
      </c>
      <c r="AY37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-120</v>
      </c>
      <c r="AZ373" s="134"/>
      <c r="BA373" s="134"/>
      <c r="BB373" s="134"/>
      <c r="BC373" s="134"/>
      <c r="BD373" s="134"/>
      <c r="BE373" s="134"/>
      <c r="BF373" s="134"/>
      <c r="BG373" s="134"/>
      <c r="BH373" s="134"/>
      <c r="BI373" s="91">
        <f t="array" ref="BI373">IFERROR(INDEX(TABLACONSOLIDADA[Buff Act],MATCH("AGROINSUMOSSTODOMINGO"&amp;Tabla_Buffers_Agroinsumos[[#This Row],[CODIGO ]],TABLACONSOLIDADA[Bodega]&amp;TABLACONSOLIDADA[Codigo],0)),"")</f>
        <v>0</v>
      </c>
      <c r="BJ373" s="157">
        <f t="array" ref="BJ373">IFERROR(INDEX(TABLACONSOLIDADA[Inv Fís Act],MATCH("AGROINSUMOSSTODOMINGO"&amp;Tabla_Buffers_Agroinsumos[[#This Row],[CODIGO ]],TABLACONSOLIDADA[Bodega]&amp;TABLACONSOLIDADA[Codigo],0)),"")</f>
        <v>0</v>
      </c>
      <c r="BK373" s="157">
        <f t="array" ref="BK37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7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73" s="91">
        <f>IFERROR(SUM(Tabla_Buffers_Agroinsumos[[#This Row],[SD-MP]:[SD-VL]]),"")</f>
        <v>0</v>
      </c>
      <c r="BN373" s="92"/>
      <c r="BO373" s="92"/>
      <c r="BP373" s="134"/>
      <c r="BQ373" s="134"/>
      <c r="BR373" s="134"/>
      <c r="BS373" s="134"/>
      <c r="BT373" s="134"/>
      <c r="BU373" s="134"/>
      <c r="BV373" s="134"/>
      <c r="BW373" s="134"/>
      <c r="BX373" s="134"/>
      <c r="BY373" s="134">
        <f t="array" ref="BY373">IFERROR(INDEX(TABLACONSOLIDADA[Buff Act],MATCH("AGROINSUMOSMONCAYOLOPEZ"&amp;Tabla_Buffers_Agroinsumos[[#This Row],[CODIGO ]],TABLACONSOLIDADA[Bodega]&amp;TABLACONSOLIDADA[Codigo],0)),"")</f>
        <v>10</v>
      </c>
      <c r="BZ373" s="157">
        <f t="array" ref="BZ373">IFERROR(INDEX(TABLACONSOLIDADA[Inv Fís Act],MATCH("AGROINSUMOSMONCAYOLOPEZ"&amp;Tabla_Buffers_Agroinsumos[[#This Row],[CODIGO ]],TABLACONSOLIDADA[Bodega]&amp;TABLACONSOLIDADA[Codigo],0)),"")</f>
        <v>1</v>
      </c>
      <c r="CA373" s="157">
        <f t="array" ref="CA37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</v>
      </c>
      <c r="CB37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73" s="134">
        <f>IFERROR(SUM(Tabla_Buffers_Agroinsumos[[#This Row],[ML-MP]:[ML-VL]]),"")</f>
        <v>0</v>
      </c>
      <c r="CD373" s="92">
        <f>IFERROR(Tabla_Buffers_Agroinsumos[[#This Row],[INV FIS ML]]-Tabla_Buffers_Agroinsumos[[#This Row],[BUFFER ML]],"")</f>
        <v>-9</v>
      </c>
      <c r="CE373" s="92">
        <f>IFERROR(Tabla_Buffers_Agroinsumos[[#This Row],[INV FIS ML]]+Tabla_Buffers_Agroinsumos[[#This Row],[TRANSFERENCIAS A ML]]-Tabla_Buffers_Agroinsumos[[#This Row],[BUFFER ML]]-Tabla_Buffers_Agroinsumos[[#This Row],[TRANSFERENCIAS DE ML]],"")</f>
        <v>-9</v>
      </c>
      <c r="CF373" s="134"/>
      <c r="CG373" s="134"/>
      <c r="CH373" s="134"/>
      <c r="CI373" s="134"/>
      <c r="CJ373" s="134"/>
      <c r="CK373" s="134"/>
      <c r="CL373" s="134"/>
      <c r="CM373" s="134"/>
      <c r="CN373" s="134"/>
      <c r="CO373" s="134">
        <f t="array" ref="CO373">IFERROR(INDEX(TABLACONSOLIDADA[Buff Act],MATCH("AGROINSUMOSAGROHERMANOSLEON"&amp;Tabla_Buffers_Agroinsumos[[#This Row],[CODIGO ]],TABLACONSOLIDADA[Bodega]&amp;TABLACONSOLIDADA[Codigo],0)),"")</f>
        <v>0</v>
      </c>
      <c r="CP373" s="157">
        <f t="array" ref="CP373">IFERROR(INDEX(TABLACONSOLIDADA[Inv Fís Act],MATCH("AGROINSUMOSAGROHERMANOSLEON"&amp;Tabla_Buffers_Agroinsumos[[#This Row],[CODIGO ]],TABLACONSOLIDADA[Bodega]&amp;TABLACONSOLIDADA[Codigo],0)),"")</f>
        <v>0</v>
      </c>
      <c r="CQ373" s="157">
        <f t="array" ref="CQ37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7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73" s="134">
        <f>IFERROR(SUM(Tabla_Buffers_Agroinsumos[[#This Row],[AL-MP]:[AL-VL]]),"")</f>
        <v>0</v>
      </c>
      <c r="CT373" s="92">
        <f>IFERROR(Tabla_Buffers_Agroinsumos[[#This Row],[INV FIS AL]]-Tabla_Buffers_Agroinsumos[[#This Row],[BUFFER AL]],"")</f>
        <v>0</v>
      </c>
      <c r="CU373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73" s="134"/>
      <c r="CW373" s="134"/>
      <c r="CX373" s="134"/>
      <c r="CY373" s="134"/>
      <c r="CZ373" s="134"/>
      <c r="DA373" s="134"/>
      <c r="DB373" s="134"/>
      <c r="DC373" s="134"/>
      <c r="DD373" s="134"/>
      <c r="DE373" s="134">
        <f t="array" ref="DE373">IFERROR(INDEX(TABLACONSOLIDADA[Buff Act],MATCH("AGROINSUMOSAGRONUEVO"&amp;Tabla_Buffers_Agroinsumos[[#This Row],[CODIGO ]],TABLACONSOLIDADA[Bodega]&amp;TABLACONSOLIDADA[Codigo],0)),"")</f>
        <v>0</v>
      </c>
      <c r="DF373" s="157">
        <f t="array" ref="DF373">IFERROR(INDEX(TABLACONSOLIDADA[Inv Fís Act],MATCH("AGROINSUMOSAGRONUEVO"&amp;Tabla_Buffers_Agroinsumos[[#This Row],[CODIGO ]],TABLACONSOLIDADA[Bodega]&amp;TABLACONSOLIDADA[Codigo],0)),"")</f>
        <v>0</v>
      </c>
      <c r="DG373" s="157">
        <f t="array" ref="DG37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7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73" s="134">
        <f>IFERROR(SUM(Tabla_Buffers_Agroinsumos[[#This Row],[AN-MP]:[AN-VL]]),"")</f>
        <v>0</v>
      </c>
      <c r="DJ373" s="92">
        <f>IFERROR(Tabla_Buffers_Agroinsumos[[#This Row],[INV FIS AN]]-Tabla_Buffers_Agroinsumos[[#This Row],[BUFFER AN]],"")</f>
        <v>0</v>
      </c>
      <c r="DK373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73" s="134"/>
      <c r="DM373" s="134"/>
      <c r="DN373" s="134"/>
      <c r="DO373" s="134"/>
      <c r="DP373" s="134"/>
      <c r="DQ373" s="134"/>
      <c r="DR373" s="134"/>
      <c r="DS373" s="134"/>
      <c r="DT373" s="134"/>
      <c r="DU373" s="134">
        <f t="array" ref="DU373">IFERROR(INDEX(TABLACONSOLIDADA[Buff Act],MATCH("AGROINSUMOSAGROQUIMICOSSUR"&amp;Tabla_Buffers_Agroinsumos[[#This Row],[CODIGO ]],TABLACONSOLIDADA[Bodega]&amp;TABLACONSOLIDADA[Codigo],0)),"")</f>
        <v>0</v>
      </c>
      <c r="DV373" s="157">
        <f t="array" ref="DV373">IFERROR(INDEX(TABLACONSOLIDADA[Inv Fís Act],MATCH("AGROINSUMOSAGROQUIMICOSSUR"&amp;Tabla_Buffers_Agroinsumos[[#This Row],[CODIGO ]],TABLACONSOLIDADA[Bodega]&amp;TABLACONSOLIDADA[Codigo],0)),"")</f>
        <v>0</v>
      </c>
      <c r="DW373" s="157">
        <f t="array" ref="DW37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7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73" s="134">
        <f>IFERROR(SUM(Tabla_Buffers_Agroinsumos[[#This Row],[AS-MP]:[AS-VL]]),"")</f>
        <v>0</v>
      </c>
      <c r="DZ373" s="92">
        <f>IFERROR(Tabla_Buffers_Agroinsumos[[#This Row],[INV FIS AS]]-Tabla_Buffers_Agroinsumos[[#This Row],[BUFFER AS]],"")</f>
        <v>0</v>
      </c>
      <c r="EA373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73" s="134"/>
      <c r="EC373" s="134"/>
      <c r="ED373" s="134"/>
      <c r="EE373" s="134"/>
      <c r="EF373" s="134"/>
      <c r="EG373" s="134"/>
      <c r="EH373" s="134"/>
      <c r="EI373" s="134"/>
      <c r="EJ373" s="134"/>
      <c r="EK373" s="134">
        <f t="array" ref="EK373">IFERROR(INDEX(TABLACONSOLIDADA[Buff Act],MATCH("AGROINSUMOSLAFINCA"&amp;Tabla_Buffers_Agroinsumos[[#This Row],[CODIGO ]],TABLACONSOLIDADA[Bodega]&amp;TABLACONSOLIDADA[Codigo],0)),"")</f>
        <v>0</v>
      </c>
      <c r="EL373" s="157">
        <f t="array" ref="EL373">IFERROR(INDEX(TABLACONSOLIDADA[Inv Fís Act],MATCH("AGROINSUMOSLAFINCA"&amp;Tabla_Buffers_Agroinsumos[[#This Row],[CODIGO ]],TABLACONSOLIDADA[Bodega]&amp;TABLACONSOLIDADA[Codigo],0)),"")</f>
        <v>0</v>
      </c>
      <c r="EM373" s="157">
        <f t="array" ref="EM37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7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73" s="134">
        <f>IFERROR(SUM(Tabla_Buffers_Agroinsumos[[#This Row],[LF-MP]:[LF-VL]]),"")</f>
        <v>0</v>
      </c>
      <c r="EP373" s="92">
        <f>IFERROR(Tabla_Buffers_Agroinsumos[[#This Row],[INV FIS LF]]-Tabla_Buffers_Agroinsumos[[#This Row],[BUFFER LF]],"")</f>
        <v>0</v>
      </c>
      <c r="EQ37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73" s="134"/>
      <c r="ES373" s="134"/>
      <c r="ET373" s="134"/>
      <c r="EU373" s="134"/>
      <c r="EV373" s="134"/>
      <c r="EW373" s="134"/>
      <c r="EX373" s="134"/>
      <c r="EY373" s="134"/>
      <c r="EZ373" s="134"/>
      <c r="FA373" s="134">
        <f t="array" ref="FA373">IFERROR(INDEX(TABLACONSOLIDADA[Buff Act],MATCH("AGROINSUMOSVERONICALEDESMA"&amp;Tabla_Buffers_Agroinsumos[[#This Row],[CODIGO ]],TABLACONSOLIDADA[Bodega]&amp;TABLACONSOLIDADA[Codigo],0)),"")</f>
        <v>0</v>
      </c>
      <c r="FB373" s="157">
        <f t="array" ref="FB373">IFERROR(INDEX(TABLACONSOLIDADA[Inv Fís Act],MATCH("AGROINSUMOSVERONICALEDESMA"&amp;Tabla_Buffers_Agroinsumos[[#This Row],[CODIGO ]],TABLACONSOLIDADA[Bodega]&amp;TABLACONSOLIDADA[Codigo],0)),"")</f>
        <v>0</v>
      </c>
      <c r="FC373" s="157">
        <f t="array" ref="FC37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7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73" s="134">
        <f>IFERROR(SUM(Tabla_Buffers_Agroinsumos[[#This Row],[VL-MP]:[VL-LF]]),"")</f>
        <v>0</v>
      </c>
      <c r="FF373" s="92">
        <f>IFERROR(Tabla_Buffers_Agroinsumos[[#This Row],[INV FIS VL]]-Tabla_Buffers_Agroinsumos[[#This Row],[BUFFER VL]],"")</f>
        <v>0</v>
      </c>
      <c r="FG373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73" s="134"/>
      <c r="FI373" s="134"/>
      <c r="FJ373" s="134"/>
      <c r="FK373" s="134"/>
      <c r="FL373" s="134"/>
      <c r="FM373" s="134"/>
      <c r="FN373" s="134"/>
      <c r="FO373" s="134"/>
      <c r="FP373" s="134"/>
    </row>
    <row r="374" spans="1:172">
      <c r="A374" s="7" t="s">
        <v>627</v>
      </c>
      <c r="B374" s="7" t="s">
        <v>628</v>
      </c>
      <c r="C374" s="7" t="s">
        <v>712</v>
      </c>
      <c r="D374" s="7" t="s">
        <v>715</v>
      </c>
      <c r="E374" s="7" t="s">
        <v>975</v>
      </c>
      <c r="F374" s="19" t="s">
        <v>698</v>
      </c>
      <c r="G374" s="19" t="s">
        <v>698</v>
      </c>
      <c r="H374" s="19">
        <f>VLOOKUP(Tabla_Buffers_Agroinsumos[[#This Row],[CODIGO ]],TABLACONSOLIDADA[[Codigo]:[PV]],6,0)</f>
        <v>2.59</v>
      </c>
      <c r="I374" s="19">
        <f>VLOOKUP(Tabla_Buffers_Agroinsumos[[#This Row],[CODIGO ]],TABLACONSOLIDADA[[Codigo]:[PV]],5,0)</f>
        <v>1.05</v>
      </c>
      <c r="J374" s="19" t="s">
        <v>698</v>
      </c>
      <c r="K374" s="19" t="s">
        <v>698</v>
      </c>
      <c r="L374" s="19">
        <f>IFERROR(Tabla_Buffers_Agroinsumos[[#This Row],[BUFFER CENTRAL]]/((Tabla_Buffers_Agroinsumos[[#This Row],[TIEMPO REPOSICION ]]/Tabla_Buffers_Agroinsumos[[#This Row],[FRECUENCIA]])+1),0)</f>
        <v>0</v>
      </c>
      <c r="M374" s="19" t="str">
        <f t="array" ref="M374">IFERROR(INDEX(TABLACONSOLIDADA[Buff Act],MATCH("AGROINSUMOSMATERIAPRIMA"&amp;Tabla_Buffers_Agroinsumos[[#This Row],[CODIGO ]],TABLACONSOLIDADA[Bodega]&amp;TABLACONSOLIDADA[Codigo],0)),"")</f>
        <v/>
      </c>
      <c r="N374" s="157" t="str">
        <f t="array" ref="N374">IFERROR(INDEX(TABLACONSOLIDADA[Inv Fís Act],MATCH("AGROINSUMOSMATERIAPRIMA"&amp;Tabla_Buffers_Agroinsumos[[#This Row],[CODIGO ]],TABLACONSOLIDADA[Bodega]&amp;TABLACONSOLIDADA[Codigo],0)),"")</f>
        <v/>
      </c>
      <c r="O374" s="157" t="str">
        <f t="array" ref="O37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7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74" s="19">
        <f>IFERROR(SUM(Tabla_Buffers_Agroinsumos[[#This Row],[MP-C]:[MP-VL]]),"")</f>
        <v>0</v>
      </c>
      <c r="R374" s="92" t="str">
        <f>IFERROR(Tabla_Buffers_Agroinsumos[[#This Row],[INV FIS MATERIA PRIMA]]-Tabla_Buffers_Agroinsumos[[#This Row],[BUFFER MATERIA PRIMA]],"")</f>
        <v/>
      </c>
      <c r="S37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74" s="19"/>
      <c r="U374" s="19"/>
      <c r="V374" s="19"/>
      <c r="W374" s="19"/>
      <c r="X374" s="19"/>
      <c r="Y374" s="19"/>
      <c r="Z374" s="19"/>
      <c r="AA374" s="19"/>
      <c r="AB374" s="19"/>
      <c r="AC374" s="135">
        <f t="array" ref="AC374">IFERROR(INDEX(TABLACONSOLIDADA[Buff Act],MATCH("AGROINSUMOSCENTRAL"&amp;Tabla_Buffers_Agroinsumos[[#This Row],[CODIGO ]],TABLACONSOLIDADA[Bodega]&amp;TABLACONSOLIDADA[Codigo],0)),"")</f>
        <v>100</v>
      </c>
      <c r="AD374" s="157">
        <f t="array" ref="AD374">IFERROR(INDEX(TABLACONSOLIDADA[Inv Fís Act],MATCH("AGROINSUMOSCENTRAL"&amp;Tabla_Buffers_Agroinsumos[[#This Row],[CODIGO ]],TABLACONSOLIDADA[Bodega]&amp;TABLACONSOLIDADA[Codigo],0)),"")</f>
        <v>116</v>
      </c>
      <c r="AE374" s="157">
        <f t="array" ref="AE37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126</v>
      </c>
      <c r="AF37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74" s="91">
        <f>IFERROR(SUM(Tabla_Buffers_Agroinsumos[[#This Row],[C-MP]:[C-VL]]),"")</f>
        <v>0</v>
      </c>
      <c r="AH374" s="92">
        <f>IFERROR(Tabla_Buffers_Agroinsumos[[#This Row],[INV FIS CENTRAL]]-Tabla_Buffers_Agroinsumos[[#This Row],[BUFFER CENTRAL]],"")</f>
        <v>16</v>
      </c>
      <c r="AI37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16</v>
      </c>
      <c r="AJ374" s="134"/>
      <c r="AK374" s="134"/>
      <c r="AL374" s="134"/>
      <c r="AM374" s="134"/>
      <c r="AN374" s="134"/>
      <c r="AO374" s="134"/>
      <c r="AP374" s="134"/>
      <c r="AQ374" s="134"/>
      <c r="AR374" s="134"/>
      <c r="AS374" s="134">
        <f t="array" ref="AS374">IFERROR(INDEX(TABLACONSOLIDADA[Buff Act],MATCH("AGROINSUMOScentralPROPIA"&amp;Tabla_Buffers_Agroinsumos[[#This Row],[CODIGO ]],TABLACONSOLIDADA[Bodega]&amp;TABLACONSOLIDADA[Codigo],0)),"")</f>
        <v>36</v>
      </c>
      <c r="AT374" s="157">
        <f t="array" ref="AT374">IFERROR(INDEX(TABLACONSOLIDADA[Inv Fís Act],MATCH("AGROINSUMOScentralPROPIA"&amp;Tabla_Buffers_Agroinsumos[[#This Row],[CODIGO ]],TABLACONSOLIDADA[Bodega]&amp;TABLACONSOLIDADA[Codigo],0)),"")</f>
        <v>0</v>
      </c>
      <c r="AU374" s="157">
        <f t="array" ref="AU37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7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74" s="134">
        <f>IFERROR(SUM(Tabla_Buffers_Agroinsumos[[#This Row],[P-MP]:[P-VL]]),"")</f>
        <v>0</v>
      </c>
      <c r="AX374" s="92">
        <f>IFERROR(Tabla_Buffers_Agroinsumos[[#This Row],[INV FIS PROPIA]]-Tabla_Buffers_Agroinsumos[[#This Row],[BUFFER PROPIA]],"")</f>
        <v>-36</v>
      </c>
      <c r="AY37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-36</v>
      </c>
      <c r="AZ374" s="134"/>
      <c r="BA374" s="134"/>
      <c r="BB374" s="134"/>
      <c r="BC374" s="134"/>
      <c r="BD374" s="134"/>
      <c r="BE374" s="134"/>
      <c r="BF374" s="134"/>
      <c r="BG374" s="134"/>
      <c r="BH374" s="134"/>
      <c r="BI374" s="91">
        <f t="array" ref="BI374">IFERROR(INDEX(TABLACONSOLIDADA[Buff Act],MATCH("AGROINSUMOSSTODOMINGO"&amp;Tabla_Buffers_Agroinsumos[[#This Row],[CODIGO ]],TABLACONSOLIDADA[Bodega]&amp;TABLACONSOLIDADA[Codigo],0)),"")</f>
        <v>0</v>
      </c>
      <c r="BJ374" s="157">
        <f t="array" ref="BJ374">IFERROR(INDEX(TABLACONSOLIDADA[Inv Fís Act],MATCH("AGROINSUMOSSTODOMINGO"&amp;Tabla_Buffers_Agroinsumos[[#This Row],[CODIGO ]],TABLACONSOLIDADA[Bodega]&amp;TABLACONSOLIDADA[Codigo],0)),"")</f>
        <v>0</v>
      </c>
      <c r="BK374" s="157">
        <f t="array" ref="BK37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7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74" s="91">
        <f>IFERROR(SUM(Tabla_Buffers_Agroinsumos[[#This Row],[SD-MP]:[SD-VL]]),"")</f>
        <v>0</v>
      </c>
      <c r="BN374" s="92"/>
      <c r="BO374" s="92"/>
      <c r="BP374" s="134"/>
      <c r="BQ374" s="134"/>
      <c r="BR374" s="134"/>
      <c r="BS374" s="134"/>
      <c r="BT374" s="134"/>
      <c r="BU374" s="134"/>
      <c r="BV374" s="134"/>
      <c r="BW374" s="134"/>
      <c r="BX374" s="134"/>
      <c r="BY374" s="134">
        <f t="array" ref="BY374">IFERROR(INDEX(TABLACONSOLIDADA[Buff Act],MATCH("AGROINSUMOSMONCAYOLOPEZ"&amp;Tabla_Buffers_Agroinsumos[[#This Row],[CODIGO ]],TABLACONSOLIDADA[Bodega]&amp;TABLACONSOLIDADA[Codigo],0)),"")</f>
        <v>0</v>
      </c>
      <c r="BZ374" s="157">
        <f t="array" ref="BZ374">IFERROR(INDEX(TABLACONSOLIDADA[Inv Fís Act],MATCH("AGROINSUMOSMONCAYOLOPEZ"&amp;Tabla_Buffers_Agroinsumos[[#This Row],[CODIGO ]],TABLACONSOLIDADA[Bodega]&amp;TABLACONSOLIDADA[Codigo],0)),"")</f>
        <v>0</v>
      </c>
      <c r="CA374" s="157">
        <f t="array" ref="CA37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7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74" s="134">
        <f>IFERROR(SUM(Tabla_Buffers_Agroinsumos[[#This Row],[ML-MP]:[ML-VL]]),"")</f>
        <v>0</v>
      </c>
      <c r="CD374" s="92">
        <f>IFERROR(Tabla_Buffers_Agroinsumos[[#This Row],[INV FIS ML]]-Tabla_Buffers_Agroinsumos[[#This Row],[BUFFER ML]],"")</f>
        <v>0</v>
      </c>
      <c r="CE374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74" s="134"/>
      <c r="CG374" s="134"/>
      <c r="CH374" s="134"/>
      <c r="CI374" s="134"/>
      <c r="CJ374" s="134"/>
      <c r="CK374" s="134"/>
      <c r="CL374" s="134"/>
      <c r="CM374" s="134"/>
      <c r="CN374" s="134"/>
      <c r="CO374" s="134">
        <f t="array" ref="CO374">IFERROR(INDEX(TABLACONSOLIDADA[Buff Act],MATCH("AGROINSUMOSAGROHERMANOSLEON"&amp;Tabla_Buffers_Agroinsumos[[#This Row],[CODIGO ]],TABLACONSOLIDADA[Bodega]&amp;TABLACONSOLIDADA[Codigo],0)),"")</f>
        <v>0</v>
      </c>
      <c r="CP374" s="157">
        <f t="array" ref="CP374">IFERROR(INDEX(TABLACONSOLIDADA[Inv Fís Act],MATCH("AGROINSUMOSAGROHERMANOSLEON"&amp;Tabla_Buffers_Agroinsumos[[#This Row],[CODIGO ]],TABLACONSOLIDADA[Bodega]&amp;TABLACONSOLIDADA[Codigo],0)),"")</f>
        <v>0</v>
      </c>
      <c r="CQ374" s="157">
        <f t="array" ref="CQ37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7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74" s="134">
        <f>IFERROR(SUM(Tabla_Buffers_Agroinsumos[[#This Row],[AL-MP]:[AL-VL]]),"")</f>
        <v>0</v>
      </c>
      <c r="CT374" s="92">
        <f>IFERROR(Tabla_Buffers_Agroinsumos[[#This Row],[INV FIS AL]]-Tabla_Buffers_Agroinsumos[[#This Row],[BUFFER AL]],"")</f>
        <v>0</v>
      </c>
      <c r="CU374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74" s="134"/>
      <c r="CW374" s="134"/>
      <c r="CX374" s="134"/>
      <c r="CY374" s="134"/>
      <c r="CZ374" s="134"/>
      <c r="DA374" s="134"/>
      <c r="DB374" s="134"/>
      <c r="DC374" s="134"/>
      <c r="DD374" s="134"/>
      <c r="DE374" s="134">
        <f t="array" ref="DE374">IFERROR(INDEX(TABLACONSOLIDADA[Buff Act],MATCH("AGROINSUMOSAGRONUEVO"&amp;Tabla_Buffers_Agroinsumos[[#This Row],[CODIGO ]],TABLACONSOLIDADA[Bodega]&amp;TABLACONSOLIDADA[Codigo],0)),"")</f>
        <v>0</v>
      </c>
      <c r="DF374" s="157">
        <f t="array" ref="DF374">IFERROR(INDEX(TABLACONSOLIDADA[Inv Fís Act],MATCH("AGROINSUMOSAGRONUEVO"&amp;Tabla_Buffers_Agroinsumos[[#This Row],[CODIGO ]],TABLACONSOLIDADA[Bodega]&amp;TABLACONSOLIDADA[Codigo],0)),"")</f>
        <v>0</v>
      </c>
      <c r="DG374" s="157">
        <f t="array" ref="DG37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7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74" s="134">
        <f>IFERROR(SUM(Tabla_Buffers_Agroinsumos[[#This Row],[AN-MP]:[AN-VL]]),"")</f>
        <v>0</v>
      </c>
      <c r="DJ374" s="92">
        <f>IFERROR(Tabla_Buffers_Agroinsumos[[#This Row],[INV FIS AN]]-Tabla_Buffers_Agroinsumos[[#This Row],[BUFFER AN]],"")</f>
        <v>0</v>
      </c>
      <c r="DK374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74" s="134"/>
      <c r="DM374" s="134"/>
      <c r="DN374" s="134"/>
      <c r="DO374" s="134"/>
      <c r="DP374" s="134"/>
      <c r="DQ374" s="134"/>
      <c r="DR374" s="134"/>
      <c r="DS374" s="134"/>
      <c r="DT374" s="134"/>
      <c r="DU374" s="134">
        <f t="array" ref="DU374">IFERROR(INDEX(TABLACONSOLIDADA[Buff Act],MATCH("AGROINSUMOSAGROQUIMICOSSUR"&amp;Tabla_Buffers_Agroinsumos[[#This Row],[CODIGO ]],TABLACONSOLIDADA[Bodega]&amp;TABLACONSOLIDADA[Codigo],0)),"")</f>
        <v>0</v>
      </c>
      <c r="DV374" s="157">
        <f t="array" ref="DV374">IFERROR(INDEX(TABLACONSOLIDADA[Inv Fís Act],MATCH("AGROINSUMOSAGROQUIMICOSSUR"&amp;Tabla_Buffers_Agroinsumos[[#This Row],[CODIGO ]],TABLACONSOLIDADA[Bodega]&amp;TABLACONSOLIDADA[Codigo],0)),"")</f>
        <v>0</v>
      </c>
      <c r="DW374" s="157">
        <f t="array" ref="DW37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7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74" s="134">
        <f>IFERROR(SUM(Tabla_Buffers_Agroinsumos[[#This Row],[AS-MP]:[AS-VL]]),"")</f>
        <v>0</v>
      </c>
      <c r="DZ374" s="92">
        <f>IFERROR(Tabla_Buffers_Agroinsumos[[#This Row],[INV FIS AS]]-Tabla_Buffers_Agroinsumos[[#This Row],[BUFFER AS]],"")</f>
        <v>0</v>
      </c>
      <c r="EA374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74" s="134"/>
      <c r="EC374" s="134"/>
      <c r="ED374" s="134"/>
      <c r="EE374" s="134"/>
      <c r="EF374" s="134"/>
      <c r="EG374" s="134"/>
      <c r="EH374" s="134"/>
      <c r="EI374" s="134"/>
      <c r="EJ374" s="134"/>
      <c r="EK374" s="134">
        <f t="array" ref="EK374">IFERROR(INDEX(TABLACONSOLIDADA[Buff Act],MATCH("AGROINSUMOSLAFINCA"&amp;Tabla_Buffers_Agroinsumos[[#This Row],[CODIGO ]],TABLACONSOLIDADA[Bodega]&amp;TABLACONSOLIDADA[Codigo],0)),"")</f>
        <v>0</v>
      </c>
      <c r="EL374" s="157">
        <f t="array" ref="EL374">IFERROR(INDEX(TABLACONSOLIDADA[Inv Fís Act],MATCH("AGROINSUMOSLAFINCA"&amp;Tabla_Buffers_Agroinsumos[[#This Row],[CODIGO ]],TABLACONSOLIDADA[Bodega]&amp;TABLACONSOLIDADA[Codigo],0)),"")</f>
        <v>0</v>
      </c>
      <c r="EM374" s="157">
        <f t="array" ref="EM37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7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74" s="134">
        <f>IFERROR(SUM(Tabla_Buffers_Agroinsumos[[#This Row],[LF-MP]:[LF-VL]]),"")</f>
        <v>0</v>
      </c>
      <c r="EP374" s="92">
        <f>IFERROR(Tabla_Buffers_Agroinsumos[[#This Row],[INV FIS LF]]-Tabla_Buffers_Agroinsumos[[#This Row],[BUFFER LF]],"")</f>
        <v>0</v>
      </c>
      <c r="EQ374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74" s="134"/>
      <c r="ES374" s="134"/>
      <c r="ET374" s="134"/>
      <c r="EU374" s="134"/>
      <c r="EV374" s="134"/>
      <c r="EW374" s="134"/>
      <c r="EX374" s="134"/>
      <c r="EY374" s="134"/>
      <c r="EZ374" s="134"/>
      <c r="FA374" s="134">
        <f t="array" ref="FA374">IFERROR(INDEX(TABLACONSOLIDADA[Buff Act],MATCH("AGROINSUMOSVERONICALEDESMA"&amp;Tabla_Buffers_Agroinsumos[[#This Row],[CODIGO ]],TABLACONSOLIDADA[Bodega]&amp;TABLACONSOLIDADA[Codigo],0)),"")</f>
        <v>0</v>
      </c>
      <c r="FB374" s="157">
        <f t="array" ref="FB374">IFERROR(INDEX(TABLACONSOLIDADA[Inv Fís Act],MATCH("AGROINSUMOSVERONICALEDESMA"&amp;Tabla_Buffers_Agroinsumos[[#This Row],[CODIGO ]],TABLACONSOLIDADA[Bodega]&amp;TABLACONSOLIDADA[Codigo],0)),"")</f>
        <v>0</v>
      </c>
      <c r="FC374" s="157">
        <f t="array" ref="FC37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7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74" s="134">
        <f>IFERROR(SUM(Tabla_Buffers_Agroinsumos[[#This Row],[VL-MP]:[VL-LF]]),"")</f>
        <v>0</v>
      </c>
      <c r="FF374" s="92">
        <f>IFERROR(Tabla_Buffers_Agroinsumos[[#This Row],[INV FIS VL]]-Tabla_Buffers_Agroinsumos[[#This Row],[BUFFER VL]],"")</f>
        <v>0</v>
      </c>
      <c r="FG374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74" s="134"/>
      <c r="FI374" s="134"/>
      <c r="FJ374" s="134"/>
      <c r="FK374" s="134"/>
      <c r="FL374" s="134"/>
      <c r="FM374" s="134"/>
      <c r="FN374" s="134"/>
      <c r="FO374" s="134"/>
      <c r="FP374" s="134"/>
    </row>
    <row r="375" spans="1:172">
      <c r="A375" s="7" t="s">
        <v>629</v>
      </c>
      <c r="B375" s="7" t="s">
        <v>630</v>
      </c>
      <c r="C375" s="7" t="s">
        <v>712</v>
      </c>
      <c r="D375" s="7" t="s">
        <v>715</v>
      </c>
      <c r="E375" s="7" t="s">
        <v>975</v>
      </c>
      <c r="F375" s="19" t="s">
        <v>698</v>
      </c>
      <c r="G375" s="19" t="s">
        <v>698</v>
      </c>
      <c r="H375" s="19">
        <f>VLOOKUP(Tabla_Buffers_Agroinsumos[[#This Row],[CODIGO ]],TABLACONSOLIDADA[[Codigo]:[PV]],6,0)</f>
        <v>5.49</v>
      </c>
      <c r="I375" s="19">
        <f>VLOOKUP(Tabla_Buffers_Agroinsumos[[#This Row],[CODIGO ]],TABLACONSOLIDADA[[Codigo]:[PV]],5,0)</f>
        <v>2.27</v>
      </c>
      <c r="J375" s="19" t="s">
        <v>698</v>
      </c>
      <c r="K375" s="19" t="s">
        <v>698</v>
      </c>
      <c r="L375" s="19">
        <f>IFERROR(Tabla_Buffers_Agroinsumos[[#This Row],[BUFFER CENTRAL]]/((Tabla_Buffers_Agroinsumos[[#This Row],[TIEMPO REPOSICION ]]/Tabla_Buffers_Agroinsumos[[#This Row],[FRECUENCIA]])+1),0)</f>
        <v>0</v>
      </c>
      <c r="M375" s="19" t="str">
        <f t="array" ref="M375">IFERROR(INDEX(TABLACONSOLIDADA[Buff Act],MATCH("AGROINSUMOSMATERIAPRIMA"&amp;Tabla_Buffers_Agroinsumos[[#This Row],[CODIGO ]],TABLACONSOLIDADA[Bodega]&amp;TABLACONSOLIDADA[Codigo],0)),"")</f>
        <v/>
      </c>
      <c r="N375" s="157" t="str">
        <f t="array" ref="N375">IFERROR(INDEX(TABLACONSOLIDADA[Inv Fís Act],MATCH("AGROINSUMOSMATERIAPRIMA"&amp;Tabla_Buffers_Agroinsumos[[#This Row],[CODIGO ]],TABLACONSOLIDADA[Bodega]&amp;TABLACONSOLIDADA[Codigo],0)),"")</f>
        <v/>
      </c>
      <c r="O375" s="157" t="str">
        <f t="array" ref="O37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7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75" s="19">
        <f>IFERROR(SUM(Tabla_Buffers_Agroinsumos[[#This Row],[MP-C]:[MP-VL]]),"")</f>
        <v>0</v>
      </c>
      <c r="R375" s="92" t="str">
        <f>IFERROR(Tabla_Buffers_Agroinsumos[[#This Row],[INV FIS MATERIA PRIMA]]-Tabla_Buffers_Agroinsumos[[#This Row],[BUFFER MATERIA PRIMA]],"")</f>
        <v/>
      </c>
      <c r="S37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75" s="19"/>
      <c r="U375" s="19"/>
      <c r="V375" s="19"/>
      <c r="W375" s="19"/>
      <c r="X375" s="19"/>
      <c r="Y375" s="19"/>
      <c r="Z375" s="19"/>
      <c r="AA375" s="19"/>
      <c r="AB375" s="19"/>
      <c r="AC375" s="135">
        <f t="array" ref="AC375">IFERROR(INDEX(TABLACONSOLIDADA[Buff Act],MATCH("AGROINSUMOSCENTRAL"&amp;Tabla_Buffers_Agroinsumos[[#This Row],[CODIGO ]],TABLACONSOLIDADA[Bodega]&amp;TABLACONSOLIDADA[Codigo],0)),"")</f>
        <v>300</v>
      </c>
      <c r="AD375" s="157">
        <f t="array" ref="AD375">IFERROR(INDEX(TABLACONSOLIDADA[Inv Fís Act],MATCH("AGROINSUMOSCENTRAL"&amp;Tabla_Buffers_Agroinsumos[[#This Row],[CODIGO ]],TABLACONSOLIDADA[Bodega]&amp;TABLACONSOLIDADA[Codigo],0)),"")</f>
        <v>317</v>
      </c>
      <c r="AE375" s="157">
        <f t="array" ref="AE37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335</v>
      </c>
      <c r="AF37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75" s="91">
        <f>IFERROR(SUM(Tabla_Buffers_Agroinsumos[[#This Row],[C-MP]:[C-VL]]),"")</f>
        <v>0</v>
      </c>
      <c r="AH375" s="92">
        <f>IFERROR(Tabla_Buffers_Agroinsumos[[#This Row],[INV FIS CENTRAL]]-Tabla_Buffers_Agroinsumos[[#This Row],[BUFFER CENTRAL]],"")</f>
        <v>17</v>
      </c>
      <c r="AI37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17</v>
      </c>
      <c r="AJ375" s="134"/>
      <c r="AK375" s="134"/>
      <c r="AL375" s="134"/>
      <c r="AM375" s="134"/>
      <c r="AN375" s="134"/>
      <c r="AO375" s="134"/>
      <c r="AP375" s="134"/>
      <c r="AQ375" s="134"/>
      <c r="AR375" s="134"/>
      <c r="AS375" s="134">
        <f t="array" ref="AS375">IFERROR(INDEX(TABLACONSOLIDADA[Buff Act],MATCH("AGROINSUMOScentralPROPIA"&amp;Tabla_Buffers_Agroinsumos[[#This Row],[CODIGO ]],TABLACONSOLIDADA[Bodega]&amp;TABLACONSOLIDADA[Codigo],0)),"")</f>
        <v>120</v>
      </c>
      <c r="AT375" s="157">
        <f t="array" ref="AT375">IFERROR(INDEX(TABLACONSOLIDADA[Inv Fís Act],MATCH("AGROINSUMOScentralPROPIA"&amp;Tabla_Buffers_Agroinsumos[[#This Row],[CODIGO ]],TABLACONSOLIDADA[Bodega]&amp;TABLACONSOLIDADA[Codigo],0)),"")</f>
        <v>0</v>
      </c>
      <c r="AU375" s="157">
        <f t="array" ref="AU37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7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75" s="134">
        <f>IFERROR(SUM(Tabla_Buffers_Agroinsumos[[#This Row],[P-MP]:[P-VL]]),"")</f>
        <v>0</v>
      </c>
      <c r="AX375" s="92">
        <f>IFERROR(Tabla_Buffers_Agroinsumos[[#This Row],[INV FIS PROPIA]]-Tabla_Buffers_Agroinsumos[[#This Row],[BUFFER PROPIA]],"")</f>
        <v>-120</v>
      </c>
      <c r="AY37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-120</v>
      </c>
      <c r="AZ375" s="134"/>
      <c r="BA375" s="134"/>
      <c r="BB375" s="134"/>
      <c r="BC375" s="134"/>
      <c r="BD375" s="134"/>
      <c r="BE375" s="134"/>
      <c r="BF375" s="134"/>
      <c r="BG375" s="134"/>
      <c r="BH375" s="134"/>
      <c r="BI375" s="91">
        <f t="array" ref="BI375">IFERROR(INDEX(TABLACONSOLIDADA[Buff Act],MATCH("AGROINSUMOSSTODOMINGO"&amp;Tabla_Buffers_Agroinsumos[[#This Row],[CODIGO ]],TABLACONSOLIDADA[Bodega]&amp;TABLACONSOLIDADA[Codigo],0)),"")</f>
        <v>0</v>
      </c>
      <c r="BJ375" s="157">
        <f t="array" ref="BJ375">IFERROR(INDEX(TABLACONSOLIDADA[Inv Fís Act],MATCH("AGROINSUMOSSTODOMINGO"&amp;Tabla_Buffers_Agroinsumos[[#This Row],[CODIGO ]],TABLACONSOLIDADA[Bodega]&amp;TABLACONSOLIDADA[Codigo],0)),"")</f>
        <v>0</v>
      </c>
      <c r="BK375" s="157">
        <f t="array" ref="BK37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7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75" s="91">
        <f>IFERROR(SUM(Tabla_Buffers_Agroinsumos[[#This Row],[SD-MP]:[SD-VL]]),"")</f>
        <v>0</v>
      </c>
      <c r="BN375" s="92"/>
      <c r="BO375" s="92"/>
      <c r="BP375" s="134"/>
      <c r="BQ375" s="134"/>
      <c r="BR375" s="134"/>
      <c r="BS375" s="134"/>
      <c r="BT375" s="134"/>
      <c r="BU375" s="134"/>
      <c r="BV375" s="134"/>
      <c r="BW375" s="134"/>
      <c r="BX375" s="134"/>
      <c r="BY375" s="134">
        <f t="array" ref="BY375">IFERROR(INDEX(TABLACONSOLIDADA[Buff Act],MATCH("AGROINSUMOSMONCAYOLOPEZ"&amp;Tabla_Buffers_Agroinsumos[[#This Row],[CODIGO ]],TABLACONSOLIDADA[Bodega]&amp;TABLACONSOLIDADA[Codigo],0)),"")</f>
        <v>15</v>
      </c>
      <c r="BZ375" s="157">
        <f t="array" ref="BZ375">IFERROR(INDEX(TABLACONSOLIDADA[Inv Fís Act],MATCH("AGROINSUMOSMONCAYOLOPEZ"&amp;Tabla_Buffers_Agroinsumos[[#This Row],[CODIGO ]],TABLACONSOLIDADA[Bodega]&amp;TABLACONSOLIDADA[Codigo],0)),"")</f>
        <v>13</v>
      </c>
      <c r="CA375" s="157">
        <f t="array" ref="CA37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13</v>
      </c>
      <c r="CB37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75" s="134">
        <f>IFERROR(SUM(Tabla_Buffers_Agroinsumos[[#This Row],[ML-MP]:[ML-VL]]),"")</f>
        <v>0</v>
      </c>
      <c r="CD375" s="92">
        <f>IFERROR(Tabla_Buffers_Agroinsumos[[#This Row],[INV FIS ML]]-Tabla_Buffers_Agroinsumos[[#This Row],[BUFFER ML]],"")</f>
        <v>-2</v>
      </c>
      <c r="CE375" s="92">
        <f>IFERROR(Tabla_Buffers_Agroinsumos[[#This Row],[INV FIS ML]]+Tabla_Buffers_Agroinsumos[[#This Row],[TRANSFERENCIAS A ML]]-Tabla_Buffers_Agroinsumos[[#This Row],[BUFFER ML]]-Tabla_Buffers_Agroinsumos[[#This Row],[TRANSFERENCIAS DE ML]],"")</f>
        <v>-2</v>
      </c>
      <c r="CF375" s="134"/>
      <c r="CG375" s="134"/>
      <c r="CH375" s="134"/>
      <c r="CI375" s="134"/>
      <c r="CJ375" s="134"/>
      <c r="CK375" s="134"/>
      <c r="CL375" s="134"/>
      <c r="CM375" s="134"/>
      <c r="CN375" s="134"/>
      <c r="CO375" s="134">
        <f t="array" ref="CO375">IFERROR(INDEX(TABLACONSOLIDADA[Buff Act],MATCH("AGROINSUMOSAGROHERMANOSLEON"&amp;Tabla_Buffers_Agroinsumos[[#This Row],[CODIGO ]],TABLACONSOLIDADA[Bodega]&amp;TABLACONSOLIDADA[Codigo],0)),"")</f>
        <v>0</v>
      </c>
      <c r="CP375" s="157">
        <f t="array" ref="CP375">IFERROR(INDEX(TABLACONSOLIDADA[Inv Fís Act],MATCH("AGROINSUMOSAGROHERMANOSLEON"&amp;Tabla_Buffers_Agroinsumos[[#This Row],[CODIGO ]],TABLACONSOLIDADA[Bodega]&amp;TABLACONSOLIDADA[Codigo],0)),"")</f>
        <v>0</v>
      </c>
      <c r="CQ375" s="157">
        <f t="array" ref="CQ37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7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75" s="134">
        <f>IFERROR(SUM(Tabla_Buffers_Agroinsumos[[#This Row],[AL-MP]:[AL-VL]]),"")</f>
        <v>0</v>
      </c>
      <c r="CT375" s="92">
        <f>IFERROR(Tabla_Buffers_Agroinsumos[[#This Row],[INV FIS AL]]-Tabla_Buffers_Agroinsumos[[#This Row],[BUFFER AL]],"")</f>
        <v>0</v>
      </c>
      <c r="CU37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75" s="134"/>
      <c r="CW375" s="134"/>
      <c r="CX375" s="134"/>
      <c r="CY375" s="134"/>
      <c r="CZ375" s="134"/>
      <c r="DA375" s="134"/>
      <c r="DB375" s="134"/>
      <c r="DC375" s="134"/>
      <c r="DD375" s="134"/>
      <c r="DE375" s="134">
        <f t="array" ref="DE375">IFERROR(INDEX(TABLACONSOLIDADA[Buff Act],MATCH("AGROINSUMOSAGRONUEVO"&amp;Tabla_Buffers_Agroinsumos[[#This Row],[CODIGO ]],TABLACONSOLIDADA[Bodega]&amp;TABLACONSOLIDADA[Codigo],0)),"")</f>
        <v>0</v>
      </c>
      <c r="DF375" s="157">
        <f t="array" ref="DF375">IFERROR(INDEX(TABLACONSOLIDADA[Inv Fís Act],MATCH("AGROINSUMOSAGRONUEVO"&amp;Tabla_Buffers_Agroinsumos[[#This Row],[CODIGO ]],TABLACONSOLIDADA[Bodega]&amp;TABLACONSOLIDADA[Codigo],0)),"")</f>
        <v>0</v>
      </c>
      <c r="DG375" s="157">
        <f t="array" ref="DG37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7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75" s="134">
        <f>IFERROR(SUM(Tabla_Buffers_Agroinsumos[[#This Row],[AN-MP]:[AN-VL]]),"")</f>
        <v>0</v>
      </c>
      <c r="DJ375" s="92">
        <f>IFERROR(Tabla_Buffers_Agroinsumos[[#This Row],[INV FIS AN]]-Tabla_Buffers_Agroinsumos[[#This Row],[BUFFER AN]],"")</f>
        <v>0</v>
      </c>
      <c r="DK37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75" s="134"/>
      <c r="DM375" s="134"/>
      <c r="DN375" s="134"/>
      <c r="DO375" s="134"/>
      <c r="DP375" s="134"/>
      <c r="DQ375" s="134"/>
      <c r="DR375" s="134"/>
      <c r="DS375" s="134"/>
      <c r="DT375" s="134"/>
      <c r="DU375" s="134">
        <f t="array" ref="DU375">IFERROR(INDEX(TABLACONSOLIDADA[Buff Act],MATCH("AGROINSUMOSAGROQUIMICOSSUR"&amp;Tabla_Buffers_Agroinsumos[[#This Row],[CODIGO ]],TABLACONSOLIDADA[Bodega]&amp;TABLACONSOLIDADA[Codigo],0)),"")</f>
        <v>0</v>
      </c>
      <c r="DV375" s="157">
        <f t="array" ref="DV375">IFERROR(INDEX(TABLACONSOLIDADA[Inv Fís Act],MATCH("AGROINSUMOSAGROQUIMICOSSUR"&amp;Tabla_Buffers_Agroinsumos[[#This Row],[CODIGO ]],TABLACONSOLIDADA[Bodega]&amp;TABLACONSOLIDADA[Codigo],0)),"")</f>
        <v>0</v>
      </c>
      <c r="DW375" s="157">
        <f t="array" ref="DW37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7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75" s="134">
        <f>IFERROR(SUM(Tabla_Buffers_Agroinsumos[[#This Row],[AS-MP]:[AS-VL]]),"")</f>
        <v>0</v>
      </c>
      <c r="DZ375" s="92">
        <f>IFERROR(Tabla_Buffers_Agroinsumos[[#This Row],[INV FIS AS]]-Tabla_Buffers_Agroinsumos[[#This Row],[BUFFER AS]],"")</f>
        <v>0</v>
      </c>
      <c r="EA37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75" s="134"/>
      <c r="EC375" s="134"/>
      <c r="ED375" s="134"/>
      <c r="EE375" s="134"/>
      <c r="EF375" s="134"/>
      <c r="EG375" s="134"/>
      <c r="EH375" s="134"/>
      <c r="EI375" s="134"/>
      <c r="EJ375" s="134"/>
      <c r="EK375" s="134">
        <f t="array" ref="EK375">IFERROR(INDEX(TABLACONSOLIDADA[Buff Act],MATCH("AGROINSUMOSLAFINCA"&amp;Tabla_Buffers_Agroinsumos[[#This Row],[CODIGO ]],TABLACONSOLIDADA[Bodega]&amp;TABLACONSOLIDADA[Codigo],0)),"")</f>
        <v>0</v>
      </c>
      <c r="EL375" s="157">
        <f t="array" ref="EL375">IFERROR(INDEX(TABLACONSOLIDADA[Inv Fís Act],MATCH("AGROINSUMOSLAFINCA"&amp;Tabla_Buffers_Agroinsumos[[#This Row],[CODIGO ]],TABLACONSOLIDADA[Bodega]&amp;TABLACONSOLIDADA[Codigo],0)),"")</f>
        <v>0</v>
      </c>
      <c r="EM375" s="157">
        <f t="array" ref="EM37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7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75" s="134">
        <f>IFERROR(SUM(Tabla_Buffers_Agroinsumos[[#This Row],[LF-MP]:[LF-VL]]),"")</f>
        <v>0</v>
      </c>
      <c r="EP375" s="92">
        <f>IFERROR(Tabla_Buffers_Agroinsumos[[#This Row],[INV FIS LF]]-Tabla_Buffers_Agroinsumos[[#This Row],[BUFFER LF]],"")</f>
        <v>0</v>
      </c>
      <c r="EQ37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75" s="134"/>
      <c r="ES375" s="134"/>
      <c r="ET375" s="134"/>
      <c r="EU375" s="134"/>
      <c r="EV375" s="134"/>
      <c r="EW375" s="134"/>
      <c r="EX375" s="134"/>
      <c r="EY375" s="134"/>
      <c r="EZ375" s="134"/>
      <c r="FA375" s="134">
        <f t="array" ref="FA375">IFERROR(INDEX(TABLACONSOLIDADA[Buff Act],MATCH("AGROINSUMOSVERONICALEDESMA"&amp;Tabla_Buffers_Agroinsumos[[#This Row],[CODIGO ]],TABLACONSOLIDADA[Bodega]&amp;TABLACONSOLIDADA[Codigo],0)),"")</f>
        <v>21</v>
      </c>
      <c r="FB375" s="157">
        <f t="array" ref="FB375">IFERROR(INDEX(TABLACONSOLIDADA[Inv Fís Act],MATCH("AGROINSUMOSVERONICALEDESMA"&amp;Tabla_Buffers_Agroinsumos[[#This Row],[CODIGO ]],TABLACONSOLIDADA[Bodega]&amp;TABLACONSOLIDADA[Codigo],0)),"")</f>
        <v>10</v>
      </c>
      <c r="FC375" s="157">
        <f t="array" ref="FC37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51</v>
      </c>
      <c r="FD37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75" s="134">
        <f>IFERROR(SUM(Tabla_Buffers_Agroinsumos[[#This Row],[VL-MP]:[VL-LF]]),"")</f>
        <v>0</v>
      </c>
      <c r="FF375" s="92">
        <f>IFERROR(Tabla_Buffers_Agroinsumos[[#This Row],[INV FIS VL]]-Tabla_Buffers_Agroinsumos[[#This Row],[BUFFER VL]],"")</f>
        <v>-11</v>
      </c>
      <c r="FG375" s="92">
        <f>IFERROR(Tabla_Buffers_Agroinsumos[[#This Row],[INV FIS VL]]+Tabla_Buffers_Agroinsumos[[#This Row],[TRANSFERENCIAS A VL]]-Tabla_Buffers_Agroinsumos[[#This Row],[BUFFER VL]]-Tabla_Buffers_Agroinsumos[[#This Row],[TRANSFERENCIAS DE VL]],"")</f>
        <v>-11</v>
      </c>
      <c r="FH375" s="134"/>
      <c r="FI375" s="134"/>
      <c r="FJ375" s="134"/>
      <c r="FK375" s="134"/>
      <c r="FL375" s="134"/>
      <c r="FM375" s="134"/>
      <c r="FN375" s="134"/>
      <c r="FO375" s="134"/>
      <c r="FP375" s="134"/>
    </row>
    <row r="376" spans="1:172">
      <c r="A376" s="7" t="s">
        <v>631</v>
      </c>
      <c r="B376" s="7" t="s">
        <v>632</v>
      </c>
      <c r="C376" s="7" t="s">
        <v>712</v>
      </c>
      <c r="D376" s="7" t="s">
        <v>715</v>
      </c>
      <c r="E376" s="7" t="s">
        <v>975</v>
      </c>
      <c r="F376" s="19" t="s">
        <v>698</v>
      </c>
      <c r="G376" s="19" t="s">
        <v>698</v>
      </c>
      <c r="H376" s="19">
        <f>VLOOKUP(Tabla_Buffers_Agroinsumos[[#This Row],[CODIGO ]],TABLACONSOLIDADA[[Codigo]:[PV]],6,0)</f>
        <v>9.99</v>
      </c>
      <c r="I376" s="19">
        <f>VLOOKUP(Tabla_Buffers_Agroinsumos[[#This Row],[CODIGO ]],TABLACONSOLIDADA[[Codigo]:[PV]],5,0)</f>
        <v>4.3600000000000003</v>
      </c>
      <c r="J376" s="19" t="s">
        <v>698</v>
      </c>
      <c r="K376" s="19" t="s">
        <v>698</v>
      </c>
      <c r="L376" s="19">
        <f>IFERROR(Tabla_Buffers_Agroinsumos[[#This Row],[BUFFER CENTRAL]]/((Tabla_Buffers_Agroinsumos[[#This Row],[TIEMPO REPOSICION ]]/Tabla_Buffers_Agroinsumos[[#This Row],[FRECUENCIA]])+1),0)</f>
        <v>0</v>
      </c>
      <c r="M376" s="19" t="str">
        <f t="array" ref="M376">IFERROR(INDEX(TABLACONSOLIDADA[Buff Act],MATCH("AGROINSUMOSMATERIAPRIMA"&amp;Tabla_Buffers_Agroinsumos[[#This Row],[CODIGO ]],TABLACONSOLIDADA[Bodega]&amp;TABLACONSOLIDADA[Codigo],0)),"")</f>
        <v/>
      </c>
      <c r="N376" s="157" t="str">
        <f t="array" ref="N376">IFERROR(INDEX(TABLACONSOLIDADA[Inv Fís Act],MATCH("AGROINSUMOSMATERIAPRIMA"&amp;Tabla_Buffers_Agroinsumos[[#This Row],[CODIGO ]],TABLACONSOLIDADA[Bodega]&amp;TABLACONSOLIDADA[Codigo],0)),"")</f>
        <v/>
      </c>
      <c r="O376" s="157" t="str">
        <f t="array" ref="O37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7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76" s="19">
        <f>IFERROR(SUM(Tabla_Buffers_Agroinsumos[[#This Row],[MP-C]:[MP-VL]]),"")</f>
        <v>0</v>
      </c>
      <c r="R376" s="92" t="str">
        <f>IFERROR(Tabla_Buffers_Agroinsumos[[#This Row],[INV FIS MATERIA PRIMA]]-Tabla_Buffers_Agroinsumos[[#This Row],[BUFFER MATERIA PRIMA]],"")</f>
        <v/>
      </c>
      <c r="S37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76" s="19"/>
      <c r="U376" s="19"/>
      <c r="V376" s="19"/>
      <c r="W376" s="19"/>
      <c r="X376" s="19"/>
      <c r="Y376" s="19"/>
      <c r="Z376" s="19"/>
      <c r="AA376" s="19"/>
      <c r="AB376" s="19"/>
      <c r="AC376" s="135">
        <f t="array" ref="AC376">IFERROR(INDEX(TABLACONSOLIDADA[Buff Act],MATCH("AGROINSUMOSCENTRAL"&amp;Tabla_Buffers_Agroinsumos[[#This Row],[CODIGO ]],TABLACONSOLIDADA[Bodega]&amp;TABLACONSOLIDADA[Codigo],0)),"")</f>
        <v>180</v>
      </c>
      <c r="AD376" s="157">
        <f t="array" ref="AD376">IFERROR(INDEX(TABLACONSOLIDADA[Inv Fís Act],MATCH("AGROINSUMOSCENTRAL"&amp;Tabla_Buffers_Agroinsumos[[#This Row],[CODIGO ]],TABLACONSOLIDADA[Bodega]&amp;TABLACONSOLIDADA[Codigo],0)),"")</f>
        <v>132</v>
      </c>
      <c r="AE376" s="157">
        <f t="array" ref="AE37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192</v>
      </c>
      <c r="AF37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76" s="91">
        <f>IFERROR(SUM(Tabla_Buffers_Agroinsumos[[#This Row],[C-MP]:[C-VL]]),"")</f>
        <v>0</v>
      </c>
      <c r="AH376" s="92">
        <f>IFERROR(Tabla_Buffers_Agroinsumos[[#This Row],[INV FIS CENTRAL]]-Tabla_Buffers_Agroinsumos[[#This Row],[BUFFER CENTRAL]],"")</f>
        <v>-48</v>
      </c>
      <c r="AI376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-48</v>
      </c>
      <c r="AJ376" s="134"/>
      <c r="AK376" s="134"/>
      <c r="AL376" s="134"/>
      <c r="AM376" s="134"/>
      <c r="AN376" s="134"/>
      <c r="AO376" s="134"/>
      <c r="AP376" s="134"/>
      <c r="AQ376" s="134"/>
      <c r="AR376" s="134"/>
      <c r="AS376" s="134">
        <f t="array" ref="AS376">IFERROR(INDEX(TABLACONSOLIDADA[Buff Act],MATCH("AGROINSUMOScentralPROPIA"&amp;Tabla_Buffers_Agroinsumos[[#This Row],[CODIGO ]],TABLACONSOLIDADA[Bodega]&amp;TABLACONSOLIDADA[Codigo],0)),"")</f>
        <v>36</v>
      </c>
      <c r="AT376" s="157">
        <f t="array" ref="AT376">IFERROR(INDEX(TABLACONSOLIDADA[Inv Fís Act],MATCH("AGROINSUMOScentralPROPIA"&amp;Tabla_Buffers_Agroinsumos[[#This Row],[CODIGO ]],TABLACONSOLIDADA[Bodega]&amp;TABLACONSOLIDADA[Codigo],0)),"")</f>
        <v>0</v>
      </c>
      <c r="AU376" s="157">
        <f t="array" ref="AU37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7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76" s="134">
        <f>IFERROR(SUM(Tabla_Buffers_Agroinsumos[[#This Row],[P-MP]:[P-VL]]),"")</f>
        <v>0</v>
      </c>
      <c r="AX376" s="92">
        <f>IFERROR(Tabla_Buffers_Agroinsumos[[#This Row],[INV FIS PROPIA]]-Tabla_Buffers_Agroinsumos[[#This Row],[BUFFER PROPIA]],"")</f>
        <v>-36</v>
      </c>
      <c r="AY376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-36</v>
      </c>
      <c r="AZ376" s="134"/>
      <c r="BA376" s="134"/>
      <c r="BB376" s="134"/>
      <c r="BC376" s="134"/>
      <c r="BD376" s="134"/>
      <c r="BE376" s="134"/>
      <c r="BF376" s="134"/>
      <c r="BG376" s="134"/>
      <c r="BH376" s="134"/>
      <c r="BI376" s="91">
        <f t="array" ref="BI376">IFERROR(INDEX(TABLACONSOLIDADA[Buff Act],MATCH("AGROINSUMOSSTODOMINGO"&amp;Tabla_Buffers_Agroinsumos[[#This Row],[CODIGO ]],TABLACONSOLIDADA[Bodega]&amp;TABLACONSOLIDADA[Codigo],0)),"")</f>
        <v>0</v>
      </c>
      <c r="BJ376" s="157">
        <f t="array" ref="BJ376">IFERROR(INDEX(TABLACONSOLIDADA[Inv Fís Act],MATCH("AGROINSUMOSSTODOMINGO"&amp;Tabla_Buffers_Agroinsumos[[#This Row],[CODIGO ]],TABLACONSOLIDADA[Bodega]&amp;TABLACONSOLIDADA[Codigo],0)),"")</f>
        <v>0</v>
      </c>
      <c r="BK376" s="157">
        <f t="array" ref="BK37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7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76" s="91">
        <f>IFERROR(SUM(Tabla_Buffers_Agroinsumos[[#This Row],[SD-MP]:[SD-VL]]),"")</f>
        <v>0</v>
      </c>
      <c r="BN376" s="92"/>
      <c r="BO376" s="92"/>
      <c r="BP376" s="134"/>
      <c r="BQ376" s="134"/>
      <c r="BR376" s="134"/>
      <c r="BS376" s="134"/>
      <c r="BT376" s="134"/>
      <c r="BU376" s="134"/>
      <c r="BV376" s="134"/>
      <c r="BW376" s="134"/>
      <c r="BX376" s="134"/>
      <c r="BY376" s="134">
        <f t="array" ref="BY376">IFERROR(INDEX(TABLACONSOLIDADA[Buff Act],MATCH("AGROINSUMOSMONCAYOLOPEZ"&amp;Tabla_Buffers_Agroinsumos[[#This Row],[CODIGO ]],TABLACONSOLIDADA[Bodega]&amp;TABLACONSOLIDADA[Codigo],0)),"")</f>
        <v>30</v>
      </c>
      <c r="BZ376" s="157">
        <f t="array" ref="BZ376">IFERROR(INDEX(TABLACONSOLIDADA[Inv Fís Act],MATCH("AGROINSUMOSMONCAYOLOPEZ"&amp;Tabla_Buffers_Agroinsumos[[#This Row],[CODIGO ]],TABLACONSOLIDADA[Bodega]&amp;TABLACONSOLIDADA[Codigo],0)),"")</f>
        <v>26</v>
      </c>
      <c r="CA376" s="157">
        <f t="array" ref="CA37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26</v>
      </c>
      <c r="CB37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76" s="134">
        <f>IFERROR(SUM(Tabla_Buffers_Agroinsumos[[#This Row],[ML-MP]:[ML-VL]]),"")</f>
        <v>0</v>
      </c>
      <c r="CD376" s="92">
        <f>IFERROR(Tabla_Buffers_Agroinsumos[[#This Row],[INV FIS ML]]-Tabla_Buffers_Agroinsumos[[#This Row],[BUFFER ML]],"")</f>
        <v>-4</v>
      </c>
      <c r="CE376" s="92">
        <f>IFERROR(Tabla_Buffers_Agroinsumos[[#This Row],[INV FIS ML]]+Tabla_Buffers_Agroinsumos[[#This Row],[TRANSFERENCIAS A ML]]-Tabla_Buffers_Agroinsumos[[#This Row],[BUFFER ML]]-Tabla_Buffers_Agroinsumos[[#This Row],[TRANSFERENCIAS DE ML]],"")</f>
        <v>-4</v>
      </c>
      <c r="CF376" s="134"/>
      <c r="CG376" s="134"/>
      <c r="CH376" s="134"/>
      <c r="CI376" s="134"/>
      <c r="CJ376" s="134"/>
      <c r="CK376" s="134"/>
      <c r="CL376" s="134"/>
      <c r="CM376" s="134"/>
      <c r="CN376" s="134"/>
      <c r="CO376" s="134">
        <f t="array" ref="CO376">IFERROR(INDEX(TABLACONSOLIDADA[Buff Act],MATCH("AGROINSUMOSAGROHERMANOSLEON"&amp;Tabla_Buffers_Agroinsumos[[#This Row],[CODIGO ]],TABLACONSOLIDADA[Bodega]&amp;TABLACONSOLIDADA[Codigo],0)),"")</f>
        <v>0</v>
      </c>
      <c r="CP376" s="157">
        <f t="array" ref="CP376">IFERROR(INDEX(TABLACONSOLIDADA[Inv Fís Act],MATCH("AGROINSUMOSAGROHERMANOSLEON"&amp;Tabla_Buffers_Agroinsumos[[#This Row],[CODIGO ]],TABLACONSOLIDADA[Bodega]&amp;TABLACONSOLIDADA[Codigo],0)),"")</f>
        <v>0</v>
      </c>
      <c r="CQ376" s="157">
        <f t="array" ref="CQ37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7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76" s="134">
        <f>IFERROR(SUM(Tabla_Buffers_Agroinsumos[[#This Row],[AL-MP]:[AL-VL]]),"")</f>
        <v>0</v>
      </c>
      <c r="CT376" s="92">
        <f>IFERROR(Tabla_Buffers_Agroinsumos[[#This Row],[INV FIS AL]]-Tabla_Buffers_Agroinsumos[[#This Row],[BUFFER AL]],"")</f>
        <v>0</v>
      </c>
      <c r="CU376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76" s="134"/>
      <c r="CW376" s="134"/>
      <c r="CX376" s="134"/>
      <c r="CY376" s="134"/>
      <c r="CZ376" s="134"/>
      <c r="DA376" s="134"/>
      <c r="DB376" s="134"/>
      <c r="DC376" s="134"/>
      <c r="DD376" s="134"/>
      <c r="DE376" s="134">
        <f t="array" ref="DE376">IFERROR(INDEX(TABLACONSOLIDADA[Buff Act],MATCH("AGROINSUMOSAGRONUEVO"&amp;Tabla_Buffers_Agroinsumos[[#This Row],[CODIGO ]],TABLACONSOLIDADA[Bodega]&amp;TABLACONSOLIDADA[Codigo],0)),"")</f>
        <v>0</v>
      </c>
      <c r="DF376" s="157">
        <f t="array" ref="DF376">IFERROR(INDEX(TABLACONSOLIDADA[Inv Fís Act],MATCH("AGROINSUMOSAGRONUEVO"&amp;Tabla_Buffers_Agroinsumos[[#This Row],[CODIGO ]],TABLACONSOLIDADA[Bodega]&amp;TABLACONSOLIDADA[Codigo],0)),"")</f>
        <v>0</v>
      </c>
      <c r="DG376" s="157">
        <f t="array" ref="DG37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7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76" s="134">
        <f>IFERROR(SUM(Tabla_Buffers_Agroinsumos[[#This Row],[AN-MP]:[AN-VL]]),"")</f>
        <v>0</v>
      </c>
      <c r="DJ376" s="92">
        <f>IFERROR(Tabla_Buffers_Agroinsumos[[#This Row],[INV FIS AN]]-Tabla_Buffers_Agroinsumos[[#This Row],[BUFFER AN]],"")</f>
        <v>0</v>
      </c>
      <c r="DK376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76" s="134"/>
      <c r="DM376" s="134"/>
      <c r="DN376" s="134"/>
      <c r="DO376" s="134"/>
      <c r="DP376" s="134"/>
      <c r="DQ376" s="134"/>
      <c r="DR376" s="134"/>
      <c r="DS376" s="134"/>
      <c r="DT376" s="134"/>
      <c r="DU376" s="134">
        <f t="array" ref="DU376">IFERROR(INDEX(TABLACONSOLIDADA[Buff Act],MATCH("AGROINSUMOSAGROQUIMICOSSUR"&amp;Tabla_Buffers_Agroinsumos[[#This Row],[CODIGO ]],TABLACONSOLIDADA[Bodega]&amp;TABLACONSOLIDADA[Codigo],0)),"")</f>
        <v>0</v>
      </c>
      <c r="DV376" s="157">
        <f t="array" ref="DV376">IFERROR(INDEX(TABLACONSOLIDADA[Inv Fís Act],MATCH("AGROINSUMOSAGROQUIMICOSSUR"&amp;Tabla_Buffers_Agroinsumos[[#This Row],[CODIGO ]],TABLACONSOLIDADA[Bodega]&amp;TABLACONSOLIDADA[Codigo],0)),"")</f>
        <v>0</v>
      </c>
      <c r="DW376" s="157">
        <f t="array" ref="DW37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7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76" s="134">
        <f>IFERROR(SUM(Tabla_Buffers_Agroinsumos[[#This Row],[AS-MP]:[AS-VL]]),"")</f>
        <v>0</v>
      </c>
      <c r="DZ376" s="92">
        <f>IFERROR(Tabla_Buffers_Agroinsumos[[#This Row],[INV FIS AS]]-Tabla_Buffers_Agroinsumos[[#This Row],[BUFFER AS]],"")</f>
        <v>0</v>
      </c>
      <c r="EA376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76" s="134"/>
      <c r="EC376" s="134"/>
      <c r="ED376" s="134"/>
      <c r="EE376" s="134"/>
      <c r="EF376" s="134"/>
      <c r="EG376" s="134"/>
      <c r="EH376" s="134"/>
      <c r="EI376" s="134"/>
      <c r="EJ376" s="134"/>
      <c r="EK376" s="134">
        <f t="array" ref="EK376">IFERROR(INDEX(TABLACONSOLIDADA[Buff Act],MATCH("AGROINSUMOSLAFINCA"&amp;Tabla_Buffers_Agroinsumos[[#This Row],[CODIGO ]],TABLACONSOLIDADA[Bodega]&amp;TABLACONSOLIDADA[Codigo],0)),"")</f>
        <v>0</v>
      </c>
      <c r="EL376" s="157">
        <f t="array" ref="EL376">IFERROR(INDEX(TABLACONSOLIDADA[Inv Fís Act],MATCH("AGROINSUMOSLAFINCA"&amp;Tabla_Buffers_Agroinsumos[[#This Row],[CODIGO ]],TABLACONSOLIDADA[Bodega]&amp;TABLACONSOLIDADA[Codigo],0)),"")</f>
        <v>0</v>
      </c>
      <c r="EM376" s="157">
        <f t="array" ref="EM37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7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76" s="134">
        <f>IFERROR(SUM(Tabla_Buffers_Agroinsumos[[#This Row],[LF-MP]:[LF-VL]]),"")</f>
        <v>0</v>
      </c>
      <c r="EP376" s="92">
        <f>IFERROR(Tabla_Buffers_Agroinsumos[[#This Row],[INV FIS LF]]-Tabla_Buffers_Agroinsumos[[#This Row],[BUFFER LF]],"")</f>
        <v>0</v>
      </c>
      <c r="EQ376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76" s="134"/>
      <c r="ES376" s="134"/>
      <c r="ET376" s="134"/>
      <c r="EU376" s="134"/>
      <c r="EV376" s="134"/>
      <c r="EW376" s="134"/>
      <c r="EX376" s="134"/>
      <c r="EY376" s="134"/>
      <c r="EZ376" s="134"/>
      <c r="FA376" s="134">
        <f t="array" ref="FA376">IFERROR(INDEX(TABLACONSOLIDADA[Buff Act],MATCH("AGROINSUMOSVERONICALEDESMA"&amp;Tabla_Buffers_Agroinsumos[[#This Row],[CODIGO ]],TABLACONSOLIDADA[Bodega]&amp;TABLACONSOLIDADA[Codigo],0)),"")</f>
        <v>0</v>
      </c>
      <c r="FB376" s="157">
        <f t="array" ref="FB376">IFERROR(INDEX(TABLACONSOLIDADA[Inv Fís Act],MATCH("AGROINSUMOSVERONICALEDESMA"&amp;Tabla_Buffers_Agroinsumos[[#This Row],[CODIGO ]],TABLACONSOLIDADA[Bodega]&amp;TABLACONSOLIDADA[Codigo],0)),"")</f>
        <v>0</v>
      </c>
      <c r="FC376" s="157">
        <f t="array" ref="FC37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7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76" s="134">
        <f>IFERROR(SUM(Tabla_Buffers_Agroinsumos[[#This Row],[VL-MP]:[VL-LF]]),"")</f>
        <v>0</v>
      </c>
      <c r="FF376" s="92">
        <f>IFERROR(Tabla_Buffers_Agroinsumos[[#This Row],[INV FIS VL]]-Tabla_Buffers_Agroinsumos[[#This Row],[BUFFER VL]],"")</f>
        <v>0</v>
      </c>
      <c r="FG376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76" s="134"/>
      <c r="FI376" s="134"/>
      <c r="FJ376" s="134"/>
      <c r="FK376" s="134"/>
      <c r="FL376" s="134"/>
      <c r="FM376" s="134"/>
      <c r="FN376" s="134"/>
      <c r="FO376" s="134"/>
      <c r="FP376" s="134"/>
    </row>
    <row r="377" spans="1:172">
      <c r="A377" s="7" t="s">
        <v>633</v>
      </c>
      <c r="B377" s="7" t="s">
        <v>634</v>
      </c>
      <c r="C377" s="7" t="s">
        <v>712</v>
      </c>
      <c r="D377" s="7" t="s">
        <v>715</v>
      </c>
      <c r="E377" s="7" t="s">
        <v>975</v>
      </c>
      <c r="F377" s="19" t="s">
        <v>698</v>
      </c>
      <c r="G377" s="19" t="s">
        <v>698</v>
      </c>
      <c r="H377" s="19">
        <f>VLOOKUP(Tabla_Buffers_Agroinsumos[[#This Row],[CODIGO ]],TABLACONSOLIDADA[[Codigo]:[PV]],6,0)</f>
        <v>18.989999999999998</v>
      </c>
      <c r="I377" s="19">
        <f>VLOOKUP(Tabla_Buffers_Agroinsumos[[#This Row],[CODIGO ]],TABLACONSOLIDADA[[Codigo]:[PV]],5,0)</f>
        <v>8.4600000000000009</v>
      </c>
      <c r="J377" s="19" t="s">
        <v>698</v>
      </c>
      <c r="K377" s="19" t="s">
        <v>698</v>
      </c>
      <c r="L377" s="19">
        <f>IFERROR(Tabla_Buffers_Agroinsumos[[#This Row],[BUFFER CENTRAL]]/((Tabla_Buffers_Agroinsumos[[#This Row],[TIEMPO REPOSICION ]]/Tabla_Buffers_Agroinsumos[[#This Row],[FRECUENCIA]])+1),0)</f>
        <v>0</v>
      </c>
      <c r="M377" s="19" t="str">
        <f t="array" ref="M377">IFERROR(INDEX(TABLACONSOLIDADA[Buff Act],MATCH("AGROINSUMOSMATERIAPRIMA"&amp;Tabla_Buffers_Agroinsumos[[#This Row],[CODIGO ]],TABLACONSOLIDADA[Bodega]&amp;TABLACONSOLIDADA[Codigo],0)),"")</f>
        <v/>
      </c>
      <c r="N377" s="157" t="str">
        <f t="array" ref="N377">IFERROR(INDEX(TABLACONSOLIDADA[Inv Fís Act],MATCH("AGROINSUMOSMATERIAPRIMA"&amp;Tabla_Buffers_Agroinsumos[[#This Row],[CODIGO ]],TABLACONSOLIDADA[Bodega]&amp;TABLACONSOLIDADA[Codigo],0)),"")</f>
        <v/>
      </c>
      <c r="O377" s="157" t="str">
        <f t="array" ref="O37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7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77" s="19">
        <f>IFERROR(SUM(Tabla_Buffers_Agroinsumos[[#This Row],[MP-C]:[MP-VL]]),"")</f>
        <v>0</v>
      </c>
      <c r="R377" s="92" t="str">
        <f>IFERROR(Tabla_Buffers_Agroinsumos[[#This Row],[INV FIS MATERIA PRIMA]]-Tabla_Buffers_Agroinsumos[[#This Row],[BUFFER MATERIA PRIMA]],"")</f>
        <v/>
      </c>
      <c r="S37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77" s="19"/>
      <c r="U377" s="19"/>
      <c r="V377" s="19"/>
      <c r="W377" s="19"/>
      <c r="X377" s="19"/>
      <c r="Y377" s="19"/>
      <c r="Z377" s="19"/>
      <c r="AA377" s="19"/>
      <c r="AB377" s="19"/>
      <c r="AC377" s="135">
        <f t="array" ref="AC377">IFERROR(INDEX(TABLACONSOLIDADA[Buff Act],MATCH("AGROINSUMOSCENTRAL"&amp;Tabla_Buffers_Agroinsumos[[#This Row],[CODIGO ]],TABLACONSOLIDADA[Bodega]&amp;TABLACONSOLIDADA[Codigo],0)),"")</f>
        <v>500</v>
      </c>
      <c r="AD377" s="157">
        <f t="array" ref="AD377">IFERROR(INDEX(TABLACONSOLIDADA[Inv Fís Act],MATCH("AGROINSUMOSCENTRAL"&amp;Tabla_Buffers_Agroinsumos[[#This Row],[CODIGO ]],TABLACONSOLIDADA[Bodega]&amp;TABLACONSOLIDADA[Codigo],0)),"")</f>
        <v>450</v>
      </c>
      <c r="AE377" s="157">
        <f t="array" ref="AE37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500</v>
      </c>
      <c r="AF37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77" s="91">
        <f>IFERROR(SUM(Tabla_Buffers_Agroinsumos[[#This Row],[C-MP]:[C-VL]]),"")</f>
        <v>0</v>
      </c>
      <c r="AH377" s="92">
        <f>IFERROR(Tabla_Buffers_Agroinsumos[[#This Row],[INV FIS CENTRAL]]-Tabla_Buffers_Agroinsumos[[#This Row],[BUFFER CENTRAL]],"")</f>
        <v>-50</v>
      </c>
      <c r="AI37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-50</v>
      </c>
      <c r="AJ377" s="134"/>
      <c r="AK377" s="134"/>
      <c r="AL377" s="134"/>
      <c r="AM377" s="134"/>
      <c r="AN377" s="134"/>
      <c r="AO377" s="134"/>
      <c r="AP377" s="134"/>
      <c r="AQ377" s="134"/>
      <c r="AR377" s="134"/>
      <c r="AS377" s="134">
        <f t="array" ref="AS377">IFERROR(INDEX(TABLACONSOLIDADA[Buff Act],MATCH("AGROINSUMOScentralPROPIA"&amp;Tabla_Buffers_Agroinsumos[[#This Row],[CODIGO ]],TABLACONSOLIDADA[Bodega]&amp;TABLACONSOLIDADA[Codigo],0)),"")</f>
        <v>180</v>
      </c>
      <c r="AT377" s="157">
        <f t="array" ref="AT377">IFERROR(INDEX(TABLACONSOLIDADA[Inv Fís Act],MATCH("AGROINSUMOScentralPROPIA"&amp;Tabla_Buffers_Agroinsumos[[#This Row],[CODIGO ]],TABLACONSOLIDADA[Bodega]&amp;TABLACONSOLIDADA[Codigo],0)),"")</f>
        <v>0</v>
      </c>
      <c r="AU377" s="157">
        <f t="array" ref="AU37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7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77" s="134">
        <f>IFERROR(SUM(Tabla_Buffers_Agroinsumos[[#This Row],[P-MP]:[P-VL]]),"")</f>
        <v>0</v>
      </c>
      <c r="AX377" s="92">
        <f>IFERROR(Tabla_Buffers_Agroinsumos[[#This Row],[INV FIS PROPIA]]-Tabla_Buffers_Agroinsumos[[#This Row],[BUFFER PROPIA]],"")</f>
        <v>-180</v>
      </c>
      <c r="AY37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-180</v>
      </c>
      <c r="AZ377" s="134"/>
      <c r="BA377" s="134"/>
      <c r="BB377" s="134"/>
      <c r="BC377" s="134"/>
      <c r="BD377" s="134"/>
      <c r="BE377" s="134"/>
      <c r="BF377" s="134"/>
      <c r="BG377" s="134"/>
      <c r="BH377" s="134"/>
      <c r="BI377" s="91">
        <f t="array" ref="BI377">IFERROR(INDEX(TABLACONSOLIDADA[Buff Act],MATCH("AGROINSUMOSSTODOMINGO"&amp;Tabla_Buffers_Agroinsumos[[#This Row],[CODIGO ]],TABLACONSOLIDADA[Bodega]&amp;TABLACONSOLIDADA[Codigo],0)),"")</f>
        <v>0</v>
      </c>
      <c r="BJ377" s="157">
        <f t="array" ref="BJ377">IFERROR(INDEX(TABLACONSOLIDADA[Inv Fís Act],MATCH("AGROINSUMOSSTODOMINGO"&amp;Tabla_Buffers_Agroinsumos[[#This Row],[CODIGO ]],TABLACONSOLIDADA[Bodega]&amp;TABLACONSOLIDADA[Codigo],0)),"")</f>
        <v>0</v>
      </c>
      <c r="BK377" s="157">
        <f t="array" ref="BK37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7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77" s="91">
        <f>IFERROR(SUM(Tabla_Buffers_Agroinsumos[[#This Row],[SD-MP]:[SD-VL]]),"")</f>
        <v>0</v>
      </c>
      <c r="BN377" s="92"/>
      <c r="BO377" s="92"/>
      <c r="BP377" s="134"/>
      <c r="BQ377" s="134"/>
      <c r="BR377" s="134"/>
      <c r="BS377" s="134"/>
      <c r="BT377" s="134"/>
      <c r="BU377" s="134"/>
      <c r="BV377" s="134"/>
      <c r="BW377" s="134"/>
      <c r="BX377" s="134"/>
      <c r="BY377" s="134">
        <f t="array" ref="BY377">IFERROR(INDEX(TABLACONSOLIDADA[Buff Act],MATCH("AGROINSUMOSMONCAYOLOPEZ"&amp;Tabla_Buffers_Agroinsumos[[#This Row],[CODIGO ]],TABLACONSOLIDADA[Bodega]&amp;TABLACONSOLIDADA[Codigo],0)),"")</f>
        <v>20</v>
      </c>
      <c r="BZ377" s="157">
        <f t="array" ref="BZ377">IFERROR(INDEX(TABLACONSOLIDADA[Inv Fís Act],MATCH("AGROINSUMOSMONCAYOLOPEZ"&amp;Tabla_Buffers_Agroinsumos[[#This Row],[CODIGO ]],TABLACONSOLIDADA[Bodega]&amp;TABLACONSOLIDADA[Codigo],0)),"")</f>
        <v>6</v>
      </c>
      <c r="CA377" s="157">
        <f t="array" ref="CA37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6</v>
      </c>
      <c r="CB37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77" s="134">
        <f>IFERROR(SUM(Tabla_Buffers_Agroinsumos[[#This Row],[ML-MP]:[ML-VL]]),"")</f>
        <v>0</v>
      </c>
      <c r="CD377" s="92">
        <f>IFERROR(Tabla_Buffers_Agroinsumos[[#This Row],[INV FIS ML]]-Tabla_Buffers_Agroinsumos[[#This Row],[BUFFER ML]],"")</f>
        <v>-14</v>
      </c>
      <c r="CE377" s="92">
        <f>IFERROR(Tabla_Buffers_Agroinsumos[[#This Row],[INV FIS ML]]+Tabla_Buffers_Agroinsumos[[#This Row],[TRANSFERENCIAS A ML]]-Tabla_Buffers_Agroinsumos[[#This Row],[BUFFER ML]]-Tabla_Buffers_Agroinsumos[[#This Row],[TRANSFERENCIAS DE ML]],"")</f>
        <v>-14</v>
      </c>
      <c r="CF377" s="134"/>
      <c r="CG377" s="134"/>
      <c r="CH377" s="134"/>
      <c r="CI377" s="134"/>
      <c r="CJ377" s="134"/>
      <c r="CK377" s="134"/>
      <c r="CL377" s="134"/>
      <c r="CM377" s="134"/>
      <c r="CN377" s="134"/>
      <c r="CO377" s="134">
        <f t="array" ref="CO377">IFERROR(INDEX(TABLACONSOLIDADA[Buff Act],MATCH("AGROINSUMOSAGROHERMANOSLEON"&amp;Tabla_Buffers_Agroinsumos[[#This Row],[CODIGO ]],TABLACONSOLIDADA[Bodega]&amp;TABLACONSOLIDADA[Codigo],0)),"")</f>
        <v>60</v>
      </c>
      <c r="CP377" s="157">
        <f t="array" ref="CP377">IFERROR(INDEX(TABLACONSOLIDADA[Inv Fís Act],MATCH("AGROINSUMOSAGROHERMANOSLEON"&amp;Tabla_Buffers_Agroinsumos[[#This Row],[CODIGO ]],TABLACONSOLIDADA[Bodega]&amp;TABLACONSOLIDADA[Codigo],0)),"")</f>
        <v>60</v>
      </c>
      <c r="CQ377" s="157">
        <f t="array" ref="CQ37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60</v>
      </c>
      <c r="CR37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77" s="134">
        <f>IFERROR(SUM(Tabla_Buffers_Agroinsumos[[#This Row],[AL-MP]:[AL-VL]]),"")</f>
        <v>0</v>
      </c>
      <c r="CT377" s="92">
        <f>IFERROR(Tabla_Buffers_Agroinsumos[[#This Row],[INV FIS AL]]-Tabla_Buffers_Agroinsumos[[#This Row],[BUFFER AL]],"")</f>
        <v>0</v>
      </c>
      <c r="CU37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77" s="134"/>
      <c r="CW377" s="134"/>
      <c r="CX377" s="134"/>
      <c r="CY377" s="134"/>
      <c r="CZ377" s="134"/>
      <c r="DA377" s="134"/>
      <c r="DB377" s="134"/>
      <c r="DC377" s="134"/>
      <c r="DD377" s="134"/>
      <c r="DE377" s="134">
        <f t="array" ref="DE377">IFERROR(INDEX(TABLACONSOLIDADA[Buff Act],MATCH("AGROINSUMOSAGRONUEVO"&amp;Tabla_Buffers_Agroinsumos[[#This Row],[CODIGO ]],TABLACONSOLIDADA[Bodega]&amp;TABLACONSOLIDADA[Codigo],0)),"")</f>
        <v>0</v>
      </c>
      <c r="DF377" s="157">
        <f t="array" ref="DF377">IFERROR(INDEX(TABLACONSOLIDADA[Inv Fís Act],MATCH("AGROINSUMOSAGRONUEVO"&amp;Tabla_Buffers_Agroinsumos[[#This Row],[CODIGO ]],TABLACONSOLIDADA[Bodega]&amp;TABLACONSOLIDADA[Codigo],0)),"")</f>
        <v>0</v>
      </c>
      <c r="DG377" s="157">
        <f t="array" ref="DG37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7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77" s="134">
        <f>IFERROR(SUM(Tabla_Buffers_Agroinsumos[[#This Row],[AN-MP]:[AN-VL]]),"")</f>
        <v>0</v>
      </c>
      <c r="DJ377" s="92">
        <f>IFERROR(Tabla_Buffers_Agroinsumos[[#This Row],[INV FIS AN]]-Tabla_Buffers_Agroinsumos[[#This Row],[BUFFER AN]],"")</f>
        <v>0</v>
      </c>
      <c r="DK37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77" s="134"/>
      <c r="DM377" s="134"/>
      <c r="DN377" s="134"/>
      <c r="DO377" s="134"/>
      <c r="DP377" s="134"/>
      <c r="DQ377" s="134"/>
      <c r="DR377" s="134"/>
      <c r="DS377" s="134"/>
      <c r="DT377" s="134"/>
      <c r="DU377" s="134">
        <f t="array" ref="DU377">IFERROR(INDEX(TABLACONSOLIDADA[Buff Act],MATCH("AGROINSUMOSAGROQUIMICOSSUR"&amp;Tabla_Buffers_Agroinsumos[[#This Row],[CODIGO ]],TABLACONSOLIDADA[Bodega]&amp;TABLACONSOLIDADA[Codigo],0)),"")</f>
        <v>0</v>
      </c>
      <c r="DV377" s="157">
        <f t="array" ref="DV377">IFERROR(INDEX(TABLACONSOLIDADA[Inv Fís Act],MATCH("AGROINSUMOSAGROQUIMICOSSUR"&amp;Tabla_Buffers_Agroinsumos[[#This Row],[CODIGO ]],TABLACONSOLIDADA[Bodega]&amp;TABLACONSOLIDADA[Codigo],0)),"")</f>
        <v>0</v>
      </c>
      <c r="DW377" s="157">
        <f t="array" ref="DW37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7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77" s="134">
        <f>IFERROR(SUM(Tabla_Buffers_Agroinsumos[[#This Row],[AS-MP]:[AS-VL]]),"")</f>
        <v>0</v>
      </c>
      <c r="DZ377" s="92">
        <f>IFERROR(Tabla_Buffers_Agroinsumos[[#This Row],[INV FIS AS]]-Tabla_Buffers_Agroinsumos[[#This Row],[BUFFER AS]],"")</f>
        <v>0</v>
      </c>
      <c r="EA37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77" s="134"/>
      <c r="EC377" s="134"/>
      <c r="ED377" s="134"/>
      <c r="EE377" s="134"/>
      <c r="EF377" s="134"/>
      <c r="EG377" s="134"/>
      <c r="EH377" s="134"/>
      <c r="EI377" s="134"/>
      <c r="EJ377" s="134"/>
      <c r="EK377" s="134">
        <f t="array" ref="EK377">IFERROR(INDEX(TABLACONSOLIDADA[Buff Act],MATCH("AGROINSUMOSLAFINCA"&amp;Tabla_Buffers_Agroinsumos[[#This Row],[CODIGO ]],TABLACONSOLIDADA[Bodega]&amp;TABLACONSOLIDADA[Codigo],0)),"")</f>
        <v>0</v>
      </c>
      <c r="EL377" s="157">
        <f t="array" ref="EL377">IFERROR(INDEX(TABLACONSOLIDADA[Inv Fís Act],MATCH("AGROINSUMOSLAFINCA"&amp;Tabla_Buffers_Agroinsumos[[#This Row],[CODIGO ]],TABLACONSOLIDADA[Bodega]&amp;TABLACONSOLIDADA[Codigo],0)),"")</f>
        <v>0</v>
      </c>
      <c r="EM377" s="157">
        <f t="array" ref="EM37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7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77" s="134">
        <f>IFERROR(SUM(Tabla_Buffers_Agroinsumos[[#This Row],[LF-MP]:[LF-VL]]),"")</f>
        <v>0</v>
      </c>
      <c r="EP377" s="92">
        <f>IFERROR(Tabla_Buffers_Agroinsumos[[#This Row],[INV FIS LF]]-Tabla_Buffers_Agroinsumos[[#This Row],[BUFFER LF]],"")</f>
        <v>0</v>
      </c>
      <c r="EQ37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77" s="134"/>
      <c r="ES377" s="134"/>
      <c r="ET377" s="134"/>
      <c r="EU377" s="134"/>
      <c r="EV377" s="134"/>
      <c r="EW377" s="134"/>
      <c r="EX377" s="134"/>
      <c r="EY377" s="134"/>
      <c r="EZ377" s="134"/>
      <c r="FA377" s="134">
        <f t="array" ref="FA377">IFERROR(INDEX(TABLACONSOLIDADA[Buff Act],MATCH("AGROINSUMOSVERONICALEDESMA"&amp;Tabla_Buffers_Agroinsumos[[#This Row],[CODIGO ]],TABLACONSOLIDADA[Bodega]&amp;TABLACONSOLIDADA[Codigo],0)),"")</f>
        <v>12</v>
      </c>
      <c r="FB377" s="157">
        <f t="array" ref="FB377">IFERROR(INDEX(TABLACONSOLIDADA[Inv Fís Act],MATCH("AGROINSUMOSVERONICALEDESMA"&amp;Tabla_Buffers_Agroinsumos[[#This Row],[CODIGO ]],TABLACONSOLIDADA[Bodega]&amp;TABLACONSOLIDADA[Codigo],0)),"")</f>
        <v>-12</v>
      </c>
      <c r="FC377" s="157">
        <f t="array" ref="FC37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12</v>
      </c>
      <c r="FD37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77" s="134">
        <f>IFERROR(SUM(Tabla_Buffers_Agroinsumos[[#This Row],[VL-MP]:[VL-LF]]),"")</f>
        <v>0</v>
      </c>
      <c r="FF377" s="92">
        <f>IFERROR(Tabla_Buffers_Agroinsumos[[#This Row],[INV FIS VL]]-Tabla_Buffers_Agroinsumos[[#This Row],[BUFFER VL]],"")</f>
        <v>-24</v>
      </c>
      <c r="FG377" s="92">
        <f>IFERROR(Tabla_Buffers_Agroinsumos[[#This Row],[INV FIS VL]]+Tabla_Buffers_Agroinsumos[[#This Row],[TRANSFERENCIAS A VL]]-Tabla_Buffers_Agroinsumos[[#This Row],[BUFFER VL]]-Tabla_Buffers_Agroinsumos[[#This Row],[TRANSFERENCIAS DE VL]],"")</f>
        <v>-24</v>
      </c>
      <c r="FH377" s="134"/>
      <c r="FI377" s="134"/>
      <c r="FJ377" s="134"/>
      <c r="FK377" s="134"/>
      <c r="FL377" s="134"/>
      <c r="FM377" s="134"/>
      <c r="FN377" s="134"/>
      <c r="FO377" s="134"/>
      <c r="FP377" s="134"/>
    </row>
    <row r="378" spans="1:172">
      <c r="A378" s="7" t="s">
        <v>635</v>
      </c>
      <c r="B378" s="7" t="s">
        <v>636</v>
      </c>
      <c r="C378" s="7" t="s">
        <v>709</v>
      </c>
      <c r="D378" s="7" t="s">
        <v>719</v>
      </c>
      <c r="E378" s="7" t="s">
        <v>975</v>
      </c>
      <c r="F378" s="19" t="s">
        <v>698</v>
      </c>
      <c r="G378" s="19" t="s">
        <v>698</v>
      </c>
      <c r="H378" s="19">
        <f>VLOOKUP(Tabla_Buffers_Agroinsumos[[#This Row],[CODIGO ]],TABLACONSOLIDADA[[Codigo]:[PV]],6,0)</f>
        <v>1.99</v>
      </c>
      <c r="I378" s="19">
        <f>VLOOKUP(Tabla_Buffers_Agroinsumos[[#This Row],[CODIGO ]],TABLACONSOLIDADA[[Codigo]:[PV]],5,0)</f>
        <v>0.82</v>
      </c>
      <c r="J378" s="19" t="s">
        <v>698</v>
      </c>
      <c r="K378" s="19" t="s">
        <v>698</v>
      </c>
      <c r="L378" s="19">
        <f>IFERROR(Tabla_Buffers_Agroinsumos[[#This Row],[BUFFER CENTRAL]]/((Tabla_Buffers_Agroinsumos[[#This Row],[TIEMPO REPOSICION ]]/Tabla_Buffers_Agroinsumos[[#This Row],[FRECUENCIA]])+1),0)</f>
        <v>0</v>
      </c>
      <c r="M378" s="19" t="str">
        <f t="array" ref="M378">IFERROR(INDEX(TABLACONSOLIDADA[Buff Act],MATCH("AGROINSUMOSMATERIAPRIMA"&amp;Tabla_Buffers_Agroinsumos[[#This Row],[CODIGO ]],TABLACONSOLIDADA[Bodega]&amp;TABLACONSOLIDADA[Codigo],0)),"")</f>
        <v/>
      </c>
      <c r="N378" s="157" t="str">
        <f t="array" ref="N378">IFERROR(INDEX(TABLACONSOLIDADA[Inv Fís Act],MATCH("AGROINSUMOSMATERIAPRIMA"&amp;Tabla_Buffers_Agroinsumos[[#This Row],[CODIGO ]],TABLACONSOLIDADA[Bodega]&amp;TABLACONSOLIDADA[Codigo],0)),"")</f>
        <v/>
      </c>
      <c r="O378" s="157" t="str">
        <f t="array" ref="O37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7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78" s="19">
        <f>IFERROR(SUM(Tabla_Buffers_Agroinsumos[[#This Row],[MP-C]:[MP-VL]]),"")</f>
        <v>0</v>
      </c>
      <c r="R378" s="92" t="str">
        <f>IFERROR(Tabla_Buffers_Agroinsumos[[#This Row],[INV FIS MATERIA PRIMA]]-Tabla_Buffers_Agroinsumos[[#This Row],[BUFFER MATERIA PRIMA]],"")</f>
        <v/>
      </c>
      <c r="S37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78" s="19"/>
      <c r="U378" s="19"/>
      <c r="V378" s="19"/>
      <c r="W378" s="19"/>
      <c r="X378" s="19"/>
      <c r="Y378" s="19"/>
      <c r="Z378" s="19"/>
      <c r="AA378" s="19"/>
      <c r="AB378" s="19"/>
      <c r="AC378" s="135">
        <f t="array" ref="AC378">IFERROR(INDEX(TABLACONSOLIDADA[Buff Act],MATCH("AGROINSUMOSCENTRAL"&amp;Tabla_Buffers_Agroinsumos[[#This Row],[CODIGO ]],TABLACONSOLIDADA[Bodega]&amp;TABLACONSOLIDADA[Codigo],0)),"")</f>
        <v>500</v>
      </c>
      <c r="AD378" s="157">
        <f t="array" ref="AD378">IFERROR(INDEX(TABLACONSOLIDADA[Inv Fís Act],MATCH("AGROINSUMOSCENTRAL"&amp;Tabla_Buffers_Agroinsumos[[#This Row],[CODIGO ]],TABLACONSOLIDADA[Bodega]&amp;TABLACONSOLIDADA[Codigo],0)),"")</f>
        <v>497</v>
      </c>
      <c r="AE378" s="157">
        <f t="array" ref="AE37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497</v>
      </c>
      <c r="AF37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78" s="91">
        <f>IFERROR(SUM(Tabla_Buffers_Agroinsumos[[#This Row],[C-MP]:[C-VL]]),"")</f>
        <v>0</v>
      </c>
      <c r="AH378" s="92">
        <f>IFERROR(Tabla_Buffers_Agroinsumos[[#This Row],[INV FIS CENTRAL]]-Tabla_Buffers_Agroinsumos[[#This Row],[BUFFER CENTRAL]],"")</f>
        <v>-3</v>
      </c>
      <c r="AI37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-3</v>
      </c>
      <c r="AJ378" s="134"/>
      <c r="AK378" s="134"/>
      <c r="AL378" s="134"/>
      <c r="AM378" s="134"/>
      <c r="AN378" s="134"/>
      <c r="AO378" s="134"/>
      <c r="AP378" s="134"/>
      <c r="AQ378" s="134"/>
      <c r="AR378" s="134"/>
      <c r="AS378" s="134">
        <f t="array" ref="AS378">IFERROR(INDEX(TABLACONSOLIDADA[Buff Act],MATCH("AGROINSUMOScentralPROPIA"&amp;Tabla_Buffers_Agroinsumos[[#This Row],[CODIGO ]],TABLACONSOLIDADA[Bodega]&amp;TABLACONSOLIDADA[Codigo],0)),"")</f>
        <v>210</v>
      </c>
      <c r="AT378" s="157">
        <f t="array" ref="AT378">IFERROR(INDEX(TABLACONSOLIDADA[Inv Fís Act],MATCH("AGROINSUMOScentralPROPIA"&amp;Tabla_Buffers_Agroinsumos[[#This Row],[CODIGO ]],TABLACONSOLIDADA[Bodega]&amp;TABLACONSOLIDADA[Codigo],0)),"")</f>
        <v>0</v>
      </c>
      <c r="AU378" s="157">
        <f t="array" ref="AU37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7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78" s="134">
        <f>IFERROR(SUM(Tabla_Buffers_Agroinsumos[[#This Row],[P-MP]:[P-VL]]),"")</f>
        <v>0</v>
      </c>
      <c r="AX378" s="92">
        <f>IFERROR(Tabla_Buffers_Agroinsumos[[#This Row],[INV FIS PROPIA]]-Tabla_Buffers_Agroinsumos[[#This Row],[BUFFER PROPIA]],"")</f>
        <v>-210</v>
      </c>
      <c r="AY37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-210</v>
      </c>
      <c r="AZ378" s="134"/>
      <c r="BA378" s="134"/>
      <c r="BB378" s="134"/>
      <c r="BC378" s="134"/>
      <c r="BD378" s="134"/>
      <c r="BE378" s="134"/>
      <c r="BF378" s="134"/>
      <c r="BG378" s="134"/>
      <c r="BH378" s="134"/>
      <c r="BI378" s="91">
        <f t="array" ref="BI378">IFERROR(INDEX(TABLACONSOLIDADA[Buff Act],MATCH("AGROINSUMOSSTODOMINGO"&amp;Tabla_Buffers_Agroinsumos[[#This Row],[CODIGO ]],TABLACONSOLIDADA[Bodega]&amp;TABLACONSOLIDADA[Codigo],0)),"")</f>
        <v>0</v>
      </c>
      <c r="BJ378" s="157">
        <f t="array" ref="BJ378">IFERROR(INDEX(TABLACONSOLIDADA[Inv Fís Act],MATCH("AGROINSUMOSSTODOMINGO"&amp;Tabla_Buffers_Agroinsumos[[#This Row],[CODIGO ]],TABLACONSOLIDADA[Bodega]&amp;TABLACONSOLIDADA[Codigo],0)),"")</f>
        <v>1</v>
      </c>
      <c r="BK378" s="157">
        <f t="array" ref="BK37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1</v>
      </c>
      <c r="BL37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78" s="91">
        <f>IFERROR(SUM(Tabla_Buffers_Agroinsumos[[#This Row],[SD-MP]:[SD-VL]]),"")</f>
        <v>0</v>
      </c>
      <c r="BN378" s="92"/>
      <c r="BO378" s="92"/>
      <c r="BP378" s="134"/>
      <c r="BQ378" s="134"/>
      <c r="BR378" s="134"/>
      <c r="BS378" s="134"/>
      <c r="BT378" s="134"/>
      <c r="BU378" s="134"/>
      <c r="BV378" s="134"/>
      <c r="BW378" s="134"/>
      <c r="BX378" s="134"/>
      <c r="BY378" s="134">
        <f t="array" ref="BY378">IFERROR(INDEX(TABLACONSOLIDADA[Buff Act],MATCH("AGROINSUMOSMONCAYOLOPEZ"&amp;Tabla_Buffers_Agroinsumos[[#This Row],[CODIGO ]],TABLACONSOLIDADA[Bodega]&amp;TABLACONSOLIDADA[Codigo],0)),"")</f>
        <v>15</v>
      </c>
      <c r="BZ378" s="157">
        <f t="array" ref="BZ378">IFERROR(INDEX(TABLACONSOLIDADA[Inv Fís Act],MATCH("AGROINSUMOSMONCAYOLOPEZ"&amp;Tabla_Buffers_Agroinsumos[[#This Row],[CODIGO ]],TABLACONSOLIDADA[Bodega]&amp;TABLACONSOLIDADA[Codigo],0)),"")</f>
        <v>15</v>
      </c>
      <c r="CA378" s="157">
        <f t="array" ref="CA37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15</v>
      </c>
      <c r="CB37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78" s="134">
        <f>IFERROR(SUM(Tabla_Buffers_Agroinsumos[[#This Row],[ML-MP]:[ML-VL]]),"")</f>
        <v>0</v>
      </c>
      <c r="CD378" s="92">
        <f>IFERROR(Tabla_Buffers_Agroinsumos[[#This Row],[INV FIS ML]]-Tabla_Buffers_Agroinsumos[[#This Row],[BUFFER ML]],"")</f>
        <v>0</v>
      </c>
      <c r="CE37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78" s="134"/>
      <c r="CG378" s="134"/>
      <c r="CH378" s="134"/>
      <c r="CI378" s="134"/>
      <c r="CJ378" s="134"/>
      <c r="CK378" s="134"/>
      <c r="CL378" s="134"/>
      <c r="CM378" s="134"/>
      <c r="CN378" s="134"/>
      <c r="CO378" s="134">
        <f t="array" ref="CO378">IFERROR(INDEX(TABLACONSOLIDADA[Buff Act],MATCH("AGROINSUMOSAGROHERMANOSLEON"&amp;Tabla_Buffers_Agroinsumos[[#This Row],[CODIGO ]],TABLACONSOLIDADA[Bodega]&amp;TABLACONSOLIDADA[Codigo],0)),"")</f>
        <v>0</v>
      </c>
      <c r="CP378" s="157">
        <f t="array" ref="CP378">IFERROR(INDEX(TABLACONSOLIDADA[Inv Fís Act],MATCH("AGROINSUMOSAGROHERMANOSLEON"&amp;Tabla_Buffers_Agroinsumos[[#This Row],[CODIGO ]],TABLACONSOLIDADA[Bodega]&amp;TABLACONSOLIDADA[Codigo],0)),"")</f>
        <v>0</v>
      </c>
      <c r="CQ378" s="157">
        <f t="array" ref="CQ37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7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78" s="134">
        <f>IFERROR(SUM(Tabla_Buffers_Agroinsumos[[#This Row],[AL-MP]:[AL-VL]]),"")</f>
        <v>0</v>
      </c>
      <c r="CT378" s="92">
        <f>IFERROR(Tabla_Buffers_Agroinsumos[[#This Row],[INV FIS AL]]-Tabla_Buffers_Agroinsumos[[#This Row],[BUFFER AL]],"")</f>
        <v>0</v>
      </c>
      <c r="CU378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78" s="134"/>
      <c r="CW378" s="134"/>
      <c r="CX378" s="134"/>
      <c r="CY378" s="134"/>
      <c r="CZ378" s="134"/>
      <c r="DA378" s="134"/>
      <c r="DB378" s="134"/>
      <c r="DC378" s="134"/>
      <c r="DD378" s="134"/>
      <c r="DE378" s="134">
        <f t="array" ref="DE378">IFERROR(INDEX(TABLACONSOLIDADA[Buff Act],MATCH("AGROINSUMOSAGRONUEVO"&amp;Tabla_Buffers_Agroinsumos[[#This Row],[CODIGO ]],TABLACONSOLIDADA[Bodega]&amp;TABLACONSOLIDADA[Codigo],0)),"")</f>
        <v>0</v>
      </c>
      <c r="DF378" s="157">
        <f t="array" ref="DF378">IFERROR(INDEX(TABLACONSOLIDADA[Inv Fís Act],MATCH("AGROINSUMOSAGRONUEVO"&amp;Tabla_Buffers_Agroinsumos[[#This Row],[CODIGO ]],TABLACONSOLIDADA[Bodega]&amp;TABLACONSOLIDADA[Codigo],0)),"")</f>
        <v>0</v>
      </c>
      <c r="DG378" s="157">
        <f t="array" ref="DG37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7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78" s="134">
        <f>IFERROR(SUM(Tabla_Buffers_Agroinsumos[[#This Row],[AN-MP]:[AN-VL]]),"")</f>
        <v>0</v>
      </c>
      <c r="DJ378" s="92">
        <f>IFERROR(Tabla_Buffers_Agroinsumos[[#This Row],[INV FIS AN]]-Tabla_Buffers_Agroinsumos[[#This Row],[BUFFER AN]],"")</f>
        <v>0</v>
      </c>
      <c r="DK37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78" s="134"/>
      <c r="DM378" s="134"/>
      <c r="DN378" s="134"/>
      <c r="DO378" s="134"/>
      <c r="DP378" s="134"/>
      <c r="DQ378" s="134"/>
      <c r="DR378" s="134"/>
      <c r="DS378" s="134"/>
      <c r="DT378" s="134"/>
      <c r="DU378" s="134">
        <f t="array" ref="DU378">IFERROR(INDEX(TABLACONSOLIDADA[Buff Act],MATCH("AGROINSUMOSAGROQUIMICOSSUR"&amp;Tabla_Buffers_Agroinsumos[[#This Row],[CODIGO ]],TABLACONSOLIDADA[Bodega]&amp;TABLACONSOLIDADA[Codigo],0)),"")</f>
        <v>0</v>
      </c>
      <c r="DV378" s="157">
        <f t="array" ref="DV378">IFERROR(INDEX(TABLACONSOLIDADA[Inv Fís Act],MATCH("AGROINSUMOSAGROQUIMICOSSUR"&amp;Tabla_Buffers_Agroinsumos[[#This Row],[CODIGO ]],TABLACONSOLIDADA[Bodega]&amp;TABLACONSOLIDADA[Codigo],0)),"")</f>
        <v>0</v>
      </c>
      <c r="DW378" s="157">
        <f t="array" ref="DW37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7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78" s="134">
        <f>IFERROR(SUM(Tabla_Buffers_Agroinsumos[[#This Row],[AS-MP]:[AS-VL]]),"")</f>
        <v>0</v>
      </c>
      <c r="DZ378" s="92">
        <f>IFERROR(Tabla_Buffers_Agroinsumos[[#This Row],[INV FIS AS]]-Tabla_Buffers_Agroinsumos[[#This Row],[BUFFER AS]],"")</f>
        <v>0</v>
      </c>
      <c r="EA37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78" s="134"/>
      <c r="EC378" s="134"/>
      <c r="ED378" s="134"/>
      <c r="EE378" s="134"/>
      <c r="EF378" s="134"/>
      <c r="EG378" s="134"/>
      <c r="EH378" s="134"/>
      <c r="EI378" s="134"/>
      <c r="EJ378" s="134"/>
      <c r="EK378" s="134">
        <f t="array" ref="EK378">IFERROR(INDEX(TABLACONSOLIDADA[Buff Act],MATCH("AGROINSUMOSLAFINCA"&amp;Tabla_Buffers_Agroinsumos[[#This Row],[CODIGO ]],TABLACONSOLIDADA[Bodega]&amp;TABLACONSOLIDADA[Codigo],0)),"")</f>
        <v>30</v>
      </c>
      <c r="EL378" s="157">
        <f t="array" ref="EL378">IFERROR(INDEX(TABLACONSOLIDADA[Inv Fís Act],MATCH("AGROINSUMOSLAFINCA"&amp;Tabla_Buffers_Agroinsumos[[#This Row],[CODIGO ]],TABLACONSOLIDADA[Bodega]&amp;TABLACONSOLIDADA[Codigo],0)),"")</f>
        <v>25</v>
      </c>
      <c r="EM378" s="157">
        <f t="array" ref="EM37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25</v>
      </c>
      <c r="EN37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78" s="134">
        <f>IFERROR(SUM(Tabla_Buffers_Agroinsumos[[#This Row],[LF-MP]:[LF-VL]]),"")</f>
        <v>0</v>
      </c>
      <c r="EP378" s="92">
        <f>IFERROR(Tabla_Buffers_Agroinsumos[[#This Row],[INV FIS LF]]-Tabla_Buffers_Agroinsumos[[#This Row],[BUFFER LF]],"")</f>
        <v>-5</v>
      </c>
      <c r="EQ378" s="92">
        <f>IFERROR(Tabla_Buffers_Agroinsumos[[#This Row],[INV FIS LF]]+Tabla_Buffers_Agroinsumos[[#This Row],[TRANSFERENCIAS A LF]]-Tabla_Buffers_Agroinsumos[[#This Row],[BUFFER LF]]-Tabla_Buffers_Agroinsumos[[#This Row],[TRANSFERENCIAS DE LF]],"")</f>
        <v>-5</v>
      </c>
      <c r="ER378" s="134"/>
      <c r="ES378" s="134"/>
      <c r="ET378" s="134"/>
      <c r="EU378" s="134"/>
      <c r="EV378" s="134"/>
      <c r="EW378" s="134"/>
      <c r="EX378" s="134"/>
      <c r="EY378" s="134"/>
      <c r="EZ378" s="134"/>
      <c r="FA378" s="134">
        <f t="array" ref="FA378">IFERROR(INDEX(TABLACONSOLIDADA[Buff Act],MATCH("AGROINSUMOSVERONICALEDESMA"&amp;Tabla_Buffers_Agroinsumos[[#This Row],[CODIGO ]],TABLACONSOLIDADA[Bodega]&amp;TABLACONSOLIDADA[Codigo],0)),"")</f>
        <v>21</v>
      </c>
      <c r="FB378" s="157">
        <f t="array" ref="FB378">IFERROR(INDEX(TABLACONSOLIDADA[Inv Fís Act],MATCH("AGROINSUMOSVERONICALEDESMA"&amp;Tabla_Buffers_Agroinsumos[[#This Row],[CODIGO ]],TABLACONSOLIDADA[Bodega]&amp;TABLACONSOLIDADA[Codigo],0)),"")</f>
        <v>21</v>
      </c>
      <c r="FC378" s="157">
        <f t="array" ref="FC37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21</v>
      </c>
      <c r="FD37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78" s="134">
        <f>IFERROR(SUM(Tabla_Buffers_Agroinsumos[[#This Row],[VL-MP]:[VL-LF]]),"")</f>
        <v>0</v>
      </c>
      <c r="FF378" s="92">
        <f>IFERROR(Tabla_Buffers_Agroinsumos[[#This Row],[INV FIS VL]]-Tabla_Buffers_Agroinsumos[[#This Row],[BUFFER VL]],"")</f>
        <v>0</v>
      </c>
      <c r="FG37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78" s="134"/>
      <c r="FI378" s="134"/>
      <c r="FJ378" s="134"/>
      <c r="FK378" s="134"/>
      <c r="FL378" s="134"/>
      <c r="FM378" s="134"/>
      <c r="FN378" s="134"/>
      <c r="FO378" s="134"/>
      <c r="FP378" s="134"/>
    </row>
    <row r="379" spans="1:172">
      <c r="A379" s="7" t="s">
        <v>637</v>
      </c>
      <c r="B379" s="7" t="s">
        <v>638</v>
      </c>
      <c r="C379" s="7" t="s">
        <v>709</v>
      </c>
      <c r="D379" s="7" t="s">
        <v>719</v>
      </c>
      <c r="E379" s="7" t="s">
        <v>975</v>
      </c>
      <c r="F379" s="19" t="s">
        <v>698</v>
      </c>
      <c r="G379" s="19" t="s">
        <v>698</v>
      </c>
      <c r="H379" s="19">
        <f>VLOOKUP(Tabla_Buffers_Agroinsumos[[#This Row],[CODIGO ]],TABLACONSOLIDADA[[Codigo]:[PV]],6,0)</f>
        <v>3.59</v>
      </c>
      <c r="I379" s="19">
        <f>VLOOKUP(Tabla_Buffers_Agroinsumos[[#This Row],[CODIGO ]],TABLACONSOLIDADA[[Codigo]:[PV]],5,0)</f>
        <v>1.35</v>
      </c>
      <c r="J379" s="19" t="s">
        <v>698</v>
      </c>
      <c r="K379" s="19" t="s">
        <v>698</v>
      </c>
      <c r="L379" s="19">
        <f>IFERROR(Tabla_Buffers_Agroinsumos[[#This Row],[BUFFER CENTRAL]]/((Tabla_Buffers_Agroinsumos[[#This Row],[TIEMPO REPOSICION ]]/Tabla_Buffers_Agroinsumos[[#This Row],[FRECUENCIA]])+1),0)</f>
        <v>0</v>
      </c>
      <c r="M379" s="19" t="str">
        <f t="array" ref="M379">IFERROR(INDEX(TABLACONSOLIDADA[Buff Act],MATCH("AGROINSUMOSMATERIAPRIMA"&amp;Tabla_Buffers_Agroinsumos[[#This Row],[CODIGO ]],TABLACONSOLIDADA[Bodega]&amp;TABLACONSOLIDADA[Codigo],0)),"")</f>
        <v/>
      </c>
      <c r="N379" s="157" t="str">
        <f t="array" ref="N379">IFERROR(INDEX(TABLACONSOLIDADA[Inv Fís Act],MATCH("AGROINSUMOSMATERIAPRIMA"&amp;Tabla_Buffers_Agroinsumos[[#This Row],[CODIGO ]],TABLACONSOLIDADA[Bodega]&amp;TABLACONSOLIDADA[Codigo],0)),"")</f>
        <v/>
      </c>
      <c r="O379" s="157" t="str">
        <f t="array" ref="O37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7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79" s="19">
        <f>IFERROR(SUM(Tabla_Buffers_Agroinsumos[[#This Row],[MP-C]:[MP-VL]]),"")</f>
        <v>0</v>
      </c>
      <c r="R379" s="92" t="str">
        <f>IFERROR(Tabla_Buffers_Agroinsumos[[#This Row],[INV FIS MATERIA PRIMA]]-Tabla_Buffers_Agroinsumos[[#This Row],[BUFFER MATERIA PRIMA]],"")</f>
        <v/>
      </c>
      <c r="S37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79" s="19"/>
      <c r="U379" s="19"/>
      <c r="V379" s="19"/>
      <c r="W379" s="19"/>
      <c r="X379" s="19"/>
      <c r="Y379" s="19"/>
      <c r="Z379" s="19"/>
      <c r="AA379" s="19"/>
      <c r="AB379" s="19"/>
      <c r="AC379" s="135">
        <f t="array" ref="AC379">IFERROR(INDEX(TABLACONSOLIDADA[Buff Act],MATCH("AGROINSUMOSCENTRAL"&amp;Tabla_Buffers_Agroinsumos[[#This Row],[CODIGO ]],TABLACONSOLIDADA[Bodega]&amp;TABLACONSOLIDADA[Codigo],0)),"")</f>
        <v>1800</v>
      </c>
      <c r="AD379" s="157">
        <f t="array" ref="AD379">IFERROR(INDEX(TABLACONSOLIDADA[Inv Fís Act],MATCH("AGROINSUMOSCENTRAL"&amp;Tabla_Buffers_Agroinsumos[[#This Row],[CODIGO ]],TABLACONSOLIDADA[Bodega]&amp;TABLACONSOLIDADA[Codigo],0)),"")</f>
        <v>1748</v>
      </c>
      <c r="AE379" s="157">
        <f t="array" ref="AE37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1889</v>
      </c>
      <c r="AF37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79" s="91">
        <f>IFERROR(SUM(Tabla_Buffers_Agroinsumos[[#This Row],[C-MP]:[C-VL]]),"")</f>
        <v>0</v>
      </c>
      <c r="AH379" s="92">
        <f>IFERROR(Tabla_Buffers_Agroinsumos[[#This Row],[INV FIS CENTRAL]]-Tabla_Buffers_Agroinsumos[[#This Row],[BUFFER CENTRAL]],"")</f>
        <v>-52</v>
      </c>
      <c r="AI37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-52</v>
      </c>
      <c r="AJ379" s="134"/>
      <c r="AK379" s="134"/>
      <c r="AL379" s="134"/>
      <c r="AM379" s="134"/>
      <c r="AN379" s="134"/>
      <c r="AO379" s="134"/>
      <c r="AP379" s="134"/>
      <c r="AQ379" s="134"/>
      <c r="AR379" s="134"/>
      <c r="AS379" s="134">
        <f t="array" ref="AS379">IFERROR(INDEX(TABLACONSOLIDADA[Buff Act],MATCH("AGROINSUMOScentralPROPIA"&amp;Tabla_Buffers_Agroinsumos[[#This Row],[CODIGO ]],TABLACONSOLIDADA[Bodega]&amp;TABLACONSOLIDADA[Codigo],0)),"")</f>
        <v>660</v>
      </c>
      <c r="AT379" s="157">
        <f t="array" ref="AT379">IFERROR(INDEX(TABLACONSOLIDADA[Inv Fís Act],MATCH("AGROINSUMOScentralPROPIA"&amp;Tabla_Buffers_Agroinsumos[[#This Row],[CODIGO ]],TABLACONSOLIDADA[Bodega]&amp;TABLACONSOLIDADA[Codigo],0)),"")</f>
        <v>0</v>
      </c>
      <c r="AU379" s="157">
        <f t="array" ref="AU37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7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79" s="134">
        <f>IFERROR(SUM(Tabla_Buffers_Agroinsumos[[#This Row],[P-MP]:[P-VL]]),"")</f>
        <v>0</v>
      </c>
      <c r="AX379" s="92">
        <f>IFERROR(Tabla_Buffers_Agroinsumos[[#This Row],[INV FIS PROPIA]]-Tabla_Buffers_Agroinsumos[[#This Row],[BUFFER PROPIA]],"")</f>
        <v>-660</v>
      </c>
      <c r="AY37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-660</v>
      </c>
      <c r="AZ379" s="134"/>
      <c r="BA379" s="134"/>
      <c r="BB379" s="134"/>
      <c r="BC379" s="134"/>
      <c r="BD379" s="134"/>
      <c r="BE379" s="134"/>
      <c r="BF379" s="134"/>
      <c r="BG379" s="134"/>
      <c r="BH379" s="134"/>
      <c r="BI379" s="91">
        <f t="array" ref="BI379">IFERROR(INDEX(TABLACONSOLIDADA[Buff Act],MATCH("AGROINSUMOSSTODOMINGO"&amp;Tabla_Buffers_Agroinsumos[[#This Row],[CODIGO ]],TABLACONSOLIDADA[Bodega]&amp;TABLACONSOLIDADA[Codigo],0)),"")</f>
        <v>0</v>
      </c>
      <c r="BJ379" s="157">
        <f t="array" ref="BJ379">IFERROR(INDEX(TABLACONSOLIDADA[Inv Fís Act],MATCH("AGROINSUMOSSTODOMINGO"&amp;Tabla_Buffers_Agroinsumos[[#This Row],[CODIGO ]],TABLACONSOLIDADA[Bodega]&amp;TABLACONSOLIDADA[Codigo],0)),"")</f>
        <v>66</v>
      </c>
      <c r="BK379" s="157">
        <f t="array" ref="BK37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66</v>
      </c>
      <c r="BL37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79" s="91">
        <f>IFERROR(SUM(Tabla_Buffers_Agroinsumos[[#This Row],[SD-MP]:[SD-VL]]),"")</f>
        <v>0</v>
      </c>
      <c r="BN379" s="92"/>
      <c r="BO379" s="92"/>
      <c r="BP379" s="134"/>
      <c r="BQ379" s="134"/>
      <c r="BR379" s="134"/>
      <c r="BS379" s="134"/>
      <c r="BT379" s="134"/>
      <c r="BU379" s="134"/>
      <c r="BV379" s="134"/>
      <c r="BW379" s="134"/>
      <c r="BX379" s="134"/>
      <c r="BY379" s="134">
        <f t="array" ref="BY379">IFERROR(INDEX(TABLACONSOLIDADA[Buff Act],MATCH("AGROINSUMOSMONCAYOLOPEZ"&amp;Tabla_Buffers_Agroinsumos[[#This Row],[CODIGO ]],TABLACONSOLIDADA[Bodega]&amp;TABLACONSOLIDADA[Codigo],0)),"")</f>
        <v>15</v>
      </c>
      <c r="BZ379" s="157">
        <f t="array" ref="BZ379">IFERROR(INDEX(TABLACONSOLIDADA[Inv Fís Act],MATCH("AGROINSUMOSMONCAYOLOPEZ"&amp;Tabla_Buffers_Agroinsumos[[#This Row],[CODIGO ]],TABLACONSOLIDADA[Bodega]&amp;TABLACONSOLIDADA[Codigo],0)),"")</f>
        <v>15</v>
      </c>
      <c r="CA379" s="157">
        <f t="array" ref="CA37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15</v>
      </c>
      <c r="CB37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79" s="134">
        <f>IFERROR(SUM(Tabla_Buffers_Agroinsumos[[#This Row],[ML-MP]:[ML-VL]]),"")</f>
        <v>0</v>
      </c>
      <c r="CD379" s="92">
        <f>IFERROR(Tabla_Buffers_Agroinsumos[[#This Row],[INV FIS ML]]-Tabla_Buffers_Agroinsumos[[#This Row],[BUFFER ML]],"")</f>
        <v>0</v>
      </c>
      <c r="CE37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79" s="134"/>
      <c r="CG379" s="134"/>
      <c r="CH379" s="134"/>
      <c r="CI379" s="134"/>
      <c r="CJ379" s="134"/>
      <c r="CK379" s="134"/>
      <c r="CL379" s="134"/>
      <c r="CM379" s="134"/>
      <c r="CN379" s="134"/>
      <c r="CO379" s="134">
        <f t="array" ref="CO379">IFERROR(INDEX(TABLACONSOLIDADA[Buff Act],MATCH("AGROINSUMOSAGROHERMANOSLEON"&amp;Tabla_Buffers_Agroinsumos[[#This Row],[CODIGO ]],TABLACONSOLIDADA[Bodega]&amp;TABLACONSOLIDADA[Codigo],0)),"")</f>
        <v>60</v>
      </c>
      <c r="CP379" s="157">
        <f t="array" ref="CP379">IFERROR(INDEX(TABLACONSOLIDADA[Inv Fís Act],MATCH("AGROINSUMOSAGROHERMANOSLEON"&amp;Tabla_Buffers_Agroinsumos[[#This Row],[CODIGO ]],TABLACONSOLIDADA[Bodega]&amp;TABLACONSOLIDADA[Codigo],0)),"")</f>
        <v>133</v>
      </c>
      <c r="CQ379" s="157">
        <f t="array" ref="CQ37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133</v>
      </c>
      <c r="CR37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79" s="134">
        <f>IFERROR(SUM(Tabla_Buffers_Agroinsumos[[#This Row],[AL-MP]:[AL-VL]]),"")</f>
        <v>0</v>
      </c>
      <c r="CT379" s="92">
        <f>IFERROR(Tabla_Buffers_Agroinsumos[[#This Row],[INV FIS AL]]-Tabla_Buffers_Agroinsumos[[#This Row],[BUFFER AL]],"")</f>
        <v>73</v>
      </c>
      <c r="CU379" s="92">
        <f>IFERROR(Tabla_Buffers_Agroinsumos[[#This Row],[INV FIS AL]]+Tabla_Buffers_Agroinsumos[[#This Row],[TRANSFERENCIAS A AL]]-Tabla_Buffers_Agroinsumos[[#This Row],[BUFFER AL]]-Tabla_Buffers_Agroinsumos[[#This Row],[TRANSFERENCIAS DE AL]],"")</f>
        <v>73</v>
      </c>
      <c r="CV379" s="134"/>
      <c r="CW379" s="134"/>
      <c r="CX379" s="134"/>
      <c r="CY379" s="134"/>
      <c r="CZ379" s="134"/>
      <c r="DA379" s="134"/>
      <c r="DB379" s="134"/>
      <c r="DC379" s="134"/>
      <c r="DD379" s="134"/>
      <c r="DE379" s="134">
        <f t="array" ref="DE379">IFERROR(INDEX(TABLACONSOLIDADA[Buff Act],MATCH("AGROINSUMOSAGRONUEVO"&amp;Tabla_Buffers_Agroinsumos[[#This Row],[CODIGO ]],TABLACONSOLIDADA[Bodega]&amp;TABLACONSOLIDADA[Codigo],0)),"")</f>
        <v>100</v>
      </c>
      <c r="DF379" s="157">
        <f t="array" ref="DF379">IFERROR(INDEX(TABLACONSOLIDADA[Inv Fís Act],MATCH("AGROINSUMOSAGRONUEVO"&amp;Tabla_Buffers_Agroinsumos[[#This Row],[CODIGO ]],TABLACONSOLIDADA[Bodega]&amp;TABLACONSOLIDADA[Codigo],0)),"")</f>
        <v>100</v>
      </c>
      <c r="DG379" s="157">
        <f t="array" ref="DG37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100</v>
      </c>
      <c r="DH37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79" s="134">
        <f>IFERROR(SUM(Tabla_Buffers_Agroinsumos[[#This Row],[AN-MP]:[AN-VL]]),"")</f>
        <v>0</v>
      </c>
      <c r="DJ379" s="92">
        <f>IFERROR(Tabla_Buffers_Agroinsumos[[#This Row],[INV FIS AN]]-Tabla_Buffers_Agroinsumos[[#This Row],[BUFFER AN]],"")</f>
        <v>0</v>
      </c>
      <c r="DK37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79" s="134"/>
      <c r="DM379" s="134"/>
      <c r="DN379" s="134"/>
      <c r="DO379" s="134"/>
      <c r="DP379" s="134"/>
      <c r="DQ379" s="134"/>
      <c r="DR379" s="134"/>
      <c r="DS379" s="134"/>
      <c r="DT379" s="134"/>
      <c r="DU379" s="134">
        <f t="array" ref="DU379">IFERROR(INDEX(TABLACONSOLIDADA[Buff Act],MATCH("AGROINSUMOSAGROQUIMICOSSUR"&amp;Tabla_Buffers_Agroinsumos[[#This Row],[CODIGO ]],TABLACONSOLIDADA[Bodega]&amp;TABLACONSOLIDADA[Codigo],0)),"")</f>
        <v>0</v>
      </c>
      <c r="DV379" s="157">
        <f t="array" ref="DV379">IFERROR(INDEX(TABLACONSOLIDADA[Inv Fís Act],MATCH("AGROINSUMOSAGROQUIMICOSSUR"&amp;Tabla_Buffers_Agroinsumos[[#This Row],[CODIGO ]],TABLACONSOLIDADA[Bodega]&amp;TABLACONSOLIDADA[Codigo],0)),"")</f>
        <v>0</v>
      </c>
      <c r="DW379" s="157">
        <f t="array" ref="DW37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7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79" s="134">
        <f>IFERROR(SUM(Tabla_Buffers_Agroinsumos[[#This Row],[AS-MP]:[AS-VL]]),"")</f>
        <v>0</v>
      </c>
      <c r="DZ379" s="92">
        <f>IFERROR(Tabla_Buffers_Agroinsumos[[#This Row],[INV FIS AS]]-Tabla_Buffers_Agroinsumos[[#This Row],[BUFFER AS]],"")</f>
        <v>0</v>
      </c>
      <c r="EA37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79" s="134"/>
      <c r="EC379" s="134"/>
      <c r="ED379" s="134"/>
      <c r="EE379" s="134"/>
      <c r="EF379" s="134"/>
      <c r="EG379" s="134"/>
      <c r="EH379" s="134"/>
      <c r="EI379" s="134"/>
      <c r="EJ379" s="134"/>
      <c r="EK379" s="134">
        <f t="array" ref="EK379">IFERROR(INDEX(TABLACONSOLIDADA[Buff Act],MATCH("AGROINSUMOSLAFINCA"&amp;Tabla_Buffers_Agroinsumos[[#This Row],[CODIGO ]],TABLACONSOLIDADA[Bodega]&amp;TABLACONSOLIDADA[Codigo],0)),"")</f>
        <v>30</v>
      </c>
      <c r="EL379" s="157">
        <f t="array" ref="EL379">IFERROR(INDEX(TABLACONSOLIDADA[Inv Fís Act],MATCH("AGROINSUMOSLAFINCA"&amp;Tabla_Buffers_Agroinsumos[[#This Row],[CODIGO ]],TABLACONSOLIDADA[Bodega]&amp;TABLACONSOLIDADA[Codigo],0)),"")</f>
        <v>40</v>
      </c>
      <c r="EM379" s="157">
        <f t="array" ref="EM37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40</v>
      </c>
      <c r="EN37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79" s="134">
        <f>IFERROR(SUM(Tabla_Buffers_Agroinsumos[[#This Row],[LF-MP]:[LF-VL]]),"")</f>
        <v>0</v>
      </c>
      <c r="EP379" s="92">
        <f>IFERROR(Tabla_Buffers_Agroinsumos[[#This Row],[INV FIS LF]]-Tabla_Buffers_Agroinsumos[[#This Row],[BUFFER LF]],"")</f>
        <v>10</v>
      </c>
      <c r="EQ379" s="92">
        <f>IFERROR(Tabla_Buffers_Agroinsumos[[#This Row],[INV FIS LF]]+Tabla_Buffers_Agroinsumos[[#This Row],[TRANSFERENCIAS A LF]]-Tabla_Buffers_Agroinsumos[[#This Row],[BUFFER LF]]-Tabla_Buffers_Agroinsumos[[#This Row],[TRANSFERENCIAS DE LF]],"")</f>
        <v>10</v>
      </c>
      <c r="ER379" s="134"/>
      <c r="ES379" s="134"/>
      <c r="ET379" s="134"/>
      <c r="EU379" s="134"/>
      <c r="EV379" s="134"/>
      <c r="EW379" s="134"/>
      <c r="EX379" s="134"/>
      <c r="EY379" s="134"/>
      <c r="EZ379" s="134"/>
      <c r="FA379" s="134">
        <f t="array" ref="FA379">IFERROR(INDEX(TABLACONSOLIDADA[Buff Act],MATCH("AGROINSUMOSVERONICALEDESMA"&amp;Tabla_Buffers_Agroinsumos[[#This Row],[CODIGO ]],TABLACONSOLIDADA[Bodega]&amp;TABLACONSOLIDADA[Codigo],0)),"")</f>
        <v>63</v>
      </c>
      <c r="FB379" s="157">
        <f t="array" ref="FB379">IFERROR(INDEX(TABLACONSOLIDADA[Inv Fís Act],MATCH("AGROINSUMOSVERONICALEDESMA"&amp;Tabla_Buffers_Agroinsumos[[#This Row],[CODIGO ]],TABLACONSOLIDADA[Bodega]&amp;TABLACONSOLIDADA[Codigo],0)),"")</f>
        <v>63</v>
      </c>
      <c r="FC379" s="157">
        <f t="array" ref="FC37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63</v>
      </c>
      <c r="FD37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79" s="134">
        <f>IFERROR(SUM(Tabla_Buffers_Agroinsumos[[#This Row],[VL-MP]:[VL-LF]]),"")</f>
        <v>0</v>
      </c>
      <c r="FF379" s="92">
        <f>IFERROR(Tabla_Buffers_Agroinsumos[[#This Row],[INV FIS VL]]-Tabla_Buffers_Agroinsumos[[#This Row],[BUFFER VL]],"")</f>
        <v>0</v>
      </c>
      <c r="FG37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79" s="134"/>
      <c r="FI379" s="134"/>
      <c r="FJ379" s="134"/>
      <c r="FK379" s="134"/>
      <c r="FL379" s="134"/>
      <c r="FM379" s="134"/>
      <c r="FN379" s="134"/>
      <c r="FO379" s="134"/>
      <c r="FP379" s="134"/>
    </row>
    <row r="380" spans="1:172">
      <c r="A380" s="7" t="s">
        <v>639</v>
      </c>
      <c r="B380" s="7" t="s">
        <v>640</v>
      </c>
      <c r="C380" s="7" t="s">
        <v>709</v>
      </c>
      <c r="D380" s="7" t="s">
        <v>719</v>
      </c>
      <c r="E380" s="7" t="s">
        <v>975</v>
      </c>
      <c r="F380" s="19" t="s">
        <v>698</v>
      </c>
      <c r="G380" s="19" t="s">
        <v>698</v>
      </c>
      <c r="H380" s="19">
        <f>VLOOKUP(Tabla_Buffers_Agroinsumos[[#This Row],[CODIGO ]],TABLACONSOLIDADA[[Codigo]:[PV]],6,0)</f>
        <v>5.79</v>
      </c>
      <c r="I380" s="19">
        <f>VLOOKUP(Tabla_Buffers_Agroinsumos[[#This Row],[CODIGO ]],TABLACONSOLIDADA[[Codigo]:[PV]],5,0)</f>
        <v>2.34</v>
      </c>
      <c r="J380" s="19" t="s">
        <v>698</v>
      </c>
      <c r="K380" s="19" t="s">
        <v>698</v>
      </c>
      <c r="L380" s="19">
        <f>IFERROR(Tabla_Buffers_Agroinsumos[[#This Row],[BUFFER CENTRAL]]/((Tabla_Buffers_Agroinsumos[[#This Row],[TIEMPO REPOSICION ]]/Tabla_Buffers_Agroinsumos[[#This Row],[FRECUENCIA]])+1),0)</f>
        <v>0</v>
      </c>
      <c r="M380" s="19" t="str">
        <f t="array" ref="M380">IFERROR(INDEX(TABLACONSOLIDADA[Buff Act],MATCH("AGROINSUMOSMATERIAPRIMA"&amp;Tabla_Buffers_Agroinsumos[[#This Row],[CODIGO ]],TABLACONSOLIDADA[Bodega]&amp;TABLACONSOLIDADA[Codigo],0)),"")</f>
        <v/>
      </c>
      <c r="N380" s="157" t="str">
        <f t="array" ref="N380">IFERROR(INDEX(TABLACONSOLIDADA[Inv Fís Act],MATCH("AGROINSUMOSMATERIAPRIMA"&amp;Tabla_Buffers_Agroinsumos[[#This Row],[CODIGO ]],TABLACONSOLIDADA[Bodega]&amp;TABLACONSOLIDADA[Codigo],0)),"")</f>
        <v/>
      </c>
      <c r="O380" s="157" t="str">
        <f t="array" ref="O38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8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80" s="19">
        <f>IFERROR(SUM(Tabla_Buffers_Agroinsumos[[#This Row],[MP-C]:[MP-VL]]),"")</f>
        <v>0</v>
      </c>
      <c r="R380" s="92" t="str">
        <f>IFERROR(Tabla_Buffers_Agroinsumos[[#This Row],[INV FIS MATERIA PRIMA]]-Tabla_Buffers_Agroinsumos[[#This Row],[BUFFER MATERIA PRIMA]],"")</f>
        <v/>
      </c>
      <c r="S38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80" s="19"/>
      <c r="U380" s="19"/>
      <c r="V380" s="19"/>
      <c r="W380" s="19"/>
      <c r="X380" s="19"/>
      <c r="Y380" s="19"/>
      <c r="Z380" s="19"/>
      <c r="AA380" s="19"/>
      <c r="AB380" s="19"/>
      <c r="AC380" s="135">
        <f t="array" ref="AC380">IFERROR(INDEX(TABLACONSOLIDADA[Buff Act],MATCH("AGROINSUMOSCENTRAL"&amp;Tabla_Buffers_Agroinsumos[[#This Row],[CODIGO ]],TABLACONSOLIDADA[Bodega]&amp;TABLACONSOLIDADA[Codigo],0)),"")</f>
        <v>500</v>
      </c>
      <c r="AD380" s="157">
        <f t="array" ref="AD380">IFERROR(INDEX(TABLACONSOLIDADA[Inv Fís Act],MATCH("AGROINSUMOSCENTRAL"&amp;Tabla_Buffers_Agroinsumos[[#This Row],[CODIGO ]],TABLACONSOLIDADA[Bodega]&amp;TABLACONSOLIDADA[Codigo],0)),"")</f>
        <v>618</v>
      </c>
      <c r="AE380" s="157">
        <f t="array" ref="AE38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658</v>
      </c>
      <c r="AF38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80" s="91">
        <f>IFERROR(SUM(Tabla_Buffers_Agroinsumos[[#This Row],[C-MP]:[C-VL]]),"")</f>
        <v>0</v>
      </c>
      <c r="AH380" s="92">
        <f>IFERROR(Tabla_Buffers_Agroinsumos[[#This Row],[INV FIS CENTRAL]]-Tabla_Buffers_Agroinsumos[[#This Row],[BUFFER CENTRAL]],"")</f>
        <v>118</v>
      </c>
      <c r="AI380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118</v>
      </c>
      <c r="AJ380" s="134"/>
      <c r="AK380" s="134"/>
      <c r="AL380" s="134"/>
      <c r="AM380" s="134"/>
      <c r="AN380" s="134"/>
      <c r="AO380" s="134"/>
      <c r="AP380" s="134"/>
      <c r="AQ380" s="134"/>
      <c r="AR380" s="134"/>
      <c r="AS380" s="134">
        <f t="array" ref="AS380">IFERROR(INDEX(TABLACONSOLIDADA[Buff Act],MATCH("AGROINSUMOScentralPROPIA"&amp;Tabla_Buffers_Agroinsumos[[#This Row],[CODIGO ]],TABLACONSOLIDADA[Bodega]&amp;TABLACONSOLIDADA[Codigo],0)),"")</f>
        <v>210</v>
      </c>
      <c r="AT380" s="157">
        <f t="array" ref="AT380">IFERROR(INDEX(TABLACONSOLIDADA[Inv Fís Act],MATCH("AGROINSUMOScentralPROPIA"&amp;Tabla_Buffers_Agroinsumos[[#This Row],[CODIGO ]],TABLACONSOLIDADA[Bodega]&amp;TABLACONSOLIDADA[Codigo],0)),"")</f>
        <v>0</v>
      </c>
      <c r="AU380" s="157">
        <f t="array" ref="AU38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8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80" s="134">
        <f>IFERROR(SUM(Tabla_Buffers_Agroinsumos[[#This Row],[P-MP]:[P-VL]]),"")</f>
        <v>0</v>
      </c>
      <c r="AX380" s="92">
        <f>IFERROR(Tabla_Buffers_Agroinsumos[[#This Row],[INV FIS PROPIA]]-Tabla_Buffers_Agroinsumos[[#This Row],[BUFFER PROPIA]],"")</f>
        <v>-210</v>
      </c>
      <c r="AY380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-210</v>
      </c>
      <c r="AZ380" s="134"/>
      <c r="BA380" s="134"/>
      <c r="BB380" s="134"/>
      <c r="BC380" s="134"/>
      <c r="BD380" s="134"/>
      <c r="BE380" s="134"/>
      <c r="BF380" s="134"/>
      <c r="BG380" s="134"/>
      <c r="BH380" s="134"/>
      <c r="BI380" s="91">
        <f t="array" ref="BI380">IFERROR(INDEX(TABLACONSOLIDADA[Buff Act],MATCH("AGROINSUMOSSTODOMINGO"&amp;Tabla_Buffers_Agroinsumos[[#This Row],[CODIGO ]],TABLACONSOLIDADA[Bodega]&amp;TABLACONSOLIDADA[Codigo],0)),"")</f>
        <v>0</v>
      </c>
      <c r="BJ380" s="157">
        <f t="array" ref="BJ380">IFERROR(INDEX(TABLACONSOLIDADA[Inv Fís Act],MATCH("AGROINSUMOSSTODOMINGO"&amp;Tabla_Buffers_Agroinsumos[[#This Row],[CODIGO ]],TABLACONSOLIDADA[Bodega]&amp;TABLACONSOLIDADA[Codigo],0)),"")</f>
        <v>38</v>
      </c>
      <c r="BK380" s="157">
        <f t="array" ref="BK38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38</v>
      </c>
      <c r="BL38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80" s="91">
        <f>IFERROR(SUM(Tabla_Buffers_Agroinsumos[[#This Row],[SD-MP]:[SD-VL]]),"")</f>
        <v>0</v>
      </c>
      <c r="BN380" s="92"/>
      <c r="BO380" s="92"/>
      <c r="BP380" s="134"/>
      <c r="BQ380" s="134"/>
      <c r="BR380" s="134"/>
      <c r="BS380" s="134"/>
      <c r="BT380" s="134"/>
      <c r="BU380" s="134"/>
      <c r="BV380" s="134"/>
      <c r="BW380" s="134"/>
      <c r="BX380" s="134"/>
      <c r="BY380" s="134">
        <f t="array" ref="BY380">IFERROR(INDEX(TABLACONSOLIDADA[Buff Act],MATCH("AGROINSUMOSMONCAYOLOPEZ"&amp;Tabla_Buffers_Agroinsumos[[#This Row],[CODIGO ]],TABLACONSOLIDADA[Bodega]&amp;TABLACONSOLIDADA[Codigo],0)),"")</f>
        <v>15</v>
      </c>
      <c r="BZ380" s="157">
        <f t="array" ref="BZ380">IFERROR(INDEX(TABLACONSOLIDADA[Inv Fís Act],MATCH("AGROINSUMOSMONCAYOLOPEZ"&amp;Tabla_Buffers_Agroinsumos[[#This Row],[CODIGO ]],TABLACONSOLIDADA[Bodega]&amp;TABLACONSOLIDADA[Codigo],0)),"")</f>
        <v>15</v>
      </c>
      <c r="CA380" s="157">
        <f t="array" ref="CA38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15</v>
      </c>
      <c r="CB38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80" s="134">
        <f>IFERROR(SUM(Tabla_Buffers_Agroinsumos[[#This Row],[ML-MP]:[ML-VL]]),"")</f>
        <v>0</v>
      </c>
      <c r="CD380" s="92">
        <f>IFERROR(Tabla_Buffers_Agroinsumos[[#This Row],[INV FIS ML]]-Tabla_Buffers_Agroinsumos[[#This Row],[BUFFER ML]],"")</f>
        <v>0</v>
      </c>
      <c r="CE380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80" s="134"/>
      <c r="CG380" s="134"/>
      <c r="CH380" s="134"/>
      <c r="CI380" s="134"/>
      <c r="CJ380" s="134"/>
      <c r="CK380" s="134"/>
      <c r="CL380" s="134"/>
      <c r="CM380" s="134"/>
      <c r="CN380" s="134"/>
      <c r="CO380" s="134">
        <f t="array" ref="CO380">IFERROR(INDEX(TABLACONSOLIDADA[Buff Act],MATCH("AGROINSUMOSAGROHERMANOSLEON"&amp;Tabla_Buffers_Agroinsumos[[#This Row],[CODIGO ]],TABLACONSOLIDADA[Bodega]&amp;TABLACONSOLIDADA[Codigo],0)),"")</f>
        <v>0</v>
      </c>
      <c r="CP380" s="157">
        <f t="array" ref="CP380">IFERROR(INDEX(TABLACONSOLIDADA[Inv Fís Act],MATCH("AGROINSUMOSAGROHERMANOSLEON"&amp;Tabla_Buffers_Agroinsumos[[#This Row],[CODIGO ]],TABLACONSOLIDADA[Bodega]&amp;TABLACONSOLIDADA[Codigo],0)),"")</f>
        <v>0</v>
      </c>
      <c r="CQ380" s="157">
        <f t="array" ref="CQ38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8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80" s="134">
        <f>IFERROR(SUM(Tabla_Buffers_Agroinsumos[[#This Row],[AL-MP]:[AL-VL]]),"")</f>
        <v>0</v>
      </c>
      <c r="CT380" s="92">
        <f>IFERROR(Tabla_Buffers_Agroinsumos[[#This Row],[INV FIS AL]]-Tabla_Buffers_Agroinsumos[[#This Row],[BUFFER AL]],"")</f>
        <v>0</v>
      </c>
      <c r="CU380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80" s="134"/>
      <c r="CW380" s="134"/>
      <c r="CX380" s="134"/>
      <c r="CY380" s="134"/>
      <c r="CZ380" s="134"/>
      <c r="DA380" s="134"/>
      <c r="DB380" s="134"/>
      <c r="DC380" s="134"/>
      <c r="DD380" s="134"/>
      <c r="DE380" s="134">
        <f t="array" ref="DE380">IFERROR(INDEX(TABLACONSOLIDADA[Buff Act],MATCH("AGROINSUMOSAGRONUEVO"&amp;Tabla_Buffers_Agroinsumos[[#This Row],[CODIGO ]],TABLACONSOLIDADA[Bodega]&amp;TABLACONSOLIDADA[Codigo],0)),"")</f>
        <v>50</v>
      </c>
      <c r="DF380" s="157">
        <f t="array" ref="DF380">IFERROR(INDEX(TABLACONSOLIDADA[Inv Fís Act],MATCH("AGROINSUMOSAGRONUEVO"&amp;Tabla_Buffers_Agroinsumos[[#This Row],[CODIGO ]],TABLACONSOLIDADA[Bodega]&amp;TABLACONSOLIDADA[Codigo],0)),"")</f>
        <v>50</v>
      </c>
      <c r="DG380" s="157">
        <f t="array" ref="DG38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50</v>
      </c>
      <c r="DH38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80" s="134">
        <f>IFERROR(SUM(Tabla_Buffers_Agroinsumos[[#This Row],[AN-MP]:[AN-VL]]),"")</f>
        <v>0</v>
      </c>
      <c r="DJ380" s="92">
        <f>IFERROR(Tabla_Buffers_Agroinsumos[[#This Row],[INV FIS AN]]-Tabla_Buffers_Agroinsumos[[#This Row],[BUFFER AN]],"")</f>
        <v>0</v>
      </c>
      <c r="DK380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80" s="134"/>
      <c r="DM380" s="134"/>
      <c r="DN380" s="134"/>
      <c r="DO380" s="134"/>
      <c r="DP380" s="134"/>
      <c r="DQ380" s="134"/>
      <c r="DR380" s="134"/>
      <c r="DS380" s="134"/>
      <c r="DT380" s="134"/>
      <c r="DU380" s="134">
        <f t="array" ref="DU380">IFERROR(INDEX(TABLACONSOLIDADA[Buff Act],MATCH("AGROINSUMOSAGROQUIMICOSSUR"&amp;Tabla_Buffers_Agroinsumos[[#This Row],[CODIGO ]],TABLACONSOLIDADA[Bodega]&amp;TABLACONSOLIDADA[Codigo],0)),"")</f>
        <v>0</v>
      </c>
      <c r="DV380" s="157">
        <f t="array" ref="DV380">IFERROR(INDEX(TABLACONSOLIDADA[Inv Fís Act],MATCH("AGROINSUMOSAGROQUIMICOSSUR"&amp;Tabla_Buffers_Agroinsumos[[#This Row],[CODIGO ]],TABLACONSOLIDADA[Bodega]&amp;TABLACONSOLIDADA[Codigo],0)),"")</f>
        <v>0</v>
      </c>
      <c r="DW380" s="157">
        <f t="array" ref="DW38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8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80" s="134">
        <f>IFERROR(SUM(Tabla_Buffers_Agroinsumos[[#This Row],[AS-MP]:[AS-VL]]),"")</f>
        <v>0</v>
      </c>
      <c r="DZ380" s="92">
        <f>IFERROR(Tabla_Buffers_Agroinsumos[[#This Row],[INV FIS AS]]-Tabla_Buffers_Agroinsumos[[#This Row],[BUFFER AS]],"")</f>
        <v>0</v>
      </c>
      <c r="EA380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80" s="134"/>
      <c r="EC380" s="134"/>
      <c r="ED380" s="134"/>
      <c r="EE380" s="134"/>
      <c r="EF380" s="134"/>
      <c r="EG380" s="134"/>
      <c r="EH380" s="134"/>
      <c r="EI380" s="134"/>
      <c r="EJ380" s="134"/>
      <c r="EK380" s="134">
        <f t="array" ref="EK380">IFERROR(INDEX(TABLACONSOLIDADA[Buff Act],MATCH("AGROINSUMOSLAFINCA"&amp;Tabla_Buffers_Agroinsumos[[#This Row],[CODIGO ]],TABLACONSOLIDADA[Bodega]&amp;TABLACONSOLIDADA[Codigo],0)),"")</f>
        <v>12</v>
      </c>
      <c r="EL380" s="157">
        <f t="array" ref="EL380">IFERROR(INDEX(TABLACONSOLIDADA[Inv Fís Act],MATCH("AGROINSUMOSLAFINCA"&amp;Tabla_Buffers_Agroinsumos[[#This Row],[CODIGO ]],TABLACONSOLIDADA[Bodega]&amp;TABLACONSOLIDADA[Codigo],0)),"")</f>
        <v>26</v>
      </c>
      <c r="EM380" s="157">
        <f t="array" ref="EM38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26</v>
      </c>
      <c r="EN38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80" s="134">
        <f>IFERROR(SUM(Tabla_Buffers_Agroinsumos[[#This Row],[LF-MP]:[LF-VL]]),"")</f>
        <v>0</v>
      </c>
      <c r="EP380" s="92">
        <f>IFERROR(Tabla_Buffers_Agroinsumos[[#This Row],[INV FIS LF]]-Tabla_Buffers_Agroinsumos[[#This Row],[BUFFER LF]],"")</f>
        <v>14</v>
      </c>
      <c r="EQ380" s="92">
        <f>IFERROR(Tabla_Buffers_Agroinsumos[[#This Row],[INV FIS LF]]+Tabla_Buffers_Agroinsumos[[#This Row],[TRANSFERENCIAS A LF]]-Tabla_Buffers_Agroinsumos[[#This Row],[BUFFER LF]]-Tabla_Buffers_Agroinsumos[[#This Row],[TRANSFERENCIAS DE LF]],"")</f>
        <v>14</v>
      </c>
      <c r="ER380" s="134"/>
      <c r="ES380" s="134"/>
      <c r="ET380" s="134"/>
      <c r="EU380" s="134"/>
      <c r="EV380" s="134"/>
      <c r="EW380" s="134"/>
      <c r="EX380" s="134"/>
      <c r="EY380" s="134"/>
      <c r="EZ380" s="134"/>
      <c r="FA380" s="134">
        <f t="array" ref="FA380">IFERROR(INDEX(TABLACONSOLIDADA[Buff Act],MATCH("AGROINSUMOSVERONICALEDESMA"&amp;Tabla_Buffers_Agroinsumos[[#This Row],[CODIGO ]],TABLACONSOLIDADA[Bodega]&amp;TABLACONSOLIDADA[Codigo],0)),"")</f>
        <v>21</v>
      </c>
      <c r="FB380" s="157">
        <f t="array" ref="FB380">IFERROR(INDEX(TABLACONSOLIDADA[Inv Fís Act],MATCH("AGROINSUMOSVERONICALEDESMA"&amp;Tabla_Buffers_Agroinsumos[[#This Row],[CODIGO ]],TABLACONSOLIDADA[Bodega]&amp;TABLACONSOLIDADA[Codigo],0)),"")</f>
        <v>21</v>
      </c>
      <c r="FC380" s="157">
        <f t="array" ref="FC38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21</v>
      </c>
      <c r="FD38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80" s="134">
        <f>IFERROR(SUM(Tabla_Buffers_Agroinsumos[[#This Row],[VL-MP]:[VL-LF]]),"")</f>
        <v>0</v>
      </c>
      <c r="FF380" s="92">
        <f>IFERROR(Tabla_Buffers_Agroinsumos[[#This Row],[INV FIS VL]]-Tabla_Buffers_Agroinsumos[[#This Row],[BUFFER VL]],"")</f>
        <v>0</v>
      </c>
      <c r="FG380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80" s="134"/>
      <c r="FI380" s="134"/>
      <c r="FJ380" s="134"/>
      <c r="FK380" s="134"/>
      <c r="FL380" s="134"/>
      <c r="FM380" s="134"/>
      <c r="FN380" s="134"/>
      <c r="FO380" s="134"/>
      <c r="FP380" s="134"/>
    </row>
    <row r="381" spans="1:172">
      <c r="A381" s="7" t="s">
        <v>641</v>
      </c>
      <c r="B381" s="7" t="s">
        <v>642</v>
      </c>
      <c r="C381" s="7" t="s">
        <v>709</v>
      </c>
      <c r="D381" s="7" t="s">
        <v>719</v>
      </c>
      <c r="E381" s="7" t="s">
        <v>975</v>
      </c>
      <c r="F381" s="19" t="s">
        <v>698</v>
      </c>
      <c r="G381" s="19" t="s">
        <v>698</v>
      </c>
      <c r="H381" s="19">
        <f>VLOOKUP(Tabla_Buffers_Agroinsumos[[#This Row],[CODIGO ]],TABLACONSOLIDADA[[Codigo]:[PV]],6,0)</f>
        <v>11.5</v>
      </c>
      <c r="I381" s="19">
        <f>VLOOKUP(Tabla_Buffers_Agroinsumos[[#This Row],[CODIGO ]],TABLACONSOLIDADA[[Codigo]:[PV]],5,0)</f>
        <v>5.27</v>
      </c>
      <c r="J381" s="19" t="s">
        <v>698</v>
      </c>
      <c r="K381" s="19" t="s">
        <v>698</v>
      </c>
      <c r="L381" s="19">
        <f>IFERROR(Tabla_Buffers_Agroinsumos[[#This Row],[BUFFER CENTRAL]]/((Tabla_Buffers_Agroinsumos[[#This Row],[TIEMPO REPOSICION ]]/Tabla_Buffers_Agroinsumos[[#This Row],[FRECUENCIA]])+1),0)</f>
        <v>0</v>
      </c>
      <c r="M381" s="19" t="str">
        <f t="array" ref="M381">IFERROR(INDEX(TABLACONSOLIDADA[Buff Act],MATCH("AGROINSUMOSMATERIAPRIMA"&amp;Tabla_Buffers_Agroinsumos[[#This Row],[CODIGO ]],TABLACONSOLIDADA[Bodega]&amp;TABLACONSOLIDADA[Codigo],0)),"")</f>
        <v/>
      </c>
      <c r="N381" s="157" t="str">
        <f t="array" ref="N381">IFERROR(INDEX(TABLACONSOLIDADA[Inv Fís Act],MATCH("AGROINSUMOSMATERIAPRIMA"&amp;Tabla_Buffers_Agroinsumos[[#This Row],[CODIGO ]],TABLACONSOLIDADA[Bodega]&amp;TABLACONSOLIDADA[Codigo],0)),"")</f>
        <v/>
      </c>
      <c r="O381" s="157" t="str">
        <f t="array" ref="O38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8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81" s="19">
        <f>IFERROR(SUM(Tabla_Buffers_Agroinsumos[[#This Row],[MP-C]:[MP-VL]]),"")</f>
        <v>0</v>
      </c>
      <c r="R381" s="92" t="str">
        <f>IFERROR(Tabla_Buffers_Agroinsumos[[#This Row],[INV FIS MATERIA PRIMA]]-Tabla_Buffers_Agroinsumos[[#This Row],[BUFFER MATERIA PRIMA]],"")</f>
        <v/>
      </c>
      <c r="S38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81" s="19"/>
      <c r="U381" s="19"/>
      <c r="V381" s="19"/>
      <c r="W381" s="19"/>
      <c r="X381" s="19"/>
      <c r="Y381" s="19"/>
      <c r="Z381" s="19"/>
      <c r="AA381" s="19"/>
      <c r="AB381" s="19"/>
      <c r="AC381" s="135">
        <f t="array" ref="AC381">IFERROR(INDEX(TABLACONSOLIDADA[Buff Act],MATCH("AGROINSUMOSCENTRAL"&amp;Tabla_Buffers_Agroinsumos[[#This Row],[CODIGO ]],TABLACONSOLIDADA[Bodega]&amp;TABLACONSOLIDADA[Codigo],0)),"")</f>
        <v>600</v>
      </c>
      <c r="AD381" s="157">
        <f t="array" ref="AD381">IFERROR(INDEX(TABLACONSOLIDADA[Inv Fís Act],MATCH("AGROINSUMOSCENTRAL"&amp;Tabla_Buffers_Agroinsumos[[#This Row],[CODIGO ]],TABLACONSOLIDADA[Bodega]&amp;TABLACONSOLIDADA[Codigo],0)),"")</f>
        <v>724</v>
      </c>
      <c r="AE381" s="157">
        <f t="array" ref="AE38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774</v>
      </c>
      <c r="AF38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81" s="91">
        <f>IFERROR(SUM(Tabla_Buffers_Agroinsumos[[#This Row],[C-MP]:[C-VL]]),"")</f>
        <v>0</v>
      </c>
      <c r="AH381" s="92">
        <f>IFERROR(Tabla_Buffers_Agroinsumos[[#This Row],[INV FIS CENTRAL]]-Tabla_Buffers_Agroinsumos[[#This Row],[BUFFER CENTRAL]],"")</f>
        <v>124</v>
      </c>
      <c r="AI381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124</v>
      </c>
      <c r="AJ381" s="134"/>
      <c r="AK381" s="134"/>
      <c r="AL381" s="134"/>
      <c r="AM381" s="134"/>
      <c r="AN381" s="134"/>
      <c r="AO381" s="134"/>
      <c r="AP381" s="134"/>
      <c r="AQ381" s="134"/>
      <c r="AR381" s="134"/>
      <c r="AS381" s="134">
        <f t="array" ref="AS381">IFERROR(INDEX(TABLACONSOLIDADA[Buff Act],MATCH("AGROINSUMOScentralPROPIA"&amp;Tabla_Buffers_Agroinsumos[[#This Row],[CODIGO ]],TABLACONSOLIDADA[Bodega]&amp;TABLACONSOLIDADA[Codigo],0)),"")</f>
        <v>240</v>
      </c>
      <c r="AT381" s="157">
        <f t="array" ref="AT381">IFERROR(INDEX(TABLACONSOLIDADA[Inv Fís Act],MATCH("AGROINSUMOScentralPROPIA"&amp;Tabla_Buffers_Agroinsumos[[#This Row],[CODIGO ]],TABLACONSOLIDADA[Bodega]&amp;TABLACONSOLIDADA[Codigo],0)),"")</f>
        <v>0</v>
      </c>
      <c r="AU381" s="157">
        <f t="array" ref="AU38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8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81" s="134">
        <f>IFERROR(SUM(Tabla_Buffers_Agroinsumos[[#This Row],[P-MP]:[P-VL]]),"")</f>
        <v>0</v>
      </c>
      <c r="AX381" s="92">
        <f>IFERROR(Tabla_Buffers_Agroinsumos[[#This Row],[INV FIS PROPIA]]-Tabla_Buffers_Agroinsumos[[#This Row],[BUFFER PROPIA]],"")</f>
        <v>-240</v>
      </c>
      <c r="AY381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-240</v>
      </c>
      <c r="AZ381" s="134"/>
      <c r="BA381" s="134"/>
      <c r="BB381" s="134"/>
      <c r="BC381" s="134"/>
      <c r="BD381" s="134"/>
      <c r="BE381" s="134"/>
      <c r="BF381" s="134"/>
      <c r="BG381" s="134"/>
      <c r="BH381" s="134"/>
      <c r="BI381" s="91">
        <f t="array" ref="BI381">IFERROR(INDEX(TABLACONSOLIDADA[Buff Act],MATCH("AGROINSUMOSSTODOMINGO"&amp;Tabla_Buffers_Agroinsumos[[#This Row],[CODIGO ]],TABLACONSOLIDADA[Bodega]&amp;TABLACONSOLIDADA[Codigo],0)),"")</f>
        <v>0</v>
      </c>
      <c r="BJ381" s="157">
        <f t="array" ref="BJ381">IFERROR(INDEX(TABLACONSOLIDADA[Inv Fís Act],MATCH("AGROINSUMOSSTODOMINGO"&amp;Tabla_Buffers_Agroinsumos[[#This Row],[CODIGO ]],TABLACONSOLIDADA[Bodega]&amp;TABLACONSOLIDADA[Codigo],0)),"")</f>
        <v>2</v>
      </c>
      <c r="BK381" s="157">
        <f t="array" ref="BK38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2</v>
      </c>
      <c r="BL38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81" s="91">
        <f>IFERROR(SUM(Tabla_Buffers_Agroinsumos[[#This Row],[SD-MP]:[SD-VL]]),"")</f>
        <v>0</v>
      </c>
      <c r="BN381" s="92"/>
      <c r="BO381" s="92"/>
      <c r="BP381" s="134"/>
      <c r="BQ381" s="134"/>
      <c r="BR381" s="134"/>
      <c r="BS381" s="134"/>
      <c r="BT381" s="134"/>
      <c r="BU381" s="134"/>
      <c r="BV381" s="134"/>
      <c r="BW381" s="134"/>
      <c r="BX381" s="134"/>
      <c r="BY381" s="134">
        <f t="array" ref="BY381">IFERROR(INDEX(TABLACONSOLIDADA[Buff Act],MATCH("AGROINSUMOSMONCAYOLOPEZ"&amp;Tabla_Buffers_Agroinsumos[[#This Row],[CODIGO ]],TABLACONSOLIDADA[Bodega]&amp;TABLACONSOLIDADA[Codigo],0)),"")</f>
        <v>15</v>
      </c>
      <c r="BZ381" s="157">
        <f t="array" ref="BZ381">IFERROR(INDEX(TABLACONSOLIDADA[Inv Fís Act],MATCH("AGROINSUMOSMONCAYOLOPEZ"&amp;Tabla_Buffers_Agroinsumos[[#This Row],[CODIGO ]],TABLACONSOLIDADA[Bodega]&amp;TABLACONSOLIDADA[Codigo],0)),"")</f>
        <v>11</v>
      </c>
      <c r="CA381" s="157">
        <f t="array" ref="CA38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11</v>
      </c>
      <c r="CB38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81" s="134">
        <f>IFERROR(SUM(Tabla_Buffers_Agroinsumos[[#This Row],[ML-MP]:[ML-VL]]),"")</f>
        <v>0</v>
      </c>
      <c r="CD381" s="92">
        <f>IFERROR(Tabla_Buffers_Agroinsumos[[#This Row],[INV FIS ML]]-Tabla_Buffers_Agroinsumos[[#This Row],[BUFFER ML]],"")</f>
        <v>-4</v>
      </c>
      <c r="CE381" s="92">
        <f>IFERROR(Tabla_Buffers_Agroinsumos[[#This Row],[INV FIS ML]]+Tabla_Buffers_Agroinsumos[[#This Row],[TRANSFERENCIAS A ML]]-Tabla_Buffers_Agroinsumos[[#This Row],[BUFFER ML]]-Tabla_Buffers_Agroinsumos[[#This Row],[TRANSFERENCIAS DE ML]],"")</f>
        <v>-4</v>
      </c>
      <c r="CF381" s="134"/>
      <c r="CG381" s="134"/>
      <c r="CH381" s="134"/>
      <c r="CI381" s="134"/>
      <c r="CJ381" s="134"/>
      <c r="CK381" s="134"/>
      <c r="CL381" s="134"/>
      <c r="CM381" s="134"/>
      <c r="CN381" s="134"/>
      <c r="CO381" s="134">
        <f t="array" ref="CO381">IFERROR(INDEX(TABLACONSOLIDADA[Buff Act],MATCH("AGROINSUMOSAGROHERMANOSLEON"&amp;Tabla_Buffers_Agroinsumos[[#This Row],[CODIGO ]],TABLACONSOLIDADA[Bodega]&amp;TABLACONSOLIDADA[Codigo],0)),"")</f>
        <v>50</v>
      </c>
      <c r="CP381" s="157">
        <f t="array" ref="CP381">IFERROR(INDEX(TABLACONSOLIDADA[Inv Fís Act],MATCH("AGROINSUMOSAGROHERMANOSLEON"&amp;Tabla_Buffers_Agroinsumos[[#This Row],[CODIGO ]],TABLACONSOLIDADA[Bodega]&amp;TABLACONSOLIDADA[Codigo],0)),"")</f>
        <v>50</v>
      </c>
      <c r="CQ381" s="157">
        <f t="array" ref="CQ38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50</v>
      </c>
      <c r="CR38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81" s="134">
        <f>IFERROR(SUM(Tabla_Buffers_Agroinsumos[[#This Row],[AL-MP]:[AL-VL]]),"")</f>
        <v>0</v>
      </c>
      <c r="CT381" s="92">
        <f>IFERROR(Tabla_Buffers_Agroinsumos[[#This Row],[INV FIS AL]]-Tabla_Buffers_Agroinsumos[[#This Row],[BUFFER AL]],"")</f>
        <v>0</v>
      </c>
      <c r="CU381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81" s="134"/>
      <c r="CW381" s="134"/>
      <c r="CX381" s="134"/>
      <c r="CY381" s="134"/>
      <c r="CZ381" s="134"/>
      <c r="DA381" s="134"/>
      <c r="DB381" s="134"/>
      <c r="DC381" s="134"/>
      <c r="DD381" s="134"/>
      <c r="DE381" s="134">
        <f t="array" ref="DE381">IFERROR(INDEX(TABLACONSOLIDADA[Buff Act],MATCH("AGROINSUMOSAGRONUEVO"&amp;Tabla_Buffers_Agroinsumos[[#This Row],[CODIGO ]],TABLACONSOLIDADA[Bodega]&amp;TABLACONSOLIDADA[Codigo],0)),"")</f>
        <v>30</v>
      </c>
      <c r="DF381" s="157">
        <f t="array" ref="DF381">IFERROR(INDEX(TABLACONSOLIDADA[Inv Fís Act],MATCH("AGROINSUMOSAGRONUEVO"&amp;Tabla_Buffers_Agroinsumos[[#This Row],[CODIGO ]],TABLACONSOLIDADA[Bodega]&amp;TABLACONSOLIDADA[Codigo],0)),"")</f>
        <v>40</v>
      </c>
      <c r="DG381" s="157">
        <f t="array" ref="DG38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40</v>
      </c>
      <c r="DH38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81" s="134">
        <f>IFERROR(SUM(Tabla_Buffers_Agroinsumos[[#This Row],[AN-MP]:[AN-VL]]),"")</f>
        <v>0</v>
      </c>
      <c r="DJ381" s="92">
        <f>IFERROR(Tabla_Buffers_Agroinsumos[[#This Row],[INV FIS AN]]-Tabla_Buffers_Agroinsumos[[#This Row],[BUFFER AN]],"")</f>
        <v>10</v>
      </c>
      <c r="DK381" s="92">
        <f>IFERROR(Tabla_Buffers_Agroinsumos[[#This Row],[INV FIS AN]]+Tabla_Buffers_Agroinsumos[[#This Row],[TRANSFERENCIAS A AN]]-Tabla_Buffers_Agroinsumos[[#This Row],[BUFFER AN]]-Tabla_Buffers_Agroinsumos[[#This Row],[TRANSFERENCIAS DE AN]],"")</f>
        <v>10</v>
      </c>
      <c r="DL381" s="134"/>
      <c r="DM381" s="134"/>
      <c r="DN381" s="134"/>
      <c r="DO381" s="134"/>
      <c r="DP381" s="134"/>
      <c r="DQ381" s="134"/>
      <c r="DR381" s="134"/>
      <c r="DS381" s="134"/>
      <c r="DT381" s="134"/>
      <c r="DU381" s="134">
        <f t="array" ref="DU381">IFERROR(INDEX(TABLACONSOLIDADA[Buff Act],MATCH("AGROINSUMOSAGROQUIMICOSSUR"&amp;Tabla_Buffers_Agroinsumos[[#This Row],[CODIGO ]],TABLACONSOLIDADA[Bodega]&amp;TABLACONSOLIDADA[Codigo],0)),"")</f>
        <v>0</v>
      </c>
      <c r="DV381" s="157">
        <f t="array" ref="DV381">IFERROR(INDEX(TABLACONSOLIDADA[Inv Fís Act],MATCH("AGROINSUMOSAGROQUIMICOSSUR"&amp;Tabla_Buffers_Agroinsumos[[#This Row],[CODIGO ]],TABLACONSOLIDADA[Bodega]&amp;TABLACONSOLIDADA[Codigo],0)),"")</f>
        <v>15</v>
      </c>
      <c r="DW381" s="157">
        <f t="array" ref="DW38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15</v>
      </c>
      <c r="DX38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81" s="134">
        <f>IFERROR(SUM(Tabla_Buffers_Agroinsumos[[#This Row],[AS-MP]:[AS-VL]]),"")</f>
        <v>0</v>
      </c>
      <c r="DZ381" s="92">
        <f>IFERROR(Tabla_Buffers_Agroinsumos[[#This Row],[INV FIS AS]]-Tabla_Buffers_Agroinsumos[[#This Row],[BUFFER AS]],"")</f>
        <v>15</v>
      </c>
      <c r="EA381" s="92">
        <f>IFERROR(Tabla_Buffers_Agroinsumos[[#This Row],[INV FIS AS]]+Tabla_Buffers_Agroinsumos[[#This Row],[TRANSFERENCIAS A AS]]-Tabla_Buffers_Agroinsumos[[#This Row],[BUFFER AS]]-Tabla_Buffers_Agroinsumos[[#This Row],[TRANSFERENCIAS DE AS]],"")</f>
        <v>15</v>
      </c>
      <c r="EB381" s="134"/>
      <c r="EC381" s="134"/>
      <c r="ED381" s="134"/>
      <c r="EE381" s="134"/>
      <c r="EF381" s="134"/>
      <c r="EG381" s="134"/>
      <c r="EH381" s="134"/>
      <c r="EI381" s="134"/>
      <c r="EJ381" s="134"/>
      <c r="EK381" s="134">
        <f t="array" ref="EK381">IFERROR(INDEX(TABLACONSOLIDADA[Buff Act],MATCH("AGROINSUMOSLAFINCA"&amp;Tabla_Buffers_Agroinsumos[[#This Row],[CODIGO ]],TABLACONSOLIDADA[Bodega]&amp;TABLACONSOLIDADA[Codigo],0)),"")</f>
        <v>7</v>
      </c>
      <c r="EL381" s="157">
        <f t="array" ref="EL381">IFERROR(INDEX(TABLACONSOLIDADA[Inv Fís Act],MATCH("AGROINSUMOSLAFINCA"&amp;Tabla_Buffers_Agroinsumos[[#This Row],[CODIGO ]],TABLACONSOLIDADA[Bodega]&amp;TABLACONSOLIDADA[Codigo],0)),"")</f>
        <v>3</v>
      </c>
      <c r="EM381" s="157">
        <f t="array" ref="EM38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3</v>
      </c>
      <c r="EN38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81" s="134">
        <f>IFERROR(SUM(Tabla_Buffers_Agroinsumos[[#This Row],[LF-MP]:[LF-VL]]),"")</f>
        <v>0</v>
      </c>
      <c r="EP381" s="92">
        <f>IFERROR(Tabla_Buffers_Agroinsumos[[#This Row],[INV FIS LF]]-Tabla_Buffers_Agroinsumos[[#This Row],[BUFFER LF]],"")</f>
        <v>-4</v>
      </c>
      <c r="EQ381" s="92">
        <f>IFERROR(Tabla_Buffers_Agroinsumos[[#This Row],[INV FIS LF]]+Tabla_Buffers_Agroinsumos[[#This Row],[TRANSFERENCIAS A LF]]-Tabla_Buffers_Agroinsumos[[#This Row],[BUFFER LF]]-Tabla_Buffers_Agroinsumos[[#This Row],[TRANSFERENCIAS DE LF]],"")</f>
        <v>-4</v>
      </c>
      <c r="ER381" s="134"/>
      <c r="ES381" s="134"/>
      <c r="ET381" s="134"/>
      <c r="EU381" s="134"/>
      <c r="EV381" s="134"/>
      <c r="EW381" s="134"/>
      <c r="EX381" s="134"/>
      <c r="EY381" s="134"/>
      <c r="EZ381" s="134"/>
      <c r="FA381" s="134">
        <f t="array" ref="FA381">IFERROR(INDEX(TABLACONSOLIDADA[Buff Act],MATCH("AGROINSUMOSVERONICALEDESMA"&amp;Tabla_Buffers_Agroinsumos[[#This Row],[CODIGO ]],TABLACONSOLIDADA[Bodega]&amp;TABLACONSOLIDADA[Codigo],0)),"")</f>
        <v>6</v>
      </c>
      <c r="FB381" s="157">
        <f t="array" ref="FB381">IFERROR(INDEX(TABLACONSOLIDADA[Inv Fís Act],MATCH("AGROINSUMOSVERONICALEDESMA"&amp;Tabla_Buffers_Agroinsumos[[#This Row],[CODIGO ]],TABLACONSOLIDADA[Bodega]&amp;TABLACONSOLIDADA[Codigo],0)),"")</f>
        <v>6</v>
      </c>
      <c r="FC381" s="157">
        <f t="array" ref="FC38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6</v>
      </c>
      <c r="FD38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81" s="134">
        <f>IFERROR(SUM(Tabla_Buffers_Agroinsumos[[#This Row],[VL-MP]:[VL-LF]]),"")</f>
        <v>0</v>
      </c>
      <c r="FF381" s="92">
        <f>IFERROR(Tabla_Buffers_Agroinsumos[[#This Row],[INV FIS VL]]-Tabla_Buffers_Agroinsumos[[#This Row],[BUFFER VL]],"")</f>
        <v>0</v>
      </c>
      <c r="FG381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81" s="134"/>
      <c r="FI381" s="134"/>
      <c r="FJ381" s="134"/>
      <c r="FK381" s="134"/>
      <c r="FL381" s="134"/>
      <c r="FM381" s="134"/>
      <c r="FN381" s="134"/>
      <c r="FO381" s="134"/>
      <c r="FP381" s="134"/>
    </row>
    <row r="382" spans="1:172">
      <c r="A382" s="7" t="s">
        <v>921</v>
      </c>
      <c r="B382" s="7" t="s">
        <v>923</v>
      </c>
      <c r="C382" s="7" t="s">
        <v>939</v>
      </c>
      <c r="D382" s="7" t="s">
        <v>718</v>
      </c>
      <c r="E382" s="7" t="s">
        <v>863</v>
      </c>
      <c r="F382" s="19" t="s">
        <v>808</v>
      </c>
      <c r="G382" s="19" t="s">
        <v>802</v>
      </c>
      <c r="H382" s="19">
        <f>VLOOKUP(Tabla_Buffers_Agroinsumos[[#This Row],[CODIGO ]],TABLACONSOLIDADA[[Codigo]:[PV]],6,0)</f>
        <v>0</v>
      </c>
      <c r="I382" s="19">
        <f>VLOOKUP(Tabla_Buffers_Agroinsumos[[#This Row],[CODIGO ]],TABLACONSOLIDADA[[Codigo]:[PV]],5,0)</f>
        <v>0.04</v>
      </c>
      <c r="J382" s="19">
        <v>4</v>
      </c>
      <c r="K382" s="19">
        <v>4</v>
      </c>
      <c r="L382" s="19">
        <f>IFERROR(Tabla_Buffers_Agroinsumos[[#This Row],[BUFFER CENTRAL]]/((Tabla_Buffers_Agroinsumos[[#This Row],[TIEMPO REPOSICION ]]/Tabla_Buffers_Agroinsumos[[#This Row],[FRECUENCIA]])+1),0)</f>
        <v>0</v>
      </c>
      <c r="M382" s="19">
        <f t="array" ref="M382">IFERROR(INDEX(TABLACONSOLIDADA[Buff Act],MATCH("AGROINSUMOSMATERIAPRIMA"&amp;Tabla_Buffers_Agroinsumos[[#This Row],[CODIGO ]],TABLACONSOLIDADA[Bodega]&amp;TABLACONSOLIDADA[Codigo],0)),"")</f>
        <v>500</v>
      </c>
      <c r="N382" s="157">
        <f t="array" ref="N382">IFERROR(INDEX(TABLACONSOLIDADA[Inv Fís Act],MATCH("AGROINSUMOSMATERIAPRIMA"&amp;Tabla_Buffers_Agroinsumos[[#This Row],[CODIGO ]],TABLACONSOLIDADA[Bodega]&amp;TABLACONSOLIDADA[Codigo],0)),"")</f>
        <v>3990</v>
      </c>
      <c r="O382" s="157">
        <f t="array" ref="O38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3990</v>
      </c>
      <c r="P38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82" s="19">
        <f>IFERROR(SUM(Tabla_Buffers_Agroinsumos[[#This Row],[MP-C]:[MP-VL]]),"")</f>
        <v>0</v>
      </c>
      <c r="R382" s="92">
        <f>IFERROR(Tabla_Buffers_Agroinsumos[[#This Row],[INV FIS MATERIA PRIMA]]-Tabla_Buffers_Agroinsumos[[#This Row],[BUFFER MATERIA PRIMA]],"")</f>
        <v>3490</v>
      </c>
      <c r="S38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3490</v>
      </c>
      <c r="T382" s="19"/>
      <c r="U382" s="19"/>
      <c r="V382" s="19"/>
      <c r="W382" s="19"/>
      <c r="X382" s="19"/>
      <c r="Y382" s="19"/>
      <c r="Z382" s="19"/>
      <c r="AA382" s="19"/>
      <c r="AB382" s="19"/>
      <c r="AC382" s="135" t="str">
        <f t="array" ref="AC382">IFERROR(INDEX(TABLACONSOLIDADA[Buff Act],MATCH("AGROINSUMOSCENTRAL"&amp;Tabla_Buffers_Agroinsumos[[#This Row],[CODIGO ]],TABLACONSOLIDADA[Bodega]&amp;TABLACONSOLIDADA[Codigo],0)),"")</f>
        <v/>
      </c>
      <c r="AD382" s="157" t="str">
        <f t="array" ref="AD382">IFERROR(INDEX(TABLACONSOLIDADA[Inv Fís Act],MATCH("AGROINSUMOSCENTRAL"&amp;Tabla_Buffers_Agroinsumos[[#This Row],[CODIGO ]],TABLACONSOLIDADA[Bodega]&amp;TABLACONSOLIDADA[Codigo],0)),"")</f>
        <v/>
      </c>
      <c r="AE382" s="157" t="str">
        <f t="array" ref="AE38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8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82" s="91">
        <f>IFERROR(SUM(Tabla_Buffers_Agroinsumos[[#This Row],[C-MP]:[C-VL]]),"")</f>
        <v>0</v>
      </c>
      <c r="AH382" s="92" t="str">
        <f>IFERROR(Tabla_Buffers_Agroinsumos[[#This Row],[INV FIS CENTRAL]]-Tabla_Buffers_Agroinsumos[[#This Row],[BUFFER CENTRAL]],"")</f>
        <v/>
      </c>
      <c r="AI38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82" s="134"/>
      <c r="AK382" s="134"/>
      <c r="AL382" s="134"/>
      <c r="AM382" s="134"/>
      <c r="AN382" s="134"/>
      <c r="AO382" s="134"/>
      <c r="AP382" s="134"/>
      <c r="AQ382" s="134"/>
      <c r="AR382" s="134"/>
      <c r="AS382" s="134" t="str">
        <f t="array" ref="AS382">IFERROR(INDEX(TABLACONSOLIDADA[Buff Act],MATCH("AGROINSUMOScentralPROPIA"&amp;Tabla_Buffers_Agroinsumos[[#This Row],[CODIGO ]],TABLACONSOLIDADA[Bodega]&amp;TABLACONSOLIDADA[Codigo],0)),"")</f>
        <v/>
      </c>
      <c r="AT382" s="157" t="str">
        <f t="array" ref="AT382">IFERROR(INDEX(TABLACONSOLIDADA[Inv Fís Act],MATCH("AGROINSUMOScentralPROPIA"&amp;Tabla_Buffers_Agroinsumos[[#This Row],[CODIGO ]],TABLACONSOLIDADA[Bodega]&amp;TABLACONSOLIDADA[Codigo],0)),"")</f>
        <v/>
      </c>
      <c r="AU382" s="157" t="str">
        <f t="array" ref="AU38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8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82" s="134">
        <f>IFERROR(SUM(Tabla_Buffers_Agroinsumos[[#This Row],[P-MP]:[P-VL]]),"")</f>
        <v>0</v>
      </c>
      <c r="AX382" s="92" t="str">
        <f>IFERROR(Tabla_Buffers_Agroinsumos[[#This Row],[INV FIS PROPIA]]-Tabla_Buffers_Agroinsumos[[#This Row],[BUFFER PROPIA]],"")</f>
        <v/>
      </c>
      <c r="AY38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82" s="134"/>
      <c r="BA382" s="134"/>
      <c r="BB382" s="134"/>
      <c r="BC382" s="134"/>
      <c r="BD382" s="134"/>
      <c r="BE382" s="134"/>
      <c r="BF382" s="134"/>
      <c r="BG382" s="134"/>
      <c r="BH382" s="134"/>
      <c r="BI382" s="91" t="str">
        <f t="array" ref="BI382">IFERROR(INDEX(TABLACONSOLIDADA[Buff Act],MATCH("AGROINSUMOSSTODOMINGO"&amp;Tabla_Buffers_Agroinsumos[[#This Row],[CODIGO ]],TABLACONSOLIDADA[Bodega]&amp;TABLACONSOLIDADA[Codigo],0)),"")</f>
        <v/>
      </c>
      <c r="BJ382" s="157" t="str">
        <f t="array" ref="BJ382">IFERROR(INDEX(TABLACONSOLIDADA[Inv Fís Act],MATCH("AGROINSUMOSSTODOMINGO"&amp;Tabla_Buffers_Agroinsumos[[#This Row],[CODIGO ]],TABLACONSOLIDADA[Bodega]&amp;TABLACONSOLIDADA[Codigo],0)),"")</f>
        <v/>
      </c>
      <c r="BK382" s="157" t="str">
        <f t="array" ref="BK38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8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82" s="91">
        <f>IFERROR(SUM(Tabla_Buffers_Agroinsumos[[#This Row],[SD-MP]:[SD-VL]]),"")</f>
        <v>0</v>
      </c>
      <c r="BN382" s="92"/>
      <c r="BO382" s="92"/>
      <c r="BP382" s="134"/>
      <c r="BQ382" s="134"/>
      <c r="BR382" s="134"/>
      <c r="BS382" s="134"/>
      <c r="BT382" s="134"/>
      <c r="BU382" s="134"/>
      <c r="BV382" s="134"/>
      <c r="BW382" s="134"/>
      <c r="BX382" s="134"/>
      <c r="BY382" s="134" t="str">
        <f t="array" ref="BY382">IFERROR(INDEX(TABLACONSOLIDADA[Buff Act],MATCH("AGROINSUMOSMONCAYOLOPEZ"&amp;Tabla_Buffers_Agroinsumos[[#This Row],[CODIGO ]],TABLACONSOLIDADA[Bodega]&amp;TABLACONSOLIDADA[Codigo],0)),"")</f>
        <v/>
      </c>
      <c r="BZ382" s="157" t="str">
        <f t="array" ref="BZ382">IFERROR(INDEX(TABLACONSOLIDADA[Inv Fís Act],MATCH("AGROINSUMOSMONCAYOLOPEZ"&amp;Tabla_Buffers_Agroinsumos[[#This Row],[CODIGO ]],TABLACONSOLIDADA[Bodega]&amp;TABLACONSOLIDADA[Codigo],0)),"")</f>
        <v/>
      </c>
      <c r="CA382" s="157" t="str">
        <f t="array" ref="CA38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8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82" s="134">
        <f>IFERROR(SUM(Tabla_Buffers_Agroinsumos[[#This Row],[ML-MP]:[ML-VL]]),"")</f>
        <v>0</v>
      </c>
      <c r="CD382" s="92" t="str">
        <f>IFERROR(Tabla_Buffers_Agroinsumos[[#This Row],[INV FIS ML]]-Tabla_Buffers_Agroinsumos[[#This Row],[BUFFER ML]],"")</f>
        <v/>
      </c>
      <c r="CE38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82" s="134"/>
      <c r="CG382" s="134"/>
      <c r="CH382" s="134"/>
      <c r="CI382" s="134"/>
      <c r="CJ382" s="134"/>
      <c r="CK382" s="134"/>
      <c r="CL382" s="134"/>
      <c r="CM382" s="134"/>
      <c r="CN382" s="134"/>
      <c r="CO382" s="134" t="str">
        <f t="array" ref="CO382">IFERROR(INDEX(TABLACONSOLIDADA[Buff Act],MATCH("AGROINSUMOSAGROHERMANOSLEON"&amp;Tabla_Buffers_Agroinsumos[[#This Row],[CODIGO ]],TABLACONSOLIDADA[Bodega]&amp;TABLACONSOLIDADA[Codigo],0)),"")</f>
        <v/>
      </c>
      <c r="CP382" s="157" t="str">
        <f t="array" ref="CP382">IFERROR(INDEX(TABLACONSOLIDADA[Inv Fís Act],MATCH("AGROINSUMOSAGROHERMANOSLEON"&amp;Tabla_Buffers_Agroinsumos[[#This Row],[CODIGO ]],TABLACONSOLIDADA[Bodega]&amp;TABLACONSOLIDADA[Codigo],0)),"")</f>
        <v/>
      </c>
      <c r="CQ382" s="157" t="str">
        <f t="array" ref="CQ38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8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82" s="134">
        <f>IFERROR(SUM(Tabla_Buffers_Agroinsumos[[#This Row],[AL-MP]:[AL-VL]]),"")</f>
        <v>0</v>
      </c>
      <c r="CT382" s="92" t="str">
        <f>IFERROR(Tabla_Buffers_Agroinsumos[[#This Row],[INV FIS AL]]-Tabla_Buffers_Agroinsumos[[#This Row],[BUFFER AL]],"")</f>
        <v/>
      </c>
      <c r="CU38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82" s="134"/>
      <c r="CW382" s="134"/>
      <c r="CX382" s="134"/>
      <c r="CY382" s="134"/>
      <c r="CZ382" s="134"/>
      <c r="DA382" s="134"/>
      <c r="DB382" s="134"/>
      <c r="DC382" s="134"/>
      <c r="DD382" s="134"/>
      <c r="DE382" s="134" t="str">
        <f t="array" ref="DE382">IFERROR(INDEX(TABLACONSOLIDADA[Buff Act],MATCH("AGROINSUMOSAGRONUEVO"&amp;Tabla_Buffers_Agroinsumos[[#This Row],[CODIGO ]],TABLACONSOLIDADA[Bodega]&amp;TABLACONSOLIDADA[Codigo],0)),"")</f>
        <v/>
      </c>
      <c r="DF382" s="157" t="str">
        <f t="array" ref="DF382">IFERROR(INDEX(TABLACONSOLIDADA[Inv Fís Act],MATCH("AGROINSUMOSAGRONUEVO"&amp;Tabla_Buffers_Agroinsumos[[#This Row],[CODIGO ]],TABLACONSOLIDADA[Bodega]&amp;TABLACONSOLIDADA[Codigo],0)),"")</f>
        <v/>
      </c>
      <c r="DG382" s="157" t="str">
        <f t="array" ref="DG38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8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82" s="134">
        <f>IFERROR(SUM(Tabla_Buffers_Agroinsumos[[#This Row],[AN-MP]:[AN-VL]]),"")</f>
        <v>0</v>
      </c>
      <c r="DJ382" s="92" t="str">
        <f>IFERROR(Tabla_Buffers_Agroinsumos[[#This Row],[INV FIS AN]]-Tabla_Buffers_Agroinsumos[[#This Row],[BUFFER AN]],"")</f>
        <v/>
      </c>
      <c r="DK38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82" s="134"/>
      <c r="DM382" s="134"/>
      <c r="DN382" s="134"/>
      <c r="DO382" s="134"/>
      <c r="DP382" s="134"/>
      <c r="DQ382" s="134"/>
      <c r="DR382" s="134"/>
      <c r="DS382" s="134"/>
      <c r="DT382" s="134"/>
      <c r="DU382" s="134" t="str">
        <f t="array" ref="DU382">IFERROR(INDEX(TABLACONSOLIDADA[Buff Act],MATCH("AGROINSUMOSAGROQUIMICOSSUR"&amp;Tabla_Buffers_Agroinsumos[[#This Row],[CODIGO ]],TABLACONSOLIDADA[Bodega]&amp;TABLACONSOLIDADA[Codigo],0)),"")</f>
        <v/>
      </c>
      <c r="DV382" s="157" t="str">
        <f t="array" ref="DV382">IFERROR(INDEX(TABLACONSOLIDADA[Inv Fís Act],MATCH("AGROINSUMOSAGROQUIMICOSSUR"&amp;Tabla_Buffers_Agroinsumos[[#This Row],[CODIGO ]],TABLACONSOLIDADA[Bodega]&amp;TABLACONSOLIDADA[Codigo],0)),"")</f>
        <v/>
      </c>
      <c r="DW382" s="157" t="str">
        <f t="array" ref="DW38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8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82" s="134">
        <f>IFERROR(SUM(Tabla_Buffers_Agroinsumos[[#This Row],[AS-MP]:[AS-VL]]),"")</f>
        <v>0</v>
      </c>
      <c r="DZ382" s="92" t="str">
        <f>IFERROR(Tabla_Buffers_Agroinsumos[[#This Row],[INV FIS AS]]-Tabla_Buffers_Agroinsumos[[#This Row],[BUFFER AS]],"")</f>
        <v/>
      </c>
      <c r="EA38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82" s="134"/>
      <c r="EC382" s="134"/>
      <c r="ED382" s="134"/>
      <c r="EE382" s="134"/>
      <c r="EF382" s="134"/>
      <c r="EG382" s="134"/>
      <c r="EH382" s="134"/>
      <c r="EI382" s="134"/>
      <c r="EJ382" s="134"/>
      <c r="EK382" s="134" t="str">
        <f t="array" ref="EK382">IFERROR(INDEX(TABLACONSOLIDADA[Buff Act],MATCH("AGROINSUMOSLAFINCA"&amp;Tabla_Buffers_Agroinsumos[[#This Row],[CODIGO ]],TABLACONSOLIDADA[Bodega]&amp;TABLACONSOLIDADA[Codigo],0)),"")</f>
        <v/>
      </c>
      <c r="EL382" s="157" t="str">
        <f t="array" ref="EL382">IFERROR(INDEX(TABLACONSOLIDADA[Inv Fís Act],MATCH("AGROINSUMOSLAFINCA"&amp;Tabla_Buffers_Agroinsumos[[#This Row],[CODIGO ]],TABLACONSOLIDADA[Bodega]&amp;TABLACONSOLIDADA[Codigo],0)),"")</f>
        <v/>
      </c>
      <c r="EM382" s="157" t="str">
        <f t="array" ref="EM38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8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82" s="134">
        <f>IFERROR(SUM(Tabla_Buffers_Agroinsumos[[#This Row],[LF-MP]:[LF-VL]]),"")</f>
        <v>0</v>
      </c>
      <c r="EP382" s="92" t="str">
        <f>IFERROR(Tabla_Buffers_Agroinsumos[[#This Row],[INV FIS LF]]-Tabla_Buffers_Agroinsumos[[#This Row],[BUFFER LF]],"")</f>
        <v/>
      </c>
      <c r="EQ38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82" s="134"/>
      <c r="ES382" s="134"/>
      <c r="ET382" s="134"/>
      <c r="EU382" s="134"/>
      <c r="EV382" s="134"/>
      <c r="EW382" s="134"/>
      <c r="EX382" s="134"/>
      <c r="EY382" s="134"/>
      <c r="EZ382" s="134"/>
      <c r="FA382" s="134" t="str">
        <f t="array" ref="FA382">IFERROR(INDEX(TABLACONSOLIDADA[Buff Act],MATCH("AGROINSUMOSVERONICALEDESMA"&amp;Tabla_Buffers_Agroinsumos[[#This Row],[CODIGO ]],TABLACONSOLIDADA[Bodega]&amp;TABLACONSOLIDADA[Codigo],0)),"")</f>
        <v/>
      </c>
      <c r="FB382" s="157" t="str">
        <f t="array" ref="FB382">IFERROR(INDEX(TABLACONSOLIDADA[Inv Fís Act],MATCH("AGROINSUMOSVERONICALEDESMA"&amp;Tabla_Buffers_Agroinsumos[[#This Row],[CODIGO ]],TABLACONSOLIDADA[Bodega]&amp;TABLACONSOLIDADA[Codigo],0)),"")</f>
        <v/>
      </c>
      <c r="FC382" s="157" t="str">
        <f t="array" ref="FC38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8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82" s="134">
        <f>IFERROR(SUM(Tabla_Buffers_Agroinsumos[[#This Row],[VL-MP]:[VL-LF]]),"")</f>
        <v>0</v>
      </c>
      <c r="FF382" s="92" t="str">
        <f>IFERROR(Tabla_Buffers_Agroinsumos[[#This Row],[INV FIS VL]]-Tabla_Buffers_Agroinsumos[[#This Row],[BUFFER VL]],"")</f>
        <v/>
      </c>
      <c r="FG38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82" s="134"/>
      <c r="FI382" s="134"/>
      <c r="FJ382" s="134"/>
      <c r="FK382" s="134"/>
      <c r="FL382" s="134"/>
      <c r="FM382" s="134"/>
      <c r="FN382" s="134"/>
      <c r="FO382" s="134"/>
      <c r="FP382" s="134"/>
    </row>
    <row r="383" spans="1:172">
      <c r="A383" s="20" t="s">
        <v>1233</v>
      </c>
      <c r="B383" s="20" t="s">
        <v>1234</v>
      </c>
      <c r="C383" s="20" t="s">
        <v>712</v>
      </c>
      <c r="D383" s="20" t="s">
        <v>717</v>
      </c>
      <c r="E383" s="20" t="s">
        <v>863</v>
      </c>
      <c r="F383" s="111" t="s">
        <v>817</v>
      </c>
      <c r="G383" s="111" t="s">
        <v>802</v>
      </c>
      <c r="H383" s="111" t="e">
        <f>VLOOKUP(Tabla_Buffers_Agroinsumos[[#This Row],[CODIGO ]],TABLACONSOLIDADA[[Codigo]:[PV]],6,0)</f>
        <v>#N/A</v>
      </c>
      <c r="I383" s="111" t="e">
        <f>VLOOKUP(Tabla_Buffers_Agroinsumos[[#This Row],[CODIGO ]],TABLACONSOLIDADA[[Codigo]:[PV]],5,0)</f>
        <v>#N/A</v>
      </c>
      <c r="J383" s="111"/>
      <c r="K383" s="111"/>
      <c r="L383" s="111">
        <f>IFERROR(Tabla_Buffers_Agroinsumos[[#This Row],[BUFFER CENTRAL]]/((Tabla_Buffers_Agroinsumos[[#This Row],[TIEMPO REPOSICION ]]/Tabla_Buffers_Agroinsumos[[#This Row],[FRECUENCIA]])+1),0)</f>
        <v>0</v>
      </c>
      <c r="M383" s="111">
        <v>2</v>
      </c>
      <c r="N383" s="111" t="str">
        <f t="array" ref="N383">IFERROR(INDEX(TABLACONSOLIDADA[Inv Fís Act],MATCH("AGROINSUMOSMATERIAPRIMA"&amp;Tabla_Buffers_Agroinsumos[[#This Row],[CODIGO ]],TABLACONSOLIDADA[Bodega]&amp;TABLACONSOLIDADA[Codigo],0)),"")</f>
        <v/>
      </c>
      <c r="O383" s="179" t="str">
        <f t="array" ref="O38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83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83" s="111">
        <f>IFERROR(SUM(Tabla_Buffers_Agroinsumos[[#This Row],[MP-C]:[MP-VL]]),"")</f>
        <v>0</v>
      </c>
      <c r="R383" s="154" t="str">
        <f>IFERROR(Tabla_Buffers_Agroinsumos[[#This Row],[INV FIS MATERIA PRIMA]]-Tabla_Buffers_Agroinsumos[[#This Row],[BUFFER MATERIA PRIMA]],"")</f>
        <v/>
      </c>
      <c r="S383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83" s="111"/>
      <c r="U383" s="111"/>
      <c r="V383" s="111"/>
      <c r="W383" s="111"/>
      <c r="X383" s="111"/>
      <c r="Y383" s="111"/>
      <c r="Z383" s="111"/>
      <c r="AA383" s="111"/>
      <c r="AB383" s="111"/>
      <c r="AC383" s="135" t="str">
        <f t="array" ref="AC383">IFERROR(INDEX(TABLACONSOLIDADA[Buff Act],MATCH("AGROINSUMOSCENTRAL"&amp;Tabla_Buffers_Agroinsumos[[#This Row],[CODIGO ]],TABLACONSOLIDADA[Bodega]&amp;TABLACONSOLIDADA[Codigo],0)),"")</f>
        <v/>
      </c>
      <c r="AD383" s="111" t="str">
        <f t="array" ref="AD383">IFERROR(INDEX(TABLACONSOLIDADA[Inv Fís Act],MATCH("AGROINSUMOSCENTRAL"&amp;Tabla_Buffers_Agroinsumos[[#This Row],[CODIGO ]],TABLACONSOLIDADA[Bodega]&amp;TABLACONSOLIDADA[Codigo],0)),"")</f>
        <v/>
      </c>
      <c r="AE383" s="179" t="str">
        <f t="array" ref="AE38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83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83" s="153">
        <f>IFERROR(SUM(Tabla_Buffers_Agroinsumos[[#This Row],[C-MP]:[C-VL]]),"")</f>
        <v>0</v>
      </c>
      <c r="AH383" s="154" t="str">
        <f>IFERROR(Tabla_Buffers_Agroinsumos[[#This Row],[INV FIS CENTRAL]]-Tabla_Buffers_Agroinsumos[[#This Row],[BUFFER CENTRAL]],"")</f>
        <v/>
      </c>
      <c r="AI383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83" s="135"/>
      <c r="AK383" s="135"/>
      <c r="AL383" s="135"/>
      <c r="AM383" s="135"/>
      <c r="AN383" s="135"/>
      <c r="AO383" s="135"/>
      <c r="AP383" s="135"/>
      <c r="AQ383" s="135"/>
      <c r="AR383" s="135"/>
      <c r="AS383" s="135" t="str">
        <f t="array" ref="AS383">IFERROR(INDEX(TABLACONSOLIDADA[Buff Act],MATCH("AGROINSUMOScentralPROPIA"&amp;Tabla_Buffers_Agroinsumos[[#This Row],[CODIGO ]],TABLACONSOLIDADA[Bodega]&amp;TABLACONSOLIDADA[Codigo],0)),"")</f>
        <v/>
      </c>
      <c r="AT383" s="111" t="str">
        <f t="array" ref="AT383">IFERROR(INDEX(TABLACONSOLIDADA[Inv Fís Act],MATCH("AGROINSUMOScentralPROPIA"&amp;Tabla_Buffers_Agroinsumos[[#This Row],[CODIGO ]],TABLACONSOLIDADA[Bodega]&amp;TABLACONSOLIDADA[Codigo],0)),"")</f>
        <v/>
      </c>
      <c r="AU383" s="179" t="str">
        <f t="array" ref="AU38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83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83" s="135">
        <f>IFERROR(SUM(Tabla_Buffers_Agroinsumos[[#This Row],[P-MP]:[P-VL]]),"")</f>
        <v>0</v>
      </c>
      <c r="AX383" s="154" t="str">
        <f>IFERROR(Tabla_Buffers_Agroinsumos[[#This Row],[INV FIS PROPIA]]-Tabla_Buffers_Agroinsumos[[#This Row],[BUFFER PROPIA]],"")</f>
        <v/>
      </c>
      <c r="AY383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83" s="135"/>
      <c r="BA383" s="135"/>
      <c r="BB383" s="135"/>
      <c r="BC383" s="135"/>
      <c r="BD383" s="135"/>
      <c r="BE383" s="135"/>
      <c r="BF383" s="135"/>
      <c r="BG383" s="135"/>
      <c r="BH383" s="135"/>
      <c r="BI383" s="153" t="str">
        <f t="array" ref="BI383">IFERROR(INDEX(TABLACONSOLIDADA[Buff Act],MATCH("AGROINSUMOSSTODOMINGO"&amp;Tabla_Buffers_Agroinsumos[[#This Row],[CODIGO ]],TABLACONSOLIDADA[Bodega]&amp;TABLACONSOLIDADA[Codigo],0)),"")</f>
        <v/>
      </c>
      <c r="BJ383" s="111" t="str">
        <f t="array" ref="BJ383">IFERROR(INDEX(TABLACONSOLIDADA[Inv Fís Act],MATCH("AGROINSUMOSSTODOMINGO"&amp;Tabla_Buffers_Agroinsumos[[#This Row],[CODIGO ]],TABLACONSOLIDADA[Bodega]&amp;TABLACONSOLIDADA[Codigo],0)),"")</f>
        <v/>
      </c>
      <c r="BK383" s="179" t="str">
        <f t="array" ref="BK38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83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83" s="153">
        <f>IFERROR(SUM(Tabla_Buffers_Agroinsumos[[#This Row],[SD-MP]:[SD-VL]]),"")</f>
        <v>0</v>
      </c>
      <c r="BN383" s="154"/>
      <c r="BO383" s="154"/>
      <c r="BP383" s="135"/>
      <c r="BQ383" s="135"/>
      <c r="BR383" s="135"/>
      <c r="BS383" s="135"/>
      <c r="BT383" s="135"/>
      <c r="BU383" s="135"/>
      <c r="BV383" s="135"/>
      <c r="BW383" s="135"/>
      <c r="BX383" s="135"/>
      <c r="BY383" s="135" t="str">
        <f t="array" ref="BY383">IFERROR(INDEX(TABLACONSOLIDADA[Buff Act],MATCH("AGROINSUMOSMONCAYOLOPEZ"&amp;Tabla_Buffers_Agroinsumos[[#This Row],[CODIGO ]],TABLACONSOLIDADA[Bodega]&amp;TABLACONSOLIDADA[Codigo],0)),"")</f>
        <v/>
      </c>
      <c r="BZ383" s="111" t="str">
        <f t="array" ref="BZ383">IFERROR(INDEX(TABLACONSOLIDADA[Inv Fís Act],MATCH("AGROINSUMOSMONCAYOLOPEZ"&amp;Tabla_Buffers_Agroinsumos[[#This Row],[CODIGO ]],TABLACONSOLIDADA[Bodega]&amp;TABLACONSOLIDADA[Codigo],0)),"")</f>
        <v/>
      </c>
      <c r="CA383" s="179" t="str">
        <f t="array" ref="CA38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83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83" s="135">
        <f>IFERROR(SUM(Tabla_Buffers_Agroinsumos[[#This Row],[ML-MP]:[ML-VL]]),"")</f>
        <v>0</v>
      </c>
      <c r="CD383" s="154" t="str">
        <f>IFERROR(Tabla_Buffers_Agroinsumos[[#This Row],[INV FIS ML]]-Tabla_Buffers_Agroinsumos[[#This Row],[BUFFER ML]],"")</f>
        <v/>
      </c>
      <c r="CE383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83" s="135"/>
      <c r="CG383" s="135"/>
      <c r="CH383" s="135"/>
      <c r="CI383" s="135"/>
      <c r="CJ383" s="135"/>
      <c r="CK383" s="135"/>
      <c r="CL383" s="135"/>
      <c r="CM383" s="135"/>
      <c r="CN383" s="135"/>
      <c r="CO383" s="135" t="str">
        <f t="array" ref="CO383">IFERROR(INDEX(TABLACONSOLIDADA[Buff Act],MATCH("AGROINSUMOSAGROHERMANOSLEON"&amp;Tabla_Buffers_Agroinsumos[[#This Row],[CODIGO ]],TABLACONSOLIDADA[Bodega]&amp;TABLACONSOLIDADA[Codigo],0)),"")</f>
        <v/>
      </c>
      <c r="CP383" s="111" t="str">
        <f t="array" ref="CP383">IFERROR(INDEX(TABLACONSOLIDADA[Inv Fís Act],MATCH("AGROINSUMOSAGROHERMANOSLEON"&amp;Tabla_Buffers_Agroinsumos[[#This Row],[CODIGO ]],TABLACONSOLIDADA[Bodega]&amp;TABLACONSOLIDADA[Codigo],0)),"")</f>
        <v/>
      </c>
      <c r="CQ383" s="179" t="str">
        <f t="array" ref="CQ38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83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83" s="135">
        <f>IFERROR(SUM(Tabla_Buffers_Agroinsumos[[#This Row],[AL-MP]:[AL-VL]]),"")</f>
        <v>0</v>
      </c>
      <c r="CT383" s="154" t="str">
        <f>IFERROR(Tabla_Buffers_Agroinsumos[[#This Row],[INV FIS AL]]-Tabla_Buffers_Agroinsumos[[#This Row],[BUFFER AL]],"")</f>
        <v/>
      </c>
      <c r="CU383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83" s="135"/>
      <c r="CW383" s="135"/>
      <c r="CX383" s="135"/>
      <c r="CY383" s="135"/>
      <c r="CZ383" s="135"/>
      <c r="DA383" s="135"/>
      <c r="DB383" s="135"/>
      <c r="DC383" s="135"/>
      <c r="DD383" s="135"/>
      <c r="DE383" s="135" t="str">
        <f t="array" ref="DE383">IFERROR(INDEX(TABLACONSOLIDADA[Buff Act],MATCH("AGROINSUMOSAGRONUEVO"&amp;Tabla_Buffers_Agroinsumos[[#This Row],[CODIGO ]],TABLACONSOLIDADA[Bodega]&amp;TABLACONSOLIDADA[Codigo],0)),"")</f>
        <v/>
      </c>
      <c r="DF383" s="111" t="str">
        <f t="array" ref="DF383">IFERROR(INDEX(TABLACONSOLIDADA[Inv Fís Act],MATCH("AGROINSUMOSAGRONUEVO"&amp;Tabla_Buffers_Agroinsumos[[#This Row],[CODIGO ]],TABLACONSOLIDADA[Bodega]&amp;TABLACONSOLIDADA[Codigo],0)),"")</f>
        <v/>
      </c>
      <c r="DG383" s="179" t="str">
        <f t="array" ref="DG38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83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83" s="135">
        <f>IFERROR(SUM(Tabla_Buffers_Agroinsumos[[#This Row],[AN-MP]:[AN-VL]]),"")</f>
        <v>0</v>
      </c>
      <c r="DJ383" s="154" t="str">
        <f>IFERROR(Tabla_Buffers_Agroinsumos[[#This Row],[INV FIS AN]]-Tabla_Buffers_Agroinsumos[[#This Row],[BUFFER AN]],"")</f>
        <v/>
      </c>
      <c r="DK383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83" s="135"/>
      <c r="DM383" s="135"/>
      <c r="DN383" s="135"/>
      <c r="DO383" s="135"/>
      <c r="DP383" s="135"/>
      <c r="DQ383" s="135"/>
      <c r="DR383" s="135"/>
      <c r="DS383" s="135"/>
      <c r="DT383" s="135"/>
      <c r="DU383" s="135" t="str">
        <f t="array" ref="DU383">IFERROR(INDEX(TABLACONSOLIDADA[Buff Act],MATCH("AGROINSUMOSAGROQUIMICOSSUR"&amp;Tabla_Buffers_Agroinsumos[[#This Row],[CODIGO ]],TABLACONSOLIDADA[Bodega]&amp;TABLACONSOLIDADA[Codigo],0)),"")</f>
        <v/>
      </c>
      <c r="DV383" s="111" t="str">
        <f t="array" ref="DV383">IFERROR(INDEX(TABLACONSOLIDADA[Inv Fís Act],MATCH("AGROINSUMOSAGROQUIMICOSSUR"&amp;Tabla_Buffers_Agroinsumos[[#This Row],[CODIGO ]],TABLACONSOLIDADA[Bodega]&amp;TABLACONSOLIDADA[Codigo],0)),"")</f>
        <v/>
      </c>
      <c r="DW383" s="179" t="str">
        <f t="array" ref="DW38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83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83" s="135">
        <f>IFERROR(SUM(Tabla_Buffers_Agroinsumos[[#This Row],[AS-MP]:[AS-VL]]),"")</f>
        <v>0</v>
      </c>
      <c r="DZ383" s="154" t="str">
        <f>IFERROR(Tabla_Buffers_Agroinsumos[[#This Row],[INV FIS AS]]-Tabla_Buffers_Agroinsumos[[#This Row],[BUFFER AS]],"")</f>
        <v/>
      </c>
      <c r="EA383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83" s="135"/>
      <c r="EC383" s="135"/>
      <c r="ED383" s="135"/>
      <c r="EE383" s="135"/>
      <c r="EF383" s="135"/>
      <c r="EG383" s="135"/>
      <c r="EH383" s="135"/>
      <c r="EI383" s="135"/>
      <c r="EJ383" s="135"/>
      <c r="EK383" s="135" t="str">
        <f t="array" ref="EK383">IFERROR(INDEX(TABLACONSOLIDADA[Buff Act],MATCH("AGROINSUMOSLAFINCA"&amp;Tabla_Buffers_Agroinsumos[[#This Row],[CODIGO ]],TABLACONSOLIDADA[Bodega]&amp;TABLACONSOLIDADA[Codigo],0)),"")</f>
        <v/>
      </c>
      <c r="EL383" s="111" t="str">
        <f t="array" ref="EL383">IFERROR(INDEX(TABLACONSOLIDADA[Inv Fís Act],MATCH("AGROINSUMOSLAFINCA"&amp;Tabla_Buffers_Agroinsumos[[#This Row],[CODIGO ]],TABLACONSOLIDADA[Bodega]&amp;TABLACONSOLIDADA[Codigo],0)),"")</f>
        <v/>
      </c>
      <c r="EM383" s="179" t="str">
        <f t="array" ref="EM38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83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83" s="135">
        <f>IFERROR(SUM(Tabla_Buffers_Agroinsumos[[#This Row],[LF-MP]:[LF-VL]]),"")</f>
        <v>0</v>
      </c>
      <c r="EP383" s="154" t="str">
        <f>IFERROR(Tabla_Buffers_Agroinsumos[[#This Row],[INV FIS LF]]-Tabla_Buffers_Agroinsumos[[#This Row],[BUFFER LF]],"")</f>
        <v/>
      </c>
      <c r="EQ383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83" s="135"/>
      <c r="ES383" s="135"/>
      <c r="ET383" s="135"/>
      <c r="EU383" s="135"/>
      <c r="EV383" s="135"/>
      <c r="EW383" s="135"/>
      <c r="EX383" s="135"/>
      <c r="EY383" s="135"/>
      <c r="EZ383" s="135"/>
      <c r="FA383" s="135" t="str">
        <f t="array" ref="FA383">IFERROR(INDEX(TABLACONSOLIDADA[Buff Act],MATCH("AGROINSUMOSVERONICALEDESMA"&amp;Tabla_Buffers_Agroinsumos[[#This Row],[CODIGO ]],TABLACONSOLIDADA[Bodega]&amp;TABLACONSOLIDADA[Codigo],0)),"")</f>
        <v/>
      </c>
      <c r="FB383" s="111" t="str">
        <f t="array" ref="FB383">IFERROR(INDEX(TABLACONSOLIDADA[Inv Fís Act],MATCH("AGROINSUMOSVERONICALEDESMA"&amp;Tabla_Buffers_Agroinsumos[[#This Row],[CODIGO ]],TABLACONSOLIDADA[Bodega]&amp;TABLACONSOLIDADA[Codigo],0)),"")</f>
        <v/>
      </c>
      <c r="FC383" s="179" t="str">
        <f t="array" ref="FC38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83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83" s="135">
        <f>IFERROR(SUM(Tabla_Buffers_Agroinsumos[[#This Row],[VL-MP]:[VL-LF]]),"")</f>
        <v>0</v>
      </c>
      <c r="FF383" s="154" t="str">
        <f>IFERROR(Tabla_Buffers_Agroinsumos[[#This Row],[INV FIS VL]]-Tabla_Buffers_Agroinsumos[[#This Row],[BUFFER VL]],"")</f>
        <v/>
      </c>
      <c r="FG383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83" s="135"/>
      <c r="FI383" s="135"/>
      <c r="FJ383" s="135"/>
      <c r="FK383" s="135"/>
      <c r="FL383" s="135"/>
      <c r="FM383" s="135"/>
      <c r="FN383" s="135"/>
      <c r="FO383" s="135"/>
      <c r="FP383" s="135"/>
    </row>
    <row r="384" spans="1:172">
      <c r="A384" s="7" t="s">
        <v>643</v>
      </c>
      <c r="B384" s="7" t="s">
        <v>644</v>
      </c>
      <c r="C384" s="7" t="s">
        <v>712</v>
      </c>
      <c r="D384" s="7" t="s">
        <v>717</v>
      </c>
      <c r="E384" s="7" t="s">
        <v>863</v>
      </c>
      <c r="F384" s="19" t="s">
        <v>817</v>
      </c>
      <c r="G384" s="19" t="s">
        <v>802</v>
      </c>
      <c r="H384" s="19">
        <f>VLOOKUP(Tabla_Buffers_Agroinsumos[[#This Row],[CODIGO ]],TABLACONSOLIDADA[[Codigo]:[PV]],6,0)</f>
        <v>0</v>
      </c>
      <c r="I384" s="19">
        <f>VLOOKUP(Tabla_Buffers_Agroinsumos[[#This Row],[CODIGO ]],TABLACONSOLIDADA[[Codigo]:[PV]],5,0)</f>
        <v>1207.72</v>
      </c>
      <c r="J384" s="19">
        <v>4</v>
      </c>
      <c r="K384" s="19">
        <v>4</v>
      </c>
      <c r="L384" s="19">
        <f>IFERROR(Tabla_Buffers_Agroinsumos[[#This Row],[BUFFER CENTRAL]]/((Tabla_Buffers_Agroinsumos[[#This Row],[TIEMPO REPOSICION ]]/Tabla_Buffers_Agroinsumos[[#This Row],[FRECUENCIA]])+1),0)</f>
        <v>0</v>
      </c>
      <c r="M384" s="19">
        <f t="array" ref="M384">IFERROR(INDEX(TABLACONSOLIDADA[Buff Act],MATCH("AGROINSUMOSMATERIAPRIMA"&amp;Tabla_Buffers_Agroinsumos[[#This Row],[CODIGO ]],TABLACONSOLIDADA[Bodega]&amp;TABLACONSOLIDADA[Codigo],0)),"")</f>
        <v>4</v>
      </c>
      <c r="N384" s="157">
        <f t="array" ref="N384">IFERROR(INDEX(TABLACONSOLIDADA[Inv Fís Act],MATCH("AGROINSUMOSMATERIAPRIMA"&amp;Tabla_Buffers_Agroinsumos[[#This Row],[CODIGO ]],TABLACONSOLIDADA[Bodega]&amp;TABLACONSOLIDADA[Codigo],0)),"")</f>
        <v>5.5798800000000002</v>
      </c>
      <c r="O384" s="157">
        <f t="array" ref="O38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5.5798800000000002</v>
      </c>
      <c r="P38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84" s="19">
        <f>IFERROR(SUM(Tabla_Buffers_Agroinsumos[[#This Row],[MP-C]:[MP-VL]]),"")</f>
        <v>0</v>
      </c>
      <c r="R384" s="92">
        <f>IFERROR(Tabla_Buffers_Agroinsumos[[#This Row],[INV FIS MATERIA PRIMA]]-Tabla_Buffers_Agroinsumos[[#This Row],[BUFFER MATERIA PRIMA]],"")</f>
        <v>1.5798800000000002</v>
      </c>
      <c r="S384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1.5798800000000002</v>
      </c>
      <c r="T384" s="19"/>
      <c r="U384" s="19"/>
      <c r="V384" s="19"/>
      <c r="W384" s="19"/>
      <c r="X384" s="19"/>
      <c r="Y384" s="19"/>
      <c r="Z384" s="19"/>
      <c r="AA384" s="19"/>
      <c r="AB384" s="19"/>
      <c r="AC384" s="152" t="str">
        <f t="array" ref="AC384">IFERROR(INDEX(TABLACONSOLIDADA[Buff Act],MATCH("AGROINSUMOSCENTRAL"&amp;Tabla_Buffers_Agroinsumos[[#This Row],[CODIGO ]],TABLACONSOLIDADA[Bodega]&amp;TABLACONSOLIDADA[Codigo],0)),"")</f>
        <v/>
      </c>
      <c r="AD384" s="157" t="str">
        <f t="array" ref="AD384">IFERROR(INDEX(TABLACONSOLIDADA[Inv Fís Act],MATCH("AGROINSUMOSCENTRAL"&amp;Tabla_Buffers_Agroinsumos[[#This Row],[CODIGO ]],TABLACONSOLIDADA[Bodega]&amp;TABLACONSOLIDADA[Codigo],0)),"")</f>
        <v/>
      </c>
      <c r="AE384" s="157" t="str">
        <f t="array" ref="AE38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8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84" s="91">
        <f>IFERROR(SUM(Tabla_Buffers_Agroinsumos[[#This Row],[C-MP]:[C-VL]]),"")</f>
        <v>0</v>
      </c>
      <c r="AH384" s="92" t="str">
        <f>IFERROR(Tabla_Buffers_Agroinsumos[[#This Row],[INV FIS CENTRAL]]-Tabla_Buffers_Agroinsumos[[#This Row],[BUFFER CENTRAL]],"")</f>
        <v/>
      </c>
      <c r="AI384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84" s="134"/>
      <c r="AK384" s="134"/>
      <c r="AL384" s="134"/>
      <c r="AM384" s="134"/>
      <c r="AN384" s="134"/>
      <c r="AO384" s="134"/>
      <c r="AP384" s="134"/>
      <c r="AQ384" s="134"/>
      <c r="AR384" s="134"/>
      <c r="AS384" s="134" t="str">
        <f t="array" ref="AS384">IFERROR(INDEX(TABLACONSOLIDADA[Buff Act],MATCH("AGROINSUMOScentralPROPIA"&amp;Tabla_Buffers_Agroinsumos[[#This Row],[CODIGO ]],TABLACONSOLIDADA[Bodega]&amp;TABLACONSOLIDADA[Codigo],0)),"")</f>
        <v/>
      </c>
      <c r="AT384" s="157" t="str">
        <f t="array" ref="AT384">IFERROR(INDEX(TABLACONSOLIDADA[Inv Fís Act],MATCH("AGROINSUMOScentralPROPIA"&amp;Tabla_Buffers_Agroinsumos[[#This Row],[CODIGO ]],TABLACONSOLIDADA[Bodega]&amp;TABLACONSOLIDADA[Codigo],0)),"")</f>
        <v/>
      </c>
      <c r="AU384" s="157" t="str">
        <f t="array" ref="AU38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8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84" s="134">
        <f>IFERROR(SUM(Tabla_Buffers_Agroinsumos[[#This Row],[P-MP]:[P-VL]]),"")</f>
        <v>0</v>
      </c>
      <c r="AX384" s="92" t="str">
        <f>IFERROR(Tabla_Buffers_Agroinsumos[[#This Row],[INV FIS PROPIA]]-Tabla_Buffers_Agroinsumos[[#This Row],[BUFFER PROPIA]],"")</f>
        <v/>
      </c>
      <c r="AY384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84" s="134"/>
      <c r="BA384" s="134"/>
      <c r="BB384" s="134"/>
      <c r="BC384" s="134"/>
      <c r="BD384" s="134"/>
      <c r="BE384" s="134"/>
      <c r="BF384" s="134"/>
      <c r="BG384" s="134"/>
      <c r="BH384" s="134"/>
      <c r="BI384" s="91" t="str">
        <f t="array" ref="BI384">IFERROR(INDEX(TABLACONSOLIDADA[Buff Act],MATCH("AGROINSUMOSSTODOMINGO"&amp;Tabla_Buffers_Agroinsumos[[#This Row],[CODIGO ]],TABLACONSOLIDADA[Bodega]&amp;TABLACONSOLIDADA[Codigo],0)),"")</f>
        <v/>
      </c>
      <c r="BJ384" s="157" t="str">
        <f t="array" ref="BJ384">IFERROR(INDEX(TABLACONSOLIDADA[Inv Fís Act],MATCH("AGROINSUMOSSTODOMINGO"&amp;Tabla_Buffers_Agroinsumos[[#This Row],[CODIGO ]],TABLACONSOLIDADA[Bodega]&amp;TABLACONSOLIDADA[Codigo],0)),"")</f>
        <v/>
      </c>
      <c r="BK384" s="157" t="str">
        <f t="array" ref="BK38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8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84" s="91">
        <f>IFERROR(SUM(Tabla_Buffers_Agroinsumos[[#This Row],[SD-MP]:[SD-VL]]),"")</f>
        <v>0</v>
      </c>
      <c r="BN384" s="92"/>
      <c r="BO384" s="92"/>
      <c r="BP384" s="134"/>
      <c r="BQ384" s="134"/>
      <c r="BR384" s="134"/>
      <c r="BS384" s="134"/>
      <c r="BT384" s="134"/>
      <c r="BU384" s="134"/>
      <c r="BV384" s="134"/>
      <c r="BW384" s="134"/>
      <c r="BX384" s="134"/>
      <c r="BY384" s="134" t="str">
        <f t="array" ref="BY384">IFERROR(INDEX(TABLACONSOLIDADA[Buff Act],MATCH("AGROINSUMOSMONCAYOLOPEZ"&amp;Tabla_Buffers_Agroinsumos[[#This Row],[CODIGO ]],TABLACONSOLIDADA[Bodega]&amp;TABLACONSOLIDADA[Codigo],0)),"")</f>
        <v/>
      </c>
      <c r="BZ384" s="157" t="str">
        <f t="array" ref="BZ384">IFERROR(INDEX(TABLACONSOLIDADA[Inv Fís Act],MATCH("AGROINSUMOSMONCAYOLOPEZ"&amp;Tabla_Buffers_Agroinsumos[[#This Row],[CODIGO ]],TABLACONSOLIDADA[Bodega]&amp;TABLACONSOLIDADA[Codigo],0)),"")</f>
        <v/>
      </c>
      <c r="CA384" s="157" t="str">
        <f t="array" ref="CA38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8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84" s="134">
        <f>IFERROR(SUM(Tabla_Buffers_Agroinsumos[[#This Row],[ML-MP]:[ML-VL]]),"")</f>
        <v>0</v>
      </c>
      <c r="CD384" s="92" t="str">
        <f>IFERROR(Tabla_Buffers_Agroinsumos[[#This Row],[INV FIS ML]]-Tabla_Buffers_Agroinsumos[[#This Row],[BUFFER ML]],"")</f>
        <v/>
      </c>
      <c r="CE384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84" s="134"/>
      <c r="CG384" s="134"/>
      <c r="CH384" s="134"/>
      <c r="CI384" s="134"/>
      <c r="CJ384" s="134"/>
      <c r="CK384" s="134"/>
      <c r="CL384" s="134"/>
      <c r="CM384" s="134"/>
      <c r="CN384" s="134"/>
      <c r="CO384" s="134" t="str">
        <f t="array" ref="CO384">IFERROR(INDEX(TABLACONSOLIDADA[Buff Act],MATCH("AGROINSUMOSAGROHERMANOSLEON"&amp;Tabla_Buffers_Agroinsumos[[#This Row],[CODIGO ]],TABLACONSOLIDADA[Bodega]&amp;TABLACONSOLIDADA[Codigo],0)),"")</f>
        <v/>
      </c>
      <c r="CP384" s="157" t="str">
        <f t="array" ref="CP384">IFERROR(INDEX(TABLACONSOLIDADA[Inv Fís Act],MATCH("AGROINSUMOSAGROHERMANOSLEON"&amp;Tabla_Buffers_Agroinsumos[[#This Row],[CODIGO ]],TABLACONSOLIDADA[Bodega]&amp;TABLACONSOLIDADA[Codigo],0)),"")</f>
        <v/>
      </c>
      <c r="CQ384" s="157" t="str">
        <f t="array" ref="CQ38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8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84" s="134">
        <f>IFERROR(SUM(Tabla_Buffers_Agroinsumos[[#This Row],[AL-MP]:[AL-VL]]),"")</f>
        <v>0</v>
      </c>
      <c r="CT384" s="92" t="str">
        <f>IFERROR(Tabla_Buffers_Agroinsumos[[#This Row],[INV FIS AL]]-Tabla_Buffers_Agroinsumos[[#This Row],[BUFFER AL]],"")</f>
        <v/>
      </c>
      <c r="CU384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84" s="134"/>
      <c r="CW384" s="134"/>
      <c r="CX384" s="134"/>
      <c r="CY384" s="134"/>
      <c r="CZ384" s="134"/>
      <c r="DA384" s="134"/>
      <c r="DB384" s="134"/>
      <c r="DC384" s="134"/>
      <c r="DD384" s="134"/>
      <c r="DE384" s="134" t="str">
        <f t="array" ref="DE384">IFERROR(INDEX(TABLACONSOLIDADA[Buff Act],MATCH("AGROINSUMOSAGRONUEVO"&amp;Tabla_Buffers_Agroinsumos[[#This Row],[CODIGO ]],TABLACONSOLIDADA[Bodega]&amp;TABLACONSOLIDADA[Codigo],0)),"")</f>
        <v/>
      </c>
      <c r="DF384" s="157" t="str">
        <f t="array" ref="DF384">IFERROR(INDEX(TABLACONSOLIDADA[Inv Fís Act],MATCH("AGROINSUMOSAGRONUEVO"&amp;Tabla_Buffers_Agroinsumos[[#This Row],[CODIGO ]],TABLACONSOLIDADA[Bodega]&amp;TABLACONSOLIDADA[Codigo],0)),"")</f>
        <v/>
      </c>
      <c r="DG384" s="157" t="str">
        <f t="array" ref="DG38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8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84" s="134">
        <f>IFERROR(SUM(Tabla_Buffers_Agroinsumos[[#This Row],[AN-MP]:[AN-VL]]),"")</f>
        <v>0</v>
      </c>
      <c r="DJ384" s="92" t="str">
        <f>IFERROR(Tabla_Buffers_Agroinsumos[[#This Row],[INV FIS AN]]-Tabla_Buffers_Agroinsumos[[#This Row],[BUFFER AN]],"")</f>
        <v/>
      </c>
      <c r="DK384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84" s="134"/>
      <c r="DM384" s="134"/>
      <c r="DN384" s="134"/>
      <c r="DO384" s="134"/>
      <c r="DP384" s="134"/>
      <c r="DQ384" s="134"/>
      <c r="DR384" s="134"/>
      <c r="DS384" s="134"/>
      <c r="DT384" s="134"/>
      <c r="DU384" s="134" t="str">
        <f t="array" ref="DU384">IFERROR(INDEX(TABLACONSOLIDADA[Buff Act],MATCH("AGROINSUMOSAGROQUIMICOSSUR"&amp;Tabla_Buffers_Agroinsumos[[#This Row],[CODIGO ]],TABLACONSOLIDADA[Bodega]&amp;TABLACONSOLIDADA[Codigo],0)),"")</f>
        <v/>
      </c>
      <c r="DV384" s="157" t="str">
        <f t="array" ref="DV384">IFERROR(INDEX(TABLACONSOLIDADA[Inv Fís Act],MATCH("AGROINSUMOSAGROQUIMICOSSUR"&amp;Tabla_Buffers_Agroinsumos[[#This Row],[CODIGO ]],TABLACONSOLIDADA[Bodega]&amp;TABLACONSOLIDADA[Codigo],0)),"")</f>
        <v/>
      </c>
      <c r="DW384" s="157" t="str">
        <f t="array" ref="DW38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8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84" s="134">
        <f>IFERROR(SUM(Tabla_Buffers_Agroinsumos[[#This Row],[AS-MP]:[AS-VL]]),"")</f>
        <v>0</v>
      </c>
      <c r="DZ384" s="92" t="str">
        <f>IFERROR(Tabla_Buffers_Agroinsumos[[#This Row],[INV FIS AS]]-Tabla_Buffers_Agroinsumos[[#This Row],[BUFFER AS]],"")</f>
        <v/>
      </c>
      <c r="EA384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84" s="134"/>
      <c r="EC384" s="134"/>
      <c r="ED384" s="134"/>
      <c r="EE384" s="134"/>
      <c r="EF384" s="134"/>
      <c r="EG384" s="134"/>
      <c r="EH384" s="134"/>
      <c r="EI384" s="134"/>
      <c r="EJ384" s="134"/>
      <c r="EK384" s="134" t="str">
        <f t="array" ref="EK384">IFERROR(INDEX(TABLACONSOLIDADA[Buff Act],MATCH("AGROINSUMOSLAFINCA"&amp;Tabla_Buffers_Agroinsumos[[#This Row],[CODIGO ]],TABLACONSOLIDADA[Bodega]&amp;TABLACONSOLIDADA[Codigo],0)),"")</f>
        <v/>
      </c>
      <c r="EL384" s="157" t="str">
        <f t="array" ref="EL384">IFERROR(INDEX(TABLACONSOLIDADA[Inv Fís Act],MATCH("AGROINSUMOSLAFINCA"&amp;Tabla_Buffers_Agroinsumos[[#This Row],[CODIGO ]],TABLACONSOLIDADA[Bodega]&amp;TABLACONSOLIDADA[Codigo],0)),"")</f>
        <v/>
      </c>
      <c r="EM384" s="157" t="str">
        <f t="array" ref="EM38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8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84" s="134">
        <f>IFERROR(SUM(Tabla_Buffers_Agroinsumos[[#This Row],[LF-MP]:[LF-VL]]),"")</f>
        <v>0</v>
      </c>
      <c r="EP384" s="92" t="str">
        <f>IFERROR(Tabla_Buffers_Agroinsumos[[#This Row],[INV FIS LF]]-Tabla_Buffers_Agroinsumos[[#This Row],[BUFFER LF]],"")</f>
        <v/>
      </c>
      <c r="EQ384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84" s="134"/>
      <c r="ES384" s="134"/>
      <c r="ET384" s="134"/>
      <c r="EU384" s="134"/>
      <c r="EV384" s="134"/>
      <c r="EW384" s="134"/>
      <c r="EX384" s="134"/>
      <c r="EY384" s="134"/>
      <c r="EZ384" s="134"/>
      <c r="FA384" s="134" t="str">
        <f t="array" ref="FA384">IFERROR(INDEX(TABLACONSOLIDADA[Buff Act],MATCH("AGROINSUMOSVERONICALEDESMA"&amp;Tabla_Buffers_Agroinsumos[[#This Row],[CODIGO ]],TABLACONSOLIDADA[Bodega]&amp;TABLACONSOLIDADA[Codigo],0)),"")</f>
        <v/>
      </c>
      <c r="FB384" s="157" t="str">
        <f t="array" ref="FB384">IFERROR(INDEX(TABLACONSOLIDADA[Inv Fís Act],MATCH("AGROINSUMOSVERONICALEDESMA"&amp;Tabla_Buffers_Agroinsumos[[#This Row],[CODIGO ]],TABLACONSOLIDADA[Bodega]&amp;TABLACONSOLIDADA[Codigo],0)),"")</f>
        <v/>
      </c>
      <c r="FC384" s="157" t="str">
        <f t="array" ref="FC38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8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84" s="134">
        <f>IFERROR(SUM(Tabla_Buffers_Agroinsumos[[#This Row],[VL-MP]:[VL-LF]]),"")</f>
        <v>0</v>
      </c>
      <c r="FF384" s="92" t="str">
        <f>IFERROR(Tabla_Buffers_Agroinsumos[[#This Row],[INV FIS VL]]-Tabla_Buffers_Agroinsumos[[#This Row],[BUFFER VL]],"")</f>
        <v/>
      </c>
      <c r="FG384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84" s="134"/>
      <c r="FI384" s="134"/>
      <c r="FJ384" s="134"/>
      <c r="FK384" s="134"/>
      <c r="FL384" s="134"/>
      <c r="FM384" s="134"/>
      <c r="FN384" s="134"/>
      <c r="FO384" s="134"/>
      <c r="FP384" s="134"/>
    </row>
    <row r="385" spans="1:172">
      <c r="A385" s="7" t="s">
        <v>645</v>
      </c>
      <c r="B385" s="7" t="s">
        <v>646</v>
      </c>
      <c r="C385" s="7" t="s">
        <v>707</v>
      </c>
      <c r="D385" s="7" t="s">
        <v>717</v>
      </c>
      <c r="E385" s="7" t="s">
        <v>863</v>
      </c>
      <c r="F385" s="19" t="s">
        <v>804</v>
      </c>
      <c r="G385" s="19" t="s">
        <v>802</v>
      </c>
      <c r="H385" s="19">
        <f>VLOOKUP(Tabla_Buffers_Agroinsumos[[#This Row],[CODIGO ]],TABLACONSOLIDADA[[Codigo]:[PV]],6,0)</f>
        <v>0</v>
      </c>
      <c r="I385" s="19">
        <f>VLOOKUP(Tabla_Buffers_Agroinsumos[[#This Row],[CODIGO ]],TABLACONSOLIDADA[[Codigo]:[PV]],5,0)</f>
        <v>251.11</v>
      </c>
      <c r="J385" s="19">
        <v>4</v>
      </c>
      <c r="K385" s="19">
        <v>4</v>
      </c>
      <c r="L385" s="19">
        <f>IFERROR(Tabla_Buffers_Agroinsumos[[#This Row],[BUFFER CENTRAL]]/((Tabla_Buffers_Agroinsumos[[#This Row],[TIEMPO REPOSICION ]]/Tabla_Buffers_Agroinsumos[[#This Row],[FRECUENCIA]])+1),0)</f>
        <v>0</v>
      </c>
      <c r="M385" s="19">
        <f t="array" ref="M385">IFERROR(INDEX(TABLACONSOLIDADA[Buff Act],MATCH("AGROINSUMOSMATERIAPRIMA"&amp;Tabla_Buffers_Agroinsumos[[#This Row],[CODIGO ]],TABLACONSOLIDADA[Bodega]&amp;TABLACONSOLIDADA[Codigo],0)),"")</f>
        <v>0</v>
      </c>
      <c r="N385" s="157">
        <f t="array" ref="N385">IFERROR(INDEX(TABLACONSOLIDADA[Inv Fís Act],MATCH("AGROINSUMOSMATERIAPRIMA"&amp;Tabla_Buffers_Agroinsumos[[#This Row],[CODIGO ]],TABLACONSOLIDADA[Bodega]&amp;TABLACONSOLIDADA[Codigo],0)),"")</f>
        <v>0.66142999999999996</v>
      </c>
      <c r="O385" s="157">
        <f t="array" ref="O38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0.66142999999999996</v>
      </c>
      <c r="P38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85" s="19">
        <f>IFERROR(SUM(Tabla_Buffers_Agroinsumos[[#This Row],[MP-C]:[MP-VL]]),"")</f>
        <v>0</v>
      </c>
      <c r="R385" s="92">
        <f>IFERROR(Tabla_Buffers_Agroinsumos[[#This Row],[INV FIS MATERIA PRIMA]]-Tabla_Buffers_Agroinsumos[[#This Row],[BUFFER MATERIA PRIMA]],"")</f>
        <v>0.66142999999999996</v>
      </c>
      <c r="S385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0.66142999999999996</v>
      </c>
      <c r="T385" s="19"/>
      <c r="U385" s="19"/>
      <c r="V385" s="19"/>
      <c r="W385" s="19"/>
      <c r="X385" s="19"/>
      <c r="Y385" s="19"/>
      <c r="Z385" s="19"/>
      <c r="AA385" s="19"/>
      <c r="AB385" s="19"/>
      <c r="AC385" s="152" t="str">
        <f t="array" ref="AC385">IFERROR(INDEX(TABLACONSOLIDADA[Buff Act],MATCH("AGROINSUMOSCENTRAL"&amp;Tabla_Buffers_Agroinsumos[[#This Row],[CODIGO ]],TABLACONSOLIDADA[Bodega]&amp;TABLACONSOLIDADA[Codigo],0)),"")</f>
        <v/>
      </c>
      <c r="AD385" s="157" t="str">
        <f t="array" ref="AD385">IFERROR(INDEX(TABLACONSOLIDADA[Inv Fís Act],MATCH("AGROINSUMOSCENTRAL"&amp;Tabla_Buffers_Agroinsumos[[#This Row],[CODIGO ]],TABLACONSOLIDADA[Bodega]&amp;TABLACONSOLIDADA[Codigo],0)),"")</f>
        <v/>
      </c>
      <c r="AE385" s="157" t="str">
        <f t="array" ref="AE38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8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85" s="91">
        <f>IFERROR(SUM(Tabla_Buffers_Agroinsumos[[#This Row],[C-MP]:[C-VL]]),"")</f>
        <v>0</v>
      </c>
      <c r="AH385" s="92" t="str">
        <f>IFERROR(Tabla_Buffers_Agroinsumos[[#This Row],[INV FIS CENTRAL]]-Tabla_Buffers_Agroinsumos[[#This Row],[BUFFER CENTRAL]],"")</f>
        <v/>
      </c>
      <c r="AI385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85" s="134"/>
      <c r="AK385" s="134"/>
      <c r="AL385" s="134"/>
      <c r="AM385" s="134"/>
      <c r="AN385" s="134"/>
      <c r="AO385" s="134"/>
      <c r="AP385" s="134"/>
      <c r="AQ385" s="134"/>
      <c r="AR385" s="134"/>
      <c r="AS385" s="134" t="str">
        <f t="array" ref="AS385">IFERROR(INDEX(TABLACONSOLIDADA[Buff Act],MATCH("AGROINSUMOScentralPROPIA"&amp;Tabla_Buffers_Agroinsumos[[#This Row],[CODIGO ]],TABLACONSOLIDADA[Bodega]&amp;TABLACONSOLIDADA[Codigo],0)),"")</f>
        <v/>
      </c>
      <c r="AT385" s="157" t="str">
        <f t="array" ref="AT385">IFERROR(INDEX(TABLACONSOLIDADA[Inv Fís Act],MATCH("AGROINSUMOScentralPROPIA"&amp;Tabla_Buffers_Agroinsumos[[#This Row],[CODIGO ]],TABLACONSOLIDADA[Bodega]&amp;TABLACONSOLIDADA[Codigo],0)),"")</f>
        <v/>
      </c>
      <c r="AU385" s="157" t="str">
        <f t="array" ref="AU38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8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85" s="134">
        <f>IFERROR(SUM(Tabla_Buffers_Agroinsumos[[#This Row],[P-MP]:[P-VL]]),"")</f>
        <v>0</v>
      </c>
      <c r="AX385" s="92" t="str">
        <f>IFERROR(Tabla_Buffers_Agroinsumos[[#This Row],[INV FIS PROPIA]]-Tabla_Buffers_Agroinsumos[[#This Row],[BUFFER PROPIA]],"")</f>
        <v/>
      </c>
      <c r="AY385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85" s="134"/>
      <c r="BA385" s="134"/>
      <c r="BB385" s="134"/>
      <c r="BC385" s="134"/>
      <c r="BD385" s="134"/>
      <c r="BE385" s="134"/>
      <c r="BF385" s="134"/>
      <c r="BG385" s="134"/>
      <c r="BH385" s="134"/>
      <c r="BI385" s="91" t="str">
        <f t="array" ref="BI385">IFERROR(INDEX(TABLACONSOLIDADA[Buff Act],MATCH("AGROINSUMOSSTODOMINGO"&amp;Tabla_Buffers_Agroinsumos[[#This Row],[CODIGO ]],TABLACONSOLIDADA[Bodega]&amp;TABLACONSOLIDADA[Codigo],0)),"")</f>
        <v/>
      </c>
      <c r="BJ385" s="157" t="str">
        <f t="array" ref="BJ385">IFERROR(INDEX(TABLACONSOLIDADA[Inv Fís Act],MATCH("AGROINSUMOSSTODOMINGO"&amp;Tabla_Buffers_Agroinsumos[[#This Row],[CODIGO ]],TABLACONSOLIDADA[Bodega]&amp;TABLACONSOLIDADA[Codigo],0)),"")</f>
        <v/>
      </c>
      <c r="BK385" s="157" t="str">
        <f t="array" ref="BK38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8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85" s="91">
        <f>IFERROR(SUM(Tabla_Buffers_Agroinsumos[[#This Row],[SD-MP]:[SD-VL]]),"")</f>
        <v>0</v>
      </c>
      <c r="BN385" s="92"/>
      <c r="BO385" s="92"/>
      <c r="BP385" s="134"/>
      <c r="BQ385" s="134"/>
      <c r="BR385" s="134"/>
      <c r="BS385" s="134"/>
      <c r="BT385" s="134"/>
      <c r="BU385" s="134"/>
      <c r="BV385" s="134"/>
      <c r="BW385" s="134"/>
      <c r="BX385" s="134"/>
      <c r="BY385" s="134" t="str">
        <f t="array" ref="BY385">IFERROR(INDEX(TABLACONSOLIDADA[Buff Act],MATCH("AGROINSUMOSMONCAYOLOPEZ"&amp;Tabla_Buffers_Agroinsumos[[#This Row],[CODIGO ]],TABLACONSOLIDADA[Bodega]&amp;TABLACONSOLIDADA[Codigo],0)),"")</f>
        <v/>
      </c>
      <c r="BZ385" s="157" t="str">
        <f t="array" ref="BZ385">IFERROR(INDEX(TABLACONSOLIDADA[Inv Fís Act],MATCH("AGROINSUMOSMONCAYOLOPEZ"&amp;Tabla_Buffers_Agroinsumos[[#This Row],[CODIGO ]],TABLACONSOLIDADA[Bodega]&amp;TABLACONSOLIDADA[Codigo],0)),"")</f>
        <v/>
      </c>
      <c r="CA385" s="157" t="str">
        <f t="array" ref="CA38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8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85" s="134">
        <f>IFERROR(SUM(Tabla_Buffers_Agroinsumos[[#This Row],[ML-MP]:[ML-VL]]),"")</f>
        <v>0</v>
      </c>
      <c r="CD385" s="92" t="str">
        <f>IFERROR(Tabla_Buffers_Agroinsumos[[#This Row],[INV FIS ML]]-Tabla_Buffers_Agroinsumos[[#This Row],[BUFFER ML]],"")</f>
        <v/>
      </c>
      <c r="CE385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85" s="134"/>
      <c r="CG385" s="134"/>
      <c r="CH385" s="134"/>
      <c r="CI385" s="134"/>
      <c r="CJ385" s="134"/>
      <c r="CK385" s="134"/>
      <c r="CL385" s="134"/>
      <c r="CM385" s="134"/>
      <c r="CN385" s="134"/>
      <c r="CO385" s="134" t="str">
        <f t="array" ref="CO385">IFERROR(INDEX(TABLACONSOLIDADA[Buff Act],MATCH("AGROINSUMOSAGROHERMANOSLEON"&amp;Tabla_Buffers_Agroinsumos[[#This Row],[CODIGO ]],TABLACONSOLIDADA[Bodega]&amp;TABLACONSOLIDADA[Codigo],0)),"")</f>
        <v/>
      </c>
      <c r="CP385" s="157" t="str">
        <f t="array" ref="CP385">IFERROR(INDEX(TABLACONSOLIDADA[Inv Fís Act],MATCH("AGROINSUMOSAGROHERMANOSLEON"&amp;Tabla_Buffers_Agroinsumos[[#This Row],[CODIGO ]],TABLACONSOLIDADA[Bodega]&amp;TABLACONSOLIDADA[Codigo],0)),"")</f>
        <v/>
      </c>
      <c r="CQ385" s="157" t="str">
        <f t="array" ref="CQ38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8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85" s="134">
        <f>IFERROR(SUM(Tabla_Buffers_Agroinsumos[[#This Row],[AL-MP]:[AL-VL]]),"")</f>
        <v>0</v>
      </c>
      <c r="CT385" s="92" t="str">
        <f>IFERROR(Tabla_Buffers_Agroinsumos[[#This Row],[INV FIS AL]]-Tabla_Buffers_Agroinsumos[[#This Row],[BUFFER AL]],"")</f>
        <v/>
      </c>
      <c r="CU385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85" s="134"/>
      <c r="CW385" s="134"/>
      <c r="CX385" s="134"/>
      <c r="CY385" s="134"/>
      <c r="CZ385" s="134"/>
      <c r="DA385" s="134"/>
      <c r="DB385" s="134"/>
      <c r="DC385" s="134"/>
      <c r="DD385" s="134"/>
      <c r="DE385" s="134" t="str">
        <f t="array" ref="DE385">IFERROR(INDEX(TABLACONSOLIDADA[Buff Act],MATCH("AGROINSUMOSAGRONUEVO"&amp;Tabla_Buffers_Agroinsumos[[#This Row],[CODIGO ]],TABLACONSOLIDADA[Bodega]&amp;TABLACONSOLIDADA[Codigo],0)),"")</f>
        <v/>
      </c>
      <c r="DF385" s="157" t="str">
        <f t="array" ref="DF385">IFERROR(INDEX(TABLACONSOLIDADA[Inv Fís Act],MATCH("AGROINSUMOSAGRONUEVO"&amp;Tabla_Buffers_Agroinsumos[[#This Row],[CODIGO ]],TABLACONSOLIDADA[Bodega]&amp;TABLACONSOLIDADA[Codigo],0)),"")</f>
        <v/>
      </c>
      <c r="DG385" s="157" t="str">
        <f t="array" ref="DG38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8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85" s="134">
        <f>IFERROR(SUM(Tabla_Buffers_Agroinsumos[[#This Row],[AN-MP]:[AN-VL]]),"")</f>
        <v>0</v>
      </c>
      <c r="DJ385" s="92" t="str">
        <f>IFERROR(Tabla_Buffers_Agroinsumos[[#This Row],[INV FIS AN]]-Tabla_Buffers_Agroinsumos[[#This Row],[BUFFER AN]],"")</f>
        <v/>
      </c>
      <c r="DK385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85" s="134"/>
      <c r="DM385" s="134"/>
      <c r="DN385" s="134"/>
      <c r="DO385" s="134"/>
      <c r="DP385" s="134"/>
      <c r="DQ385" s="134"/>
      <c r="DR385" s="134"/>
      <c r="DS385" s="134"/>
      <c r="DT385" s="134"/>
      <c r="DU385" s="134" t="str">
        <f t="array" ref="DU385">IFERROR(INDEX(TABLACONSOLIDADA[Buff Act],MATCH("AGROINSUMOSAGROQUIMICOSSUR"&amp;Tabla_Buffers_Agroinsumos[[#This Row],[CODIGO ]],TABLACONSOLIDADA[Bodega]&amp;TABLACONSOLIDADA[Codigo],0)),"")</f>
        <v/>
      </c>
      <c r="DV385" s="157" t="str">
        <f t="array" ref="DV385">IFERROR(INDEX(TABLACONSOLIDADA[Inv Fís Act],MATCH("AGROINSUMOSAGROQUIMICOSSUR"&amp;Tabla_Buffers_Agroinsumos[[#This Row],[CODIGO ]],TABLACONSOLIDADA[Bodega]&amp;TABLACONSOLIDADA[Codigo],0)),"")</f>
        <v/>
      </c>
      <c r="DW385" s="157" t="str">
        <f t="array" ref="DW38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8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85" s="134">
        <f>IFERROR(SUM(Tabla_Buffers_Agroinsumos[[#This Row],[AS-MP]:[AS-VL]]),"")</f>
        <v>0</v>
      </c>
      <c r="DZ385" s="92" t="str">
        <f>IFERROR(Tabla_Buffers_Agroinsumos[[#This Row],[INV FIS AS]]-Tabla_Buffers_Agroinsumos[[#This Row],[BUFFER AS]],"")</f>
        <v/>
      </c>
      <c r="EA385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85" s="134"/>
      <c r="EC385" s="134"/>
      <c r="ED385" s="134"/>
      <c r="EE385" s="134"/>
      <c r="EF385" s="134"/>
      <c r="EG385" s="134"/>
      <c r="EH385" s="134"/>
      <c r="EI385" s="134"/>
      <c r="EJ385" s="134"/>
      <c r="EK385" s="134" t="str">
        <f t="array" ref="EK385">IFERROR(INDEX(TABLACONSOLIDADA[Buff Act],MATCH("AGROINSUMOSLAFINCA"&amp;Tabla_Buffers_Agroinsumos[[#This Row],[CODIGO ]],TABLACONSOLIDADA[Bodega]&amp;TABLACONSOLIDADA[Codigo],0)),"")</f>
        <v/>
      </c>
      <c r="EL385" s="157" t="str">
        <f t="array" ref="EL385">IFERROR(INDEX(TABLACONSOLIDADA[Inv Fís Act],MATCH("AGROINSUMOSLAFINCA"&amp;Tabla_Buffers_Agroinsumos[[#This Row],[CODIGO ]],TABLACONSOLIDADA[Bodega]&amp;TABLACONSOLIDADA[Codigo],0)),"")</f>
        <v/>
      </c>
      <c r="EM385" s="157" t="str">
        <f t="array" ref="EM38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8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85" s="134">
        <f>IFERROR(SUM(Tabla_Buffers_Agroinsumos[[#This Row],[LF-MP]:[LF-VL]]),"")</f>
        <v>0</v>
      </c>
      <c r="EP385" s="92" t="str">
        <f>IFERROR(Tabla_Buffers_Agroinsumos[[#This Row],[INV FIS LF]]-Tabla_Buffers_Agroinsumos[[#This Row],[BUFFER LF]],"")</f>
        <v/>
      </c>
      <c r="EQ385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85" s="134"/>
      <c r="ES385" s="134"/>
      <c r="ET385" s="134"/>
      <c r="EU385" s="134"/>
      <c r="EV385" s="134"/>
      <c r="EW385" s="134"/>
      <c r="EX385" s="134"/>
      <c r="EY385" s="134"/>
      <c r="EZ385" s="134"/>
      <c r="FA385" s="134" t="str">
        <f t="array" ref="FA385">IFERROR(INDEX(TABLACONSOLIDADA[Buff Act],MATCH("AGROINSUMOSVERONICALEDESMA"&amp;Tabla_Buffers_Agroinsumos[[#This Row],[CODIGO ]],TABLACONSOLIDADA[Bodega]&amp;TABLACONSOLIDADA[Codigo],0)),"")</f>
        <v/>
      </c>
      <c r="FB385" s="157" t="str">
        <f t="array" ref="FB385">IFERROR(INDEX(TABLACONSOLIDADA[Inv Fís Act],MATCH("AGROINSUMOSVERONICALEDESMA"&amp;Tabla_Buffers_Agroinsumos[[#This Row],[CODIGO ]],TABLACONSOLIDADA[Bodega]&amp;TABLACONSOLIDADA[Codigo],0)),"")</f>
        <v/>
      </c>
      <c r="FC385" s="157" t="str">
        <f t="array" ref="FC38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8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85" s="134">
        <f>IFERROR(SUM(Tabla_Buffers_Agroinsumos[[#This Row],[VL-MP]:[VL-LF]]),"")</f>
        <v>0</v>
      </c>
      <c r="FF385" s="92" t="str">
        <f>IFERROR(Tabla_Buffers_Agroinsumos[[#This Row],[INV FIS VL]]-Tabla_Buffers_Agroinsumos[[#This Row],[BUFFER VL]],"")</f>
        <v/>
      </c>
      <c r="FG385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85" s="134"/>
      <c r="FI385" s="134"/>
      <c r="FJ385" s="134"/>
      <c r="FK385" s="134"/>
      <c r="FL385" s="134"/>
      <c r="FM385" s="134"/>
      <c r="FN385" s="134"/>
      <c r="FO385" s="134"/>
      <c r="FP385" s="134"/>
    </row>
    <row r="386" spans="1:172">
      <c r="A386" s="20" t="s">
        <v>1204</v>
      </c>
      <c r="B386" s="20" t="s">
        <v>1173</v>
      </c>
      <c r="C386" s="20" t="s">
        <v>707</v>
      </c>
      <c r="D386" s="20" t="s">
        <v>761</v>
      </c>
      <c r="E386" s="20" t="s">
        <v>863</v>
      </c>
      <c r="F386" s="111" t="s">
        <v>804</v>
      </c>
      <c r="G386" s="111" t="s">
        <v>802</v>
      </c>
      <c r="H386" s="111">
        <v>0</v>
      </c>
      <c r="I386" s="111">
        <v>0</v>
      </c>
      <c r="J386" s="111"/>
      <c r="K386" s="111"/>
      <c r="L386" s="111">
        <f>IFERROR(Tabla_Buffers_Agroinsumos[[#This Row],[BUFFER CENTRAL]]/((Tabla_Buffers_Agroinsumos[[#This Row],[TIEMPO REPOSICION ]]/Tabla_Buffers_Agroinsumos[[#This Row],[FRECUENCIA]])+1),0)</f>
        <v>0</v>
      </c>
      <c r="M386" s="111">
        <v>600</v>
      </c>
      <c r="N386" s="111" t="str">
        <f t="array" ref="N386">IFERROR(INDEX(TABLACONSOLIDADA[Inv Fís Act],MATCH("AGROINSUMOSMATERIAPRIMA"&amp;Tabla_Buffers_Agroinsumos[[#This Row],[CODIGO ]],TABLACONSOLIDADA[Bodega]&amp;TABLACONSOLIDADA[Codigo],0)),"")</f>
        <v/>
      </c>
      <c r="O386" s="178" t="str">
        <f t="array" ref="O38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86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86" s="111">
        <f>IFERROR(SUM(Tabla_Buffers_Agroinsumos[[#This Row],[MP-C]:[MP-VL]]),"")</f>
        <v>0</v>
      </c>
      <c r="R386" s="154" t="str">
        <f>IFERROR(Tabla_Buffers_Agroinsumos[[#This Row],[INV FIS MATERIA PRIMA]]-Tabla_Buffers_Agroinsumos[[#This Row],[BUFFER MATERIA PRIMA]],"")</f>
        <v/>
      </c>
      <c r="S386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86" s="111"/>
      <c r="U386" s="111"/>
      <c r="V386" s="111"/>
      <c r="W386" s="111"/>
      <c r="X386" s="111"/>
      <c r="Y386" s="111"/>
      <c r="Z386" s="111"/>
      <c r="AA386" s="111"/>
      <c r="AB386" s="111"/>
      <c r="AC386" s="152" t="str">
        <f t="array" ref="AC386">IFERROR(INDEX(TABLACONSOLIDADA[Buff Act],MATCH("AGROINSUMOSCENTRAL"&amp;Tabla_Buffers_Agroinsumos[[#This Row],[CODIGO ]],TABLACONSOLIDADA[Bodega]&amp;TABLACONSOLIDADA[Codigo],0)),"")</f>
        <v/>
      </c>
      <c r="AD386" s="111" t="str">
        <f t="array" ref="AD386">IFERROR(INDEX(TABLACONSOLIDADA[Inv Fís Act],MATCH("AGROINSUMOSCENTRAL"&amp;Tabla_Buffers_Agroinsumos[[#This Row],[CODIGO ]],TABLACONSOLIDADA[Bodega]&amp;TABLACONSOLIDADA[Codigo],0)),"")</f>
        <v/>
      </c>
      <c r="AE386" s="178" t="str">
        <f t="array" ref="AE38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86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86" s="153">
        <f>IFERROR(SUM(Tabla_Buffers_Agroinsumos[[#This Row],[C-MP]:[C-VL]]),"")</f>
        <v>0</v>
      </c>
      <c r="AH386" s="154" t="str">
        <f>IFERROR(Tabla_Buffers_Agroinsumos[[#This Row],[INV FIS CENTRAL]]-Tabla_Buffers_Agroinsumos[[#This Row],[BUFFER CENTRAL]],"")</f>
        <v/>
      </c>
      <c r="AI386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86" s="135"/>
      <c r="AK386" s="135"/>
      <c r="AL386" s="135"/>
      <c r="AM386" s="135"/>
      <c r="AN386" s="135"/>
      <c r="AO386" s="135"/>
      <c r="AP386" s="135"/>
      <c r="AQ386" s="135"/>
      <c r="AR386" s="135"/>
      <c r="AS386" s="135" t="str">
        <f t="array" ref="AS386">IFERROR(INDEX(TABLACONSOLIDADA[Buff Act],MATCH("AGROINSUMOScentralPROPIA"&amp;Tabla_Buffers_Agroinsumos[[#This Row],[CODIGO ]],TABLACONSOLIDADA[Bodega]&amp;TABLACONSOLIDADA[Codigo],0)),"")</f>
        <v/>
      </c>
      <c r="AT386" s="111" t="str">
        <f t="array" ref="AT386">IFERROR(INDEX(TABLACONSOLIDADA[Inv Fís Act],MATCH("AGROINSUMOScentralPROPIA"&amp;Tabla_Buffers_Agroinsumos[[#This Row],[CODIGO ]],TABLACONSOLIDADA[Bodega]&amp;TABLACONSOLIDADA[Codigo],0)),"")</f>
        <v/>
      </c>
      <c r="AU386" s="178" t="str">
        <f t="array" ref="AU38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86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86" s="135">
        <f>IFERROR(SUM(Tabla_Buffers_Agroinsumos[[#This Row],[P-MP]:[P-VL]]),"")</f>
        <v>0</v>
      </c>
      <c r="AX386" s="154" t="str">
        <f>IFERROR(Tabla_Buffers_Agroinsumos[[#This Row],[INV FIS PROPIA]]-Tabla_Buffers_Agroinsumos[[#This Row],[BUFFER PROPIA]],"")</f>
        <v/>
      </c>
      <c r="AY386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86" s="135"/>
      <c r="BA386" s="135"/>
      <c r="BB386" s="135"/>
      <c r="BC386" s="135"/>
      <c r="BD386" s="135"/>
      <c r="BE386" s="135"/>
      <c r="BF386" s="135"/>
      <c r="BG386" s="135"/>
      <c r="BH386" s="135"/>
      <c r="BI386" s="153" t="str">
        <f t="array" ref="BI386">IFERROR(INDEX(TABLACONSOLIDADA[Buff Act],MATCH("AGROINSUMOSSTODOMINGO"&amp;Tabla_Buffers_Agroinsumos[[#This Row],[CODIGO ]],TABLACONSOLIDADA[Bodega]&amp;TABLACONSOLIDADA[Codigo],0)),"")</f>
        <v/>
      </c>
      <c r="BJ386" s="111" t="str">
        <f t="array" ref="BJ386">IFERROR(INDEX(TABLACONSOLIDADA[Inv Fís Act],MATCH("AGROINSUMOSSTODOMINGO"&amp;Tabla_Buffers_Agroinsumos[[#This Row],[CODIGO ]],TABLACONSOLIDADA[Bodega]&amp;TABLACONSOLIDADA[Codigo],0)),"")</f>
        <v/>
      </c>
      <c r="BK386" s="178" t="str">
        <f t="array" ref="BK38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86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86" s="153">
        <f>IFERROR(SUM(Tabla_Buffers_Agroinsumos[[#This Row],[SD-MP]:[SD-VL]]),"")</f>
        <v>0</v>
      </c>
      <c r="BN386" s="154"/>
      <c r="BO386" s="154"/>
      <c r="BP386" s="135"/>
      <c r="BQ386" s="135"/>
      <c r="BR386" s="135"/>
      <c r="BS386" s="135"/>
      <c r="BT386" s="135"/>
      <c r="BU386" s="135"/>
      <c r="BV386" s="135"/>
      <c r="BW386" s="135"/>
      <c r="BX386" s="135"/>
      <c r="BY386" s="135" t="str">
        <f t="array" ref="BY386">IFERROR(INDEX(TABLACONSOLIDADA[Buff Act],MATCH("AGROINSUMOSMONCAYOLOPEZ"&amp;Tabla_Buffers_Agroinsumos[[#This Row],[CODIGO ]],TABLACONSOLIDADA[Bodega]&amp;TABLACONSOLIDADA[Codigo],0)),"")</f>
        <v/>
      </c>
      <c r="BZ386" s="111" t="str">
        <f t="array" ref="BZ386">IFERROR(INDEX(TABLACONSOLIDADA[Inv Fís Act],MATCH("AGROINSUMOSMONCAYOLOPEZ"&amp;Tabla_Buffers_Agroinsumos[[#This Row],[CODIGO ]],TABLACONSOLIDADA[Bodega]&amp;TABLACONSOLIDADA[Codigo],0)),"")</f>
        <v/>
      </c>
      <c r="CA386" s="178" t="str">
        <f t="array" ref="CA38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86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86" s="135">
        <f>IFERROR(SUM(Tabla_Buffers_Agroinsumos[[#This Row],[ML-MP]:[ML-VL]]),"")</f>
        <v>0</v>
      </c>
      <c r="CD386" s="154" t="str">
        <f>IFERROR(Tabla_Buffers_Agroinsumos[[#This Row],[INV FIS ML]]-Tabla_Buffers_Agroinsumos[[#This Row],[BUFFER ML]],"")</f>
        <v/>
      </c>
      <c r="CE386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86" s="135"/>
      <c r="CG386" s="135"/>
      <c r="CH386" s="135"/>
      <c r="CI386" s="135"/>
      <c r="CJ386" s="135"/>
      <c r="CK386" s="135"/>
      <c r="CL386" s="135"/>
      <c r="CM386" s="135"/>
      <c r="CN386" s="135"/>
      <c r="CO386" s="135" t="str">
        <f t="array" ref="CO386">IFERROR(INDEX(TABLACONSOLIDADA[Buff Act],MATCH("AGROINSUMOSAGROHERMANOSLEON"&amp;Tabla_Buffers_Agroinsumos[[#This Row],[CODIGO ]],TABLACONSOLIDADA[Bodega]&amp;TABLACONSOLIDADA[Codigo],0)),"")</f>
        <v/>
      </c>
      <c r="CP386" s="111" t="str">
        <f t="array" ref="CP386">IFERROR(INDEX(TABLACONSOLIDADA[Inv Fís Act],MATCH("AGROINSUMOSAGROHERMANOSLEON"&amp;Tabla_Buffers_Agroinsumos[[#This Row],[CODIGO ]],TABLACONSOLIDADA[Bodega]&amp;TABLACONSOLIDADA[Codigo],0)),"")</f>
        <v/>
      </c>
      <c r="CQ386" s="178" t="str">
        <f t="array" ref="CQ38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86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86" s="135">
        <f>IFERROR(SUM(Tabla_Buffers_Agroinsumos[[#This Row],[AL-MP]:[AL-VL]]),"")</f>
        <v>0</v>
      </c>
      <c r="CT386" s="154" t="str">
        <f>IFERROR(Tabla_Buffers_Agroinsumos[[#This Row],[INV FIS AL]]-Tabla_Buffers_Agroinsumos[[#This Row],[BUFFER AL]],"")</f>
        <v/>
      </c>
      <c r="CU386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86" s="135"/>
      <c r="CW386" s="135"/>
      <c r="CX386" s="135"/>
      <c r="CY386" s="135"/>
      <c r="CZ386" s="135"/>
      <c r="DA386" s="135"/>
      <c r="DB386" s="135"/>
      <c r="DC386" s="135"/>
      <c r="DD386" s="135"/>
      <c r="DE386" s="135" t="str">
        <f t="array" ref="DE386">IFERROR(INDEX(TABLACONSOLIDADA[Buff Act],MATCH("AGROINSUMOSAGRONUEVO"&amp;Tabla_Buffers_Agroinsumos[[#This Row],[CODIGO ]],TABLACONSOLIDADA[Bodega]&amp;TABLACONSOLIDADA[Codigo],0)),"")</f>
        <v/>
      </c>
      <c r="DF386" s="111" t="str">
        <f t="array" ref="DF386">IFERROR(INDEX(TABLACONSOLIDADA[Inv Fís Act],MATCH("AGROINSUMOSAGRONUEVO"&amp;Tabla_Buffers_Agroinsumos[[#This Row],[CODIGO ]],TABLACONSOLIDADA[Bodega]&amp;TABLACONSOLIDADA[Codigo],0)),"")</f>
        <v/>
      </c>
      <c r="DG386" s="178" t="str">
        <f t="array" ref="DG38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86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86" s="135">
        <f>IFERROR(SUM(Tabla_Buffers_Agroinsumos[[#This Row],[AN-MP]:[AN-VL]]),"")</f>
        <v>0</v>
      </c>
      <c r="DJ386" s="154" t="str">
        <f>IFERROR(Tabla_Buffers_Agroinsumos[[#This Row],[INV FIS AN]]-Tabla_Buffers_Agroinsumos[[#This Row],[BUFFER AN]],"")</f>
        <v/>
      </c>
      <c r="DK386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86" s="135"/>
      <c r="DM386" s="135"/>
      <c r="DN386" s="135"/>
      <c r="DO386" s="135"/>
      <c r="DP386" s="135"/>
      <c r="DQ386" s="135"/>
      <c r="DR386" s="135"/>
      <c r="DS386" s="135"/>
      <c r="DT386" s="135"/>
      <c r="DU386" s="135" t="str">
        <f t="array" ref="DU386">IFERROR(INDEX(TABLACONSOLIDADA[Buff Act],MATCH("AGROINSUMOSAGROQUIMICOSSUR"&amp;Tabla_Buffers_Agroinsumos[[#This Row],[CODIGO ]],TABLACONSOLIDADA[Bodega]&amp;TABLACONSOLIDADA[Codigo],0)),"")</f>
        <v/>
      </c>
      <c r="DV386" s="111" t="str">
        <f t="array" ref="DV386">IFERROR(INDEX(TABLACONSOLIDADA[Inv Fís Act],MATCH("AGROINSUMOSAGROQUIMICOSSUR"&amp;Tabla_Buffers_Agroinsumos[[#This Row],[CODIGO ]],TABLACONSOLIDADA[Bodega]&amp;TABLACONSOLIDADA[Codigo],0)),"")</f>
        <v/>
      </c>
      <c r="DW386" s="178" t="str">
        <f t="array" ref="DW38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86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86" s="135">
        <f>IFERROR(SUM(Tabla_Buffers_Agroinsumos[[#This Row],[AS-MP]:[AS-VL]]),"")</f>
        <v>0</v>
      </c>
      <c r="DZ386" s="154" t="str">
        <f>IFERROR(Tabla_Buffers_Agroinsumos[[#This Row],[INV FIS AS]]-Tabla_Buffers_Agroinsumos[[#This Row],[BUFFER AS]],"")</f>
        <v/>
      </c>
      <c r="EA386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86" s="135"/>
      <c r="EC386" s="135"/>
      <c r="ED386" s="135"/>
      <c r="EE386" s="135"/>
      <c r="EF386" s="135"/>
      <c r="EG386" s="135"/>
      <c r="EH386" s="135"/>
      <c r="EI386" s="135"/>
      <c r="EJ386" s="135"/>
      <c r="EK386" s="135" t="str">
        <f t="array" ref="EK386">IFERROR(INDEX(TABLACONSOLIDADA[Buff Act],MATCH("AGROINSUMOSLAFINCA"&amp;Tabla_Buffers_Agroinsumos[[#This Row],[CODIGO ]],TABLACONSOLIDADA[Bodega]&amp;TABLACONSOLIDADA[Codigo],0)),"")</f>
        <v/>
      </c>
      <c r="EL386" s="111" t="str">
        <f t="array" ref="EL386">IFERROR(INDEX(TABLACONSOLIDADA[Inv Fís Act],MATCH("AGROINSUMOSLAFINCA"&amp;Tabla_Buffers_Agroinsumos[[#This Row],[CODIGO ]],TABLACONSOLIDADA[Bodega]&amp;TABLACONSOLIDADA[Codigo],0)),"")</f>
        <v/>
      </c>
      <c r="EM386" s="178" t="str">
        <f t="array" ref="EM38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86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86" s="135">
        <f>IFERROR(SUM(Tabla_Buffers_Agroinsumos[[#This Row],[LF-MP]:[LF-VL]]),"")</f>
        <v>0</v>
      </c>
      <c r="EP386" s="154" t="str">
        <f>IFERROR(Tabla_Buffers_Agroinsumos[[#This Row],[INV FIS LF]]-Tabla_Buffers_Agroinsumos[[#This Row],[BUFFER LF]],"")</f>
        <v/>
      </c>
      <c r="EQ386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86" s="135"/>
      <c r="ES386" s="135"/>
      <c r="ET386" s="135"/>
      <c r="EU386" s="135"/>
      <c r="EV386" s="135"/>
      <c r="EW386" s="135"/>
      <c r="EX386" s="135"/>
      <c r="EY386" s="135"/>
      <c r="EZ386" s="135"/>
      <c r="FA386" s="135" t="str">
        <f t="array" ref="FA386">IFERROR(INDEX(TABLACONSOLIDADA[Buff Act],MATCH("AGROINSUMOSVERONICALEDESMA"&amp;Tabla_Buffers_Agroinsumos[[#This Row],[CODIGO ]],TABLACONSOLIDADA[Bodega]&amp;TABLACONSOLIDADA[Codigo],0)),"")</f>
        <v/>
      </c>
      <c r="FB386" s="111" t="str">
        <f t="array" ref="FB386">IFERROR(INDEX(TABLACONSOLIDADA[Inv Fís Act],MATCH("AGROINSUMOSVERONICALEDESMA"&amp;Tabla_Buffers_Agroinsumos[[#This Row],[CODIGO ]],TABLACONSOLIDADA[Bodega]&amp;TABLACONSOLIDADA[Codigo],0)),"")</f>
        <v/>
      </c>
      <c r="FC386" s="178" t="str">
        <f t="array" ref="FC38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86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86" s="135">
        <f>IFERROR(SUM(Tabla_Buffers_Agroinsumos[[#This Row],[VL-MP]:[VL-LF]]),"")</f>
        <v>0</v>
      </c>
      <c r="FF386" s="154" t="str">
        <f>IFERROR(Tabla_Buffers_Agroinsumos[[#This Row],[INV FIS VL]]-Tabla_Buffers_Agroinsumos[[#This Row],[BUFFER VL]],"")</f>
        <v/>
      </c>
      <c r="FG386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86" s="135"/>
      <c r="FI386" s="135"/>
      <c r="FJ386" s="135"/>
      <c r="FK386" s="135"/>
      <c r="FL386" s="135"/>
      <c r="FM386" s="135"/>
      <c r="FN386" s="135"/>
      <c r="FO386" s="135"/>
      <c r="FP386" s="135"/>
    </row>
    <row r="387" spans="1:172">
      <c r="A387" s="20" t="s">
        <v>1172</v>
      </c>
      <c r="B387" s="20" t="s">
        <v>1205</v>
      </c>
      <c r="C387" s="20" t="s">
        <v>707</v>
      </c>
      <c r="D387" s="20" t="s">
        <v>761</v>
      </c>
      <c r="E387" s="20" t="s">
        <v>863</v>
      </c>
      <c r="F387" s="111" t="s">
        <v>804</v>
      </c>
      <c r="G387" s="111" t="s">
        <v>802</v>
      </c>
      <c r="H387" s="111">
        <f>VLOOKUP(Tabla_Buffers_Agroinsumos[[#This Row],[CODIGO ]],TABLACONSOLIDADA[[Codigo]:[PV]],6,0)</f>
        <v>0</v>
      </c>
      <c r="I387" s="111">
        <f>VLOOKUP(Tabla_Buffers_Agroinsumos[[#This Row],[CODIGO ]],TABLACONSOLIDADA[[Codigo]:[PV]],5,0)</f>
        <v>0.35</v>
      </c>
      <c r="J387" s="111"/>
      <c r="K387" s="111"/>
      <c r="L387" s="111">
        <f>IFERROR(Tabla_Buffers_Agroinsumos[[#This Row],[BUFFER CENTRAL]]/((Tabla_Buffers_Agroinsumos[[#This Row],[TIEMPO REPOSICION ]]/Tabla_Buffers_Agroinsumos[[#This Row],[FRECUENCIA]])+1),0)</f>
        <v>0</v>
      </c>
      <c r="M387" s="111">
        <v>600</v>
      </c>
      <c r="N387" s="111">
        <f t="array" ref="N387">IFERROR(INDEX(TABLACONSOLIDADA[Inv Fís Act],MATCH("AGROINSUMOSMATERIAPRIMA"&amp;Tabla_Buffers_Agroinsumos[[#This Row],[CODIGO ]],TABLACONSOLIDADA[Bodega]&amp;TABLACONSOLIDADA[Codigo],0)),"")</f>
        <v>938</v>
      </c>
      <c r="O387" s="175">
        <f t="array" ref="O38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938</v>
      </c>
      <c r="P387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87" s="111">
        <f>IFERROR(SUM(Tabla_Buffers_Agroinsumos[[#This Row],[MP-C]:[MP-VL]]),"")</f>
        <v>0</v>
      </c>
      <c r="R387" s="154">
        <f>IFERROR(Tabla_Buffers_Agroinsumos[[#This Row],[INV FIS MATERIA PRIMA]]-Tabla_Buffers_Agroinsumos[[#This Row],[BUFFER MATERIA PRIMA]],"")</f>
        <v>338</v>
      </c>
      <c r="S387" s="154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338</v>
      </c>
      <c r="T387" s="111"/>
      <c r="U387" s="111"/>
      <c r="V387" s="111"/>
      <c r="W387" s="111"/>
      <c r="X387" s="111"/>
      <c r="Y387" s="111"/>
      <c r="Z387" s="111"/>
      <c r="AA387" s="111"/>
      <c r="AB387" s="111"/>
      <c r="AC387" s="135" t="str">
        <f t="array" ref="AC387">IFERROR(INDEX(TABLACONSOLIDADA[Buff Act],MATCH("AGROINSUMOSCENTRAL"&amp;Tabla_Buffers_Agroinsumos[[#This Row],[CODIGO ]],TABLACONSOLIDADA[Bodega]&amp;TABLACONSOLIDADA[Codigo],0)),"")</f>
        <v/>
      </c>
      <c r="AD387" s="111" t="str">
        <f t="array" ref="AD387">IFERROR(INDEX(TABLACONSOLIDADA[Inv Fís Act],MATCH("AGROINSUMOSCENTRAL"&amp;Tabla_Buffers_Agroinsumos[[#This Row],[CODIGO ]],TABLACONSOLIDADA[Bodega]&amp;TABLACONSOLIDADA[Codigo],0)),"")</f>
        <v/>
      </c>
      <c r="AE387" s="175" t="str">
        <f t="array" ref="AE38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87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87" s="153">
        <f>IFERROR(SUM(Tabla_Buffers_Agroinsumos[[#This Row],[C-MP]:[C-VL]]),"")</f>
        <v>0</v>
      </c>
      <c r="AH387" s="154" t="str">
        <f>IFERROR(Tabla_Buffers_Agroinsumos[[#This Row],[INV FIS CENTRAL]]-Tabla_Buffers_Agroinsumos[[#This Row],[BUFFER CENTRAL]],"")</f>
        <v/>
      </c>
      <c r="AI387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87" s="135"/>
      <c r="AK387" s="135"/>
      <c r="AL387" s="135"/>
      <c r="AM387" s="135"/>
      <c r="AN387" s="135"/>
      <c r="AO387" s="135"/>
      <c r="AP387" s="135"/>
      <c r="AQ387" s="135"/>
      <c r="AR387" s="135"/>
      <c r="AS387" s="135" t="str">
        <f t="array" ref="AS387">IFERROR(INDEX(TABLACONSOLIDADA[Buff Act],MATCH("AGROINSUMOScentralPROPIA"&amp;Tabla_Buffers_Agroinsumos[[#This Row],[CODIGO ]],TABLACONSOLIDADA[Bodega]&amp;TABLACONSOLIDADA[Codigo],0)),"")</f>
        <v/>
      </c>
      <c r="AT387" s="111" t="str">
        <f t="array" ref="AT387">IFERROR(INDEX(TABLACONSOLIDADA[Inv Fís Act],MATCH("AGROINSUMOScentralPROPIA"&amp;Tabla_Buffers_Agroinsumos[[#This Row],[CODIGO ]],TABLACONSOLIDADA[Bodega]&amp;TABLACONSOLIDADA[Codigo],0)),"")</f>
        <v/>
      </c>
      <c r="AU387" s="175" t="str">
        <f t="array" ref="AU38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87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87" s="135">
        <f>IFERROR(SUM(Tabla_Buffers_Agroinsumos[[#This Row],[P-MP]:[P-VL]]),"")</f>
        <v>0</v>
      </c>
      <c r="AX387" s="154" t="str">
        <f>IFERROR(Tabla_Buffers_Agroinsumos[[#This Row],[INV FIS PROPIA]]-Tabla_Buffers_Agroinsumos[[#This Row],[BUFFER PROPIA]],"")</f>
        <v/>
      </c>
      <c r="AY387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87" s="135"/>
      <c r="BA387" s="135"/>
      <c r="BB387" s="135"/>
      <c r="BC387" s="135"/>
      <c r="BD387" s="135"/>
      <c r="BE387" s="135"/>
      <c r="BF387" s="135"/>
      <c r="BG387" s="135"/>
      <c r="BH387" s="135"/>
      <c r="BI387" s="153" t="str">
        <f t="array" ref="BI387">IFERROR(INDEX(TABLACONSOLIDADA[Buff Act],MATCH("AGROINSUMOSSTODOMINGO"&amp;Tabla_Buffers_Agroinsumos[[#This Row],[CODIGO ]],TABLACONSOLIDADA[Bodega]&amp;TABLACONSOLIDADA[Codigo],0)),"")</f>
        <v/>
      </c>
      <c r="BJ387" s="111" t="str">
        <f t="array" ref="BJ387">IFERROR(INDEX(TABLACONSOLIDADA[Inv Fís Act],MATCH("AGROINSUMOSSTODOMINGO"&amp;Tabla_Buffers_Agroinsumos[[#This Row],[CODIGO ]],TABLACONSOLIDADA[Bodega]&amp;TABLACONSOLIDADA[Codigo],0)),"")</f>
        <v/>
      </c>
      <c r="BK387" s="175" t="str">
        <f t="array" ref="BK38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87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87" s="153">
        <f>IFERROR(SUM(Tabla_Buffers_Agroinsumos[[#This Row],[SD-MP]:[SD-VL]]),"")</f>
        <v>0</v>
      </c>
      <c r="BN387" s="154"/>
      <c r="BO387" s="154"/>
      <c r="BP387" s="135"/>
      <c r="BQ387" s="135"/>
      <c r="BR387" s="135"/>
      <c r="BS387" s="135"/>
      <c r="BT387" s="135"/>
      <c r="BU387" s="135"/>
      <c r="BV387" s="135"/>
      <c r="BW387" s="135"/>
      <c r="BX387" s="135"/>
      <c r="BY387" s="135" t="str">
        <f t="array" ref="BY387">IFERROR(INDEX(TABLACONSOLIDADA[Buff Act],MATCH("AGROINSUMOSMONCAYOLOPEZ"&amp;Tabla_Buffers_Agroinsumos[[#This Row],[CODIGO ]],TABLACONSOLIDADA[Bodega]&amp;TABLACONSOLIDADA[Codigo],0)),"")</f>
        <v/>
      </c>
      <c r="BZ387" s="111" t="str">
        <f t="array" ref="BZ387">IFERROR(INDEX(TABLACONSOLIDADA[Inv Fís Act],MATCH("AGROINSUMOSMONCAYOLOPEZ"&amp;Tabla_Buffers_Agroinsumos[[#This Row],[CODIGO ]],TABLACONSOLIDADA[Bodega]&amp;TABLACONSOLIDADA[Codigo],0)),"")</f>
        <v/>
      </c>
      <c r="CA387" s="175" t="str">
        <f t="array" ref="CA38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87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87" s="135">
        <f>IFERROR(SUM(Tabla_Buffers_Agroinsumos[[#This Row],[ML-MP]:[ML-VL]]),"")</f>
        <v>0</v>
      </c>
      <c r="CD387" s="154" t="str">
        <f>IFERROR(Tabla_Buffers_Agroinsumos[[#This Row],[INV FIS ML]]-Tabla_Buffers_Agroinsumos[[#This Row],[BUFFER ML]],"")</f>
        <v/>
      </c>
      <c r="CE387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87" s="135"/>
      <c r="CG387" s="135"/>
      <c r="CH387" s="135"/>
      <c r="CI387" s="135"/>
      <c r="CJ387" s="135"/>
      <c r="CK387" s="135"/>
      <c r="CL387" s="135"/>
      <c r="CM387" s="135"/>
      <c r="CN387" s="135"/>
      <c r="CO387" s="135" t="str">
        <f t="array" ref="CO387">IFERROR(INDEX(TABLACONSOLIDADA[Buff Act],MATCH("AGROINSUMOSAGROHERMANOSLEON"&amp;Tabla_Buffers_Agroinsumos[[#This Row],[CODIGO ]],TABLACONSOLIDADA[Bodega]&amp;TABLACONSOLIDADA[Codigo],0)),"")</f>
        <v/>
      </c>
      <c r="CP387" s="111" t="str">
        <f t="array" ref="CP387">IFERROR(INDEX(TABLACONSOLIDADA[Inv Fís Act],MATCH("AGROINSUMOSAGROHERMANOSLEON"&amp;Tabla_Buffers_Agroinsumos[[#This Row],[CODIGO ]],TABLACONSOLIDADA[Bodega]&amp;TABLACONSOLIDADA[Codigo],0)),"")</f>
        <v/>
      </c>
      <c r="CQ387" s="175" t="str">
        <f t="array" ref="CQ38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87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87" s="135">
        <f>IFERROR(SUM(Tabla_Buffers_Agroinsumos[[#This Row],[AL-MP]:[AL-VL]]),"")</f>
        <v>0</v>
      </c>
      <c r="CT387" s="154" t="str">
        <f>IFERROR(Tabla_Buffers_Agroinsumos[[#This Row],[INV FIS AL]]-Tabla_Buffers_Agroinsumos[[#This Row],[BUFFER AL]],"")</f>
        <v/>
      </c>
      <c r="CU387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87" s="135"/>
      <c r="CW387" s="135"/>
      <c r="CX387" s="135"/>
      <c r="CY387" s="135"/>
      <c r="CZ387" s="135"/>
      <c r="DA387" s="135"/>
      <c r="DB387" s="135"/>
      <c r="DC387" s="135"/>
      <c r="DD387" s="135"/>
      <c r="DE387" s="135" t="str">
        <f t="array" ref="DE387">IFERROR(INDEX(TABLACONSOLIDADA[Buff Act],MATCH("AGROINSUMOSAGRONUEVO"&amp;Tabla_Buffers_Agroinsumos[[#This Row],[CODIGO ]],TABLACONSOLIDADA[Bodega]&amp;TABLACONSOLIDADA[Codigo],0)),"")</f>
        <v/>
      </c>
      <c r="DF387" s="111" t="str">
        <f t="array" ref="DF387">IFERROR(INDEX(TABLACONSOLIDADA[Inv Fís Act],MATCH("AGROINSUMOSAGRONUEVO"&amp;Tabla_Buffers_Agroinsumos[[#This Row],[CODIGO ]],TABLACONSOLIDADA[Bodega]&amp;TABLACONSOLIDADA[Codigo],0)),"")</f>
        <v/>
      </c>
      <c r="DG387" s="175" t="str">
        <f t="array" ref="DG38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87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87" s="135">
        <f>IFERROR(SUM(Tabla_Buffers_Agroinsumos[[#This Row],[AN-MP]:[AN-VL]]),"")</f>
        <v>0</v>
      </c>
      <c r="DJ387" s="154" t="str">
        <f>IFERROR(Tabla_Buffers_Agroinsumos[[#This Row],[INV FIS AN]]-Tabla_Buffers_Agroinsumos[[#This Row],[BUFFER AN]],"")</f>
        <v/>
      </c>
      <c r="DK387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87" s="135"/>
      <c r="DM387" s="135"/>
      <c r="DN387" s="135"/>
      <c r="DO387" s="135"/>
      <c r="DP387" s="135"/>
      <c r="DQ387" s="135"/>
      <c r="DR387" s="135"/>
      <c r="DS387" s="135"/>
      <c r="DT387" s="135"/>
      <c r="DU387" s="135" t="str">
        <f t="array" ref="DU387">IFERROR(INDEX(TABLACONSOLIDADA[Buff Act],MATCH("AGROINSUMOSAGROQUIMICOSSUR"&amp;Tabla_Buffers_Agroinsumos[[#This Row],[CODIGO ]],TABLACONSOLIDADA[Bodega]&amp;TABLACONSOLIDADA[Codigo],0)),"")</f>
        <v/>
      </c>
      <c r="DV387" s="111" t="str">
        <f t="array" ref="DV387">IFERROR(INDEX(TABLACONSOLIDADA[Inv Fís Act],MATCH("AGROINSUMOSAGROQUIMICOSSUR"&amp;Tabla_Buffers_Agroinsumos[[#This Row],[CODIGO ]],TABLACONSOLIDADA[Bodega]&amp;TABLACONSOLIDADA[Codigo],0)),"")</f>
        <v/>
      </c>
      <c r="DW387" s="175" t="str">
        <f t="array" ref="DW38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87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87" s="135">
        <f>IFERROR(SUM(Tabla_Buffers_Agroinsumos[[#This Row],[AS-MP]:[AS-VL]]),"")</f>
        <v>0</v>
      </c>
      <c r="DZ387" s="154" t="str">
        <f>IFERROR(Tabla_Buffers_Agroinsumos[[#This Row],[INV FIS AS]]-Tabla_Buffers_Agroinsumos[[#This Row],[BUFFER AS]],"")</f>
        <v/>
      </c>
      <c r="EA387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87" s="135"/>
      <c r="EC387" s="135"/>
      <c r="ED387" s="135"/>
      <c r="EE387" s="135"/>
      <c r="EF387" s="135"/>
      <c r="EG387" s="135"/>
      <c r="EH387" s="135"/>
      <c r="EI387" s="135"/>
      <c r="EJ387" s="135"/>
      <c r="EK387" s="135" t="str">
        <f t="array" ref="EK387">IFERROR(INDEX(TABLACONSOLIDADA[Buff Act],MATCH("AGROINSUMOSLAFINCA"&amp;Tabla_Buffers_Agroinsumos[[#This Row],[CODIGO ]],TABLACONSOLIDADA[Bodega]&amp;TABLACONSOLIDADA[Codigo],0)),"")</f>
        <v/>
      </c>
      <c r="EL387" s="111" t="str">
        <f t="array" ref="EL387">IFERROR(INDEX(TABLACONSOLIDADA[Inv Fís Act],MATCH("AGROINSUMOSLAFINCA"&amp;Tabla_Buffers_Agroinsumos[[#This Row],[CODIGO ]],TABLACONSOLIDADA[Bodega]&amp;TABLACONSOLIDADA[Codigo],0)),"")</f>
        <v/>
      </c>
      <c r="EM387" s="175" t="str">
        <f t="array" ref="EM38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87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87" s="135">
        <f>IFERROR(SUM(Tabla_Buffers_Agroinsumos[[#This Row],[LF-MP]:[LF-VL]]),"")</f>
        <v>0</v>
      </c>
      <c r="EP387" s="154" t="str">
        <f>IFERROR(Tabla_Buffers_Agroinsumos[[#This Row],[INV FIS LF]]-Tabla_Buffers_Agroinsumos[[#This Row],[BUFFER LF]],"")</f>
        <v/>
      </c>
      <c r="EQ387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87" s="135"/>
      <c r="ES387" s="135"/>
      <c r="ET387" s="135"/>
      <c r="EU387" s="135"/>
      <c r="EV387" s="135"/>
      <c r="EW387" s="135"/>
      <c r="EX387" s="135"/>
      <c r="EY387" s="135"/>
      <c r="EZ387" s="135"/>
      <c r="FA387" s="135" t="str">
        <f t="array" ref="FA387">IFERROR(INDEX(TABLACONSOLIDADA[Buff Act],MATCH("AGROINSUMOSVERONICALEDESMA"&amp;Tabla_Buffers_Agroinsumos[[#This Row],[CODIGO ]],TABLACONSOLIDADA[Bodega]&amp;TABLACONSOLIDADA[Codigo],0)),"")</f>
        <v/>
      </c>
      <c r="FB387" s="111" t="str">
        <f t="array" ref="FB387">IFERROR(INDEX(TABLACONSOLIDADA[Inv Fís Act],MATCH("AGROINSUMOSVERONICALEDESMA"&amp;Tabla_Buffers_Agroinsumos[[#This Row],[CODIGO ]],TABLACONSOLIDADA[Bodega]&amp;TABLACONSOLIDADA[Codigo],0)),"")</f>
        <v/>
      </c>
      <c r="FC387" s="175" t="str">
        <f t="array" ref="FC38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87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87" s="135">
        <f>IFERROR(SUM(Tabla_Buffers_Agroinsumos[[#This Row],[VL-MP]:[VL-LF]]),"")</f>
        <v>0</v>
      </c>
      <c r="FF387" s="154" t="str">
        <f>IFERROR(Tabla_Buffers_Agroinsumos[[#This Row],[INV FIS VL]]-Tabla_Buffers_Agroinsumos[[#This Row],[BUFFER VL]],"")</f>
        <v/>
      </c>
      <c r="FG387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87" s="135"/>
      <c r="FI387" s="135"/>
      <c r="FJ387" s="135"/>
      <c r="FK387" s="135"/>
      <c r="FL387" s="135"/>
      <c r="FM387" s="135"/>
      <c r="FN387" s="135"/>
      <c r="FO387" s="135"/>
      <c r="FP387" s="135"/>
    </row>
    <row r="388" spans="1:172">
      <c r="A388" s="7" t="s">
        <v>647</v>
      </c>
      <c r="B388" s="7" t="s">
        <v>648</v>
      </c>
      <c r="C388" s="7" t="s">
        <v>708</v>
      </c>
      <c r="D388" s="7" t="s">
        <v>715</v>
      </c>
      <c r="E388" s="7" t="s">
        <v>975</v>
      </c>
      <c r="F388" s="19" t="s">
        <v>698</v>
      </c>
      <c r="G388" s="19" t="s">
        <v>698</v>
      </c>
      <c r="H388" s="19">
        <f>VLOOKUP(Tabla_Buffers_Agroinsumos[[#This Row],[CODIGO ]],TABLACONSOLIDADA[[Codigo]:[PV]],6,0)</f>
        <v>24.9</v>
      </c>
      <c r="I388" s="19">
        <f>VLOOKUP(Tabla_Buffers_Agroinsumos[[#This Row],[CODIGO ]],TABLACONSOLIDADA[[Codigo]:[PV]],5,0)</f>
        <v>10.039999999999999</v>
      </c>
      <c r="J388" s="19" t="s">
        <v>698</v>
      </c>
      <c r="K388" s="19" t="s">
        <v>698</v>
      </c>
      <c r="L388" s="19">
        <f>IFERROR(Tabla_Buffers_Agroinsumos[[#This Row],[BUFFER CENTRAL]]/((Tabla_Buffers_Agroinsumos[[#This Row],[TIEMPO REPOSICION ]]/Tabla_Buffers_Agroinsumos[[#This Row],[FRECUENCIA]])+1),0)</f>
        <v>0</v>
      </c>
      <c r="M388" s="19" t="str">
        <f t="array" ref="M388">IFERROR(INDEX(TABLACONSOLIDADA[Buff Act],MATCH("AGROINSUMOSMATERIAPRIMA"&amp;Tabla_Buffers_Agroinsumos[[#This Row],[CODIGO ]],TABLACONSOLIDADA[Bodega]&amp;TABLACONSOLIDADA[Codigo],0)),"")</f>
        <v/>
      </c>
      <c r="N388" s="157" t="str">
        <f t="array" ref="N388">IFERROR(INDEX(TABLACONSOLIDADA[Inv Fís Act],MATCH("AGROINSUMOSMATERIAPRIMA"&amp;Tabla_Buffers_Agroinsumos[[#This Row],[CODIGO ]],TABLACONSOLIDADA[Bodega]&amp;TABLACONSOLIDADA[Codigo],0)),"")</f>
        <v/>
      </c>
      <c r="O388" s="157" t="str">
        <f t="array" ref="O38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8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88" s="19">
        <f>IFERROR(SUM(Tabla_Buffers_Agroinsumos[[#This Row],[MP-C]:[MP-VL]]),"")</f>
        <v>0</v>
      </c>
      <c r="R388" s="92" t="str">
        <f>IFERROR(Tabla_Buffers_Agroinsumos[[#This Row],[INV FIS MATERIA PRIMA]]-Tabla_Buffers_Agroinsumos[[#This Row],[BUFFER MATERIA PRIMA]],"")</f>
        <v/>
      </c>
      <c r="S38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88" s="19"/>
      <c r="U388" s="19"/>
      <c r="V388" s="19"/>
      <c r="W388" s="19"/>
      <c r="X388" s="19"/>
      <c r="Y388" s="19"/>
      <c r="Z388" s="19"/>
      <c r="AA388" s="19"/>
      <c r="AB388" s="19"/>
      <c r="AC388" s="135">
        <f t="array" ref="AC388">IFERROR(INDEX(TABLACONSOLIDADA[Buff Act],MATCH("AGROINSUMOSCENTRAL"&amp;Tabla_Buffers_Agroinsumos[[#This Row],[CODIGO ]],TABLACONSOLIDADA[Bodega]&amp;TABLACONSOLIDADA[Codigo],0)),"")</f>
        <v>800</v>
      </c>
      <c r="AD388" s="157">
        <f t="array" ref="AD388">IFERROR(INDEX(TABLACONSOLIDADA[Inv Fís Act],MATCH("AGROINSUMOSCENTRAL"&amp;Tabla_Buffers_Agroinsumos[[#This Row],[CODIGO ]],TABLACONSOLIDADA[Bodega]&amp;TABLACONSOLIDADA[Codigo],0)),"")</f>
        <v>861</v>
      </c>
      <c r="AE388" s="157">
        <f t="array" ref="AE38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861</v>
      </c>
      <c r="AF38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88" s="91">
        <f>IFERROR(SUM(Tabla_Buffers_Agroinsumos[[#This Row],[C-MP]:[C-VL]]),"")</f>
        <v>0</v>
      </c>
      <c r="AH388" s="92">
        <f>IFERROR(Tabla_Buffers_Agroinsumos[[#This Row],[INV FIS CENTRAL]]-Tabla_Buffers_Agroinsumos[[#This Row],[BUFFER CENTRAL]],"")</f>
        <v>61</v>
      </c>
      <c r="AI38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61</v>
      </c>
      <c r="AJ388" s="134"/>
      <c r="AK388" s="134"/>
      <c r="AL388" s="134"/>
      <c r="AM388" s="134"/>
      <c r="AN388" s="134"/>
      <c r="AO388" s="134"/>
      <c r="AP388" s="134"/>
      <c r="AQ388" s="134"/>
      <c r="AR388" s="134"/>
      <c r="AS388" s="134">
        <f t="array" ref="AS388">IFERROR(INDEX(TABLACONSOLIDADA[Buff Act],MATCH("AGROINSUMOScentralPROPIA"&amp;Tabla_Buffers_Agroinsumos[[#This Row],[CODIGO ]],TABLACONSOLIDADA[Bodega]&amp;TABLACONSOLIDADA[Codigo],0)),"")</f>
        <v>300</v>
      </c>
      <c r="AT388" s="157">
        <f t="array" ref="AT388">IFERROR(INDEX(TABLACONSOLIDADA[Inv Fís Act],MATCH("AGROINSUMOScentralPROPIA"&amp;Tabla_Buffers_Agroinsumos[[#This Row],[CODIGO ]],TABLACONSOLIDADA[Bodega]&amp;TABLACONSOLIDADA[Codigo],0)),"")</f>
        <v>0</v>
      </c>
      <c r="AU388" s="157">
        <f t="array" ref="AU38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8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88" s="134">
        <f>IFERROR(SUM(Tabla_Buffers_Agroinsumos[[#This Row],[P-MP]:[P-VL]]),"")</f>
        <v>0</v>
      </c>
      <c r="AX388" s="92">
        <f>IFERROR(Tabla_Buffers_Agroinsumos[[#This Row],[INV FIS PROPIA]]-Tabla_Buffers_Agroinsumos[[#This Row],[BUFFER PROPIA]],"")</f>
        <v>-300</v>
      </c>
      <c r="AY38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-300</v>
      </c>
      <c r="AZ388" s="134"/>
      <c r="BA388" s="134"/>
      <c r="BB388" s="134"/>
      <c r="BC388" s="134"/>
      <c r="BD388" s="134"/>
      <c r="BE388" s="134"/>
      <c r="BF388" s="134"/>
      <c r="BG388" s="134"/>
      <c r="BH388" s="134"/>
      <c r="BI388" s="91">
        <f t="array" ref="BI388">IFERROR(INDEX(TABLACONSOLIDADA[Buff Act],MATCH("AGROINSUMOSSTODOMINGO"&amp;Tabla_Buffers_Agroinsumos[[#This Row],[CODIGO ]],TABLACONSOLIDADA[Bodega]&amp;TABLACONSOLIDADA[Codigo],0)),"")</f>
        <v>0</v>
      </c>
      <c r="BJ388" s="157">
        <f t="array" ref="BJ388">IFERROR(INDEX(TABLACONSOLIDADA[Inv Fís Act],MATCH("AGROINSUMOSSTODOMINGO"&amp;Tabla_Buffers_Agroinsumos[[#This Row],[CODIGO ]],TABLACONSOLIDADA[Bodega]&amp;TABLACONSOLIDADA[Codigo],0)),"")</f>
        <v>0</v>
      </c>
      <c r="BK388" s="157">
        <f t="array" ref="BK38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8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88" s="91">
        <f>IFERROR(SUM(Tabla_Buffers_Agroinsumos[[#This Row],[SD-MP]:[SD-VL]]),"")</f>
        <v>0</v>
      </c>
      <c r="BN388" s="92"/>
      <c r="BO388" s="92"/>
      <c r="BP388" s="134"/>
      <c r="BQ388" s="134"/>
      <c r="BR388" s="134"/>
      <c r="BS388" s="134"/>
      <c r="BT388" s="134"/>
      <c r="BU388" s="134"/>
      <c r="BV388" s="134"/>
      <c r="BW388" s="134"/>
      <c r="BX388" s="134"/>
      <c r="BY388" s="134">
        <f t="array" ref="BY388">IFERROR(INDEX(TABLACONSOLIDADA[Buff Act],MATCH("AGROINSUMOSMONCAYOLOPEZ"&amp;Tabla_Buffers_Agroinsumos[[#This Row],[CODIGO ]],TABLACONSOLIDADA[Bodega]&amp;TABLACONSOLIDADA[Codigo],0)),"")</f>
        <v>0</v>
      </c>
      <c r="BZ388" s="157">
        <f t="array" ref="BZ388">IFERROR(INDEX(TABLACONSOLIDADA[Inv Fís Act],MATCH("AGROINSUMOSMONCAYOLOPEZ"&amp;Tabla_Buffers_Agroinsumos[[#This Row],[CODIGO ]],TABLACONSOLIDADA[Bodega]&amp;TABLACONSOLIDADA[Codigo],0)),"")</f>
        <v>0</v>
      </c>
      <c r="CA388" s="157">
        <f t="array" ref="CA38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8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88" s="134">
        <f>IFERROR(SUM(Tabla_Buffers_Agroinsumos[[#This Row],[ML-MP]:[ML-VL]]),"")</f>
        <v>0</v>
      </c>
      <c r="CD388" s="92">
        <f>IFERROR(Tabla_Buffers_Agroinsumos[[#This Row],[INV FIS ML]]-Tabla_Buffers_Agroinsumos[[#This Row],[BUFFER ML]],"")</f>
        <v>0</v>
      </c>
      <c r="CE388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88" s="134"/>
      <c r="CG388" s="134"/>
      <c r="CH388" s="134"/>
      <c r="CI388" s="134"/>
      <c r="CJ388" s="134"/>
      <c r="CK388" s="134"/>
      <c r="CL388" s="134"/>
      <c r="CM388" s="134"/>
      <c r="CN388" s="134"/>
      <c r="CO388" s="134">
        <f t="array" ref="CO388">IFERROR(INDEX(TABLACONSOLIDADA[Buff Act],MATCH("AGROINSUMOSAGROHERMANOSLEON"&amp;Tabla_Buffers_Agroinsumos[[#This Row],[CODIGO ]],TABLACONSOLIDADA[Bodega]&amp;TABLACONSOLIDADA[Codigo],0)),"")</f>
        <v>46</v>
      </c>
      <c r="CP388" s="157">
        <f t="array" ref="CP388">IFERROR(INDEX(TABLACONSOLIDADA[Inv Fís Act],MATCH("AGROINSUMOSAGROHERMANOSLEON"&amp;Tabla_Buffers_Agroinsumos[[#This Row],[CODIGO ]],TABLACONSOLIDADA[Bodega]&amp;TABLACONSOLIDADA[Codigo],0)),"")</f>
        <v>77</v>
      </c>
      <c r="CQ388" s="157">
        <f t="array" ref="CQ38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77</v>
      </c>
      <c r="CR38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88" s="134">
        <f>IFERROR(SUM(Tabla_Buffers_Agroinsumos[[#This Row],[AL-MP]:[AL-VL]]),"")</f>
        <v>0</v>
      </c>
      <c r="CT388" s="92">
        <f>IFERROR(Tabla_Buffers_Agroinsumos[[#This Row],[INV FIS AL]]-Tabla_Buffers_Agroinsumos[[#This Row],[BUFFER AL]],"")</f>
        <v>31</v>
      </c>
      <c r="CU388" s="92">
        <f>IFERROR(Tabla_Buffers_Agroinsumos[[#This Row],[INV FIS AL]]+Tabla_Buffers_Agroinsumos[[#This Row],[TRANSFERENCIAS A AL]]-Tabla_Buffers_Agroinsumos[[#This Row],[BUFFER AL]]-Tabla_Buffers_Agroinsumos[[#This Row],[TRANSFERENCIAS DE AL]],"")</f>
        <v>31</v>
      </c>
      <c r="CV388" s="134"/>
      <c r="CW388" s="134"/>
      <c r="CX388" s="134"/>
      <c r="CY388" s="134"/>
      <c r="CZ388" s="134"/>
      <c r="DA388" s="134"/>
      <c r="DB388" s="134"/>
      <c r="DC388" s="134"/>
      <c r="DD388" s="134"/>
      <c r="DE388" s="134">
        <f t="array" ref="DE388">IFERROR(INDEX(TABLACONSOLIDADA[Buff Act],MATCH("AGROINSUMOSAGRONUEVO"&amp;Tabla_Buffers_Agroinsumos[[#This Row],[CODIGO ]],TABLACONSOLIDADA[Bodega]&amp;TABLACONSOLIDADA[Codigo],0)),"")</f>
        <v>120</v>
      </c>
      <c r="DF388" s="157">
        <f t="array" ref="DF388">IFERROR(INDEX(TABLACONSOLIDADA[Inv Fís Act],MATCH("AGROINSUMOSAGRONUEVO"&amp;Tabla_Buffers_Agroinsumos[[#This Row],[CODIGO ]],TABLACONSOLIDADA[Bodega]&amp;TABLACONSOLIDADA[Codigo],0)),"")</f>
        <v>120</v>
      </c>
      <c r="DG388" s="157">
        <f t="array" ref="DG38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120</v>
      </c>
      <c r="DH38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88" s="134">
        <f>IFERROR(SUM(Tabla_Buffers_Agroinsumos[[#This Row],[AN-MP]:[AN-VL]]),"")</f>
        <v>0</v>
      </c>
      <c r="DJ388" s="92">
        <f>IFERROR(Tabla_Buffers_Agroinsumos[[#This Row],[INV FIS AN]]-Tabla_Buffers_Agroinsumos[[#This Row],[BUFFER AN]],"")</f>
        <v>0</v>
      </c>
      <c r="DK38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88" s="134"/>
      <c r="DM388" s="134"/>
      <c r="DN388" s="134"/>
      <c r="DO388" s="134"/>
      <c r="DP388" s="134"/>
      <c r="DQ388" s="134"/>
      <c r="DR388" s="134"/>
      <c r="DS388" s="134"/>
      <c r="DT388" s="134"/>
      <c r="DU388" s="134">
        <f t="array" ref="DU388">IFERROR(INDEX(TABLACONSOLIDADA[Buff Act],MATCH("AGROINSUMOSAGROQUIMICOSSUR"&amp;Tabla_Buffers_Agroinsumos[[#This Row],[CODIGO ]],TABLACONSOLIDADA[Bodega]&amp;TABLACONSOLIDADA[Codigo],0)),"")</f>
        <v>0</v>
      </c>
      <c r="DV388" s="157">
        <f t="array" ref="DV388">IFERROR(INDEX(TABLACONSOLIDADA[Inv Fís Act],MATCH("AGROINSUMOSAGROQUIMICOSSUR"&amp;Tabla_Buffers_Agroinsumos[[#This Row],[CODIGO ]],TABLACONSOLIDADA[Bodega]&amp;TABLACONSOLIDADA[Codigo],0)),"")</f>
        <v>0</v>
      </c>
      <c r="DW388" s="157">
        <f t="array" ref="DW38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8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88" s="134">
        <f>IFERROR(SUM(Tabla_Buffers_Agroinsumos[[#This Row],[AS-MP]:[AS-VL]]),"")</f>
        <v>0</v>
      </c>
      <c r="DZ388" s="92">
        <f>IFERROR(Tabla_Buffers_Agroinsumos[[#This Row],[INV FIS AS]]-Tabla_Buffers_Agroinsumos[[#This Row],[BUFFER AS]],"")</f>
        <v>0</v>
      </c>
      <c r="EA38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88" s="134"/>
      <c r="EC388" s="134"/>
      <c r="ED388" s="134"/>
      <c r="EE388" s="134"/>
      <c r="EF388" s="134"/>
      <c r="EG388" s="134"/>
      <c r="EH388" s="134"/>
      <c r="EI388" s="134"/>
      <c r="EJ388" s="134"/>
      <c r="EK388" s="134">
        <f t="array" ref="EK388">IFERROR(INDEX(TABLACONSOLIDADA[Buff Act],MATCH("AGROINSUMOSLAFINCA"&amp;Tabla_Buffers_Agroinsumos[[#This Row],[CODIGO ]],TABLACONSOLIDADA[Bodega]&amp;TABLACONSOLIDADA[Codigo],0)),"")</f>
        <v>0</v>
      </c>
      <c r="EL388" s="157">
        <f t="array" ref="EL388">IFERROR(INDEX(TABLACONSOLIDADA[Inv Fís Act],MATCH("AGROINSUMOSLAFINCA"&amp;Tabla_Buffers_Agroinsumos[[#This Row],[CODIGO ]],TABLACONSOLIDADA[Bodega]&amp;TABLACONSOLIDADA[Codigo],0)),"")</f>
        <v>0</v>
      </c>
      <c r="EM388" s="157">
        <f t="array" ref="EM38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8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88" s="134">
        <f>IFERROR(SUM(Tabla_Buffers_Agroinsumos[[#This Row],[LF-MP]:[LF-VL]]),"")</f>
        <v>0</v>
      </c>
      <c r="EP388" s="92">
        <f>IFERROR(Tabla_Buffers_Agroinsumos[[#This Row],[INV FIS LF]]-Tabla_Buffers_Agroinsumos[[#This Row],[BUFFER LF]],"")</f>
        <v>0</v>
      </c>
      <c r="EQ38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88" s="134"/>
      <c r="ES388" s="134"/>
      <c r="ET388" s="134"/>
      <c r="EU388" s="134"/>
      <c r="EV388" s="134"/>
      <c r="EW388" s="134"/>
      <c r="EX388" s="134"/>
      <c r="EY388" s="134"/>
      <c r="EZ388" s="134"/>
      <c r="FA388" s="134">
        <f t="array" ref="FA388">IFERROR(INDEX(TABLACONSOLIDADA[Buff Act],MATCH("AGROINSUMOSVERONICALEDESMA"&amp;Tabla_Buffers_Agroinsumos[[#This Row],[CODIGO ]],TABLACONSOLIDADA[Bodega]&amp;TABLACONSOLIDADA[Codigo],0)),"")</f>
        <v>0</v>
      </c>
      <c r="FB388" s="157">
        <f t="array" ref="FB388">IFERROR(INDEX(TABLACONSOLIDADA[Inv Fís Act],MATCH("AGROINSUMOSVERONICALEDESMA"&amp;Tabla_Buffers_Agroinsumos[[#This Row],[CODIGO ]],TABLACONSOLIDADA[Bodega]&amp;TABLACONSOLIDADA[Codigo],0)),"")</f>
        <v>0</v>
      </c>
      <c r="FC388" s="157">
        <f t="array" ref="FC38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8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88" s="134">
        <f>IFERROR(SUM(Tabla_Buffers_Agroinsumos[[#This Row],[VL-MP]:[VL-LF]]),"")</f>
        <v>0</v>
      </c>
      <c r="FF388" s="92">
        <f>IFERROR(Tabla_Buffers_Agroinsumos[[#This Row],[INV FIS VL]]-Tabla_Buffers_Agroinsumos[[#This Row],[BUFFER VL]],"")</f>
        <v>0</v>
      </c>
      <c r="FG388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88" s="134"/>
      <c r="FI388" s="134"/>
      <c r="FJ388" s="134"/>
      <c r="FK388" s="134"/>
      <c r="FL388" s="134"/>
      <c r="FM388" s="134"/>
      <c r="FN388" s="134"/>
      <c r="FO388" s="134"/>
      <c r="FP388" s="134"/>
    </row>
    <row r="389" spans="1:172">
      <c r="A389" s="7" t="s">
        <v>649</v>
      </c>
      <c r="B389" s="7" t="s">
        <v>650</v>
      </c>
      <c r="C389" s="7" t="s">
        <v>708</v>
      </c>
      <c r="D389" s="7" t="s">
        <v>715</v>
      </c>
      <c r="E389" s="7" t="s">
        <v>975</v>
      </c>
      <c r="F389" s="19" t="s">
        <v>698</v>
      </c>
      <c r="G389" s="19" t="s">
        <v>698</v>
      </c>
      <c r="H389" s="19">
        <f>VLOOKUP(Tabla_Buffers_Agroinsumos[[#This Row],[CODIGO ]],TABLACONSOLIDADA[[Codigo]:[PV]],6,0)</f>
        <v>109.81</v>
      </c>
      <c r="I389" s="19">
        <f>VLOOKUP(Tabla_Buffers_Agroinsumos[[#This Row],[CODIGO ]],TABLACONSOLIDADA[[Codigo]:[PV]],5,0)</f>
        <v>50.77</v>
      </c>
      <c r="J389" s="19" t="s">
        <v>698</v>
      </c>
      <c r="K389" s="19" t="s">
        <v>698</v>
      </c>
      <c r="L389" s="19">
        <f>IFERROR(Tabla_Buffers_Agroinsumos[[#This Row],[BUFFER CENTRAL]]/((Tabla_Buffers_Agroinsumos[[#This Row],[TIEMPO REPOSICION ]]/Tabla_Buffers_Agroinsumos[[#This Row],[FRECUENCIA]])+1),0)</f>
        <v>0</v>
      </c>
      <c r="M389" s="19" t="str">
        <f t="array" ref="M389">IFERROR(INDEX(TABLACONSOLIDADA[Buff Act],MATCH("AGROINSUMOSMATERIAPRIMA"&amp;Tabla_Buffers_Agroinsumos[[#This Row],[CODIGO ]],TABLACONSOLIDADA[Bodega]&amp;TABLACONSOLIDADA[Codigo],0)),"")</f>
        <v/>
      </c>
      <c r="N389" s="157" t="str">
        <f t="array" ref="N389">IFERROR(INDEX(TABLACONSOLIDADA[Inv Fís Act],MATCH("AGROINSUMOSMATERIAPRIMA"&amp;Tabla_Buffers_Agroinsumos[[#This Row],[CODIGO ]],TABLACONSOLIDADA[Bodega]&amp;TABLACONSOLIDADA[Codigo],0)),"")</f>
        <v/>
      </c>
      <c r="O389" s="157" t="str">
        <f t="array" ref="O38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8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89" s="19">
        <f>IFERROR(SUM(Tabla_Buffers_Agroinsumos[[#This Row],[MP-C]:[MP-VL]]),"")</f>
        <v>0</v>
      </c>
      <c r="R389" s="92" t="str">
        <f>IFERROR(Tabla_Buffers_Agroinsumos[[#This Row],[INV FIS MATERIA PRIMA]]-Tabla_Buffers_Agroinsumos[[#This Row],[BUFFER MATERIA PRIMA]],"")</f>
        <v/>
      </c>
      <c r="S38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89" s="19"/>
      <c r="U389" s="19"/>
      <c r="V389" s="19"/>
      <c r="W389" s="19"/>
      <c r="X389" s="19"/>
      <c r="Y389" s="19"/>
      <c r="Z389" s="19"/>
      <c r="AA389" s="19"/>
      <c r="AB389" s="19"/>
      <c r="AC389" s="152">
        <f t="array" ref="AC389">IFERROR(INDEX(TABLACONSOLIDADA[Buff Act],MATCH("AGROINSUMOSCENTRAL"&amp;Tabla_Buffers_Agroinsumos[[#This Row],[CODIGO ]],TABLACONSOLIDADA[Bodega]&amp;TABLACONSOLIDADA[Codigo],0)),"")</f>
        <v>0</v>
      </c>
      <c r="AD389" s="157">
        <f t="array" ref="AD389">IFERROR(INDEX(TABLACONSOLIDADA[Inv Fís Act],MATCH("AGROINSUMOSCENTRAL"&amp;Tabla_Buffers_Agroinsumos[[#This Row],[CODIGO ]],TABLACONSOLIDADA[Bodega]&amp;TABLACONSOLIDADA[Codigo],0)),"")</f>
        <v>5</v>
      </c>
      <c r="AE389" s="157">
        <f t="array" ref="AE38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5</v>
      </c>
      <c r="AF38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89" s="91">
        <f>IFERROR(SUM(Tabla_Buffers_Agroinsumos[[#This Row],[C-MP]:[C-VL]]),"")</f>
        <v>0</v>
      </c>
      <c r="AH389" s="92">
        <f>IFERROR(Tabla_Buffers_Agroinsumos[[#This Row],[INV FIS CENTRAL]]-Tabla_Buffers_Agroinsumos[[#This Row],[BUFFER CENTRAL]],"")</f>
        <v>5</v>
      </c>
      <c r="AI38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5</v>
      </c>
      <c r="AJ389" s="134"/>
      <c r="AK389" s="134"/>
      <c r="AL389" s="134"/>
      <c r="AM389" s="134"/>
      <c r="AN389" s="134"/>
      <c r="AO389" s="134"/>
      <c r="AP389" s="134"/>
      <c r="AQ389" s="134"/>
      <c r="AR389" s="134"/>
      <c r="AS389" s="134">
        <f t="array" ref="AS389">IFERROR(INDEX(TABLACONSOLIDADA[Buff Act],MATCH("AGROINSUMOScentralPROPIA"&amp;Tabla_Buffers_Agroinsumos[[#This Row],[CODIGO ]],TABLACONSOLIDADA[Bodega]&amp;TABLACONSOLIDADA[Codigo],0)),"")</f>
        <v>0</v>
      </c>
      <c r="AT389" s="157">
        <f t="array" ref="AT389">IFERROR(INDEX(TABLACONSOLIDADA[Inv Fís Act],MATCH("AGROINSUMOScentralPROPIA"&amp;Tabla_Buffers_Agroinsumos[[#This Row],[CODIGO ]],TABLACONSOLIDADA[Bodega]&amp;TABLACONSOLIDADA[Codigo],0)),"")</f>
        <v>0</v>
      </c>
      <c r="AU389" s="157">
        <f t="array" ref="AU38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8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89" s="134">
        <f>IFERROR(SUM(Tabla_Buffers_Agroinsumos[[#This Row],[P-MP]:[P-VL]]),"")</f>
        <v>0</v>
      </c>
      <c r="AX389" s="92">
        <f>IFERROR(Tabla_Buffers_Agroinsumos[[#This Row],[INV FIS PROPIA]]-Tabla_Buffers_Agroinsumos[[#This Row],[BUFFER PROPIA]],"")</f>
        <v>0</v>
      </c>
      <c r="AY38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89" s="134"/>
      <c r="BA389" s="134"/>
      <c r="BB389" s="134"/>
      <c r="BC389" s="134"/>
      <c r="BD389" s="134"/>
      <c r="BE389" s="134"/>
      <c r="BF389" s="134"/>
      <c r="BG389" s="134"/>
      <c r="BH389" s="134"/>
      <c r="BI389" s="91">
        <f t="array" ref="BI389">IFERROR(INDEX(TABLACONSOLIDADA[Buff Act],MATCH("AGROINSUMOSSTODOMINGO"&amp;Tabla_Buffers_Agroinsumos[[#This Row],[CODIGO ]],TABLACONSOLIDADA[Bodega]&amp;TABLACONSOLIDADA[Codigo],0)),"")</f>
        <v>0</v>
      </c>
      <c r="BJ389" s="157">
        <f t="array" ref="BJ389">IFERROR(INDEX(TABLACONSOLIDADA[Inv Fís Act],MATCH("AGROINSUMOSSTODOMINGO"&amp;Tabla_Buffers_Agroinsumos[[#This Row],[CODIGO ]],TABLACONSOLIDADA[Bodega]&amp;TABLACONSOLIDADA[Codigo],0)),"")</f>
        <v>0</v>
      </c>
      <c r="BK389" s="157">
        <f t="array" ref="BK38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8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89" s="91">
        <f>IFERROR(SUM(Tabla_Buffers_Agroinsumos[[#This Row],[SD-MP]:[SD-VL]]),"")</f>
        <v>0</v>
      </c>
      <c r="BN389" s="92"/>
      <c r="BO389" s="92"/>
      <c r="BP389" s="134"/>
      <c r="BQ389" s="134"/>
      <c r="BR389" s="134"/>
      <c r="BS389" s="134"/>
      <c r="BT389" s="134"/>
      <c r="BU389" s="134"/>
      <c r="BV389" s="134"/>
      <c r="BW389" s="134"/>
      <c r="BX389" s="134"/>
      <c r="BY389" s="134">
        <f t="array" ref="BY389">IFERROR(INDEX(TABLACONSOLIDADA[Buff Act],MATCH("AGROINSUMOSMONCAYOLOPEZ"&amp;Tabla_Buffers_Agroinsumos[[#This Row],[CODIGO ]],TABLACONSOLIDADA[Bodega]&amp;TABLACONSOLIDADA[Codigo],0)),"")</f>
        <v>0</v>
      </c>
      <c r="BZ389" s="157">
        <f t="array" ref="BZ389">IFERROR(INDEX(TABLACONSOLIDADA[Inv Fís Act],MATCH("AGROINSUMOSMONCAYOLOPEZ"&amp;Tabla_Buffers_Agroinsumos[[#This Row],[CODIGO ]],TABLACONSOLIDADA[Bodega]&amp;TABLACONSOLIDADA[Codigo],0)),"")</f>
        <v>0</v>
      </c>
      <c r="CA389" s="157">
        <f t="array" ref="CA38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8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89" s="134">
        <f>IFERROR(SUM(Tabla_Buffers_Agroinsumos[[#This Row],[ML-MP]:[ML-VL]]),"")</f>
        <v>0</v>
      </c>
      <c r="CD389" s="92">
        <f>IFERROR(Tabla_Buffers_Agroinsumos[[#This Row],[INV FIS ML]]-Tabla_Buffers_Agroinsumos[[#This Row],[BUFFER ML]],"")</f>
        <v>0</v>
      </c>
      <c r="CE389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89" s="134"/>
      <c r="CG389" s="134"/>
      <c r="CH389" s="134"/>
      <c r="CI389" s="134"/>
      <c r="CJ389" s="134"/>
      <c r="CK389" s="134"/>
      <c r="CL389" s="134"/>
      <c r="CM389" s="134"/>
      <c r="CN389" s="134"/>
      <c r="CO389" s="134">
        <f t="array" ref="CO389">IFERROR(INDEX(TABLACONSOLIDADA[Buff Act],MATCH("AGROINSUMOSAGROHERMANOSLEON"&amp;Tabla_Buffers_Agroinsumos[[#This Row],[CODIGO ]],TABLACONSOLIDADA[Bodega]&amp;TABLACONSOLIDADA[Codigo],0)),"")</f>
        <v>0</v>
      </c>
      <c r="CP389" s="157">
        <f t="array" ref="CP389">IFERROR(INDEX(TABLACONSOLIDADA[Inv Fís Act],MATCH("AGROINSUMOSAGROHERMANOSLEON"&amp;Tabla_Buffers_Agroinsumos[[#This Row],[CODIGO ]],TABLACONSOLIDADA[Bodega]&amp;TABLACONSOLIDADA[Codigo],0)),"")</f>
        <v>0</v>
      </c>
      <c r="CQ389" s="157">
        <f t="array" ref="CQ38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8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89" s="134">
        <f>IFERROR(SUM(Tabla_Buffers_Agroinsumos[[#This Row],[AL-MP]:[AL-VL]]),"")</f>
        <v>0</v>
      </c>
      <c r="CT389" s="92">
        <f>IFERROR(Tabla_Buffers_Agroinsumos[[#This Row],[INV FIS AL]]-Tabla_Buffers_Agroinsumos[[#This Row],[BUFFER AL]],"")</f>
        <v>0</v>
      </c>
      <c r="CU389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89" s="134"/>
      <c r="CW389" s="134"/>
      <c r="CX389" s="134"/>
      <c r="CY389" s="134"/>
      <c r="CZ389" s="134"/>
      <c r="DA389" s="134"/>
      <c r="DB389" s="134"/>
      <c r="DC389" s="134"/>
      <c r="DD389" s="134"/>
      <c r="DE389" s="134">
        <f t="array" ref="DE389">IFERROR(INDEX(TABLACONSOLIDADA[Buff Act],MATCH("AGROINSUMOSAGRONUEVO"&amp;Tabla_Buffers_Agroinsumos[[#This Row],[CODIGO ]],TABLACONSOLIDADA[Bodega]&amp;TABLACONSOLIDADA[Codigo],0)),"")</f>
        <v>0</v>
      </c>
      <c r="DF389" s="157">
        <f t="array" ref="DF389">IFERROR(INDEX(TABLACONSOLIDADA[Inv Fís Act],MATCH("AGROINSUMOSAGRONUEVO"&amp;Tabla_Buffers_Agroinsumos[[#This Row],[CODIGO ]],TABLACONSOLIDADA[Bodega]&amp;TABLACONSOLIDADA[Codigo],0)),"")</f>
        <v>0</v>
      </c>
      <c r="DG389" s="157">
        <f t="array" ref="DG38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8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89" s="134">
        <f>IFERROR(SUM(Tabla_Buffers_Agroinsumos[[#This Row],[AN-MP]:[AN-VL]]),"")</f>
        <v>0</v>
      </c>
      <c r="DJ389" s="92">
        <f>IFERROR(Tabla_Buffers_Agroinsumos[[#This Row],[INV FIS AN]]-Tabla_Buffers_Agroinsumos[[#This Row],[BUFFER AN]],"")</f>
        <v>0</v>
      </c>
      <c r="DK389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89" s="134"/>
      <c r="DM389" s="134"/>
      <c r="DN389" s="134"/>
      <c r="DO389" s="134"/>
      <c r="DP389" s="134"/>
      <c r="DQ389" s="134"/>
      <c r="DR389" s="134"/>
      <c r="DS389" s="134"/>
      <c r="DT389" s="134"/>
      <c r="DU389" s="134">
        <f t="array" ref="DU389">IFERROR(INDEX(TABLACONSOLIDADA[Buff Act],MATCH("AGROINSUMOSAGROQUIMICOSSUR"&amp;Tabla_Buffers_Agroinsumos[[#This Row],[CODIGO ]],TABLACONSOLIDADA[Bodega]&amp;TABLACONSOLIDADA[Codigo],0)),"")</f>
        <v>0</v>
      </c>
      <c r="DV389" s="157">
        <f t="array" ref="DV389">IFERROR(INDEX(TABLACONSOLIDADA[Inv Fís Act],MATCH("AGROINSUMOSAGROQUIMICOSSUR"&amp;Tabla_Buffers_Agroinsumos[[#This Row],[CODIGO ]],TABLACONSOLIDADA[Bodega]&amp;TABLACONSOLIDADA[Codigo],0)),"")</f>
        <v>0</v>
      </c>
      <c r="DW389" s="157">
        <f t="array" ref="DW38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8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89" s="134">
        <f>IFERROR(SUM(Tabla_Buffers_Agroinsumos[[#This Row],[AS-MP]:[AS-VL]]),"")</f>
        <v>0</v>
      </c>
      <c r="DZ389" s="92">
        <f>IFERROR(Tabla_Buffers_Agroinsumos[[#This Row],[INV FIS AS]]-Tabla_Buffers_Agroinsumos[[#This Row],[BUFFER AS]],"")</f>
        <v>0</v>
      </c>
      <c r="EA38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89" s="134"/>
      <c r="EC389" s="134"/>
      <c r="ED389" s="134"/>
      <c r="EE389" s="134"/>
      <c r="EF389" s="134"/>
      <c r="EG389" s="134"/>
      <c r="EH389" s="134"/>
      <c r="EI389" s="134"/>
      <c r="EJ389" s="134"/>
      <c r="EK389" s="134">
        <f t="array" ref="EK389">IFERROR(INDEX(TABLACONSOLIDADA[Buff Act],MATCH("AGROINSUMOSLAFINCA"&amp;Tabla_Buffers_Agroinsumos[[#This Row],[CODIGO ]],TABLACONSOLIDADA[Bodega]&amp;TABLACONSOLIDADA[Codigo],0)),"")</f>
        <v>0</v>
      </c>
      <c r="EL389" s="157">
        <f t="array" ref="EL389">IFERROR(INDEX(TABLACONSOLIDADA[Inv Fís Act],MATCH("AGROINSUMOSLAFINCA"&amp;Tabla_Buffers_Agroinsumos[[#This Row],[CODIGO ]],TABLACONSOLIDADA[Bodega]&amp;TABLACONSOLIDADA[Codigo],0)),"")</f>
        <v>0</v>
      </c>
      <c r="EM389" s="157">
        <f t="array" ref="EM38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8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89" s="134">
        <f>IFERROR(SUM(Tabla_Buffers_Agroinsumos[[#This Row],[LF-MP]:[LF-VL]]),"")</f>
        <v>0</v>
      </c>
      <c r="EP389" s="92">
        <f>IFERROR(Tabla_Buffers_Agroinsumos[[#This Row],[INV FIS LF]]-Tabla_Buffers_Agroinsumos[[#This Row],[BUFFER LF]],"")</f>
        <v>0</v>
      </c>
      <c r="EQ38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89" s="134"/>
      <c r="ES389" s="134"/>
      <c r="ET389" s="134"/>
      <c r="EU389" s="134"/>
      <c r="EV389" s="134"/>
      <c r="EW389" s="134"/>
      <c r="EX389" s="134"/>
      <c r="EY389" s="134"/>
      <c r="EZ389" s="134"/>
      <c r="FA389" s="134">
        <f t="array" ref="FA389">IFERROR(INDEX(TABLACONSOLIDADA[Buff Act],MATCH("AGROINSUMOSVERONICALEDESMA"&amp;Tabla_Buffers_Agroinsumos[[#This Row],[CODIGO ]],TABLACONSOLIDADA[Bodega]&amp;TABLACONSOLIDADA[Codigo],0)),"")</f>
        <v>0</v>
      </c>
      <c r="FB389" s="157">
        <f t="array" ref="FB389">IFERROR(INDEX(TABLACONSOLIDADA[Inv Fís Act],MATCH("AGROINSUMOSVERONICALEDESMA"&amp;Tabla_Buffers_Agroinsumos[[#This Row],[CODIGO ]],TABLACONSOLIDADA[Bodega]&amp;TABLACONSOLIDADA[Codigo],0)),"")</f>
        <v>0</v>
      </c>
      <c r="FC389" s="157">
        <f t="array" ref="FC38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8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89" s="134">
        <f>IFERROR(SUM(Tabla_Buffers_Agroinsumos[[#This Row],[VL-MP]:[VL-LF]]),"")</f>
        <v>0</v>
      </c>
      <c r="FF389" s="92">
        <f>IFERROR(Tabla_Buffers_Agroinsumos[[#This Row],[INV FIS VL]]-Tabla_Buffers_Agroinsumos[[#This Row],[BUFFER VL]],"")</f>
        <v>0</v>
      </c>
      <c r="FG38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89" s="134"/>
      <c r="FI389" s="134"/>
      <c r="FJ389" s="134"/>
      <c r="FK389" s="134"/>
      <c r="FL389" s="134"/>
      <c r="FM389" s="134"/>
      <c r="FN389" s="134"/>
      <c r="FO389" s="134"/>
      <c r="FP389" s="134"/>
    </row>
    <row r="390" spans="1:172">
      <c r="A390" s="7" t="s">
        <v>653</v>
      </c>
      <c r="B390" s="7" t="s">
        <v>654</v>
      </c>
      <c r="C390" s="7" t="s">
        <v>707</v>
      </c>
      <c r="D390" s="7" t="s">
        <v>761</v>
      </c>
      <c r="E390" s="7" t="s">
        <v>863</v>
      </c>
      <c r="F390" s="19" t="s">
        <v>805</v>
      </c>
      <c r="G390" s="19" t="s">
        <v>802</v>
      </c>
      <c r="H390" s="19">
        <f>VLOOKUP(Tabla_Buffers_Agroinsumos[[#This Row],[CODIGO ]],TABLACONSOLIDADA[[Codigo]:[PV]],6,0)</f>
        <v>0</v>
      </c>
      <c r="I390" s="19">
        <f>VLOOKUP(Tabla_Buffers_Agroinsumos[[#This Row],[CODIGO ]],TABLACONSOLIDADA[[Codigo]:[PV]],5,0)</f>
        <v>123</v>
      </c>
      <c r="J390" s="19">
        <v>4</v>
      </c>
      <c r="K390" s="19">
        <v>4</v>
      </c>
      <c r="L390" s="19">
        <f>IFERROR(Tabla_Buffers_Agroinsumos[[#This Row],[BUFFER CENTRAL]]/((Tabla_Buffers_Agroinsumos[[#This Row],[TIEMPO REPOSICION ]]/Tabla_Buffers_Agroinsumos[[#This Row],[FRECUENCIA]])+1),0)</f>
        <v>0</v>
      </c>
      <c r="M390" s="19">
        <f t="array" ref="M390">IFERROR(INDEX(TABLACONSOLIDADA[Buff Act],MATCH("AGROINSUMOSMATERIAPRIMA"&amp;Tabla_Buffers_Agroinsumos[[#This Row],[CODIGO ]],TABLACONSOLIDADA[Bodega]&amp;TABLACONSOLIDADA[Codigo],0)),"")</f>
        <v>0</v>
      </c>
      <c r="N390" s="157">
        <f t="array" ref="N390">IFERROR(INDEX(TABLACONSOLIDADA[Inv Fís Act],MATCH("AGROINSUMOSMATERIAPRIMA"&amp;Tabla_Buffers_Agroinsumos[[#This Row],[CODIGO ]],TABLACONSOLIDADA[Bodega]&amp;TABLACONSOLIDADA[Codigo],0)),"")</f>
        <v>2</v>
      </c>
      <c r="O390" s="157">
        <f t="array" ref="O39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2</v>
      </c>
      <c r="P39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90" s="19">
        <f>IFERROR(SUM(Tabla_Buffers_Agroinsumos[[#This Row],[MP-C]:[MP-VL]]),"")</f>
        <v>0</v>
      </c>
      <c r="R390" s="92">
        <f>IFERROR(Tabla_Buffers_Agroinsumos[[#This Row],[INV FIS MATERIA PRIMA]]-Tabla_Buffers_Agroinsumos[[#This Row],[BUFFER MATERIA PRIMA]],"")</f>
        <v>2</v>
      </c>
      <c r="S390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2</v>
      </c>
      <c r="T390" s="19"/>
      <c r="U390" s="19"/>
      <c r="V390" s="19"/>
      <c r="W390" s="19"/>
      <c r="X390" s="19"/>
      <c r="Y390" s="19"/>
      <c r="Z390" s="19"/>
      <c r="AA390" s="19"/>
      <c r="AB390" s="19"/>
      <c r="AC390" s="135" t="str">
        <f t="array" ref="AC390">IFERROR(INDEX(TABLACONSOLIDADA[Buff Act],MATCH("AGROINSUMOSCENTRAL"&amp;Tabla_Buffers_Agroinsumos[[#This Row],[CODIGO ]],TABLACONSOLIDADA[Bodega]&amp;TABLACONSOLIDADA[Codigo],0)),"")</f>
        <v/>
      </c>
      <c r="AD390" s="157" t="str">
        <f t="array" ref="AD390">IFERROR(INDEX(TABLACONSOLIDADA[Inv Fís Act],MATCH("AGROINSUMOSCENTRAL"&amp;Tabla_Buffers_Agroinsumos[[#This Row],[CODIGO ]],TABLACONSOLIDADA[Bodega]&amp;TABLACONSOLIDADA[Codigo],0)),"")</f>
        <v/>
      </c>
      <c r="AE390" s="157" t="str">
        <f t="array" ref="AE39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9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90" s="91">
        <f>IFERROR(SUM(Tabla_Buffers_Agroinsumos[[#This Row],[C-MP]:[C-VL]]),"")</f>
        <v>0</v>
      </c>
      <c r="AH390" s="92" t="str">
        <f>IFERROR(Tabla_Buffers_Agroinsumos[[#This Row],[INV FIS CENTRAL]]-Tabla_Buffers_Agroinsumos[[#This Row],[BUFFER CENTRAL]],"")</f>
        <v/>
      </c>
      <c r="AI39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90" s="134"/>
      <c r="AK390" s="134"/>
      <c r="AL390" s="134"/>
      <c r="AM390" s="134"/>
      <c r="AN390" s="134"/>
      <c r="AO390" s="134"/>
      <c r="AP390" s="134"/>
      <c r="AQ390" s="134"/>
      <c r="AR390" s="134"/>
      <c r="AS390" s="134" t="str">
        <f t="array" ref="AS390">IFERROR(INDEX(TABLACONSOLIDADA[Buff Act],MATCH("AGROINSUMOScentralPROPIA"&amp;Tabla_Buffers_Agroinsumos[[#This Row],[CODIGO ]],TABLACONSOLIDADA[Bodega]&amp;TABLACONSOLIDADA[Codigo],0)),"")</f>
        <v/>
      </c>
      <c r="AT390" s="157" t="str">
        <f t="array" ref="AT390">IFERROR(INDEX(TABLACONSOLIDADA[Inv Fís Act],MATCH("AGROINSUMOScentralPROPIA"&amp;Tabla_Buffers_Agroinsumos[[#This Row],[CODIGO ]],TABLACONSOLIDADA[Bodega]&amp;TABLACONSOLIDADA[Codigo],0)),"")</f>
        <v/>
      </c>
      <c r="AU390" s="157" t="str">
        <f t="array" ref="AU39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9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90" s="134">
        <f>IFERROR(SUM(Tabla_Buffers_Agroinsumos[[#This Row],[P-MP]:[P-VL]]),"")</f>
        <v>0</v>
      </c>
      <c r="AX390" s="92" t="str">
        <f>IFERROR(Tabla_Buffers_Agroinsumos[[#This Row],[INV FIS PROPIA]]-Tabla_Buffers_Agroinsumos[[#This Row],[BUFFER PROPIA]],"")</f>
        <v/>
      </c>
      <c r="AY39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90" s="134"/>
      <c r="BA390" s="134"/>
      <c r="BB390" s="134"/>
      <c r="BC390" s="134"/>
      <c r="BD390" s="134"/>
      <c r="BE390" s="134"/>
      <c r="BF390" s="134"/>
      <c r="BG390" s="134"/>
      <c r="BH390" s="134"/>
      <c r="BI390" s="91" t="str">
        <f t="array" ref="BI390">IFERROR(INDEX(TABLACONSOLIDADA[Buff Act],MATCH("AGROINSUMOSSTODOMINGO"&amp;Tabla_Buffers_Agroinsumos[[#This Row],[CODIGO ]],TABLACONSOLIDADA[Bodega]&amp;TABLACONSOLIDADA[Codigo],0)),"")</f>
        <v/>
      </c>
      <c r="BJ390" s="157" t="str">
        <f t="array" ref="BJ390">IFERROR(INDEX(TABLACONSOLIDADA[Inv Fís Act],MATCH("AGROINSUMOSSTODOMINGO"&amp;Tabla_Buffers_Agroinsumos[[#This Row],[CODIGO ]],TABLACONSOLIDADA[Bodega]&amp;TABLACONSOLIDADA[Codigo],0)),"")</f>
        <v/>
      </c>
      <c r="BK390" s="157" t="str">
        <f t="array" ref="BK39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9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90" s="91">
        <f>IFERROR(SUM(Tabla_Buffers_Agroinsumos[[#This Row],[SD-MP]:[SD-VL]]),"")</f>
        <v>0</v>
      </c>
      <c r="BN390" s="92"/>
      <c r="BO390" s="92"/>
      <c r="BP390" s="134"/>
      <c r="BQ390" s="134"/>
      <c r="BR390" s="134"/>
      <c r="BS390" s="134"/>
      <c r="BT390" s="134"/>
      <c r="BU390" s="134"/>
      <c r="BV390" s="134"/>
      <c r="BW390" s="134"/>
      <c r="BX390" s="134"/>
      <c r="BY390" s="134" t="str">
        <f t="array" ref="BY390">IFERROR(INDEX(TABLACONSOLIDADA[Buff Act],MATCH("AGROINSUMOSMONCAYOLOPEZ"&amp;Tabla_Buffers_Agroinsumos[[#This Row],[CODIGO ]],TABLACONSOLIDADA[Bodega]&amp;TABLACONSOLIDADA[Codigo],0)),"")</f>
        <v/>
      </c>
      <c r="BZ390" s="157" t="str">
        <f t="array" ref="BZ390">IFERROR(INDEX(TABLACONSOLIDADA[Inv Fís Act],MATCH("AGROINSUMOSMONCAYOLOPEZ"&amp;Tabla_Buffers_Agroinsumos[[#This Row],[CODIGO ]],TABLACONSOLIDADA[Bodega]&amp;TABLACONSOLIDADA[Codigo],0)),"")</f>
        <v/>
      </c>
      <c r="CA390" s="157" t="str">
        <f t="array" ref="CA39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9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90" s="134">
        <f>IFERROR(SUM(Tabla_Buffers_Agroinsumos[[#This Row],[ML-MP]:[ML-VL]]),"")</f>
        <v>0</v>
      </c>
      <c r="CD390" s="92" t="str">
        <f>IFERROR(Tabla_Buffers_Agroinsumos[[#This Row],[INV FIS ML]]-Tabla_Buffers_Agroinsumos[[#This Row],[BUFFER ML]],"")</f>
        <v/>
      </c>
      <c r="CE39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90" s="134"/>
      <c r="CG390" s="134"/>
      <c r="CH390" s="134"/>
      <c r="CI390" s="134"/>
      <c r="CJ390" s="134"/>
      <c r="CK390" s="134"/>
      <c r="CL390" s="134"/>
      <c r="CM390" s="134"/>
      <c r="CN390" s="134"/>
      <c r="CO390" s="134" t="str">
        <f t="array" ref="CO390">IFERROR(INDEX(TABLACONSOLIDADA[Buff Act],MATCH("AGROINSUMOSAGROHERMANOSLEON"&amp;Tabla_Buffers_Agroinsumos[[#This Row],[CODIGO ]],TABLACONSOLIDADA[Bodega]&amp;TABLACONSOLIDADA[Codigo],0)),"")</f>
        <v/>
      </c>
      <c r="CP390" s="157" t="str">
        <f t="array" ref="CP390">IFERROR(INDEX(TABLACONSOLIDADA[Inv Fís Act],MATCH("AGROINSUMOSAGROHERMANOSLEON"&amp;Tabla_Buffers_Agroinsumos[[#This Row],[CODIGO ]],TABLACONSOLIDADA[Bodega]&amp;TABLACONSOLIDADA[Codigo],0)),"")</f>
        <v/>
      </c>
      <c r="CQ390" s="157" t="str">
        <f t="array" ref="CQ39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9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90" s="134">
        <f>IFERROR(SUM(Tabla_Buffers_Agroinsumos[[#This Row],[AL-MP]:[AL-VL]]),"")</f>
        <v>0</v>
      </c>
      <c r="CT390" s="92" t="str">
        <f>IFERROR(Tabla_Buffers_Agroinsumos[[#This Row],[INV FIS AL]]-Tabla_Buffers_Agroinsumos[[#This Row],[BUFFER AL]],"")</f>
        <v/>
      </c>
      <c r="CU39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90" s="134"/>
      <c r="CW390" s="134"/>
      <c r="CX390" s="134"/>
      <c r="CY390" s="134"/>
      <c r="CZ390" s="134"/>
      <c r="DA390" s="134"/>
      <c r="DB390" s="134"/>
      <c r="DC390" s="134"/>
      <c r="DD390" s="134"/>
      <c r="DE390" s="134" t="str">
        <f t="array" ref="DE390">IFERROR(INDEX(TABLACONSOLIDADA[Buff Act],MATCH("AGROINSUMOSAGRONUEVO"&amp;Tabla_Buffers_Agroinsumos[[#This Row],[CODIGO ]],TABLACONSOLIDADA[Bodega]&amp;TABLACONSOLIDADA[Codigo],0)),"")</f>
        <v/>
      </c>
      <c r="DF390" s="157" t="str">
        <f t="array" ref="DF390">IFERROR(INDEX(TABLACONSOLIDADA[Inv Fís Act],MATCH("AGROINSUMOSAGRONUEVO"&amp;Tabla_Buffers_Agroinsumos[[#This Row],[CODIGO ]],TABLACONSOLIDADA[Bodega]&amp;TABLACONSOLIDADA[Codigo],0)),"")</f>
        <v/>
      </c>
      <c r="DG390" s="157" t="str">
        <f t="array" ref="DG39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9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90" s="134">
        <f>IFERROR(SUM(Tabla_Buffers_Agroinsumos[[#This Row],[AN-MP]:[AN-VL]]),"")</f>
        <v>0</v>
      </c>
      <c r="DJ390" s="92" t="str">
        <f>IFERROR(Tabla_Buffers_Agroinsumos[[#This Row],[INV FIS AN]]-Tabla_Buffers_Agroinsumos[[#This Row],[BUFFER AN]],"")</f>
        <v/>
      </c>
      <c r="DK39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90" s="134"/>
      <c r="DM390" s="134"/>
      <c r="DN390" s="134"/>
      <c r="DO390" s="134"/>
      <c r="DP390" s="134"/>
      <c r="DQ390" s="134"/>
      <c r="DR390" s="134"/>
      <c r="DS390" s="134"/>
      <c r="DT390" s="134"/>
      <c r="DU390" s="134" t="str">
        <f t="array" ref="DU390">IFERROR(INDEX(TABLACONSOLIDADA[Buff Act],MATCH("AGROINSUMOSAGROQUIMICOSSUR"&amp;Tabla_Buffers_Agroinsumos[[#This Row],[CODIGO ]],TABLACONSOLIDADA[Bodega]&amp;TABLACONSOLIDADA[Codigo],0)),"")</f>
        <v/>
      </c>
      <c r="DV390" s="157" t="str">
        <f t="array" ref="DV390">IFERROR(INDEX(TABLACONSOLIDADA[Inv Fís Act],MATCH("AGROINSUMOSAGROQUIMICOSSUR"&amp;Tabla_Buffers_Agroinsumos[[#This Row],[CODIGO ]],TABLACONSOLIDADA[Bodega]&amp;TABLACONSOLIDADA[Codigo],0)),"")</f>
        <v/>
      </c>
      <c r="DW390" s="157" t="str">
        <f t="array" ref="DW39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9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90" s="134">
        <f>IFERROR(SUM(Tabla_Buffers_Agroinsumos[[#This Row],[AS-MP]:[AS-VL]]),"")</f>
        <v>0</v>
      </c>
      <c r="DZ390" s="92" t="str">
        <f>IFERROR(Tabla_Buffers_Agroinsumos[[#This Row],[INV FIS AS]]-Tabla_Buffers_Agroinsumos[[#This Row],[BUFFER AS]],"")</f>
        <v/>
      </c>
      <c r="EA39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90" s="134"/>
      <c r="EC390" s="134"/>
      <c r="ED390" s="134"/>
      <c r="EE390" s="134"/>
      <c r="EF390" s="134"/>
      <c r="EG390" s="134"/>
      <c r="EH390" s="134"/>
      <c r="EI390" s="134"/>
      <c r="EJ390" s="134"/>
      <c r="EK390" s="134" t="str">
        <f t="array" ref="EK390">IFERROR(INDEX(TABLACONSOLIDADA[Buff Act],MATCH("AGROINSUMOSLAFINCA"&amp;Tabla_Buffers_Agroinsumos[[#This Row],[CODIGO ]],TABLACONSOLIDADA[Bodega]&amp;TABLACONSOLIDADA[Codigo],0)),"")</f>
        <v/>
      </c>
      <c r="EL390" s="157" t="str">
        <f t="array" ref="EL390">IFERROR(INDEX(TABLACONSOLIDADA[Inv Fís Act],MATCH("AGROINSUMOSLAFINCA"&amp;Tabla_Buffers_Agroinsumos[[#This Row],[CODIGO ]],TABLACONSOLIDADA[Bodega]&amp;TABLACONSOLIDADA[Codigo],0)),"")</f>
        <v/>
      </c>
      <c r="EM390" s="157" t="str">
        <f t="array" ref="EM39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9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90" s="134">
        <f>IFERROR(SUM(Tabla_Buffers_Agroinsumos[[#This Row],[LF-MP]:[LF-VL]]),"")</f>
        <v>0</v>
      </c>
      <c r="EP390" s="92" t="str">
        <f>IFERROR(Tabla_Buffers_Agroinsumos[[#This Row],[INV FIS LF]]-Tabla_Buffers_Agroinsumos[[#This Row],[BUFFER LF]],"")</f>
        <v/>
      </c>
      <c r="EQ39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90" s="134"/>
      <c r="ES390" s="134"/>
      <c r="ET390" s="134"/>
      <c r="EU390" s="134"/>
      <c r="EV390" s="134"/>
      <c r="EW390" s="134"/>
      <c r="EX390" s="134"/>
      <c r="EY390" s="134"/>
      <c r="EZ390" s="134"/>
      <c r="FA390" s="134" t="str">
        <f t="array" ref="FA390">IFERROR(INDEX(TABLACONSOLIDADA[Buff Act],MATCH("AGROINSUMOSVERONICALEDESMA"&amp;Tabla_Buffers_Agroinsumos[[#This Row],[CODIGO ]],TABLACONSOLIDADA[Bodega]&amp;TABLACONSOLIDADA[Codigo],0)),"")</f>
        <v/>
      </c>
      <c r="FB390" s="157" t="str">
        <f t="array" ref="FB390">IFERROR(INDEX(TABLACONSOLIDADA[Inv Fís Act],MATCH("AGROINSUMOSVERONICALEDESMA"&amp;Tabla_Buffers_Agroinsumos[[#This Row],[CODIGO ]],TABLACONSOLIDADA[Bodega]&amp;TABLACONSOLIDADA[Codigo],0)),"")</f>
        <v/>
      </c>
      <c r="FC390" s="157" t="str">
        <f t="array" ref="FC39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9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90" s="134">
        <f>IFERROR(SUM(Tabla_Buffers_Agroinsumos[[#This Row],[VL-MP]:[VL-LF]]),"")</f>
        <v>0</v>
      </c>
      <c r="FF390" s="92" t="str">
        <f>IFERROR(Tabla_Buffers_Agroinsumos[[#This Row],[INV FIS VL]]-Tabla_Buffers_Agroinsumos[[#This Row],[BUFFER VL]],"")</f>
        <v/>
      </c>
      <c r="FG39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90" s="134"/>
      <c r="FI390" s="134"/>
      <c r="FJ390" s="134"/>
      <c r="FK390" s="134"/>
      <c r="FL390" s="134"/>
      <c r="FM390" s="134"/>
      <c r="FN390" s="134"/>
      <c r="FO390" s="134"/>
      <c r="FP390" s="134"/>
    </row>
    <row r="391" spans="1:172">
      <c r="A391" s="7" t="s">
        <v>655</v>
      </c>
      <c r="B391" s="7" t="s">
        <v>656</v>
      </c>
      <c r="C391" s="7" t="s">
        <v>707</v>
      </c>
      <c r="D391" s="7" t="s">
        <v>761</v>
      </c>
      <c r="E391" s="7" t="s">
        <v>863</v>
      </c>
      <c r="F391" s="19" t="s">
        <v>805</v>
      </c>
      <c r="G391" s="19" t="s">
        <v>802</v>
      </c>
      <c r="H391" s="19">
        <f>VLOOKUP(Tabla_Buffers_Agroinsumos[[#This Row],[CODIGO ]],TABLACONSOLIDADA[[Codigo]:[PV]],6,0)</f>
        <v>0</v>
      </c>
      <c r="I391" s="19">
        <f>VLOOKUP(Tabla_Buffers_Agroinsumos[[#This Row],[CODIGO ]],TABLACONSOLIDADA[[Codigo]:[PV]],5,0)</f>
        <v>24.6</v>
      </c>
      <c r="J391" s="19">
        <v>4</v>
      </c>
      <c r="K391" s="19">
        <v>4</v>
      </c>
      <c r="L391" s="19">
        <f>IFERROR(Tabla_Buffers_Agroinsumos[[#This Row],[BUFFER CENTRAL]]/((Tabla_Buffers_Agroinsumos[[#This Row],[TIEMPO REPOSICION ]]/Tabla_Buffers_Agroinsumos[[#This Row],[FRECUENCIA]])+1),0)</f>
        <v>0</v>
      </c>
      <c r="M391" s="19">
        <f t="array" ref="M391">IFERROR(INDEX(TABLACONSOLIDADA[Buff Act],MATCH("AGROINSUMOSMATERIAPRIMA"&amp;Tabla_Buffers_Agroinsumos[[#This Row],[CODIGO ]],TABLACONSOLIDADA[Bodega]&amp;TABLACONSOLIDADA[Codigo],0)),"")</f>
        <v>0</v>
      </c>
      <c r="N391" s="157">
        <f t="array" ref="N391">IFERROR(INDEX(TABLACONSOLIDADA[Inv Fís Act],MATCH("AGROINSUMOSMATERIAPRIMA"&amp;Tabla_Buffers_Agroinsumos[[#This Row],[CODIGO ]],TABLACONSOLIDADA[Bodega]&amp;TABLACONSOLIDADA[Codigo],0)),"")</f>
        <v>0</v>
      </c>
      <c r="O391" s="157">
        <f t="array" ref="O39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39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91" s="19">
        <f>IFERROR(SUM(Tabla_Buffers_Agroinsumos[[#This Row],[MP-C]:[MP-VL]]),"")</f>
        <v>0</v>
      </c>
      <c r="R391" s="92">
        <f>IFERROR(Tabla_Buffers_Agroinsumos[[#This Row],[INV FIS MATERIA PRIMA]]-Tabla_Buffers_Agroinsumos[[#This Row],[BUFFER MATERIA PRIMA]],"")</f>
        <v>0</v>
      </c>
      <c r="S391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391" s="19"/>
      <c r="U391" s="19"/>
      <c r="V391" s="19"/>
      <c r="W391" s="19"/>
      <c r="X391" s="19"/>
      <c r="Y391" s="19"/>
      <c r="Z391" s="19"/>
      <c r="AA391" s="19"/>
      <c r="AB391" s="19"/>
      <c r="AC391" s="135" t="str">
        <f t="array" ref="AC391">IFERROR(INDEX(TABLACONSOLIDADA[Buff Act],MATCH("AGROINSUMOSCENTRAL"&amp;Tabla_Buffers_Agroinsumos[[#This Row],[CODIGO ]],TABLACONSOLIDADA[Bodega]&amp;TABLACONSOLIDADA[Codigo],0)),"")</f>
        <v/>
      </c>
      <c r="AD391" s="157" t="str">
        <f t="array" ref="AD391">IFERROR(INDEX(TABLACONSOLIDADA[Inv Fís Act],MATCH("AGROINSUMOSCENTRAL"&amp;Tabla_Buffers_Agroinsumos[[#This Row],[CODIGO ]],TABLACONSOLIDADA[Bodega]&amp;TABLACONSOLIDADA[Codigo],0)),"")</f>
        <v/>
      </c>
      <c r="AE391" s="157" t="str">
        <f t="array" ref="AE39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9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91" s="91">
        <f>IFERROR(SUM(Tabla_Buffers_Agroinsumos[[#This Row],[C-MP]:[C-VL]]),"")</f>
        <v>0</v>
      </c>
      <c r="AH391" s="92" t="str">
        <f>IFERROR(Tabla_Buffers_Agroinsumos[[#This Row],[INV FIS CENTRAL]]-Tabla_Buffers_Agroinsumos[[#This Row],[BUFFER CENTRAL]],"")</f>
        <v/>
      </c>
      <c r="AI39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91" s="134"/>
      <c r="AK391" s="134"/>
      <c r="AL391" s="134"/>
      <c r="AM391" s="134"/>
      <c r="AN391" s="134"/>
      <c r="AO391" s="134"/>
      <c r="AP391" s="134"/>
      <c r="AQ391" s="134"/>
      <c r="AR391" s="134"/>
      <c r="AS391" s="134" t="str">
        <f t="array" ref="AS391">IFERROR(INDEX(TABLACONSOLIDADA[Buff Act],MATCH("AGROINSUMOScentralPROPIA"&amp;Tabla_Buffers_Agroinsumos[[#This Row],[CODIGO ]],TABLACONSOLIDADA[Bodega]&amp;TABLACONSOLIDADA[Codigo],0)),"")</f>
        <v/>
      </c>
      <c r="AT391" s="157" t="str">
        <f t="array" ref="AT391">IFERROR(INDEX(TABLACONSOLIDADA[Inv Fís Act],MATCH("AGROINSUMOScentralPROPIA"&amp;Tabla_Buffers_Agroinsumos[[#This Row],[CODIGO ]],TABLACONSOLIDADA[Bodega]&amp;TABLACONSOLIDADA[Codigo],0)),"")</f>
        <v/>
      </c>
      <c r="AU391" s="157" t="str">
        <f t="array" ref="AU39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9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91" s="134">
        <f>IFERROR(SUM(Tabla_Buffers_Agroinsumos[[#This Row],[P-MP]:[P-VL]]),"")</f>
        <v>0</v>
      </c>
      <c r="AX391" s="92" t="str">
        <f>IFERROR(Tabla_Buffers_Agroinsumos[[#This Row],[INV FIS PROPIA]]-Tabla_Buffers_Agroinsumos[[#This Row],[BUFFER PROPIA]],"")</f>
        <v/>
      </c>
      <c r="AY39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91" s="134"/>
      <c r="BA391" s="134"/>
      <c r="BB391" s="134"/>
      <c r="BC391" s="134"/>
      <c r="BD391" s="134"/>
      <c r="BE391" s="134"/>
      <c r="BF391" s="134"/>
      <c r="BG391" s="134"/>
      <c r="BH391" s="134"/>
      <c r="BI391" s="91" t="str">
        <f t="array" ref="BI391">IFERROR(INDEX(TABLACONSOLIDADA[Buff Act],MATCH("AGROINSUMOSSTODOMINGO"&amp;Tabla_Buffers_Agroinsumos[[#This Row],[CODIGO ]],TABLACONSOLIDADA[Bodega]&amp;TABLACONSOLIDADA[Codigo],0)),"")</f>
        <v/>
      </c>
      <c r="BJ391" s="157" t="str">
        <f t="array" ref="BJ391">IFERROR(INDEX(TABLACONSOLIDADA[Inv Fís Act],MATCH("AGROINSUMOSSTODOMINGO"&amp;Tabla_Buffers_Agroinsumos[[#This Row],[CODIGO ]],TABLACONSOLIDADA[Bodega]&amp;TABLACONSOLIDADA[Codigo],0)),"")</f>
        <v/>
      </c>
      <c r="BK391" s="157" t="str">
        <f t="array" ref="BK39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9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91" s="91">
        <f>IFERROR(SUM(Tabla_Buffers_Agroinsumos[[#This Row],[SD-MP]:[SD-VL]]),"")</f>
        <v>0</v>
      </c>
      <c r="BN391" s="92"/>
      <c r="BO391" s="92"/>
      <c r="BP391" s="134"/>
      <c r="BQ391" s="134"/>
      <c r="BR391" s="134"/>
      <c r="BS391" s="134"/>
      <c r="BT391" s="134"/>
      <c r="BU391" s="134"/>
      <c r="BV391" s="134"/>
      <c r="BW391" s="134"/>
      <c r="BX391" s="134"/>
      <c r="BY391" s="134" t="str">
        <f t="array" ref="BY391">IFERROR(INDEX(TABLACONSOLIDADA[Buff Act],MATCH("AGROINSUMOSMONCAYOLOPEZ"&amp;Tabla_Buffers_Agroinsumos[[#This Row],[CODIGO ]],TABLACONSOLIDADA[Bodega]&amp;TABLACONSOLIDADA[Codigo],0)),"")</f>
        <v/>
      </c>
      <c r="BZ391" s="157" t="str">
        <f t="array" ref="BZ391">IFERROR(INDEX(TABLACONSOLIDADA[Inv Fís Act],MATCH("AGROINSUMOSMONCAYOLOPEZ"&amp;Tabla_Buffers_Agroinsumos[[#This Row],[CODIGO ]],TABLACONSOLIDADA[Bodega]&amp;TABLACONSOLIDADA[Codigo],0)),"")</f>
        <v/>
      </c>
      <c r="CA391" s="157" t="str">
        <f t="array" ref="CA39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9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91" s="134">
        <f>IFERROR(SUM(Tabla_Buffers_Agroinsumos[[#This Row],[ML-MP]:[ML-VL]]),"")</f>
        <v>0</v>
      </c>
      <c r="CD391" s="92" t="str">
        <f>IFERROR(Tabla_Buffers_Agroinsumos[[#This Row],[INV FIS ML]]-Tabla_Buffers_Agroinsumos[[#This Row],[BUFFER ML]],"")</f>
        <v/>
      </c>
      <c r="CE39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91" s="134"/>
      <c r="CG391" s="134"/>
      <c r="CH391" s="134"/>
      <c r="CI391" s="134"/>
      <c r="CJ391" s="134"/>
      <c r="CK391" s="134"/>
      <c r="CL391" s="134"/>
      <c r="CM391" s="134"/>
      <c r="CN391" s="134"/>
      <c r="CO391" s="134" t="str">
        <f t="array" ref="CO391">IFERROR(INDEX(TABLACONSOLIDADA[Buff Act],MATCH("AGROINSUMOSAGROHERMANOSLEON"&amp;Tabla_Buffers_Agroinsumos[[#This Row],[CODIGO ]],TABLACONSOLIDADA[Bodega]&amp;TABLACONSOLIDADA[Codigo],0)),"")</f>
        <v/>
      </c>
      <c r="CP391" s="157" t="str">
        <f t="array" ref="CP391">IFERROR(INDEX(TABLACONSOLIDADA[Inv Fís Act],MATCH("AGROINSUMOSAGROHERMANOSLEON"&amp;Tabla_Buffers_Agroinsumos[[#This Row],[CODIGO ]],TABLACONSOLIDADA[Bodega]&amp;TABLACONSOLIDADA[Codigo],0)),"")</f>
        <v/>
      </c>
      <c r="CQ391" s="157" t="str">
        <f t="array" ref="CQ39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9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91" s="134">
        <f>IFERROR(SUM(Tabla_Buffers_Agroinsumos[[#This Row],[AL-MP]:[AL-VL]]),"")</f>
        <v>0</v>
      </c>
      <c r="CT391" s="92" t="str">
        <f>IFERROR(Tabla_Buffers_Agroinsumos[[#This Row],[INV FIS AL]]-Tabla_Buffers_Agroinsumos[[#This Row],[BUFFER AL]],"")</f>
        <v/>
      </c>
      <c r="CU39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91" s="134"/>
      <c r="CW391" s="134"/>
      <c r="CX391" s="134"/>
      <c r="CY391" s="134"/>
      <c r="CZ391" s="134"/>
      <c r="DA391" s="134"/>
      <c r="DB391" s="134"/>
      <c r="DC391" s="134"/>
      <c r="DD391" s="134"/>
      <c r="DE391" s="134" t="str">
        <f t="array" ref="DE391">IFERROR(INDEX(TABLACONSOLIDADA[Buff Act],MATCH("AGROINSUMOSAGRONUEVO"&amp;Tabla_Buffers_Agroinsumos[[#This Row],[CODIGO ]],TABLACONSOLIDADA[Bodega]&amp;TABLACONSOLIDADA[Codigo],0)),"")</f>
        <v/>
      </c>
      <c r="DF391" s="157" t="str">
        <f t="array" ref="DF391">IFERROR(INDEX(TABLACONSOLIDADA[Inv Fís Act],MATCH("AGROINSUMOSAGRONUEVO"&amp;Tabla_Buffers_Agroinsumos[[#This Row],[CODIGO ]],TABLACONSOLIDADA[Bodega]&amp;TABLACONSOLIDADA[Codigo],0)),"")</f>
        <v/>
      </c>
      <c r="DG391" s="157" t="str">
        <f t="array" ref="DG39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9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91" s="134">
        <f>IFERROR(SUM(Tabla_Buffers_Agroinsumos[[#This Row],[AN-MP]:[AN-VL]]),"")</f>
        <v>0</v>
      </c>
      <c r="DJ391" s="92" t="str">
        <f>IFERROR(Tabla_Buffers_Agroinsumos[[#This Row],[INV FIS AN]]-Tabla_Buffers_Agroinsumos[[#This Row],[BUFFER AN]],"")</f>
        <v/>
      </c>
      <c r="DK39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91" s="134"/>
      <c r="DM391" s="134"/>
      <c r="DN391" s="134"/>
      <c r="DO391" s="134"/>
      <c r="DP391" s="134"/>
      <c r="DQ391" s="134"/>
      <c r="DR391" s="134"/>
      <c r="DS391" s="134"/>
      <c r="DT391" s="134"/>
      <c r="DU391" s="134" t="str">
        <f t="array" ref="DU391">IFERROR(INDEX(TABLACONSOLIDADA[Buff Act],MATCH("AGROINSUMOSAGROQUIMICOSSUR"&amp;Tabla_Buffers_Agroinsumos[[#This Row],[CODIGO ]],TABLACONSOLIDADA[Bodega]&amp;TABLACONSOLIDADA[Codigo],0)),"")</f>
        <v/>
      </c>
      <c r="DV391" s="157" t="str">
        <f t="array" ref="DV391">IFERROR(INDEX(TABLACONSOLIDADA[Inv Fís Act],MATCH("AGROINSUMOSAGROQUIMICOSSUR"&amp;Tabla_Buffers_Agroinsumos[[#This Row],[CODIGO ]],TABLACONSOLIDADA[Bodega]&amp;TABLACONSOLIDADA[Codigo],0)),"")</f>
        <v/>
      </c>
      <c r="DW391" s="157" t="str">
        <f t="array" ref="DW39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9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91" s="134">
        <f>IFERROR(SUM(Tabla_Buffers_Agroinsumos[[#This Row],[AS-MP]:[AS-VL]]),"")</f>
        <v>0</v>
      </c>
      <c r="DZ391" s="92" t="str">
        <f>IFERROR(Tabla_Buffers_Agroinsumos[[#This Row],[INV FIS AS]]-Tabla_Buffers_Agroinsumos[[#This Row],[BUFFER AS]],"")</f>
        <v/>
      </c>
      <c r="EA39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91" s="134"/>
      <c r="EC391" s="134"/>
      <c r="ED391" s="134"/>
      <c r="EE391" s="134"/>
      <c r="EF391" s="134"/>
      <c r="EG391" s="134"/>
      <c r="EH391" s="134"/>
      <c r="EI391" s="134"/>
      <c r="EJ391" s="134"/>
      <c r="EK391" s="134" t="str">
        <f t="array" ref="EK391">IFERROR(INDEX(TABLACONSOLIDADA[Buff Act],MATCH("AGROINSUMOSLAFINCA"&amp;Tabla_Buffers_Agroinsumos[[#This Row],[CODIGO ]],TABLACONSOLIDADA[Bodega]&amp;TABLACONSOLIDADA[Codigo],0)),"")</f>
        <v/>
      </c>
      <c r="EL391" s="157" t="str">
        <f t="array" ref="EL391">IFERROR(INDEX(TABLACONSOLIDADA[Inv Fís Act],MATCH("AGROINSUMOSLAFINCA"&amp;Tabla_Buffers_Agroinsumos[[#This Row],[CODIGO ]],TABLACONSOLIDADA[Bodega]&amp;TABLACONSOLIDADA[Codigo],0)),"")</f>
        <v/>
      </c>
      <c r="EM391" s="157" t="str">
        <f t="array" ref="EM39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9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91" s="134">
        <f>IFERROR(SUM(Tabla_Buffers_Agroinsumos[[#This Row],[LF-MP]:[LF-VL]]),"")</f>
        <v>0</v>
      </c>
      <c r="EP391" s="92" t="str">
        <f>IFERROR(Tabla_Buffers_Agroinsumos[[#This Row],[INV FIS LF]]-Tabla_Buffers_Agroinsumos[[#This Row],[BUFFER LF]],"")</f>
        <v/>
      </c>
      <c r="EQ39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91" s="134"/>
      <c r="ES391" s="134"/>
      <c r="ET391" s="134"/>
      <c r="EU391" s="134"/>
      <c r="EV391" s="134"/>
      <c r="EW391" s="134"/>
      <c r="EX391" s="134"/>
      <c r="EY391" s="134"/>
      <c r="EZ391" s="134"/>
      <c r="FA391" s="134" t="str">
        <f t="array" ref="FA391">IFERROR(INDEX(TABLACONSOLIDADA[Buff Act],MATCH("AGROINSUMOSVERONICALEDESMA"&amp;Tabla_Buffers_Agroinsumos[[#This Row],[CODIGO ]],TABLACONSOLIDADA[Bodega]&amp;TABLACONSOLIDADA[Codigo],0)),"")</f>
        <v/>
      </c>
      <c r="FB391" s="157" t="str">
        <f t="array" ref="FB391">IFERROR(INDEX(TABLACONSOLIDADA[Inv Fís Act],MATCH("AGROINSUMOSVERONICALEDESMA"&amp;Tabla_Buffers_Agroinsumos[[#This Row],[CODIGO ]],TABLACONSOLIDADA[Bodega]&amp;TABLACONSOLIDADA[Codigo],0)),"")</f>
        <v/>
      </c>
      <c r="FC391" s="157" t="str">
        <f t="array" ref="FC39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9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91" s="134">
        <f>IFERROR(SUM(Tabla_Buffers_Agroinsumos[[#This Row],[VL-MP]:[VL-LF]]),"")</f>
        <v>0</v>
      </c>
      <c r="FF391" s="92" t="str">
        <f>IFERROR(Tabla_Buffers_Agroinsumos[[#This Row],[INV FIS VL]]-Tabla_Buffers_Agroinsumos[[#This Row],[BUFFER VL]],"")</f>
        <v/>
      </c>
      <c r="FG39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91" s="134"/>
      <c r="FI391" s="134"/>
      <c r="FJ391" s="134"/>
      <c r="FK391" s="134"/>
      <c r="FL391" s="134"/>
      <c r="FM391" s="134"/>
      <c r="FN391" s="134"/>
      <c r="FO391" s="134"/>
      <c r="FP391" s="134"/>
    </row>
    <row r="392" spans="1:172">
      <c r="A392" s="7" t="s">
        <v>657</v>
      </c>
      <c r="B392" s="7" t="s">
        <v>658</v>
      </c>
      <c r="C392" s="7" t="s">
        <v>707</v>
      </c>
      <c r="D392" s="7" t="s">
        <v>761</v>
      </c>
      <c r="E392" s="7" t="s">
        <v>863</v>
      </c>
      <c r="F392" s="19" t="s">
        <v>805</v>
      </c>
      <c r="G392" s="19" t="s">
        <v>802</v>
      </c>
      <c r="H392" s="19">
        <f>VLOOKUP(Tabla_Buffers_Agroinsumos[[#This Row],[CODIGO ]],TABLACONSOLIDADA[[Codigo]:[PV]],6,0)</f>
        <v>0</v>
      </c>
      <c r="I392" s="19">
        <f>VLOOKUP(Tabla_Buffers_Agroinsumos[[#This Row],[CODIGO ]],TABLACONSOLIDADA[[Codigo]:[PV]],5,0)</f>
        <v>6.15</v>
      </c>
      <c r="J392" s="19">
        <v>4</v>
      </c>
      <c r="K392" s="19">
        <v>4</v>
      </c>
      <c r="L392" s="19">
        <f>IFERROR(Tabla_Buffers_Agroinsumos[[#This Row],[BUFFER CENTRAL]]/((Tabla_Buffers_Agroinsumos[[#This Row],[TIEMPO REPOSICION ]]/Tabla_Buffers_Agroinsumos[[#This Row],[FRECUENCIA]])+1),0)</f>
        <v>0</v>
      </c>
      <c r="M392" s="19">
        <f t="array" ref="M392">IFERROR(INDEX(TABLACONSOLIDADA[Buff Act],MATCH("AGROINSUMOSMATERIAPRIMA"&amp;Tabla_Buffers_Agroinsumos[[#This Row],[CODIGO ]],TABLACONSOLIDADA[Bodega]&amp;TABLACONSOLIDADA[Codigo],0)),"")</f>
        <v>0</v>
      </c>
      <c r="N392" s="157">
        <f t="array" ref="N392">IFERROR(INDEX(TABLACONSOLIDADA[Inv Fís Act],MATCH("AGROINSUMOSMATERIAPRIMA"&amp;Tabla_Buffers_Agroinsumos[[#This Row],[CODIGO ]],TABLACONSOLIDADA[Bodega]&amp;TABLACONSOLIDADA[Codigo],0)),"")</f>
        <v>0</v>
      </c>
      <c r="O392" s="157">
        <f t="array" ref="O39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39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92" s="19">
        <f>IFERROR(SUM(Tabla_Buffers_Agroinsumos[[#This Row],[MP-C]:[MP-VL]]),"")</f>
        <v>0</v>
      </c>
      <c r="R392" s="92">
        <f>IFERROR(Tabla_Buffers_Agroinsumos[[#This Row],[INV FIS MATERIA PRIMA]]-Tabla_Buffers_Agroinsumos[[#This Row],[BUFFER MATERIA PRIMA]],"")</f>
        <v>0</v>
      </c>
      <c r="S392" s="92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392" s="19"/>
      <c r="U392" s="19"/>
      <c r="V392" s="19"/>
      <c r="W392" s="19"/>
      <c r="X392" s="19"/>
      <c r="Y392" s="19"/>
      <c r="Z392" s="19"/>
      <c r="AA392" s="19"/>
      <c r="AB392" s="19"/>
      <c r="AC392" s="152" t="str">
        <f t="array" ref="AC392">IFERROR(INDEX(TABLACONSOLIDADA[Buff Act],MATCH("AGROINSUMOSCENTRAL"&amp;Tabla_Buffers_Agroinsumos[[#This Row],[CODIGO ]],TABLACONSOLIDADA[Bodega]&amp;TABLACONSOLIDADA[Codigo],0)),"")</f>
        <v/>
      </c>
      <c r="AD392" s="157" t="str">
        <f t="array" ref="AD392">IFERROR(INDEX(TABLACONSOLIDADA[Inv Fís Act],MATCH("AGROINSUMOSCENTRAL"&amp;Tabla_Buffers_Agroinsumos[[#This Row],[CODIGO ]],TABLACONSOLIDADA[Bodega]&amp;TABLACONSOLIDADA[Codigo],0)),"")</f>
        <v/>
      </c>
      <c r="AE392" s="157" t="str">
        <f t="array" ref="AE39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39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92" s="91">
        <f>IFERROR(SUM(Tabla_Buffers_Agroinsumos[[#This Row],[C-MP]:[C-VL]]),"")</f>
        <v>0</v>
      </c>
      <c r="AH392" s="92" t="str">
        <f>IFERROR(Tabla_Buffers_Agroinsumos[[#This Row],[INV FIS CENTRAL]]-Tabla_Buffers_Agroinsumos[[#This Row],[BUFFER CENTRAL]],"")</f>
        <v/>
      </c>
      <c r="AI39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392" s="134"/>
      <c r="AK392" s="134"/>
      <c r="AL392" s="134"/>
      <c r="AM392" s="134"/>
      <c r="AN392" s="134"/>
      <c r="AO392" s="134"/>
      <c r="AP392" s="134"/>
      <c r="AQ392" s="134"/>
      <c r="AR392" s="134"/>
      <c r="AS392" s="134" t="str">
        <f t="array" ref="AS392">IFERROR(INDEX(TABLACONSOLIDADA[Buff Act],MATCH("AGROINSUMOScentralPROPIA"&amp;Tabla_Buffers_Agroinsumos[[#This Row],[CODIGO ]],TABLACONSOLIDADA[Bodega]&amp;TABLACONSOLIDADA[Codigo],0)),"")</f>
        <v/>
      </c>
      <c r="AT392" s="157" t="str">
        <f t="array" ref="AT392">IFERROR(INDEX(TABLACONSOLIDADA[Inv Fís Act],MATCH("AGROINSUMOScentralPROPIA"&amp;Tabla_Buffers_Agroinsumos[[#This Row],[CODIGO ]],TABLACONSOLIDADA[Bodega]&amp;TABLACONSOLIDADA[Codigo],0)),"")</f>
        <v/>
      </c>
      <c r="AU392" s="157" t="str">
        <f t="array" ref="AU39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39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92" s="134">
        <f>IFERROR(SUM(Tabla_Buffers_Agroinsumos[[#This Row],[P-MP]:[P-VL]]),"")</f>
        <v>0</v>
      </c>
      <c r="AX392" s="92" t="str">
        <f>IFERROR(Tabla_Buffers_Agroinsumos[[#This Row],[INV FIS PROPIA]]-Tabla_Buffers_Agroinsumos[[#This Row],[BUFFER PROPIA]],"")</f>
        <v/>
      </c>
      <c r="AY39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392" s="134"/>
      <c r="BA392" s="134"/>
      <c r="BB392" s="134"/>
      <c r="BC392" s="134"/>
      <c r="BD392" s="134"/>
      <c r="BE392" s="134"/>
      <c r="BF392" s="134"/>
      <c r="BG392" s="134"/>
      <c r="BH392" s="134"/>
      <c r="BI392" s="91" t="str">
        <f t="array" ref="BI392">IFERROR(INDEX(TABLACONSOLIDADA[Buff Act],MATCH("AGROINSUMOSSTODOMINGO"&amp;Tabla_Buffers_Agroinsumos[[#This Row],[CODIGO ]],TABLACONSOLIDADA[Bodega]&amp;TABLACONSOLIDADA[Codigo],0)),"")</f>
        <v/>
      </c>
      <c r="BJ392" s="157" t="str">
        <f t="array" ref="BJ392">IFERROR(INDEX(TABLACONSOLIDADA[Inv Fís Act],MATCH("AGROINSUMOSSTODOMINGO"&amp;Tabla_Buffers_Agroinsumos[[#This Row],[CODIGO ]],TABLACONSOLIDADA[Bodega]&amp;TABLACONSOLIDADA[Codigo],0)),"")</f>
        <v/>
      </c>
      <c r="BK392" s="157" t="str">
        <f t="array" ref="BK39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39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92" s="91">
        <f>IFERROR(SUM(Tabla_Buffers_Agroinsumos[[#This Row],[SD-MP]:[SD-VL]]),"")</f>
        <v>0</v>
      </c>
      <c r="BN392" s="92"/>
      <c r="BO392" s="92"/>
      <c r="BP392" s="134"/>
      <c r="BQ392" s="134"/>
      <c r="BR392" s="134"/>
      <c r="BS392" s="134"/>
      <c r="BT392" s="134"/>
      <c r="BU392" s="134"/>
      <c r="BV392" s="134"/>
      <c r="BW392" s="134"/>
      <c r="BX392" s="134"/>
      <c r="BY392" s="134" t="str">
        <f t="array" ref="BY392">IFERROR(INDEX(TABLACONSOLIDADA[Buff Act],MATCH("AGROINSUMOSMONCAYOLOPEZ"&amp;Tabla_Buffers_Agroinsumos[[#This Row],[CODIGO ]],TABLACONSOLIDADA[Bodega]&amp;TABLACONSOLIDADA[Codigo],0)),"")</f>
        <v/>
      </c>
      <c r="BZ392" s="157" t="str">
        <f t="array" ref="BZ392">IFERROR(INDEX(TABLACONSOLIDADA[Inv Fís Act],MATCH("AGROINSUMOSMONCAYOLOPEZ"&amp;Tabla_Buffers_Agroinsumos[[#This Row],[CODIGO ]],TABLACONSOLIDADA[Bodega]&amp;TABLACONSOLIDADA[Codigo],0)),"")</f>
        <v/>
      </c>
      <c r="CA392" s="157" t="str">
        <f t="array" ref="CA39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39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92" s="134">
        <f>IFERROR(SUM(Tabla_Buffers_Agroinsumos[[#This Row],[ML-MP]:[ML-VL]]),"")</f>
        <v>0</v>
      </c>
      <c r="CD392" s="92" t="str">
        <f>IFERROR(Tabla_Buffers_Agroinsumos[[#This Row],[INV FIS ML]]-Tabla_Buffers_Agroinsumos[[#This Row],[BUFFER ML]],"")</f>
        <v/>
      </c>
      <c r="CE39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392" s="134"/>
      <c r="CG392" s="134"/>
      <c r="CH392" s="134"/>
      <c r="CI392" s="134"/>
      <c r="CJ392" s="134"/>
      <c r="CK392" s="134"/>
      <c r="CL392" s="134"/>
      <c r="CM392" s="134"/>
      <c r="CN392" s="134"/>
      <c r="CO392" s="134" t="str">
        <f t="array" ref="CO392">IFERROR(INDEX(TABLACONSOLIDADA[Buff Act],MATCH("AGROINSUMOSAGROHERMANOSLEON"&amp;Tabla_Buffers_Agroinsumos[[#This Row],[CODIGO ]],TABLACONSOLIDADA[Bodega]&amp;TABLACONSOLIDADA[Codigo],0)),"")</f>
        <v/>
      </c>
      <c r="CP392" s="157" t="str">
        <f t="array" ref="CP392">IFERROR(INDEX(TABLACONSOLIDADA[Inv Fís Act],MATCH("AGROINSUMOSAGROHERMANOSLEON"&amp;Tabla_Buffers_Agroinsumos[[#This Row],[CODIGO ]],TABLACONSOLIDADA[Bodega]&amp;TABLACONSOLIDADA[Codigo],0)),"")</f>
        <v/>
      </c>
      <c r="CQ392" s="157" t="str">
        <f t="array" ref="CQ39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39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92" s="134">
        <f>IFERROR(SUM(Tabla_Buffers_Agroinsumos[[#This Row],[AL-MP]:[AL-VL]]),"")</f>
        <v>0</v>
      </c>
      <c r="CT392" s="92" t="str">
        <f>IFERROR(Tabla_Buffers_Agroinsumos[[#This Row],[INV FIS AL]]-Tabla_Buffers_Agroinsumos[[#This Row],[BUFFER AL]],"")</f>
        <v/>
      </c>
      <c r="CU39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392" s="134"/>
      <c r="CW392" s="134"/>
      <c r="CX392" s="134"/>
      <c r="CY392" s="134"/>
      <c r="CZ392" s="134"/>
      <c r="DA392" s="134"/>
      <c r="DB392" s="134"/>
      <c r="DC392" s="134"/>
      <c r="DD392" s="134"/>
      <c r="DE392" s="134" t="str">
        <f t="array" ref="DE392">IFERROR(INDEX(TABLACONSOLIDADA[Buff Act],MATCH("AGROINSUMOSAGRONUEVO"&amp;Tabla_Buffers_Agroinsumos[[#This Row],[CODIGO ]],TABLACONSOLIDADA[Bodega]&amp;TABLACONSOLIDADA[Codigo],0)),"")</f>
        <v/>
      </c>
      <c r="DF392" s="157" t="str">
        <f t="array" ref="DF392">IFERROR(INDEX(TABLACONSOLIDADA[Inv Fís Act],MATCH("AGROINSUMOSAGRONUEVO"&amp;Tabla_Buffers_Agroinsumos[[#This Row],[CODIGO ]],TABLACONSOLIDADA[Bodega]&amp;TABLACONSOLIDADA[Codigo],0)),"")</f>
        <v/>
      </c>
      <c r="DG392" s="157" t="str">
        <f t="array" ref="DG39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39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92" s="134">
        <f>IFERROR(SUM(Tabla_Buffers_Agroinsumos[[#This Row],[AN-MP]:[AN-VL]]),"")</f>
        <v>0</v>
      </c>
      <c r="DJ392" s="92" t="str">
        <f>IFERROR(Tabla_Buffers_Agroinsumos[[#This Row],[INV FIS AN]]-Tabla_Buffers_Agroinsumos[[#This Row],[BUFFER AN]],"")</f>
        <v/>
      </c>
      <c r="DK39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392" s="134"/>
      <c r="DM392" s="134"/>
      <c r="DN392" s="134"/>
      <c r="DO392" s="134"/>
      <c r="DP392" s="134"/>
      <c r="DQ392" s="134"/>
      <c r="DR392" s="134"/>
      <c r="DS392" s="134"/>
      <c r="DT392" s="134"/>
      <c r="DU392" s="134" t="str">
        <f t="array" ref="DU392">IFERROR(INDEX(TABLACONSOLIDADA[Buff Act],MATCH("AGROINSUMOSAGROQUIMICOSSUR"&amp;Tabla_Buffers_Agroinsumos[[#This Row],[CODIGO ]],TABLACONSOLIDADA[Bodega]&amp;TABLACONSOLIDADA[Codigo],0)),"")</f>
        <v/>
      </c>
      <c r="DV392" s="157" t="str">
        <f t="array" ref="DV392">IFERROR(INDEX(TABLACONSOLIDADA[Inv Fís Act],MATCH("AGROINSUMOSAGROQUIMICOSSUR"&amp;Tabla_Buffers_Agroinsumos[[#This Row],[CODIGO ]],TABLACONSOLIDADA[Bodega]&amp;TABLACONSOLIDADA[Codigo],0)),"")</f>
        <v/>
      </c>
      <c r="DW392" s="157" t="str">
        <f t="array" ref="DW39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39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92" s="134">
        <f>IFERROR(SUM(Tabla_Buffers_Agroinsumos[[#This Row],[AS-MP]:[AS-VL]]),"")</f>
        <v>0</v>
      </c>
      <c r="DZ392" s="92" t="str">
        <f>IFERROR(Tabla_Buffers_Agroinsumos[[#This Row],[INV FIS AS]]-Tabla_Buffers_Agroinsumos[[#This Row],[BUFFER AS]],"")</f>
        <v/>
      </c>
      <c r="EA39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392" s="134"/>
      <c r="EC392" s="134"/>
      <c r="ED392" s="134"/>
      <c r="EE392" s="134"/>
      <c r="EF392" s="134"/>
      <c r="EG392" s="134"/>
      <c r="EH392" s="134"/>
      <c r="EI392" s="134"/>
      <c r="EJ392" s="134"/>
      <c r="EK392" s="134" t="str">
        <f t="array" ref="EK392">IFERROR(INDEX(TABLACONSOLIDADA[Buff Act],MATCH("AGROINSUMOSLAFINCA"&amp;Tabla_Buffers_Agroinsumos[[#This Row],[CODIGO ]],TABLACONSOLIDADA[Bodega]&amp;TABLACONSOLIDADA[Codigo],0)),"")</f>
        <v/>
      </c>
      <c r="EL392" s="157" t="str">
        <f t="array" ref="EL392">IFERROR(INDEX(TABLACONSOLIDADA[Inv Fís Act],MATCH("AGROINSUMOSLAFINCA"&amp;Tabla_Buffers_Agroinsumos[[#This Row],[CODIGO ]],TABLACONSOLIDADA[Bodega]&amp;TABLACONSOLIDADA[Codigo],0)),"")</f>
        <v/>
      </c>
      <c r="EM392" s="157" t="str">
        <f t="array" ref="EM39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39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92" s="134">
        <f>IFERROR(SUM(Tabla_Buffers_Agroinsumos[[#This Row],[LF-MP]:[LF-VL]]),"")</f>
        <v>0</v>
      </c>
      <c r="EP392" s="92" t="str">
        <f>IFERROR(Tabla_Buffers_Agroinsumos[[#This Row],[INV FIS LF]]-Tabla_Buffers_Agroinsumos[[#This Row],[BUFFER LF]],"")</f>
        <v/>
      </c>
      <c r="EQ39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392" s="134"/>
      <c r="ES392" s="134"/>
      <c r="ET392" s="134"/>
      <c r="EU392" s="134"/>
      <c r="EV392" s="134"/>
      <c r="EW392" s="134"/>
      <c r="EX392" s="134"/>
      <c r="EY392" s="134"/>
      <c r="EZ392" s="134"/>
      <c r="FA392" s="134" t="str">
        <f t="array" ref="FA392">IFERROR(INDEX(TABLACONSOLIDADA[Buff Act],MATCH("AGROINSUMOSVERONICALEDESMA"&amp;Tabla_Buffers_Agroinsumos[[#This Row],[CODIGO ]],TABLACONSOLIDADA[Bodega]&amp;TABLACONSOLIDADA[Codigo],0)),"")</f>
        <v/>
      </c>
      <c r="FB392" s="157" t="str">
        <f t="array" ref="FB392">IFERROR(INDEX(TABLACONSOLIDADA[Inv Fís Act],MATCH("AGROINSUMOSVERONICALEDESMA"&amp;Tabla_Buffers_Agroinsumos[[#This Row],[CODIGO ]],TABLACONSOLIDADA[Bodega]&amp;TABLACONSOLIDADA[Codigo],0)),"")</f>
        <v/>
      </c>
      <c r="FC392" s="157" t="str">
        <f t="array" ref="FC39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39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92" s="134">
        <f>IFERROR(SUM(Tabla_Buffers_Agroinsumos[[#This Row],[VL-MP]:[VL-LF]]),"")</f>
        <v>0</v>
      </c>
      <c r="FF392" s="92" t="str">
        <f>IFERROR(Tabla_Buffers_Agroinsumos[[#This Row],[INV FIS VL]]-Tabla_Buffers_Agroinsumos[[#This Row],[BUFFER VL]],"")</f>
        <v/>
      </c>
      <c r="FG39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392" s="134"/>
      <c r="FI392" s="134"/>
      <c r="FJ392" s="134"/>
      <c r="FK392" s="134"/>
      <c r="FL392" s="134"/>
      <c r="FM392" s="134"/>
      <c r="FN392" s="134"/>
      <c r="FO392" s="134"/>
      <c r="FP392" s="134"/>
    </row>
    <row r="393" spans="1:172">
      <c r="A393" s="7" t="s">
        <v>659</v>
      </c>
      <c r="B393" s="7" t="s">
        <v>660</v>
      </c>
      <c r="C393" s="7" t="s">
        <v>707</v>
      </c>
      <c r="D393" s="7" t="s">
        <v>732</v>
      </c>
      <c r="E393" s="7" t="s">
        <v>975</v>
      </c>
      <c r="F393" s="19" t="s">
        <v>698</v>
      </c>
      <c r="G393" s="19" t="s">
        <v>698</v>
      </c>
      <c r="H393" s="19">
        <f>VLOOKUP(Tabla_Buffers_Agroinsumos[[#This Row],[CODIGO ]],TABLACONSOLIDADA[[Codigo]:[PV]],6,0)</f>
        <v>189</v>
      </c>
      <c r="I393" s="19">
        <f>VLOOKUP(Tabla_Buffers_Agroinsumos[[#This Row],[CODIGO ]],TABLACONSOLIDADA[[Codigo]:[PV]],5,0)</f>
        <v>121.78</v>
      </c>
      <c r="J393" s="19" t="s">
        <v>698</v>
      </c>
      <c r="K393" s="19" t="s">
        <v>698</v>
      </c>
      <c r="L393" s="19">
        <f>IFERROR(Tabla_Buffers_Agroinsumos[[#This Row],[BUFFER CENTRAL]]/((Tabla_Buffers_Agroinsumos[[#This Row],[TIEMPO REPOSICION ]]/Tabla_Buffers_Agroinsumos[[#This Row],[FRECUENCIA]])+1),0)</f>
        <v>0</v>
      </c>
      <c r="M393" s="19" t="str">
        <f t="array" ref="M393">IFERROR(INDEX(TABLACONSOLIDADA[Buff Act],MATCH("AGROINSUMOSMATERIAPRIMA"&amp;Tabla_Buffers_Agroinsumos[[#This Row],[CODIGO ]],TABLACONSOLIDADA[Bodega]&amp;TABLACONSOLIDADA[Codigo],0)),"")</f>
        <v/>
      </c>
      <c r="N393" s="157" t="str">
        <f t="array" ref="N393">IFERROR(INDEX(TABLACONSOLIDADA[Inv Fís Act],MATCH("AGROINSUMOSMATERIAPRIMA"&amp;Tabla_Buffers_Agroinsumos[[#This Row],[CODIGO ]],TABLACONSOLIDADA[Bodega]&amp;TABLACONSOLIDADA[Codigo],0)),"")</f>
        <v/>
      </c>
      <c r="O393" s="157" t="str">
        <f t="array" ref="O39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93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93" s="19">
        <f>IFERROR(SUM(Tabla_Buffers_Agroinsumos[[#This Row],[MP-C]:[MP-VL]]),"")</f>
        <v>0</v>
      </c>
      <c r="R393" s="92" t="str">
        <f>IFERROR(Tabla_Buffers_Agroinsumos[[#This Row],[INV FIS MATERIA PRIMA]]-Tabla_Buffers_Agroinsumos[[#This Row],[BUFFER MATERIA PRIMA]],"")</f>
        <v/>
      </c>
      <c r="S393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93" s="19"/>
      <c r="U393" s="19"/>
      <c r="V393" s="19"/>
      <c r="W393" s="19"/>
      <c r="X393" s="19"/>
      <c r="Y393" s="19"/>
      <c r="Z393" s="19"/>
      <c r="AA393" s="19"/>
      <c r="AB393" s="19"/>
      <c r="AC393" s="135">
        <f t="array" ref="AC393">IFERROR(INDEX(TABLACONSOLIDADA[Buff Act],MATCH("AGROINSUMOSCENTRAL"&amp;Tabla_Buffers_Agroinsumos[[#This Row],[CODIGO ]],TABLACONSOLIDADA[Bodega]&amp;TABLACONSOLIDADA[Codigo],0)),"")</f>
        <v>1</v>
      </c>
      <c r="AD393" s="157">
        <f t="array" ref="AD393">IFERROR(INDEX(TABLACONSOLIDADA[Inv Fís Act],MATCH("AGROINSUMOSCENTRAL"&amp;Tabla_Buffers_Agroinsumos[[#This Row],[CODIGO ]],TABLACONSOLIDADA[Bodega]&amp;TABLACONSOLIDADA[Codigo],0)),"")</f>
        <v>1</v>
      </c>
      <c r="AE393" s="157">
        <f t="array" ref="AE39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</v>
      </c>
      <c r="AF393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93" s="91">
        <f>IFERROR(SUM(Tabla_Buffers_Agroinsumos[[#This Row],[C-MP]:[C-VL]]),"")</f>
        <v>0</v>
      </c>
      <c r="AH393" s="92">
        <f>IFERROR(Tabla_Buffers_Agroinsumos[[#This Row],[INV FIS CENTRAL]]-Tabla_Buffers_Agroinsumos[[#This Row],[BUFFER CENTRAL]],"")</f>
        <v>0</v>
      </c>
      <c r="AI393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0</v>
      </c>
      <c r="AJ393" s="134"/>
      <c r="AK393" s="134"/>
      <c r="AL393" s="134"/>
      <c r="AM393" s="134"/>
      <c r="AN393" s="134"/>
      <c r="AO393" s="134"/>
      <c r="AP393" s="134"/>
      <c r="AQ393" s="134"/>
      <c r="AR393" s="134"/>
      <c r="AS393" s="134">
        <f t="array" ref="AS393">IFERROR(INDEX(TABLACONSOLIDADA[Buff Act],MATCH("AGROINSUMOScentralPROPIA"&amp;Tabla_Buffers_Agroinsumos[[#This Row],[CODIGO ]],TABLACONSOLIDADA[Bodega]&amp;TABLACONSOLIDADA[Codigo],0)),"")</f>
        <v>0</v>
      </c>
      <c r="AT393" s="157">
        <f t="array" ref="AT393">IFERROR(INDEX(TABLACONSOLIDADA[Inv Fís Act],MATCH("AGROINSUMOScentralPROPIA"&amp;Tabla_Buffers_Agroinsumos[[#This Row],[CODIGO ]],TABLACONSOLIDADA[Bodega]&amp;TABLACONSOLIDADA[Codigo],0)),"")</f>
        <v>0</v>
      </c>
      <c r="AU393" s="157">
        <f t="array" ref="AU39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93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93" s="134">
        <f>IFERROR(SUM(Tabla_Buffers_Agroinsumos[[#This Row],[P-MP]:[P-VL]]),"")</f>
        <v>0</v>
      </c>
      <c r="AX393" s="92">
        <f>IFERROR(Tabla_Buffers_Agroinsumos[[#This Row],[INV FIS PROPIA]]-Tabla_Buffers_Agroinsumos[[#This Row],[BUFFER PROPIA]],"")</f>
        <v>0</v>
      </c>
      <c r="AY393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0</v>
      </c>
      <c r="AZ393" s="134"/>
      <c r="BA393" s="134"/>
      <c r="BB393" s="134"/>
      <c r="BC393" s="134"/>
      <c r="BD393" s="134"/>
      <c r="BE393" s="134"/>
      <c r="BF393" s="134"/>
      <c r="BG393" s="134"/>
      <c r="BH393" s="134"/>
      <c r="BI393" s="91">
        <f t="array" ref="BI393">IFERROR(INDEX(TABLACONSOLIDADA[Buff Act],MATCH("AGROINSUMOSSTODOMINGO"&amp;Tabla_Buffers_Agroinsumos[[#This Row],[CODIGO ]],TABLACONSOLIDADA[Bodega]&amp;TABLACONSOLIDADA[Codigo],0)),"")</f>
        <v>0</v>
      </c>
      <c r="BJ393" s="157">
        <f t="array" ref="BJ393">IFERROR(INDEX(TABLACONSOLIDADA[Inv Fís Act],MATCH("AGROINSUMOSSTODOMINGO"&amp;Tabla_Buffers_Agroinsumos[[#This Row],[CODIGO ]],TABLACONSOLIDADA[Bodega]&amp;TABLACONSOLIDADA[Codigo],0)),"")</f>
        <v>0</v>
      </c>
      <c r="BK393" s="157">
        <f t="array" ref="BK39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93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93" s="91">
        <f>IFERROR(SUM(Tabla_Buffers_Agroinsumos[[#This Row],[SD-MP]:[SD-VL]]),"")</f>
        <v>0</v>
      </c>
      <c r="BN393" s="92"/>
      <c r="BO393" s="92"/>
      <c r="BP393" s="134"/>
      <c r="BQ393" s="134"/>
      <c r="BR393" s="134"/>
      <c r="BS393" s="134"/>
      <c r="BT393" s="134"/>
      <c r="BU393" s="134"/>
      <c r="BV393" s="134"/>
      <c r="BW393" s="134"/>
      <c r="BX393" s="134"/>
      <c r="BY393" s="134">
        <f t="array" ref="BY393">IFERROR(INDEX(TABLACONSOLIDADA[Buff Act],MATCH("AGROINSUMOSMONCAYOLOPEZ"&amp;Tabla_Buffers_Agroinsumos[[#This Row],[CODIGO ]],TABLACONSOLIDADA[Bodega]&amp;TABLACONSOLIDADA[Codigo],0)),"")</f>
        <v>0</v>
      </c>
      <c r="BZ393" s="157">
        <f t="array" ref="BZ393">IFERROR(INDEX(TABLACONSOLIDADA[Inv Fís Act],MATCH("AGROINSUMOSMONCAYOLOPEZ"&amp;Tabla_Buffers_Agroinsumos[[#This Row],[CODIGO ]],TABLACONSOLIDADA[Bodega]&amp;TABLACONSOLIDADA[Codigo],0)),"")</f>
        <v>0</v>
      </c>
      <c r="CA393" s="157">
        <f t="array" ref="CA39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93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93" s="134">
        <f>IFERROR(SUM(Tabla_Buffers_Agroinsumos[[#This Row],[ML-MP]:[ML-VL]]),"")</f>
        <v>0</v>
      </c>
      <c r="CD393" s="92">
        <f>IFERROR(Tabla_Buffers_Agroinsumos[[#This Row],[INV FIS ML]]-Tabla_Buffers_Agroinsumos[[#This Row],[BUFFER ML]],"")</f>
        <v>0</v>
      </c>
      <c r="CE393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93" s="134"/>
      <c r="CG393" s="134"/>
      <c r="CH393" s="134"/>
      <c r="CI393" s="134"/>
      <c r="CJ393" s="134"/>
      <c r="CK393" s="134"/>
      <c r="CL393" s="134"/>
      <c r="CM393" s="134"/>
      <c r="CN393" s="134"/>
      <c r="CO393" s="134">
        <f t="array" ref="CO393">IFERROR(INDEX(TABLACONSOLIDADA[Buff Act],MATCH("AGROINSUMOSAGROHERMANOSLEON"&amp;Tabla_Buffers_Agroinsumos[[#This Row],[CODIGO ]],TABLACONSOLIDADA[Bodega]&amp;TABLACONSOLIDADA[Codigo],0)),"")</f>
        <v>0</v>
      </c>
      <c r="CP393" s="157">
        <f t="array" ref="CP393">IFERROR(INDEX(TABLACONSOLIDADA[Inv Fís Act],MATCH("AGROINSUMOSAGROHERMANOSLEON"&amp;Tabla_Buffers_Agroinsumos[[#This Row],[CODIGO ]],TABLACONSOLIDADA[Bodega]&amp;TABLACONSOLIDADA[Codigo],0)),"")</f>
        <v>0</v>
      </c>
      <c r="CQ393" s="157">
        <f t="array" ref="CQ39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93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93" s="134">
        <f>IFERROR(SUM(Tabla_Buffers_Agroinsumos[[#This Row],[AL-MP]:[AL-VL]]),"")</f>
        <v>0</v>
      </c>
      <c r="CT393" s="92">
        <f>IFERROR(Tabla_Buffers_Agroinsumos[[#This Row],[INV FIS AL]]-Tabla_Buffers_Agroinsumos[[#This Row],[BUFFER AL]],"")</f>
        <v>0</v>
      </c>
      <c r="CU393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93" s="134"/>
      <c r="CW393" s="134"/>
      <c r="CX393" s="134"/>
      <c r="CY393" s="134"/>
      <c r="CZ393" s="134"/>
      <c r="DA393" s="134"/>
      <c r="DB393" s="134"/>
      <c r="DC393" s="134"/>
      <c r="DD393" s="134"/>
      <c r="DE393" s="134">
        <f t="array" ref="DE393">IFERROR(INDEX(TABLACONSOLIDADA[Buff Act],MATCH("AGROINSUMOSAGRONUEVO"&amp;Tabla_Buffers_Agroinsumos[[#This Row],[CODIGO ]],TABLACONSOLIDADA[Bodega]&amp;TABLACONSOLIDADA[Codigo],0)),"")</f>
        <v>0</v>
      </c>
      <c r="DF393" s="157">
        <f t="array" ref="DF393">IFERROR(INDEX(TABLACONSOLIDADA[Inv Fís Act],MATCH("AGROINSUMOSAGRONUEVO"&amp;Tabla_Buffers_Agroinsumos[[#This Row],[CODIGO ]],TABLACONSOLIDADA[Bodega]&amp;TABLACONSOLIDADA[Codigo],0)),"")</f>
        <v>0</v>
      </c>
      <c r="DG393" s="157">
        <f t="array" ref="DG39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93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93" s="134">
        <f>IFERROR(SUM(Tabla_Buffers_Agroinsumos[[#This Row],[AN-MP]:[AN-VL]]),"")</f>
        <v>0</v>
      </c>
      <c r="DJ393" s="92">
        <f>IFERROR(Tabla_Buffers_Agroinsumos[[#This Row],[INV FIS AN]]-Tabla_Buffers_Agroinsumos[[#This Row],[BUFFER AN]],"")</f>
        <v>0</v>
      </c>
      <c r="DK393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93" s="134"/>
      <c r="DM393" s="134"/>
      <c r="DN393" s="134"/>
      <c r="DO393" s="134"/>
      <c r="DP393" s="134"/>
      <c r="DQ393" s="134"/>
      <c r="DR393" s="134"/>
      <c r="DS393" s="134"/>
      <c r="DT393" s="134"/>
      <c r="DU393" s="134">
        <f t="array" ref="DU393">IFERROR(INDEX(TABLACONSOLIDADA[Buff Act],MATCH("AGROINSUMOSAGROQUIMICOSSUR"&amp;Tabla_Buffers_Agroinsumos[[#This Row],[CODIGO ]],TABLACONSOLIDADA[Bodega]&amp;TABLACONSOLIDADA[Codigo],0)),"")</f>
        <v>0</v>
      </c>
      <c r="DV393" s="157">
        <f t="array" ref="DV393">IFERROR(INDEX(TABLACONSOLIDADA[Inv Fís Act],MATCH("AGROINSUMOSAGROQUIMICOSSUR"&amp;Tabla_Buffers_Agroinsumos[[#This Row],[CODIGO ]],TABLACONSOLIDADA[Bodega]&amp;TABLACONSOLIDADA[Codigo],0)),"")</f>
        <v>0</v>
      </c>
      <c r="DW393" s="157">
        <f t="array" ref="DW39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93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93" s="134">
        <f>IFERROR(SUM(Tabla_Buffers_Agroinsumos[[#This Row],[AS-MP]:[AS-VL]]),"")</f>
        <v>0</v>
      </c>
      <c r="DZ393" s="92">
        <f>IFERROR(Tabla_Buffers_Agroinsumos[[#This Row],[INV FIS AS]]-Tabla_Buffers_Agroinsumos[[#This Row],[BUFFER AS]],"")</f>
        <v>0</v>
      </c>
      <c r="EA393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93" s="134"/>
      <c r="EC393" s="134"/>
      <c r="ED393" s="134"/>
      <c r="EE393" s="134"/>
      <c r="EF393" s="134"/>
      <c r="EG393" s="134"/>
      <c r="EH393" s="134"/>
      <c r="EI393" s="134"/>
      <c r="EJ393" s="134"/>
      <c r="EK393" s="134">
        <f t="array" ref="EK393">IFERROR(INDEX(TABLACONSOLIDADA[Buff Act],MATCH("AGROINSUMOSLAFINCA"&amp;Tabla_Buffers_Agroinsumos[[#This Row],[CODIGO ]],TABLACONSOLIDADA[Bodega]&amp;TABLACONSOLIDADA[Codigo],0)),"")</f>
        <v>0</v>
      </c>
      <c r="EL393" s="157">
        <f t="array" ref="EL393">IFERROR(INDEX(TABLACONSOLIDADA[Inv Fís Act],MATCH("AGROINSUMOSLAFINCA"&amp;Tabla_Buffers_Agroinsumos[[#This Row],[CODIGO ]],TABLACONSOLIDADA[Bodega]&amp;TABLACONSOLIDADA[Codigo],0)),"")</f>
        <v>0</v>
      </c>
      <c r="EM393" s="157">
        <f t="array" ref="EM39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93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93" s="134">
        <f>IFERROR(SUM(Tabla_Buffers_Agroinsumos[[#This Row],[LF-MP]:[LF-VL]]),"")</f>
        <v>0</v>
      </c>
      <c r="EP393" s="92">
        <f>IFERROR(Tabla_Buffers_Agroinsumos[[#This Row],[INV FIS LF]]-Tabla_Buffers_Agroinsumos[[#This Row],[BUFFER LF]],"")</f>
        <v>0</v>
      </c>
      <c r="EQ393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93" s="134"/>
      <c r="ES393" s="134"/>
      <c r="ET393" s="134"/>
      <c r="EU393" s="134"/>
      <c r="EV393" s="134"/>
      <c r="EW393" s="134"/>
      <c r="EX393" s="134"/>
      <c r="EY393" s="134"/>
      <c r="EZ393" s="134"/>
      <c r="FA393" s="134">
        <f t="array" ref="FA393">IFERROR(INDEX(TABLACONSOLIDADA[Buff Act],MATCH("AGROINSUMOSVERONICALEDESMA"&amp;Tabla_Buffers_Agroinsumos[[#This Row],[CODIGO ]],TABLACONSOLIDADA[Bodega]&amp;TABLACONSOLIDADA[Codigo],0)),"")</f>
        <v>0</v>
      </c>
      <c r="FB393" s="157">
        <f t="array" ref="FB393">IFERROR(INDEX(TABLACONSOLIDADA[Inv Fís Act],MATCH("AGROINSUMOSVERONICALEDESMA"&amp;Tabla_Buffers_Agroinsumos[[#This Row],[CODIGO ]],TABLACONSOLIDADA[Bodega]&amp;TABLACONSOLIDADA[Codigo],0)),"")</f>
        <v>0</v>
      </c>
      <c r="FC393" s="157">
        <f t="array" ref="FC39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93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93" s="134">
        <f>IFERROR(SUM(Tabla_Buffers_Agroinsumos[[#This Row],[VL-MP]:[VL-LF]]),"")</f>
        <v>0</v>
      </c>
      <c r="FF393" s="92">
        <f>IFERROR(Tabla_Buffers_Agroinsumos[[#This Row],[INV FIS VL]]-Tabla_Buffers_Agroinsumos[[#This Row],[BUFFER VL]],"")</f>
        <v>0</v>
      </c>
      <c r="FG393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93" s="134"/>
      <c r="FI393" s="134"/>
      <c r="FJ393" s="134"/>
      <c r="FK393" s="134"/>
      <c r="FL393" s="134"/>
      <c r="FM393" s="134"/>
      <c r="FN393" s="134"/>
      <c r="FO393" s="134"/>
      <c r="FP393" s="134"/>
    </row>
    <row r="394" spans="1:172">
      <c r="A394" s="7" t="s">
        <v>661</v>
      </c>
      <c r="B394" s="7" t="s">
        <v>662</v>
      </c>
      <c r="C394" s="7" t="s">
        <v>707</v>
      </c>
      <c r="D394" s="7" t="s">
        <v>732</v>
      </c>
      <c r="E394" s="7" t="s">
        <v>975</v>
      </c>
      <c r="F394" s="19" t="s">
        <v>698</v>
      </c>
      <c r="G394" s="19" t="s">
        <v>698</v>
      </c>
      <c r="H394" s="19">
        <f>VLOOKUP(Tabla_Buffers_Agroinsumos[[#This Row],[CODIGO ]],TABLACONSOLIDADA[[Codigo]:[PV]],6,0)</f>
        <v>38.4</v>
      </c>
      <c r="I394" s="19">
        <f>VLOOKUP(Tabla_Buffers_Agroinsumos[[#This Row],[CODIGO ]],TABLACONSOLIDADA[[Codigo]:[PV]],5,0)</f>
        <v>24.73</v>
      </c>
      <c r="J394" s="19" t="s">
        <v>698</v>
      </c>
      <c r="K394" s="19" t="s">
        <v>698</v>
      </c>
      <c r="L394" s="19">
        <f>IFERROR(Tabla_Buffers_Agroinsumos[[#This Row],[BUFFER CENTRAL]]/((Tabla_Buffers_Agroinsumos[[#This Row],[TIEMPO REPOSICION ]]/Tabla_Buffers_Agroinsumos[[#This Row],[FRECUENCIA]])+1),0)</f>
        <v>0</v>
      </c>
      <c r="M394" s="19" t="str">
        <f t="array" ref="M394">IFERROR(INDEX(TABLACONSOLIDADA[Buff Act],MATCH("AGROINSUMOSMATERIAPRIMA"&amp;Tabla_Buffers_Agroinsumos[[#This Row],[CODIGO ]],TABLACONSOLIDADA[Bodega]&amp;TABLACONSOLIDADA[Codigo],0)),"")</f>
        <v/>
      </c>
      <c r="N394" s="157" t="str">
        <f t="array" ref="N394">IFERROR(INDEX(TABLACONSOLIDADA[Inv Fís Act],MATCH("AGROINSUMOSMATERIAPRIMA"&amp;Tabla_Buffers_Agroinsumos[[#This Row],[CODIGO ]],TABLACONSOLIDADA[Bodega]&amp;TABLACONSOLIDADA[Codigo],0)),"")</f>
        <v/>
      </c>
      <c r="O394" s="157" t="str">
        <f t="array" ref="O39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94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94" s="19">
        <f>IFERROR(SUM(Tabla_Buffers_Agroinsumos[[#This Row],[MP-C]:[MP-VL]]),"")</f>
        <v>0</v>
      </c>
      <c r="R394" s="92" t="str">
        <f>IFERROR(Tabla_Buffers_Agroinsumos[[#This Row],[INV FIS MATERIA PRIMA]]-Tabla_Buffers_Agroinsumos[[#This Row],[BUFFER MATERIA PRIMA]],"")</f>
        <v/>
      </c>
      <c r="S394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94" s="19"/>
      <c r="U394" s="19"/>
      <c r="V394" s="19"/>
      <c r="W394" s="19"/>
      <c r="X394" s="19"/>
      <c r="Y394" s="19"/>
      <c r="Z394" s="19"/>
      <c r="AA394" s="19"/>
      <c r="AB394" s="19"/>
      <c r="AC394" s="135">
        <f t="array" ref="AC394">IFERROR(INDEX(TABLACONSOLIDADA[Buff Act],MATCH("AGROINSUMOSCENTRAL"&amp;Tabla_Buffers_Agroinsumos[[#This Row],[CODIGO ]],TABLACONSOLIDADA[Bodega]&amp;TABLACONSOLIDADA[Codigo],0)),"")</f>
        <v>4</v>
      </c>
      <c r="AD394" s="157">
        <f t="array" ref="AD394">IFERROR(INDEX(TABLACONSOLIDADA[Inv Fís Act],MATCH("AGROINSUMOSCENTRAL"&amp;Tabla_Buffers_Agroinsumos[[#This Row],[CODIGO ]],TABLACONSOLIDADA[Bodega]&amp;TABLACONSOLIDADA[Codigo],0)),"")</f>
        <v>8</v>
      </c>
      <c r="AE394" s="157">
        <f t="array" ref="AE39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8</v>
      </c>
      <c r="AF394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94" s="91">
        <f>IFERROR(SUM(Tabla_Buffers_Agroinsumos[[#This Row],[C-MP]:[C-VL]]),"")</f>
        <v>0</v>
      </c>
      <c r="AH394" s="92">
        <f>IFERROR(Tabla_Buffers_Agroinsumos[[#This Row],[INV FIS CENTRAL]]-Tabla_Buffers_Agroinsumos[[#This Row],[BUFFER CENTRAL]],"")</f>
        <v>4</v>
      </c>
      <c r="AI394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4</v>
      </c>
      <c r="AJ394" s="134"/>
      <c r="AK394" s="134"/>
      <c r="AL394" s="134"/>
      <c r="AM394" s="134"/>
      <c r="AN394" s="134"/>
      <c r="AO394" s="134"/>
      <c r="AP394" s="134"/>
      <c r="AQ394" s="134"/>
      <c r="AR394" s="134"/>
      <c r="AS394" s="134">
        <f t="array" ref="AS394">IFERROR(INDEX(TABLACONSOLIDADA[Buff Act],MATCH("AGROINSUMOScentralPROPIA"&amp;Tabla_Buffers_Agroinsumos[[#This Row],[CODIGO ]],TABLACONSOLIDADA[Bodega]&amp;TABLACONSOLIDADA[Codigo],0)),"")</f>
        <v>2</v>
      </c>
      <c r="AT394" s="157">
        <f t="array" ref="AT394">IFERROR(INDEX(TABLACONSOLIDADA[Inv Fís Act],MATCH("AGROINSUMOScentralPROPIA"&amp;Tabla_Buffers_Agroinsumos[[#This Row],[CODIGO ]],TABLACONSOLIDADA[Bodega]&amp;TABLACONSOLIDADA[Codigo],0)),"")</f>
        <v>0</v>
      </c>
      <c r="AU394" s="157">
        <f t="array" ref="AU39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94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94" s="134">
        <f>IFERROR(SUM(Tabla_Buffers_Agroinsumos[[#This Row],[P-MP]:[P-VL]]),"")</f>
        <v>0</v>
      </c>
      <c r="AX394" s="92">
        <f>IFERROR(Tabla_Buffers_Agroinsumos[[#This Row],[INV FIS PROPIA]]-Tabla_Buffers_Agroinsumos[[#This Row],[BUFFER PROPIA]],"")</f>
        <v>-2</v>
      </c>
      <c r="AY394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-2</v>
      </c>
      <c r="AZ394" s="134"/>
      <c r="BA394" s="134"/>
      <c r="BB394" s="134"/>
      <c r="BC394" s="134"/>
      <c r="BD394" s="134"/>
      <c r="BE394" s="134"/>
      <c r="BF394" s="134"/>
      <c r="BG394" s="134"/>
      <c r="BH394" s="134"/>
      <c r="BI394" s="91">
        <f t="array" ref="BI394">IFERROR(INDEX(TABLACONSOLIDADA[Buff Act],MATCH("AGROINSUMOSSTODOMINGO"&amp;Tabla_Buffers_Agroinsumos[[#This Row],[CODIGO ]],TABLACONSOLIDADA[Bodega]&amp;TABLACONSOLIDADA[Codigo],0)),"")</f>
        <v>0</v>
      </c>
      <c r="BJ394" s="157">
        <f t="array" ref="BJ394">IFERROR(INDEX(TABLACONSOLIDADA[Inv Fís Act],MATCH("AGROINSUMOSSTODOMINGO"&amp;Tabla_Buffers_Agroinsumos[[#This Row],[CODIGO ]],TABLACONSOLIDADA[Bodega]&amp;TABLACONSOLIDADA[Codigo],0)),"")</f>
        <v>0</v>
      </c>
      <c r="BK394" s="157">
        <f t="array" ref="BK39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94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94" s="91">
        <f>IFERROR(SUM(Tabla_Buffers_Agroinsumos[[#This Row],[SD-MP]:[SD-VL]]),"")</f>
        <v>0</v>
      </c>
      <c r="BN394" s="92"/>
      <c r="BO394" s="92"/>
      <c r="BP394" s="134"/>
      <c r="BQ394" s="134"/>
      <c r="BR394" s="134"/>
      <c r="BS394" s="134"/>
      <c r="BT394" s="134"/>
      <c r="BU394" s="134"/>
      <c r="BV394" s="134"/>
      <c r="BW394" s="134"/>
      <c r="BX394" s="134"/>
      <c r="BY394" s="134">
        <f t="array" ref="BY394">IFERROR(INDEX(TABLACONSOLIDADA[Buff Act],MATCH("AGROINSUMOSMONCAYOLOPEZ"&amp;Tabla_Buffers_Agroinsumos[[#This Row],[CODIGO ]],TABLACONSOLIDADA[Bodega]&amp;TABLACONSOLIDADA[Codigo],0)),"")</f>
        <v>0</v>
      </c>
      <c r="BZ394" s="157">
        <f t="array" ref="BZ394">IFERROR(INDEX(TABLACONSOLIDADA[Inv Fís Act],MATCH("AGROINSUMOSMONCAYOLOPEZ"&amp;Tabla_Buffers_Agroinsumos[[#This Row],[CODIGO ]],TABLACONSOLIDADA[Bodega]&amp;TABLACONSOLIDADA[Codigo],0)),"")</f>
        <v>0</v>
      </c>
      <c r="CA394" s="157">
        <f t="array" ref="CA39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94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94" s="134">
        <f>IFERROR(SUM(Tabla_Buffers_Agroinsumos[[#This Row],[ML-MP]:[ML-VL]]),"")</f>
        <v>0</v>
      </c>
      <c r="CD394" s="92">
        <f>IFERROR(Tabla_Buffers_Agroinsumos[[#This Row],[INV FIS ML]]-Tabla_Buffers_Agroinsumos[[#This Row],[BUFFER ML]],"")</f>
        <v>0</v>
      </c>
      <c r="CE394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94" s="134"/>
      <c r="CG394" s="134"/>
      <c r="CH394" s="134"/>
      <c r="CI394" s="134"/>
      <c r="CJ394" s="134"/>
      <c r="CK394" s="134"/>
      <c r="CL394" s="134"/>
      <c r="CM394" s="134"/>
      <c r="CN394" s="134"/>
      <c r="CO394" s="134">
        <f t="array" ref="CO394">IFERROR(INDEX(TABLACONSOLIDADA[Buff Act],MATCH("AGROINSUMOSAGROHERMANOSLEON"&amp;Tabla_Buffers_Agroinsumos[[#This Row],[CODIGO ]],TABLACONSOLIDADA[Bodega]&amp;TABLACONSOLIDADA[Codigo],0)),"")</f>
        <v>0</v>
      </c>
      <c r="CP394" s="157">
        <f t="array" ref="CP394">IFERROR(INDEX(TABLACONSOLIDADA[Inv Fís Act],MATCH("AGROINSUMOSAGROHERMANOSLEON"&amp;Tabla_Buffers_Agroinsumos[[#This Row],[CODIGO ]],TABLACONSOLIDADA[Bodega]&amp;TABLACONSOLIDADA[Codigo],0)),"")</f>
        <v>0</v>
      </c>
      <c r="CQ394" s="157">
        <f t="array" ref="CQ39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94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94" s="134">
        <f>IFERROR(SUM(Tabla_Buffers_Agroinsumos[[#This Row],[AL-MP]:[AL-VL]]),"")</f>
        <v>0</v>
      </c>
      <c r="CT394" s="92">
        <f>IFERROR(Tabla_Buffers_Agroinsumos[[#This Row],[INV FIS AL]]-Tabla_Buffers_Agroinsumos[[#This Row],[BUFFER AL]],"")</f>
        <v>0</v>
      </c>
      <c r="CU394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94" s="134"/>
      <c r="CW394" s="134"/>
      <c r="CX394" s="134"/>
      <c r="CY394" s="134"/>
      <c r="CZ394" s="134"/>
      <c r="DA394" s="134"/>
      <c r="DB394" s="134"/>
      <c r="DC394" s="134"/>
      <c r="DD394" s="134"/>
      <c r="DE394" s="134">
        <f t="array" ref="DE394">IFERROR(INDEX(TABLACONSOLIDADA[Buff Act],MATCH("AGROINSUMOSAGRONUEVO"&amp;Tabla_Buffers_Agroinsumos[[#This Row],[CODIGO ]],TABLACONSOLIDADA[Bodega]&amp;TABLACONSOLIDADA[Codigo],0)),"")</f>
        <v>0</v>
      </c>
      <c r="DF394" s="157">
        <f t="array" ref="DF394">IFERROR(INDEX(TABLACONSOLIDADA[Inv Fís Act],MATCH("AGROINSUMOSAGRONUEVO"&amp;Tabla_Buffers_Agroinsumos[[#This Row],[CODIGO ]],TABLACONSOLIDADA[Bodega]&amp;TABLACONSOLIDADA[Codigo],0)),"")</f>
        <v>0</v>
      </c>
      <c r="DG394" s="157">
        <f t="array" ref="DG39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94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94" s="134">
        <f>IFERROR(SUM(Tabla_Buffers_Agroinsumos[[#This Row],[AN-MP]:[AN-VL]]),"")</f>
        <v>0</v>
      </c>
      <c r="DJ394" s="92">
        <f>IFERROR(Tabla_Buffers_Agroinsumos[[#This Row],[INV FIS AN]]-Tabla_Buffers_Agroinsumos[[#This Row],[BUFFER AN]],"")</f>
        <v>0</v>
      </c>
      <c r="DK394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94" s="134"/>
      <c r="DM394" s="134"/>
      <c r="DN394" s="134"/>
      <c r="DO394" s="134"/>
      <c r="DP394" s="134"/>
      <c r="DQ394" s="134"/>
      <c r="DR394" s="134"/>
      <c r="DS394" s="134"/>
      <c r="DT394" s="134"/>
      <c r="DU394" s="134">
        <f t="array" ref="DU394">IFERROR(INDEX(TABLACONSOLIDADA[Buff Act],MATCH("AGROINSUMOSAGROQUIMICOSSUR"&amp;Tabla_Buffers_Agroinsumos[[#This Row],[CODIGO ]],TABLACONSOLIDADA[Bodega]&amp;TABLACONSOLIDADA[Codigo],0)),"")</f>
        <v>0</v>
      </c>
      <c r="DV394" s="157">
        <f t="array" ref="DV394">IFERROR(INDEX(TABLACONSOLIDADA[Inv Fís Act],MATCH("AGROINSUMOSAGROQUIMICOSSUR"&amp;Tabla_Buffers_Agroinsumos[[#This Row],[CODIGO ]],TABLACONSOLIDADA[Bodega]&amp;TABLACONSOLIDADA[Codigo],0)),"")</f>
        <v>0</v>
      </c>
      <c r="DW394" s="157">
        <f t="array" ref="DW39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94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94" s="134">
        <f>IFERROR(SUM(Tabla_Buffers_Agroinsumos[[#This Row],[AS-MP]:[AS-VL]]),"")</f>
        <v>0</v>
      </c>
      <c r="DZ394" s="92">
        <f>IFERROR(Tabla_Buffers_Agroinsumos[[#This Row],[INV FIS AS]]-Tabla_Buffers_Agroinsumos[[#This Row],[BUFFER AS]],"")</f>
        <v>0</v>
      </c>
      <c r="EA394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94" s="134"/>
      <c r="EC394" s="134"/>
      <c r="ED394" s="134"/>
      <c r="EE394" s="134"/>
      <c r="EF394" s="134"/>
      <c r="EG394" s="134"/>
      <c r="EH394" s="134"/>
      <c r="EI394" s="134"/>
      <c r="EJ394" s="134"/>
      <c r="EK394" s="134">
        <f t="array" ref="EK394">IFERROR(INDEX(TABLACONSOLIDADA[Buff Act],MATCH("AGROINSUMOSLAFINCA"&amp;Tabla_Buffers_Agroinsumos[[#This Row],[CODIGO ]],TABLACONSOLIDADA[Bodega]&amp;TABLACONSOLIDADA[Codigo],0)),"")</f>
        <v>0</v>
      </c>
      <c r="EL394" s="157">
        <f t="array" ref="EL394">IFERROR(INDEX(TABLACONSOLIDADA[Inv Fís Act],MATCH("AGROINSUMOSLAFINCA"&amp;Tabla_Buffers_Agroinsumos[[#This Row],[CODIGO ]],TABLACONSOLIDADA[Bodega]&amp;TABLACONSOLIDADA[Codigo],0)),"")</f>
        <v>0</v>
      </c>
      <c r="EM394" s="157">
        <f t="array" ref="EM39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94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94" s="134">
        <f>IFERROR(SUM(Tabla_Buffers_Agroinsumos[[#This Row],[LF-MP]:[LF-VL]]),"")</f>
        <v>0</v>
      </c>
      <c r="EP394" s="92">
        <f>IFERROR(Tabla_Buffers_Agroinsumos[[#This Row],[INV FIS LF]]-Tabla_Buffers_Agroinsumos[[#This Row],[BUFFER LF]],"")</f>
        <v>0</v>
      </c>
      <c r="EQ394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94" s="134"/>
      <c r="ES394" s="134"/>
      <c r="ET394" s="134"/>
      <c r="EU394" s="134"/>
      <c r="EV394" s="134"/>
      <c r="EW394" s="134"/>
      <c r="EX394" s="134"/>
      <c r="EY394" s="134"/>
      <c r="EZ394" s="134"/>
      <c r="FA394" s="134">
        <f t="array" ref="FA394">IFERROR(INDEX(TABLACONSOLIDADA[Buff Act],MATCH("AGROINSUMOSVERONICALEDESMA"&amp;Tabla_Buffers_Agroinsumos[[#This Row],[CODIGO ]],TABLACONSOLIDADA[Bodega]&amp;TABLACONSOLIDADA[Codigo],0)),"")</f>
        <v>0</v>
      </c>
      <c r="FB394" s="157">
        <f t="array" ref="FB394">IFERROR(INDEX(TABLACONSOLIDADA[Inv Fís Act],MATCH("AGROINSUMOSVERONICALEDESMA"&amp;Tabla_Buffers_Agroinsumos[[#This Row],[CODIGO ]],TABLACONSOLIDADA[Bodega]&amp;TABLACONSOLIDADA[Codigo],0)),"")</f>
        <v>0</v>
      </c>
      <c r="FC394" s="157">
        <f t="array" ref="FC39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94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94" s="134">
        <f>IFERROR(SUM(Tabla_Buffers_Agroinsumos[[#This Row],[VL-MP]:[VL-LF]]),"")</f>
        <v>0</v>
      </c>
      <c r="FF394" s="92">
        <f>IFERROR(Tabla_Buffers_Agroinsumos[[#This Row],[INV FIS VL]]-Tabla_Buffers_Agroinsumos[[#This Row],[BUFFER VL]],"")</f>
        <v>0</v>
      </c>
      <c r="FG394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94" s="134"/>
      <c r="FI394" s="134"/>
      <c r="FJ394" s="134"/>
      <c r="FK394" s="134"/>
      <c r="FL394" s="134"/>
      <c r="FM394" s="134"/>
      <c r="FN394" s="134"/>
      <c r="FO394" s="134"/>
      <c r="FP394" s="134"/>
    </row>
    <row r="395" spans="1:172">
      <c r="A395" s="7" t="s">
        <v>663</v>
      </c>
      <c r="B395" s="7" t="s">
        <v>664</v>
      </c>
      <c r="C395" s="7" t="s">
        <v>707</v>
      </c>
      <c r="D395" s="7" t="s">
        <v>732</v>
      </c>
      <c r="E395" s="7" t="s">
        <v>975</v>
      </c>
      <c r="F395" s="19" t="s">
        <v>698</v>
      </c>
      <c r="G395" s="19" t="s">
        <v>698</v>
      </c>
      <c r="H395" s="19">
        <f>VLOOKUP(Tabla_Buffers_Agroinsumos[[#This Row],[CODIGO ]],TABLACONSOLIDADA[[Codigo]:[PV]],6,0)</f>
        <v>10.5</v>
      </c>
      <c r="I395" s="19">
        <f>VLOOKUP(Tabla_Buffers_Agroinsumos[[#This Row],[CODIGO ]],TABLACONSOLIDADA[[Codigo]:[PV]],5,0)</f>
        <v>6.54</v>
      </c>
      <c r="J395" s="19" t="s">
        <v>698</v>
      </c>
      <c r="K395" s="19" t="s">
        <v>698</v>
      </c>
      <c r="L395" s="19">
        <f>IFERROR(Tabla_Buffers_Agroinsumos[[#This Row],[BUFFER CENTRAL]]/((Tabla_Buffers_Agroinsumos[[#This Row],[TIEMPO REPOSICION ]]/Tabla_Buffers_Agroinsumos[[#This Row],[FRECUENCIA]])+1),0)</f>
        <v>0</v>
      </c>
      <c r="M395" s="19" t="str">
        <f t="array" ref="M395">IFERROR(INDEX(TABLACONSOLIDADA[Buff Act],MATCH("AGROINSUMOSMATERIAPRIMA"&amp;Tabla_Buffers_Agroinsumos[[#This Row],[CODIGO ]],TABLACONSOLIDADA[Bodega]&amp;TABLACONSOLIDADA[Codigo],0)),"")</f>
        <v/>
      </c>
      <c r="N395" s="157" t="str">
        <f t="array" ref="N395">IFERROR(INDEX(TABLACONSOLIDADA[Inv Fís Act],MATCH("AGROINSUMOSMATERIAPRIMA"&amp;Tabla_Buffers_Agroinsumos[[#This Row],[CODIGO ]],TABLACONSOLIDADA[Bodega]&amp;TABLACONSOLIDADA[Codigo],0)),"")</f>
        <v/>
      </c>
      <c r="O395" s="157" t="str">
        <f t="array" ref="O39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95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95" s="19">
        <f>IFERROR(SUM(Tabla_Buffers_Agroinsumos[[#This Row],[MP-C]:[MP-VL]]),"")</f>
        <v>0</v>
      </c>
      <c r="R395" s="92" t="str">
        <f>IFERROR(Tabla_Buffers_Agroinsumos[[#This Row],[INV FIS MATERIA PRIMA]]-Tabla_Buffers_Agroinsumos[[#This Row],[BUFFER MATERIA PRIMA]],"")</f>
        <v/>
      </c>
      <c r="S395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95" s="19"/>
      <c r="U395" s="19"/>
      <c r="V395" s="19"/>
      <c r="W395" s="19"/>
      <c r="X395" s="19"/>
      <c r="Y395" s="19"/>
      <c r="Z395" s="19"/>
      <c r="AA395" s="19"/>
      <c r="AB395" s="19"/>
      <c r="AC395" s="135">
        <f t="array" ref="AC395">IFERROR(INDEX(TABLACONSOLIDADA[Buff Act],MATCH("AGROINSUMOSCENTRAL"&amp;Tabla_Buffers_Agroinsumos[[#This Row],[CODIGO ]],TABLACONSOLIDADA[Bodega]&amp;TABLACONSOLIDADA[Codigo],0)),"")</f>
        <v>60</v>
      </c>
      <c r="AD395" s="157">
        <f t="array" ref="AD395">IFERROR(INDEX(TABLACONSOLIDADA[Inv Fís Act],MATCH("AGROINSUMOSCENTRAL"&amp;Tabla_Buffers_Agroinsumos[[#This Row],[CODIGO ]],TABLACONSOLIDADA[Bodega]&amp;TABLACONSOLIDADA[Codigo],0)),"")</f>
        <v>184</v>
      </c>
      <c r="AE395" s="157">
        <f t="array" ref="AE39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199</v>
      </c>
      <c r="AF395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95" s="91">
        <f>IFERROR(SUM(Tabla_Buffers_Agroinsumos[[#This Row],[C-MP]:[C-VL]]),"")</f>
        <v>0</v>
      </c>
      <c r="AH395" s="92">
        <f>IFERROR(Tabla_Buffers_Agroinsumos[[#This Row],[INV FIS CENTRAL]]-Tabla_Buffers_Agroinsumos[[#This Row],[BUFFER CENTRAL]],"")</f>
        <v>124</v>
      </c>
      <c r="AI395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124</v>
      </c>
      <c r="AJ395" s="134"/>
      <c r="AK395" s="134"/>
      <c r="AL395" s="134"/>
      <c r="AM395" s="134"/>
      <c r="AN395" s="134"/>
      <c r="AO395" s="134"/>
      <c r="AP395" s="134"/>
      <c r="AQ395" s="134"/>
      <c r="AR395" s="134"/>
      <c r="AS395" s="134">
        <f t="array" ref="AS395">IFERROR(INDEX(TABLACONSOLIDADA[Buff Act],MATCH("AGROINSUMOScentralPROPIA"&amp;Tabla_Buffers_Agroinsumos[[#This Row],[CODIGO ]],TABLACONSOLIDADA[Bodega]&amp;TABLACONSOLIDADA[Codigo],0)),"")</f>
        <v>18</v>
      </c>
      <c r="AT395" s="157">
        <f t="array" ref="AT395">IFERROR(INDEX(TABLACONSOLIDADA[Inv Fís Act],MATCH("AGROINSUMOScentralPROPIA"&amp;Tabla_Buffers_Agroinsumos[[#This Row],[CODIGO ]],TABLACONSOLIDADA[Bodega]&amp;TABLACONSOLIDADA[Codigo],0)),"")</f>
        <v>0</v>
      </c>
      <c r="AU395" s="157">
        <f t="array" ref="AU39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95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95" s="134">
        <f>IFERROR(SUM(Tabla_Buffers_Agroinsumos[[#This Row],[P-MP]:[P-VL]]),"")</f>
        <v>0</v>
      </c>
      <c r="AX395" s="92">
        <f>IFERROR(Tabla_Buffers_Agroinsumos[[#This Row],[INV FIS PROPIA]]-Tabla_Buffers_Agroinsumos[[#This Row],[BUFFER PROPIA]],"")</f>
        <v>-18</v>
      </c>
      <c r="AY395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-18</v>
      </c>
      <c r="AZ395" s="134"/>
      <c r="BA395" s="134"/>
      <c r="BB395" s="134"/>
      <c r="BC395" s="134"/>
      <c r="BD395" s="134"/>
      <c r="BE395" s="134"/>
      <c r="BF395" s="134"/>
      <c r="BG395" s="134"/>
      <c r="BH395" s="134"/>
      <c r="BI395" s="91">
        <f t="array" ref="BI395">IFERROR(INDEX(TABLACONSOLIDADA[Buff Act],MATCH("AGROINSUMOSSTODOMINGO"&amp;Tabla_Buffers_Agroinsumos[[#This Row],[CODIGO ]],TABLACONSOLIDADA[Bodega]&amp;TABLACONSOLIDADA[Codigo],0)),"")</f>
        <v>0</v>
      </c>
      <c r="BJ395" s="157">
        <f t="array" ref="BJ395">IFERROR(INDEX(TABLACONSOLIDADA[Inv Fís Act],MATCH("AGROINSUMOSSTODOMINGO"&amp;Tabla_Buffers_Agroinsumos[[#This Row],[CODIGO ]],TABLACONSOLIDADA[Bodega]&amp;TABLACONSOLIDADA[Codigo],0)),"")</f>
        <v>0</v>
      </c>
      <c r="BK395" s="157">
        <f t="array" ref="BK39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395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95" s="91">
        <f>IFERROR(SUM(Tabla_Buffers_Agroinsumos[[#This Row],[SD-MP]:[SD-VL]]),"")</f>
        <v>0</v>
      </c>
      <c r="BN395" s="92"/>
      <c r="BO395" s="92"/>
      <c r="BP395" s="134"/>
      <c r="BQ395" s="134"/>
      <c r="BR395" s="134"/>
      <c r="BS395" s="134"/>
      <c r="BT395" s="134"/>
      <c r="BU395" s="134"/>
      <c r="BV395" s="134"/>
      <c r="BW395" s="134"/>
      <c r="BX395" s="134"/>
      <c r="BY395" s="134">
        <f t="array" ref="BY395">IFERROR(INDEX(TABLACONSOLIDADA[Buff Act],MATCH("AGROINSUMOSMONCAYOLOPEZ"&amp;Tabla_Buffers_Agroinsumos[[#This Row],[CODIGO ]],TABLACONSOLIDADA[Bodega]&amp;TABLACONSOLIDADA[Codigo],0)),"")</f>
        <v>3</v>
      </c>
      <c r="BZ395" s="157">
        <f t="array" ref="BZ395">IFERROR(INDEX(TABLACONSOLIDADA[Inv Fís Act],MATCH("AGROINSUMOSMONCAYOLOPEZ"&amp;Tabla_Buffers_Agroinsumos[[#This Row],[CODIGO ]],TABLACONSOLIDADA[Bodega]&amp;TABLACONSOLIDADA[Codigo],0)),"")</f>
        <v>3</v>
      </c>
      <c r="CA395" s="157">
        <f t="array" ref="CA39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3</v>
      </c>
      <c r="CB395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95" s="134">
        <f>IFERROR(SUM(Tabla_Buffers_Agroinsumos[[#This Row],[ML-MP]:[ML-VL]]),"")</f>
        <v>0</v>
      </c>
      <c r="CD395" s="92">
        <f>IFERROR(Tabla_Buffers_Agroinsumos[[#This Row],[INV FIS ML]]-Tabla_Buffers_Agroinsumos[[#This Row],[BUFFER ML]],"")</f>
        <v>0</v>
      </c>
      <c r="CE395" s="92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395" s="134"/>
      <c r="CG395" s="134"/>
      <c r="CH395" s="134"/>
      <c r="CI395" s="134"/>
      <c r="CJ395" s="134"/>
      <c r="CK395" s="134"/>
      <c r="CL395" s="134"/>
      <c r="CM395" s="134"/>
      <c r="CN395" s="134"/>
      <c r="CO395" s="134">
        <f t="array" ref="CO395">IFERROR(INDEX(TABLACONSOLIDADA[Buff Act],MATCH("AGROINSUMOSAGROHERMANOSLEON"&amp;Tabla_Buffers_Agroinsumos[[#This Row],[CODIGO ]],TABLACONSOLIDADA[Bodega]&amp;TABLACONSOLIDADA[Codigo],0)),"")</f>
        <v>0</v>
      </c>
      <c r="CP395" s="157">
        <f t="array" ref="CP395">IFERROR(INDEX(TABLACONSOLIDADA[Inv Fís Act],MATCH("AGROINSUMOSAGROHERMANOSLEON"&amp;Tabla_Buffers_Agroinsumos[[#This Row],[CODIGO ]],TABLACONSOLIDADA[Bodega]&amp;TABLACONSOLIDADA[Codigo],0)),"")</f>
        <v>0</v>
      </c>
      <c r="CQ395" s="157">
        <f t="array" ref="CQ39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95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95" s="134">
        <f>IFERROR(SUM(Tabla_Buffers_Agroinsumos[[#This Row],[AL-MP]:[AL-VL]]),"")</f>
        <v>0</v>
      </c>
      <c r="CT395" s="92">
        <f>IFERROR(Tabla_Buffers_Agroinsumos[[#This Row],[INV FIS AL]]-Tabla_Buffers_Agroinsumos[[#This Row],[BUFFER AL]],"")</f>
        <v>0</v>
      </c>
      <c r="CU395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95" s="134"/>
      <c r="CW395" s="134"/>
      <c r="CX395" s="134"/>
      <c r="CY395" s="134"/>
      <c r="CZ395" s="134"/>
      <c r="DA395" s="134"/>
      <c r="DB395" s="134"/>
      <c r="DC395" s="134"/>
      <c r="DD395" s="134"/>
      <c r="DE395" s="134">
        <f t="array" ref="DE395">IFERROR(INDEX(TABLACONSOLIDADA[Buff Act],MATCH("AGROINSUMOSAGRONUEVO"&amp;Tabla_Buffers_Agroinsumos[[#This Row],[CODIGO ]],TABLACONSOLIDADA[Bodega]&amp;TABLACONSOLIDADA[Codigo],0)),"")</f>
        <v>0</v>
      </c>
      <c r="DF395" s="157">
        <f t="array" ref="DF395">IFERROR(INDEX(TABLACONSOLIDADA[Inv Fís Act],MATCH("AGROINSUMOSAGRONUEVO"&amp;Tabla_Buffers_Agroinsumos[[#This Row],[CODIGO ]],TABLACONSOLIDADA[Bodega]&amp;TABLACONSOLIDADA[Codigo],0)),"")</f>
        <v>0</v>
      </c>
      <c r="DG395" s="157">
        <f t="array" ref="DG39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95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95" s="134">
        <f>IFERROR(SUM(Tabla_Buffers_Agroinsumos[[#This Row],[AN-MP]:[AN-VL]]),"")</f>
        <v>0</v>
      </c>
      <c r="DJ395" s="92">
        <f>IFERROR(Tabla_Buffers_Agroinsumos[[#This Row],[INV FIS AN]]-Tabla_Buffers_Agroinsumos[[#This Row],[BUFFER AN]],"")</f>
        <v>0</v>
      </c>
      <c r="DK395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95" s="134"/>
      <c r="DM395" s="134"/>
      <c r="DN395" s="134"/>
      <c r="DO395" s="134"/>
      <c r="DP395" s="134"/>
      <c r="DQ395" s="134"/>
      <c r="DR395" s="134"/>
      <c r="DS395" s="134"/>
      <c r="DT395" s="134"/>
      <c r="DU395" s="134">
        <f t="array" ref="DU395">IFERROR(INDEX(TABLACONSOLIDADA[Buff Act],MATCH("AGROINSUMOSAGROQUIMICOSSUR"&amp;Tabla_Buffers_Agroinsumos[[#This Row],[CODIGO ]],TABLACONSOLIDADA[Bodega]&amp;TABLACONSOLIDADA[Codigo],0)),"")</f>
        <v>0</v>
      </c>
      <c r="DV395" s="157">
        <f t="array" ref="DV395">IFERROR(INDEX(TABLACONSOLIDADA[Inv Fís Act],MATCH("AGROINSUMOSAGROQUIMICOSSUR"&amp;Tabla_Buffers_Agroinsumos[[#This Row],[CODIGO ]],TABLACONSOLIDADA[Bodega]&amp;TABLACONSOLIDADA[Codigo],0)),"")</f>
        <v>0</v>
      </c>
      <c r="DW395" s="157">
        <f t="array" ref="DW39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95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95" s="134">
        <f>IFERROR(SUM(Tabla_Buffers_Agroinsumos[[#This Row],[AS-MP]:[AS-VL]]),"")</f>
        <v>0</v>
      </c>
      <c r="DZ395" s="92">
        <f>IFERROR(Tabla_Buffers_Agroinsumos[[#This Row],[INV FIS AS]]-Tabla_Buffers_Agroinsumos[[#This Row],[BUFFER AS]],"")</f>
        <v>0</v>
      </c>
      <c r="EA395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95" s="134"/>
      <c r="EC395" s="134"/>
      <c r="ED395" s="134"/>
      <c r="EE395" s="134"/>
      <c r="EF395" s="134"/>
      <c r="EG395" s="134"/>
      <c r="EH395" s="134"/>
      <c r="EI395" s="134"/>
      <c r="EJ395" s="134"/>
      <c r="EK395" s="134">
        <f t="array" ref="EK395">IFERROR(INDEX(TABLACONSOLIDADA[Buff Act],MATCH("AGROINSUMOSLAFINCA"&amp;Tabla_Buffers_Agroinsumos[[#This Row],[CODIGO ]],TABLACONSOLIDADA[Bodega]&amp;TABLACONSOLIDADA[Codigo],0)),"")</f>
        <v>0</v>
      </c>
      <c r="EL395" s="157">
        <f t="array" ref="EL395">IFERROR(INDEX(TABLACONSOLIDADA[Inv Fís Act],MATCH("AGROINSUMOSLAFINCA"&amp;Tabla_Buffers_Agroinsumos[[#This Row],[CODIGO ]],TABLACONSOLIDADA[Bodega]&amp;TABLACONSOLIDADA[Codigo],0)),"")</f>
        <v>0</v>
      </c>
      <c r="EM395" s="157">
        <f t="array" ref="EM39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95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95" s="134">
        <f>IFERROR(SUM(Tabla_Buffers_Agroinsumos[[#This Row],[LF-MP]:[LF-VL]]),"")</f>
        <v>0</v>
      </c>
      <c r="EP395" s="92">
        <f>IFERROR(Tabla_Buffers_Agroinsumos[[#This Row],[INV FIS LF]]-Tabla_Buffers_Agroinsumos[[#This Row],[BUFFER LF]],"")</f>
        <v>0</v>
      </c>
      <c r="EQ395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95" s="134"/>
      <c r="ES395" s="134"/>
      <c r="ET395" s="134"/>
      <c r="EU395" s="134"/>
      <c r="EV395" s="134"/>
      <c r="EW395" s="134"/>
      <c r="EX395" s="134"/>
      <c r="EY395" s="134"/>
      <c r="EZ395" s="134"/>
      <c r="FA395" s="134">
        <f t="array" ref="FA395">IFERROR(INDEX(TABLACONSOLIDADA[Buff Act],MATCH("AGROINSUMOSVERONICALEDESMA"&amp;Tabla_Buffers_Agroinsumos[[#This Row],[CODIGO ]],TABLACONSOLIDADA[Bodega]&amp;TABLACONSOLIDADA[Codigo],0)),"")</f>
        <v>0</v>
      </c>
      <c r="FB395" s="157">
        <f t="array" ref="FB395">IFERROR(INDEX(TABLACONSOLIDADA[Inv Fís Act],MATCH("AGROINSUMOSVERONICALEDESMA"&amp;Tabla_Buffers_Agroinsumos[[#This Row],[CODIGO ]],TABLACONSOLIDADA[Bodega]&amp;TABLACONSOLIDADA[Codigo],0)),"")</f>
        <v>0</v>
      </c>
      <c r="FC395" s="157">
        <f t="array" ref="FC39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95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95" s="134">
        <f>IFERROR(SUM(Tabla_Buffers_Agroinsumos[[#This Row],[VL-MP]:[VL-LF]]),"")</f>
        <v>0</v>
      </c>
      <c r="FF395" s="92">
        <f>IFERROR(Tabla_Buffers_Agroinsumos[[#This Row],[INV FIS VL]]-Tabla_Buffers_Agroinsumos[[#This Row],[BUFFER VL]],"")</f>
        <v>0</v>
      </c>
      <c r="FG395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95" s="134"/>
      <c r="FI395" s="134"/>
      <c r="FJ395" s="134"/>
      <c r="FK395" s="134"/>
      <c r="FL395" s="134"/>
      <c r="FM395" s="134"/>
      <c r="FN395" s="134"/>
      <c r="FO395" s="134"/>
      <c r="FP395" s="134"/>
    </row>
    <row r="396" spans="1:172">
      <c r="A396" s="7" t="s">
        <v>733</v>
      </c>
      <c r="B396" s="7" t="s">
        <v>734</v>
      </c>
      <c r="C396" s="7" t="s">
        <v>709</v>
      </c>
      <c r="D396" s="7" t="s">
        <v>732</v>
      </c>
      <c r="E396" s="7" t="s">
        <v>975</v>
      </c>
      <c r="F396" s="19" t="s">
        <v>698</v>
      </c>
      <c r="G396" s="19" t="s">
        <v>698</v>
      </c>
      <c r="H396" s="19">
        <f>VLOOKUP(Tabla_Buffers_Agroinsumos[[#This Row],[CODIGO ]],TABLACONSOLIDADA[[Codigo]:[PV]],6,0)</f>
        <v>30.15</v>
      </c>
      <c r="I396" s="19">
        <f>VLOOKUP(Tabla_Buffers_Agroinsumos[[#This Row],[CODIGO ]],TABLACONSOLIDADA[[Codigo]:[PV]],5,0)</f>
        <v>16.05</v>
      </c>
      <c r="J396" s="19" t="s">
        <v>698</v>
      </c>
      <c r="K396" s="19" t="s">
        <v>698</v>
      </c>
      <c r="L396" s="19">
        <f>IFERROR(Tabla_Buffers_Agroinsumos[[#This Row],[BUFFER CENTRAL]]/((Tabla_Buffers_Agroinsumos[[#This Row],[TIEMPO REPOSICION ]]/Tabla_Buffers_Agroinsumos[[#This Row],[FRECUENCIA]])+1),0)</f>
        <v>0</v>
      </c>
      <c r="M396" s="19" t="str">
        <f t="array" ref="M396">IFERROR(INDEX(TABLACONSOLIDADA[Buff Act],MATCH("AGROINSUMOSMATERIAPRIMA"&amp;Tabla_Buffers_Agroinsumos[[#This Row],[CODIGO ]],TABLACONSOLIDADA[Bodega]&amp;TABLACONSOLIDADA[Codigo],0)),"")</f>
        <v/>
      </c>
      <c r="N396" s="157" t="str">
        <f t="array" ref="N396">IFERROR(INDEX(TABLACONSOLIDADA[Inv Fís Act],MATCH("AGROINSUMOSMATERIAPRIMA"&amp;Tabla_Buffers_Agroinsumos[[#This Row],[CODIGO ]],TABLACONSOLIDADA[Bodega]&amp;TABLACONSOLIDADA[Codigo],0)),"")</f>
        <v/>
      </c>
      <c r="O396" s="157" t="str">
        <f t="array" ref="O39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9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96" s="19">
        <f>IFERROR(SUM(Tabla_Buffers_Agroinsumos[[#This Row],[MP-C]:[MP-VL]]),"")</f>
        <v>0</v>
      </c>
      <c r="R396" s="92" t="str">
        <f>IFERROR(Tabla_Buffers_Agroinsumos[[#This Row],[INV FIS MATERIA PRIMA]]-Tabla_Buffers_Agroinsumos[[#This Row],[BUFFER MATERIA PRIMA]],"")</f>
        <v/>
      </c>
      <c r="S39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96" s="19"/>
      <c r="U396" s="19"/>
      <c r="V396" s="19"/>
      <c r="W396" s="19"/>
      <c r="X396" s="19"/>
      <c r="Y396" s="19"/>
      <c r="Z396" s="19"/>
      <c r="AA396" s="19"/>
      <c r="AB396" s="19"/>
      <c r="AC396" s="135">
        <f t="array" ref="AC396">IFERROR(INDEX(TABLACONSOLIDADA[Buff Act],MATCH("AGROINSUMOSCENTRAL"&amp;Tabla_Buffers_Agroinsumos[[#This Row],[CODIGO ]],TABLACONSOLIDADA[Bodega]&amp;TABLACONSOLIDADA[Codigo],0)),"")</f>
        <v>80</v>
      </c>
      <c r="AD396" s="157">
        <f t="array" ref="AD396">IFERROR(INDEX(TABLACONSOLIDADA[Inv Fís Act],MATCH("AGROINSUMOSCENTRAL"&amp;Tabla_Buffers_Agroinsumos[[#This Row],[CODIGO ]],TABLACONSOLIDADA[Bodega]&amp;TABLACONSOLIDADA[Codigo],0)),"")</f>
        <v>15</v>
      </c>
      <c r="AE396" s="157">
        <f t="array" ref="AE39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80</v>
      </c>
      <c r="AF39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96" s="91">
        <f>IFERROR(SUM(Tabla_Buffers_Agroinsumos[[#This Row],[C-MP]:[C-VL]]),"")</f>
        <v>0</v>
      </c>
      <c r="AH396" s="92">
        <f>IFERROR(Tabla_Buffers_Agroinsumos[[#This Row],[INV FIS CENTRAL]]-Tabla_Buffers_Agroinsumos[[#This Row],[BUFFER CENTRAL]],"")</f>
        <v>-65</v>
      </c>
      <c r="AI396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-65</v>
      </c>
      <c r="AJ396" s="134"/>
      <c r="AK396" s="134"/>
      <c r="AL396" s="134"/>
      <c r="AM396" s="134"/>
      <c r="AN396" s="134"/>
      <c r="AO396" s="134"/>
      <c r="AP396" s="134"/>
      <c r="AQ396" s="134"/>
      <c r="AR396" s="134"/>
      <c r="AS396" s="134">
        <f t="array" ref="AS396">IFERROR(INDEX(TABLACONSOLIDADA[Buff Act],MATCH("AGROINSUMOScentralPROPIA"&amp;Tabla_Buffers_Agroinsumos[[#This Row],[CODIGO ]],TABLACONSOLIDADA[Bodega]&amp;TABLACONSOLIDADA[Codigo],0)),"")</f>
        <v>36</v>
      </c>
      <c r="AT396" s="157">
        <f t="array" ref="AT396">IFERROR(INDEX(TABLACONSOLIDADA[Inv Fís Act],MATCH("AGROINSUMOScentralPROPIA"&amp;Tabla_Buffers_Agroinsumos[[#This Row],[CODIGO ]],TABLACONSOLIDADA[Bodega]&amp;TABLACONSOLIDADA[Codigo],0)),"")</f>
        <v>0</v>
      </c>
      <c r="AU396" s="157">
        <f t="array" ref="AU39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9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96" s="134">
        <f>IFERROR(SUM(Tabla_Buffers_Agroinsumos[[#This Row],[P-MP]:[P-VL]]),"")</f>
        <v>0</v>
      </c>
      <c r="AX396" s="92">
        <f>IFERROR(Tabla_Buffers_Agroinsumos[[#This Row],[INV FIS PROPIA]]-Tabla_Buffers_Agroinsumos[[#This Row],[BUFFER PROPIA]],"")</f>
        <v>-36</v>
      </c>
      <c r="AY396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-36</v>
      </c>
      <c r="AZ396" s="134"/>
      <c r="BA396" s="134"/>
      <c r="BB396" s="134"/>
      <c r="BC396" s="134"/>
      <c r="BD396" s="134"/>
      <c r="BE396" s="134"/>
      <c r="BF396" s="134"/>
      <c r="BG396" s="134"/>
      <c r="BH396" s="134"/>
      <c r="BI396" s="91">
        <f t="array" ref="BI396">IFERROR(INDEX(TABLACONSOLIDADA[Buff Act],MATCH("AGROINSUMOSSTODOMINGO"&amp;Tabla_Buffers_Agroinsumos[[#This Row],[CODIGO ]],TABLACONSOLIDADA[Bodega]&amp;TABLACONSOLIDADA[Codigo],0)),"")</f>
        <v>0</v>
      </c>
      <c r="BJ396" s="157">
        <f t="array" ref="BJ396">IFERROR(INDEX(TABLACONSOLIDADA[Inv Fís Act],MATCH("AGROINSUMOSSTODOMINGO"&amp;Tabla_Buffers_Agroinsumos[[#This Row],[CODIGO ]],TABLACONSOLIDADA[Bodega]&amp;TABLACONSOLIDADA[Codigo],0)),"")</f>
        <v>15</v>
      </c>
      <c r="BK396" s="157">
        <f t="array" ref="BK39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15</v>
      </c>
      <c r="BL39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96" s="91">
        <f>IFERROR(SUM(Tabla_Buffers_Agroinsumos[[#This Row],[SD-MP]:[SD-VL]]),"")</f>
        <v>0</v>
      </c>
      <c r="BN396" s="92"/>
      <c r="BO396" s="92"/>
      <c r="BP396" s="134"/>
      <c r="BQ396" s="134"/>
      <c r="BR396" s="134"/>
      <c r="BS396" s="134"/>
      <c r="BT396" s="134"/>
      <c r="BU396" s="134"/>
      <c r="BV396" s="134"/>
      <c r="BW396" s="134"/>
      <c r="BX396" s="134"/>
      <c r="BY396" s="134">
        <f t="array" ref="BY396">IFERROR(INDEX(TABLACONSOLIDADA[Buff Act],MATCH("AGROINSUMOSMONCAYOLOPEZ"&amp;Tabla_Buffers_Agroinsumos[[#This Row],[CODIGO ]],TABLACONSOLIDADA[Bodega]&amp;TABLACONSOLIDADA[Codigo],0)),"")</f>
        <v>8</v>
      </c>
      <c r="BZ396" s="157">
        <f t="array" ref="BZ396">IFERROR(INDEX(TABLACONSOLIDADA[Inv Fís Act],MATCH("AGROINSUMOSMONCAYOLOPEZ"&amp;Tabla_Buffers_Agroinsumos[[#This Row],[CODIGO ]],TABLACONSOLIDADA[Bodega]&amp;TABLACONSOLIDADA[Codigo],0)),"")</f>
        <v>7</v>
      </c>
      <c r="CA396" s="157">
        <f t="array" ref="CA39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7</v>
      </c>
      <c r="CB39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96" s="134">
        <f>IFERROR(SUM(Tabla_Buffers_Agroinsumos[[#This Row],[ML-MP]:[ML-VL]]),"")</f>
        <v>0</v>
      </c>
      <c r="CD396" s="92">
        <f>IFERROR(Tabla_Buffers_Agroinsumos[[#This Row],[INV FIS ML]]-Tabla_Buffers_Agroinsumos[[#This Row],[BUFFER ML]],"")</f>
        <v>-1</v>
      </c>
      <c r="CE396" s="92">
        <f>IFERROR(Tabla_Buffers_Agroinsumos[[#This Row],[INV FIS ML]]+Tabla_Buffers_Agroinsumos[[#This Row],[TRANSFERENCIAS A ML]]-Tabla_Buffers_Agroinsumos[[#This Row],[BUFFER ML]]-Tabla_Buffers_Agroinsumos[[#This Row],[TRANSFERENCIAS DE ML]],"")</f>
        <v>-1</v>
      </c>
      <c r="CF396" s="134"/>
      <c r="CG396" s="134"/>
      <c r="CH396" s="134"/>
      <c r="CI396" s="134"/>
      <c r="CJ396" s="134"/>
      <c r="CK396" s="134"/>
      <c r="CL396" s="134"/>
      <c r="CM396" s="134"/>
      <c r="CN396" s="134"/>
      <c r="CO396" s="134">
        <f t="array" ref="CO396">IFERROR(INDEX(TABLACONSOLIDADA[Buff Act],MATCH("AGROINSUMOSAGROHERMANOSLEON"&amp;Tabla_Buffers_Agroinsumos[[#This Row],[CODIGO ]],TABLACONSOLIDADA[Bodega]&amp;TABLACONSOLIDADA[Codigo],0)),"")</f>
        <v>0</v>
      </c>
      <c r="CP396" s="157">
        <f t="array" ref="CP396">IFERROR(INDEX(TABLACONSOLIDADA[Inv Fís Act],MATCH("AGROINSUMOSAGROHERMANOSLEON"&amp;Tabla_Buffers_Agroinsumos[[#This Row],[CODIGO ]],TABLACONSOLIDADA[Bodega]&amp;TABLACONSOLIDADA[Codigo],0)),"")</f>
        <v>0</v>
      </c>
      <c r="CQ396" s="157">
        <f t="array" ref="CQ39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0</v>
      </c>
      <c r="CR39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96" s="134">
        <f>IFERROR(SUM(Tabla_Buffers_Agroinsumos[[#This Row],[AL-MP]:[AL-VL]]),"")</f>
        <v>0</v>
      </c>
      <c r="CT396" s="92">
        <f>IFERROR(Tabla_Buffers_Agroinsumos[[#This Row],[INV FIS AL]]-Tabla_Buffers_Agroinsumos[[#This Row],[BUFFER AL]],"")</f>
        <v>0</v>
      </c>
      <c r="CU396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96" s="134"/>
      <c r="CW396" s="134"/>
      <c r="CX396" s="134"/>
      <c r="CY396" s="134"/>
      <c r="CZ396" s="134"/>
      <c r="DA396" s="134"/>
      <c r="DB396" s="134"/>
      <c r="DC396" s="134"/>
      <c r="DD396" s="134"/>
      <c r="DE396" s="134">
        <f t="array" ref="DE396">IFERROR(INDEX(TABLACONSOLIDADA[Buff Act],MATCH("AGROINSUMOSAGRONUEVO"&amp;Tabla_Buffers_Agroinsumos[[#This Row],[CODIGO ]],TABLACONSOLIDADA[Bodega]&amp;TABLACONSOLIDADA[Codigo],0)),"")</f>
        <v>0</v>
      </c>
      <c r="DF396" s="157">
        <f t="array" ref="DF396">IFERROR(INDEX(TABLACONSOLIDADA[Inv Fís Act],MATCH("AGROINSUMOSAGRONUEVO"&amp;Tabla_Buffers_Agroinsumos[[#This Row],[CODIGO ]],TABLACONSOLIDADA[Bodega]&amp;TABLACONSOLIDADA[Codigo],0)),"")</f>
        <v>0</v>
      </c>
      <c r="DG396" s="157">
        <f t="array" ref="DG39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9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96" s="134">
        <f>IFERROR(SUM(Tabla_Buffers_Agroinsumos[[#This Row],[AN-MP]:[AN-VL]]),"")</f>
        <v>0</v>
      </c>
      <c r="DJ396" s="92">
        <f>IFERROR(Tabla_Buffers_Agroinsumos[[#This Row],[INV FIS AN]]-Tabla_Buffers_Agroinsumos[[#This Row],[BUFFER AN]],"")</f>
        <v>0</v>
      </c>
      <c r="DK396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96" s="134"/>
      <c r="DM396" s="134"/>
      <c r="DN396" s="134"/>
      <c r="DO396" s="134"/>
      <c r="DP396" s="134"/>
      <c r="DQ396" s="134"/>
      <c r="DR396" s="134"/>
      <c r="DS396" s="134"/>
      <c r="DT396" s="134"/>
      <c r="DU396" s="134">
        <f t="array" ref="DU396">IFERROR(INDEX(TABLACONSOLIDADA[Buff Act],MATCH("AGROINSUMOSAGROQUIMICOSSUR"&amp;Tabla_Buffers_Agroinsumos[[#This Row],[CODIGO ]],TABLACONSOLIDADA[Bodega]&amp;TABLACONSOLIDADA[Codigo],0)),"")</f>
        <v>0</v>
      </c>
      <c r="DV396" s="157">
        <f t="array" ref="DV396">IFERROR(INDEX(TABLACONSOLIDADA[Inv Fís Act],MATCH("AGROINSUMOSAGROQUIMICOSSUR"&amp;Tabla_Buffers_Agroinsumos[[#This Row],[CODIGO ]],TABLACONSOLIDADA[Bodega]&amp;TABLACONSOLIDADA[Codigo],0)),"")</f>
        <v>0</v>
      </c>
      <c r="DW396" s="157">
        <f t="array" ref="DW39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9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96" s="134">
        <f>IFERROR(SUM(Tabla_Buffers_Agroinsumos[[#This Row],[AS-MP]:[AS-VL]]),"")</f>
        <v>0</v>
      </c>
      <c r="DZ396" s="92">
        <f>IFERROR(Tabla_Buffers_Agroinsumos[[#This Row],[INV FIS AS]]-Tabla_Buffers_Agroinsumos[[#This Row],[BUFFER AS]],"")</f>
        <v>0</v>
      </c>
      <c r="EA396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96" s="134"/>
      <c r="EC396" s="134"/>
      <c r="ED396" s="134"/>
      <c r="EE396" s="134"/>
      <c r="EF396" s="134"/>
      <c r="EG396" s="134"/>
      <c r="EH396" s="134"/>
      <c r="EI396" s="134"/>
      <c r="EJ396" s="134"/>
      <c r="EK396" s="134">
        <f t="array" ref="EK396">IFERROR(INDEX(TABLACONSOLIDADA[Buff Act],MATCH("AGROINSUMOSLAFINCA"&amp;Tabla_Buffers_Agroinsumos[[#This Row],[CODIGO ]],TABLACONSOLIDADA[Bodega]&amp;TABLACONSOLIDADA[Codigo],0)),"")</f>
        <v>0</v>
      </c>
      <c r="EL396" s="157">
        <f t="array" ref="EL396">IFERROR(INDEX(TABLACONSOLIDADA[Inv Fís Act],MATCH("AGROINSUMOSLAFINCA"&amp;Tabla_Buffers_Agroinsumos[[#This Row],[CODIGO ]],TABLACONSOLIDADA[Bodega]&amp;TABLACONSOLIDADA[Codigo],0)),"")</f>
        <v>0</v>
      </c>
      <c r="EM396" s="157">
        <f t="array" ref="EM39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9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96" s="134">
        <f>IFERROR(SUM(Tabla_Buffers_Agroinsumos[[#This Row],[LF-MP]:[LF-VL]]),"")</f>
        <v>0</v>
      </c>
      <c r="EP396" s="92">
        <f>IFERROR(Tabla_Buffers_Agroinsumos[[#This Row],[INV FIS LF]]-Tabla_Buffers_Agroinsumos[[#This Row],[BUFFER LF]],"")</f>
        <v>0</v>
      </c>
      <c r="EQ396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96" s="134"/>
      <c r="ES396" s="134"/>
      <c r="ET396" s="134"/>
      <c r="EU396" s="134"/>
      <c r="EV396" s="134"/>
      <c r="EW396" s="134"/>
      <c r="EX396" s="134"/>
      <c r="EY396" s="134"/>
      <c r="EZ396" s="134"/>
      <c r="FA396" s="134">
        <f t="array" ref="FA396">IFERROR(INDEX(TABLACONSOLIDADA[Buff Act],MATCH("AGROINSUMOSVERONICALEDESMA"&amp;Tabla_Buffers_Agroinsumos[[#This Row],[CODIGO ]],TABLACONSOLIDADA[Bodega]&amp;TABLACONSOLIDADA[Codigo],0)),"")</f>
        <v>0</v>
      </c>
      <c r="FB396" s="157">
        <f t="array" ref="FB396">IFERROR(INDEX(TABLACONSOLIDADA[Inv Fís Act],MATCH("AGROINSUMOSVERONICALEDESMA"&amp;Tabla_Buffers_Agroinsumos[[#This Row],[CODIGO ]],TABLACONSOLIDADA[Bodega]&amp;TABLACONSOLIDADA[Codigo],0)),"")</f>
        <v>0</v>
      </c>
      <c r="FC396" s="157">
        <f t="array" ref="FC39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9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96" s="134">
        <f>IFERROR(SUM(Tabla_Buffers_Agroinsumos[[#This Row],[VL-MP]:[VL-LF]]),"")</f>
        <v>0</v>
      </c>
      <c r="FF396" s="92">
        <f>IFERROR(Tabla_Buffers_Agroinsumos[[#This Row],[INV FIS VL]]-Tabla_Buffers_Agroinsumos[[#This Row],[BUFFER VL]],"")</f>
        <v>0</v>
      </c>
      <c r="FG396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96" s="134"/>
      <c r="FI396" s="134"/>
      <c r="FJ396" s="134"/>
      <c r="FK396" s="134"/>
      <c r="FL396" s="134"/>
      <c r="FM396" s="134"/>
      <c r="FN396" s="134"/>
      <c r="FO396" s="134"/>
      <c r="FP396" s="134"/>
    </row>
    <row r="397" spans="1:172">
      <c r="A397" s="7" t="s">
        <v>730</v>
      </c>
      <c r="B397" s="7" t="s">
        <v>731</v>
      </c>
      <c r="C397" s="7" t="s">
        <v>709</v>
      </c>
      <c r="D397" s="7" t="s">
        <v>732</v>
      </c>
      <c r="E397" s="7" t="s">
        <v>975</v>
      </c>
      <c r="F397" s="19" t="s">
        <v>698</v>
      </c>
      <c r="G397" s="19" t="s">
        <v>698</v>
      </c>
      <c r="H397" s="19">
        <f>VLOOKUP(Tabla_Buffers_Agroinsumos[[#This Row],[CODIGO ]],TABLACONSOLIDADA[[Codigo]:[PV]],6,0)</f>
        <v>108</v>
      </c>
      <c r="I397" s="19">
        <f>VLOOKUP(Tabla_Buffers_Agroinsumos[[#This Row],[CODIGO ]],TABLACONSOLIDADA[[Codigo]:[PV]],5,0)</f>
        <v>62.58</v>
      </c>
      <c r="J397" s="19" t="s">
        <v>698</v>
      </c>
      <c r="K397" s="19" t="s">
        <v>698</v>
      </c>
      <c r="L397" s="19">
        <f>IFERROR(Tabla_Buffers_Agroinsumos[[#This Row],[BUFFER CENTRAL]]/((Tabla_Buffers_Agroinsumos[[#This Row],[TIEMPO REPOSICION ]]/Tabla_Buffers_Agroinsumos[[#This Row],[FRECUENCIA]])+1),0)</f>
        <v>0</v>
      </c>
      <c r="M397" s="19" t="str">
        <f t="array" ref="M397">IFERROR(INDEX(TABLACONSOLIDADA[Buff Act],MATCH("AGROINSUMOSMATERIAPRIMA"&amp;Tabla_Buffers_Agroinsumos[[#This Row],[CODIGO ]],TABLACONSOLIDADA[Bodega]&amp;TABLACONSOLIDADA[Codigo],0)),"")</f>
        <v/>
      </c>
      <c r="N397" s="157" t="str">
        <f t="array" ref="N397">IFERROR(INDEX(TABLACONSOLIDADA[Inv Fís Act],MATCH("AGROINSUMOSMATERIAPRIMA"&amp;Tabla_Buffers_Agroinsumos[[#This Row],[CODIGO ]],TABLACONSOLIDADA[Bodega]&amp;TABLACONSOLIDADA[Codigo],0)),"")</f>
        <v/>
      </c>
      <c r="O397" s="157" t="str">
        <f t="array" ref="O39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97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97" s="19">
        <f>IFERROR(SUM(Tabla_Buffers_Agroinsumos[[#This Row],[MP-C]:[MP-VL]]),"")</f>
        <v>0</v>
      </c>
      <c r="R397" s="92" t="str">
        <f>IFERROR(Tabla_Buffers_Agroinsumos[[#This Row],[INV FIS MATERIA PRIMA]]-Tabla_Buffers_Agroinsumos[[#This Row],[BUFFER MATERIA PRIMA]],"")</f>
        <v/>
      </c>
      <c r="S397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97" s="19"/>
      <c r="U397" s="19"/>
      <c r="V397" s="19"/>
      <c r="W397" s="19"/>
      <c r="X397" s="19"/>
      <c r="Y397" s="19"/>
      <c r="Z397" s="19"/>
      <c r="AA397" s="19"/>
      <c r="AB397" s="19"/>
      <c r="AC397" s="135">
        <f t="array" ref="AC397">IFERROR(INDEX(TABLACONSOLIDADA[Buff Act],MATCH("AGROINSUMOSCENTRAL"&amp;Tabla_Buffers_Agroinsumos[[#This Row],[CODIGO ]],TABLACONSOLIDADA[Bodega]&amp;TABLACONSOLIDADA[Codigo],0)),"")</f>
        <v>20</v>
      </c>
      <c r="AD397" s="157">
        <f t="array" ref="AD397">IFERROR(INDEX(TABLACONSOLIDADA[Inv Fís Act],MATCH("AGROINSUMOSCENTRAL"&amp;Tabla_Buffers_Agroinsumos[[#This Row],[CODIGO ]],TABLACONSOLIDADA[Bodega]&amp;TABLACONSOLIDADA[Codigo],0)),"")</f>
        <v>56</v>
      </c>
      <c r="AE397" s="157">
        <f t="array" ref="AE39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66</v>
      </c>
      <c r="AF397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97" s="91">
        <f>IFERROR(SUM(Tabla_Buffers_Agroinsumos[[#This Row],[C-MP]:[C-VL]]),"")</f>
        <v>0</v>
      </c>
      <c r="AH397" s="92">
        <f>IFERROR(Tabla_Buffers_Agroinsumos[[#This Row],[INV FIS CENTRAL]]-Tabla_Buffers_Agroinsumos[[#This Row],[BUFFER CENTRAL]],"")</f>
        <v>36</v>
      </c>
      <c r="AI397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36</v>
      </c>
      <c r="AJ397" s="134"/>
      <c r="AK397" s="134"/>
      <c r="AL397" s="134"/>
      <c r="AM397" s="134"/>
      <c r="AN397" s="134"/>
      <c r="AO397" s="134"/>
      <c r="AP397" s="134"/>
      <c r="AQ397" s="134"/>
      <c r="AR397" s="134"/>
      <c r="AS397" s="134">
        <f t="array" ref="AS397">IFERROR(INDEX(TABLACONSOLIDADA[Buff Act],MATCH("AGROINSUMOScentralPROPIA"&amp;Tabla_Buffers_Agroinsumos[[#This Row],[CODIGO ]],TABLACONSOLIDADA[Bodega]&amp;TABLACONSOLIDADA[Codigo],0)),"")</f>
        <v>8</v>
      </c>
      <c r="AT397" s="157">
        <f t="array" ref="AT397">IFERROR(INDEX(TABLACONSOLIDADA[Inv Fís Act],MATCH("AGROINSUMOScentralPROPIA"&amp;Tabla_Buffers_Agroinsumos[[#This Row],[CODIGO ]],TABLACONSOLIDADA[Bodega]&amp;TABLACONSOLIDADA[Codigo],0)),"")</f>
        <v>0</v>
      </c>
      <c r="AU397" s="157">
        <f t="array" ref="AU39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97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97" s="134">
        <f>IFERROR(SUM(Tabla_Buffers_Agroinsumos[[#This Row],[P-MP]:[P-VL]]),"")</f>
        <v>0</v>
      </c>
      <c r="AX397" s="92">
        <f>IFERROR(Tabla_Buffers_Agroinsumos[[#This Row],[INV FIS PROPIA]]-Tabla_Buffers_Agroinsumos[[#This Row],[BUFFER PROPIA]],"")</f>
        <v>-8</v>
      </c>
      <c r="AY397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-8</v>
      </c>
      <c r="AZ397" s="134"/>
      <c r="BA397" s="134"/>
      <c r="BB397" s="134"/>
      <c r="BC397" s="134"/>
      <c r="BD397" s="134"/>
      <c r="BE397" s="134"/>
      <c r="BF397" s="134"/>
      <c r="BG397" s="134"/>
      <c r="BH397" s="134"/>
      <c r="BI397" s="91">
        <f t="array" ref="BI397">IFERROR(INDEX(TABLACONSOLIDADA[Buff Act],MATCH("AGROINSUMOSSTODOMINGO"&amp;Tabla_Buffers_Agroinsumos[[#This Row],[CODIGO ]],TABLACONSOLIDADA[Bodega]&amp;TABLACONSOLIDADA[Codigo],0)),"")</f>
        <v>0</v>
      </c>
      <c r="BJ397" s="157">
        <f t="array" ref="BJ397">IFERROR(INDEX(TABLACONSOLIDADA[Inv Fís Act],MATCH("AGROINSUMOSSTODOMINGO"&amp;Tabla_Buffers_Agroinsumos[[#This Row],[CODIGO ]],TABLACONSOLIDADA[Bodega]&amp;TABLACONSOLIDADA[Codigo],0)),"")</f>
        <v>9</v>
      </c>
      <c r="BK397" s="157">
        <f t="array" ref="BK39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9</v>
      </c>
      <c r="BL397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97" s="91">
        <f>IFERROR(SUM(Tabla_Buffers_Agroinsumos[[#This Row],[SD-MP]:[SD-VL]]),"")</f>
        <v>0</v>
      </c>
      <c r="BN397" s="92"/>
      <c r="BO397" s="92"/>
      <c r="BP397" s="134"/>
      <c r="BQ397" s="134"/>
      <c r="BR397" s="134"/>
      <c r="BS397" s="134"/>
      <c r="BT397" s="134"/>
      <c r="BU397" s="134"/>
      <c r="BV397" s="134"/>
      <c r="BW397" s="134"/>
      <c r="BX397" s="134"/>
      <c r="BY397" s="134">
        <f t="array" ref="BY397">IFERROR(INDEX(TABLACONSOLIDADA[Buff Act],MATCH("AGROINSUMOSMONCAYOLOPEZ"&amp;Tabla_Buffers_Agroinsumos[[#This Row],[CODIGO ]],TABLACONSOLIDADA[Bodega]&amp;TABLACONSOLIDADA[Codigo],0)),"")</f>
        <v>5</v>
      </c>
      <c r="BZ397" s="157">
        <f t="array" ref="BZ397">IFERROR(INDEX(TABLACONSOLIDADA[Inv Fís Act],MATCH("AGROINSUMOSMONCAYOLOPEZ"&amp;Tabla_Buffers_Agroinsumos[[#This Row],[CODIGO ]],TABLACONSOLIDADA[Bodega]&amp;TABLACONSOLIDADA[Codigo],0)),"")</f>
        <v>0</v>
      </c>
      <c r="CA397" s="157">
        <f t="array" ref="CA39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0</v>
      </c>
      <c r="CB397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97" s="134">
        <f>IFERROR(SUM(Tabla_Buffers_Agroinsumos[[#This Row],[ML-MP]:[ML-VL]]),"")</f>
        <v>0</v>
      </c>
      <c r="CD397" s="92">
        <f>IFERROR(Tabla_Buffers_Agroinsumos[[#This Row],[INV FIS ML]]-Tabla_Buffers_Agroinsumos[[#This Row],[BUFFER ML]],"")</f>
        <v>-5</v>
      </c>
      <c r="CE397" s="92">
        <f>IFERROR(Tabla_Buffers_Agroinsumos[[#This Row],[INV FIS ML]]+Tabla_Buffers_Agroinsumos[[#This Row],[TRANSFERENCIAS A ML]]-Tabla_Buffers_Agroinsumos[[#This Row],[BUFFER ML]]-Tabla_Buffers_Agroinsumos[[#This Row],[TRANSFERENCIAS DE ML]],"")</f>
        <v>-5</v>
      </c>
      <c r="CF397" s="134"/>
      <c r="CG397" s="134"/>
      <c r="CH397" s="134"/>
      <c r="CI397" s="134"/>
      <c r="CJ397" s="134"/>
      <c r="CK397" s="134"/>
      <c r="CL397" s="134"/>
      <c r="CM397" s="134"/>
      <c r="CN397" s="134"/>
      <c r="CO397" s="134">
        <f t="array" ref="CO397">IFERROR(INDEX(TABLACONSOLIDADA[Buff Act],MATCH("AGROINSUMOSAGROHERMANOSLEON"&amp;Tabla_Buffers_Agroinsumos[[#This Row],[CODIGO ]],TABLACONSOLIDADA[Bodega]&amp;TABLACONSOLIDADA[Codigo],0)),"")</f>
        <v>4</v>
      </c>
      <c r="CP397" s="157">
        <f t="array" ref="CP397">IFERROR(INDEX(TABLACONSOLIDADA[Inv Fís Act],MATCH("AGROINSUMOSAGROHERMANOSLEON"&amp;Tabla_Buffers_Agroinsumos[[#This Row],[CODIGO ]],TABLACONSOLIDADA[Bodega]&amp;TABLACONSOLIDADA[Codigo],0)),"")</f>
        <v>4</v>
      </c>
      <c r="CQ397" s="157">
        <f t="array" ref="CQ39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4</v>
      </c>
      <c r="CR397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97" s="134">
        <f>IFERROR(SUM(Tabla_Buffers_Agroinsumos[[#This Row],[AL-MP]:[AL-VL]]),"")</f>
        <v>0</v>
      </c>
      <c r="CT397" s="92">
        <f>IFERROR(Tabla_Buffers_Agroinsumos[[#This Row],[INV FIS AL]]-Tabla_Buffers_Agroinsumos[[#This Row],[BUFFER AL]],"")</f>
        <v>0</v>
      </c>
      <c r="CU397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97" s="134"/>
      <c r="CW397" s="134"/>
      <c r="CX397" s="134"/>
      <c r="CY397" s="134"/>
      <c r="CZ397" s="134"/>
      <c r="DA397" s="134"/>
      <c r="DB397" s="134"/>
      <c r="DC397" s="134"/>
      <c r="DD397" s="134"/>
      <c r="DE397" s="134">
        <f t="array" ref="DE397">IFERROR(INDEX(TABLACONSOLIDADA[Buff Act],MATCH("AGROINSUMOSAGRONUEVO"&amp;Tabla_Buffers_Agroinsumos[[#This Row],[CODIGO ]],TABLACONSOLIDADA[Bodega]&amp;TABLACONSOLIDADA[Codigo],0)),"")</f>
        <v>0</v>
      </c>
      <c r="DF397" s="157">
        <f t="array" ref="DF397">IFERROR(INDEX(TABLACONSOLIDADA[Inv Fís Act],MATCH("AGROINSUMOSAGRONUEVO"&amp;Tabla_Buffers_Agroinsumos[[#This Row],[CODIGO ]],TABLACONSOLIDADA[Bodega]&amp;TABLACONSOLIDADA[Codigo],0)),"")</f>
        <v>0</v>
      </c>
      <c r="DG397" s="157">
        <f t="array" ref="DG39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0</v>
      </c>
      <c r="DH397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97" s="134">
        <f>IFERROR(SUM(Tabla_Buffers_Agroinsumos[[#This Row],[AN-MP]:[AN-VL]]),"")</f>
        <v>0</v>
      </c>
      <c r="DJ397" s="92">
        <f>IFERROR(Tabla_Buffers_Agroinsumos[[#This Row],[INV FIS AN]]-Tabla_Buffers_Agroinsumos[[#This Row],[BUFFER AN]],"")</f>
        <v>0</v>
      </c>
      <c r="DK397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97" s="134"/>
      <c r="DM397" s="134"/>
      <c r="DN397" s="134"/>
      <c r="DO397" s="134"/>
      <c r="DP397" s="134"/>
      <c r="DQ397" s="134"/>
      <c r="DR397" s="134"/>
      <c r="DS397" s="134"/>
      <c r="DT397" s="134"/>
      <c r="DU397" s="134">
        <f t="array" ref="DU397">IFERROR(INDEX(TABLACONSOLIDADA[Buff Act],MATCH("AGROINSUMOSAGROQUIMICOSSUR"&amp;Tabla_Buffers_Agroinsumos[[#This Row],[CODIGO ]],TABLACONSOLIDADA[Bodega]&amp;TABLACONSOLIDADA[Codigo],0)),"")</f>
        <v>0</v>
      </c>
      <c r="DV397" s="157">
        <f t="array" ref="DV397">IFERROR(INDEX(TABLACONSOLIDADA[Inv Fís Act],MATCH("AGROINSUMOSAGROQUIMICOSSUR"&amp;Tabla_Buffers_Agroinsumos[[#This Row],[CODIGO ]],TABLACONSOLIDADA[Bodega]&amp;TABLACONSOLIDADA[Codigo],0)),"")</f>
        <v>0</v>
      </c>
      <c r="DW397" s="157">
        <f t="array" ref="DW39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97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97" s="134">
        <f>IFERROR(SUM(Tabla_Buffers_Agroinsumos[[#This Row],[AS-MP]:[AS-VL]]),"")</f>
        <v>0</v>
      </c>
      <c r="DZ397" s="92">
        <f>IFERROR(Tabla_Buffers_Agroinsumos[[#This Row],[INV FIS AS]]-Tabla_Buffers_Agroinsumos[[#This Row],[BUFFER AS]],"")</f>
        <v>0</v>
      </c>
      <c r="EA397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97" s="134"/>
      <c r="EC397" s="134"/>
      <c r="ED397" s="134"/>
      <c r="EE397" s="134"/>
      <c r="EF397" s="134"/>
      <c r="EG397" s="134"/>
      <c r="EH397" s="134"/>
      <c r="EI397" s="134"/>
      <c r="EJ397" s="134"/>
      <c r="EK397" s="134">
        <f t="array" ref="EK397">IFERROR(INDEX(TABLACONSOLIDADA[Buff Act],MATCH("AGROINSUMOSLAFINCA"&amp;Tabla_Buffers_Agroinsumos[[#This Row],[CODIGO ]],TABLACONSOLIDADA[Bodega]&amp;TABLACONSOLIDADA[Codigo],0)),"")</f>
        <v>0</v>
      </c>
      <c r="EL397" s="157">
        <f t="array" ref="EL397">IFERROR(INDEX(TABLACONSOLIDADA[Inv Fís Act],MATCH("AGROINSUMOSLAFINCA"&amp;Tabla_Buffers_Agroinsumos[[#This Row],[CODIGO ]],TABLACONSOLIDADA[Bodega]&amp;TABLACONSOLIDADA[Codigo],0)),"")</f>
        <v>0</v>
      </c>
      <c r="EM397" s="157">
        <f t="array" ref="EM39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97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97" s="134">
        <f>IFERROR(SUM(Tabla_Buffers_Agroinsumos[[#This Row],[LF-MP]:[LF-VL]]),"")</f>
        <v>0</v>
      </c>
      <c r="EP397" s="92">
        <f>IFERROR(Tabla_Buffers_Agroinsumos[[#This Row],[INV FIS LF]]-Tabla_Buffers_Agroinsumos[[#This Row],[BUFFER LF]],"")</f>
        <v>0</v>
      </c>
      <c r="EQ397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97" s="134"/>
      <c r="ES397" s="134"/>
      <c r="ET397" s="134"/>
      <c r="EU397" s="134"/>
      <c r="EV397" s="134"/>
      <c r="EW397" s="134"/>
      <c r="EX397" s="134"/>
      <c r="EY397" s="134"/>
      <c r="EZ397" s="134"/>
      <c r="FA397" s="134">
        <f t="array" ref="FA397">IFERROR(INDEX(TABLACONSOLIDADA[Buff Act],MATCH("AGROINSUMOSVERONICALEDESMA"&amp;Tabla_Buffers_Agroinsumos[[#This Row],[CODIGO ]],TABLACONSOLIDADA[Bodega]&amp;TABLACONSOLIDADA[Codigo],0)),"")</f>
        <v>0</v>
      </c>
      <c r="FB397" s="157">
        <f t="array" ref="FB397">IFERROR(INDEX(TABLACONSOLIDADA[Inv Fís Act],MATCH("AGROINSUMOSVERONICALEDESMA"&amp;Tabla_Buffers_Agroinsumos[[#This Row],[CODIGO ]],TABLACONSOLIDADA[Bodega]&amp;TABLACONSOLIDADA[Codigo],0)),"")</f>
        <v>0</v>
      </c>
      <c r="FC397" s="157">
        <f t="array" ref="FC39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397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97" s="134">
        <f>IFERROR(SUM(Tabla_Buffers_Agroinsumos[[#This Row],[VL-MP]:[VL-LF]]),"")</f>
        <v>0</v>
      </c>
      <c r="FF397" s="92">
        <f>IFERROR(Tabla_Buffers_Agroinsumos[[#This Row],[INV FIS VL]]-Tabla_Buffers_Agroinsumos[[#This Row],[BUFFER VL]],"")</f>
        <v>0</v>
      </c>
      <c r="FG397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97" s="134"/>
      <c r="FI397" s="134"/>
      <c r="FJ397" s="134"/>
      <c r="FK397" s="134"/>
      <c r="FL397" s="134"/>
      <c r="FM397" s="134"/>
      <c r="FN397" s="134"/>
      <c r="FO397" s="134"/>
      <c r="FP397" s="134"/>
    </row>
    <row r="398" spans="1:172">
      <c r="A398" s="7" t="s">
        <v>665</v>
      </c>
      <c r="B398" s="7" t="s">
        <v>666</v>
      </c>
      <c r="C398" s="7" t="s">
        <v>709</v>
      </c>
      <c r="D398" s="7" t="s">
        <v>715</v>
      </c>
      <c r="E398" s="7" t="s">
        <v>975</v>
      </c>
      <c r="F398" s="19" t="s">
        <v>698</v>
      </c>
      <c r="G398" s="19" t="s">
        <v>698</v>
      </c>
      <c r="H398" s="19">
        <f>VLOOKUP(Tabla_Buffers_Agroinsumos[[#This Row],[CODIGO ]],TABLACONSOLIDADA[[Codigo]:[PV]],6,0)</f>
        <v>6.5</v>
      </c>
      <c r="I398" s="19">
        <f>VLOOKUP(Tabla_Buffers_Agroinsumos[[#This Row],[CODIGO ]],TABLACONSOLIDADA[[Codigo]:[PV]],5,0)</f>
        <v>1.42</v>
      </c>
      <c r="J398" s="19" t="s">
        <v>698</v>
      </c>
      <c r="K398" s="19" t="s">
        <v>698</v>
      </c>
      <c r="L398" s="19">
        <f>IFERROR(Tabla_Buffers_Agroinsumos[[#This Row],[BUFFER CENTRAL]]/((Tabla_Buffers_Agroinsumos[[#This Row],[TIEMPO REPOSICION ]]/Tabla_Buffers_Agroinsumos[[#This Row],[FRECUENCIA]])+1),0)</f>
        <v>0</v>
      </c>
      <c r="M398" s="19" t="str">
        <f t="array" ref="M398">IFERROR(INDEX(TABLACONSOLIDADA[Buff Act],MATCH("AGROINSUMOSMATERIAPRIMA"&amp;Tabla_Buffers_Agroinsumos[[#This Row],[CODIGO ]],TABLACONSOLIDADA[Bodega]&amp;TABLACONSOLIDADA[Codigo],0)),"")</f>
        <v/>
      </c>
      <c r="N398" s="157" t="str">
        <f t="array" ref="N398">IFERROR(INDEX(TABLACONSOLIDADA[Inv Fís Act],MATCH("AGROINSUMOSMATERIAPRIMA"&amp;Tabla_Buffers_Agroinsumos[[#This Row],[CODIGO ]],TABLACONSOLIDADA[Bodega]&amp;TABLACONSOLIDADA[Codigo],0)),"")</f>
        <v/>
      </c>
      <c r="O398" s="157" t="str">
        <f t="array" ref="O39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9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98" s="19">
        <f>IFERROR(SUM(Tabla_Buffers_Agroinsumos[[#This Row],[MP-C]:[MP-VL]]),"")</f>
        <v>0</v>
      </c>
      <c r="R398" s="92" t="str">
        <f>IFERROR(Tabla_Buffers_Agroinsumos[[#This Row],[INV FIS MATERIA PRIMA]]-Tabla_Buffers_Agroinsumos[[#This Row],[BUFFER MATERIA PRIMA]],"")</f>
        <v/>
      </c>
      <c r="S39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98" s="19"/>
      <c r="U398" s="19"/>
      <c r="V398" s="19"/>
      <c r="W398" s="19"/>
      <c r="X398" s="19"/>
      <c r="Y398" s="19"/>
      <c r="Z398" s="19"/>
      <c r="AA398" s="19"/>
      <c r="AB398" s="19"/>
      <c r="AC398" s="135">
        <f t="array" ref="AC398">IFERROR(INDEX(TABLACONSOLIDADA[Buff Act],MATCH("AGROINSUMOSCENTRAL"&amp;Tabla_Buffers_Agroinsumos[[#This Row],[CODIGO ]],TABLACONSOLIDADA[Bodega]&amp;TABLACONSOLIDADA[Codigo],0)),"")</f>
        <v>1300</v>
      </c>
      <c r="AD398" s="157">
        <f t="array" ref="AD398">IFERROR(INDEX(TABLACONSOLIDADA[Inv Fís Act],MATCH("AGROINSUMOSCENTRAL"&amp;Tabla_Buffers_Agroinsumos[[#This Row],[CODIGO ]],TABLACONSOLIDADA[Bodega]&amp;TABLACONSOLIDADA[Codigo],0)),"")</f>
        <v>44</v>
      </c>
      <c r="AE398" s="157">
        <f t="array" ref="AE39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1342</v>
      </c>
      <c r="AF39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98" s="91">
        <f>IFERROR(SUM(Tabla_Buffers_Agroinsumos[[#This Row],[C-MP]:[C-VL]]),"")</f>
        <v>0</v>
      </c>
      <c r="AH398" s="92">
        <f>IFERROR(Tabla_Buffers_Agroinsumos[[#This Row],[INV FIS CENTRAL]]-Tabla_Buffers_Agroinsumos[[#This Row],[BUFFER CENTRAL]],"")</f>
        <v>-1256</v>
      </c>
      <c r="AI398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-1256</v>
      </c>
      <c r="AJ398" s="134"/>
      <c r="AK398" s="134"/>
      <c r="AL398" s="134"/>
      <c r="AM398" s="134"/>
      <c r="AN398" s="134"/>
      <c r="AO398" s="134"/>
      <c r="AP398" s="134"/>
      <c r="AQ398" s="134"/>
      <c r="AR398" s="134"/>
      <c r="AS398" s="134">
        <f t="array" ref="AS398">IFERROR(INDEX(TABLACONSOLIDADA[Buff Act],MATCH("AGROINSUMOScentralPROPIA"&amp;Tabla_Buffers_Agroinsumos[[#This Row],[CODIGO ]],TABLACONSOLIDADA[Bodega]&amp;TABLACONSOLIDADA[Codigo],0)),"")</f>
        <v>300</v>
      </c>
      <c r="AT398" s="157">
        <f t="array" ref="AT398">IFERROR(INDEX(TABLACONSOLIDADA[Inv Fís Act],MATCH("AGROINSUMOScentralPROPIA"&amp;Tabla_Buffers_Agroinsumos[[#This Row],[CODIGO ]],TABLACONSOLIDADA[Bodega]&amp;TABLACONSOLIDADA[Codigo],0)),"")</f>
        <v>0</v>
      </c>
      <c r="AU398" s="157">
        <f t="array" ref="AU39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9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98" s="134">
        <f>IFERROR(SUM(Tabla_Buffers_Agroinsumos[[#This Row],[P-MP]:[P-VL]]),"")</f>
        <v>0</v>
      </c>
      <c r="AX398" s="92">
        <f>IFERROR(Tabla_Buffers_Agroinsumos[[#This Row],[INV FIS PROPIA]]-Tabla_Buffers_Agroinsumos[[#This Row],[BUFFER PROPIA]],"")</f>
        <v>-300</v>
      </c>
      <c r="AY398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-300</v>
      </c>
      <c r="AZ398" s="134"/>
      <c r="BA398" s="134"/>
      <c r="BB398" s="134"/>
      <c r="BC398" s="134"/>
      <c r="BD398" s="134"/>
      <c r="BE398" s="134"/>
      <c r="BF398" s="134"/>
      <c r="BG398" s="134"/>
      <c r="BH398" s="134"/>
      <c r="BI398" s="91">
        <f t="array" ref="BI398">IFERROR(INDEX(TABLACONSOLIDADA[Buff Act],MATCH("AGROINSUMOSSTODOMINGO"&amp;Tabla_Buffers_Agroinsumos[[#This Row],[CODIGO ]],TABLACONSOLIDADA[Bodega]&amp;TABLACONSOLIDADA[Codigo],0)),"")</f>
        <v>168</v>
      </c>
      <c r="BJ398" s="157">
        <f t="array" ref="BJ398">IFERROR(INDEX(TABLACONSOLIDADA[Inv Fís Act],MATCH("AGROINSUMOSSTODOMINGO"&amp;Tabla_Buffers_Agroinsumos[[#This Row],[CODIGO ]],TABLACONSOLIDADA[Bodega]&amp;TABLACONSOLIDADA[Codigo],0)),"")</f>
        <v>88</v>
      </c>
      <c r="BK398" s="157">
        <f t="array" ref="BK39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88</v>
      </c>
      <c r="BL39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98" s="91">
        <f>IFERROR(SUM(Tabla_Buffers_Agroinsumos[[#This Row],[SD-MP]:[SD-VL]]),"")</f>
        <v>0</v>
      </c>
      <c r="BN398" s="92"/>
      <c r="BO398" s="92"/>
      <c r="BP398" s="134"/>
      <c r="BQ398" s="134"/>
      <c r="BR398" s="134"/>
      <c r="BS398" s="134"/>
      <c r="BT398" s="134"/>
      <c r="BU398" s="134"/>
      <c r="BV398" s="134"/>
      <c r="BW398" s="134"/>
      <c r="BX398" s="134"/>
      <c r="BY398" s="134">
        <f t="array" ref="BY398">IFERROR(INDEX(TABLACONSOLIDADA[Buff Act],MATCH("AGROINSUMOSMONCAYOLOPEZ"&amp;Tabla_Buffers_Agroinsumos[[#This Row],[CODIGO ]],TABLACONSOLIDADA[Bodega]&amp;TABLACONSOLIDADA[Codigo],0)),"")</f>
        <v>60</v>
      </c>
      <c r="BZ398" s="157">
        <f t="array" ref="BZ398">IFERROR(INDEX(TABLACONSOLIDADA[Inv Fís Act],MATCH("AGROINSUMOSMONCAYOLOPEZ"&amp;Tabla_Buffers_Agroinsumos[[#This Row],[CODIGO ]],TABLACONSOLIDADA[Bodega]&amp;TABLACONSOLIDADA[Codigo],0)),"")</f>
        <v>52</v>
      </c>
      <c r="CA398" s="157">
        <f t="array" ref="CA39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52</v>
      </c>
      <c r="CB39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98" s="134">
        <f>IFERROR(SUM(Tabla_Buffers_Agroinsumos[[#This Row],[ML-MP]:[ML-VL]]),"")</f>
        <v>0</v>
      </c>
      <c r="CD398" s="92">
        <f>IFERROR(Tabla_Buffers_Agroinsumos[[#This Row],[INV FIS ML]]-Tabla_Buffers_Agroinsumos[[#This Row],[BUFFER ML]],"")</f>
        <v>-8</v>
      </c>
      <c r="CE398" s="92">
        <f>IFERROR(Tabla_Buffers_Agroinsumos[[#This Row],[INV FIS ML]]+Tabla_Buffers_Agroinsumos[[#This Row],[TRANSFERENCIAS A ML]]-Tabla_Buffers_Agroinsumos[[#This Row],[BUFFER ML]]-Tabla_Buffers_Agroinsumos[[#This Row],[TRANSFERENCIAS DE ML]],"")</f>
        <v>-8</v>
      </c>
      <c r="CF398" s="134"/>
      <c r="CG398" s="134"/>
      <c r="CH398" s="134"/>
      <c r="CI398" s="134"/>
      <c r="CJ398" s="134"/>
      <c r="CK398" s="134"/>
      <c r="CL398" s="134"/>
      <c r="CM398" s="134"/>
      <c r="CN398" s="134"/>
      <c r="CO398" s="134">
        <f t="array" ref="CO398">IFERROR(INDEX(TABLACONSOLIDADA[Buff Act],MATCH("AGROINSUMOSAGROHERMANOSLEON"&amp;Tabla_Buffers_Agroinsumos[[#This Row],[CODIGO ]],TABLACONSOLIDADA[Bodega]&amp;TABLACONSOLIDADA[Codigo],0)),"")</f>
        <v>40</v>
      </c>
      <c r="CP398" s="157">
        <f t="array" ref="CP398">IFERROR(INDEX(TABLACONSOLIDADA[Inv Fís Act],MATCH("AGROINSUMOSAGROHERMANOSLEON"&amp;Tabla_Buffers_Agroinsumos[[#This Row],[CODIGO ]],TABLACONSOLIDADA[Bodega]&amp;TABLACONSOLIDADA[Codigo],0)),"")</f>
        <v>34</v>
      </c>
      <c r="CQ398" s="157">
        <f t="array" ref="CQ39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34</v>
      </c>
      <c r="CR39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98" s="134">
        <f>IFERROR(SUM(Tabla_Buffers_Agroinsumos[[#This Row],[AL-MP]:[AL-VL]]),"")</f>
        <v>0</v>
      </c>
      <c r="CT398" s="92">
        <f>IFERROR(Tabla_Buffers_Agroinsumos[[#This Row],[INV FIS AL]]-Tabla_Buffers_Agroinsumos[[#This Row],[BUFFER AL]],"")</f>
        <v>-6</v>
      </c>
      <c r="CU398" s="92">
        <f>IFERROR(Tabla_Buffers_Agroinsumos[[#This Row],[INV FIS AL]]+Tabla_Buffers_Agroinsumos[[#This Row],[TRANSFERENCIAS A AL]]-Tabla_Buffers_Agroinsumos[[#This Row],[BUFFER AL]]-Tabla_Buffers_Agroinsumos[[#This Row],[TRANSFERENCIAS DE AL]],"")</f>
        <v>-6</v>
      </c>
      <c r="CV398" s="134"/>
      <c r="CW398" s="134"/>
      <c r="CX398" s="134"/>
      <c r="CY398" s="134"/>
      <c r="CZ398" s="134"/>
      <c r="DA398" s="134"/>
      <c r="DB398" s="134"/>
      <c r="DC398" s="134"/>
      <c r="DD398" s="134"/>
      <c r="DE398" s="134">
        <f t="array" ref="DE398">IFERROR(INDEX(TABLACONSOLIDADA[Buff Act],MATCH("AGROINSUMOSAGRONUEVO"&amp;Tabla_Buffers_Agroinsumos[[#This Row],[CODIGO ]],TABLACONSOLIDADA[Bodega]&amp;TABLACONSOLIDADA[Codigo],0)),"")</f>
        <v>15</v>
      </c>
      <c r="DF398" s="157">
        <f t="array" ref="DF398">IFERROR(INDEX(TABLACONSOLIDADA[Inv Fís Act],MATCH("AGROINSUMOSAGRONUEVO"&amp;Tabla_Buffers_Agroinsumos[[#This Row],[CODIGO ]],TABLACONSOLIDADA[Bodega]&amp;TABLACONSOLIDADA[Codigo],0)),"")</f>
        <v>15</v>
      </c>
      <c r="DG398" s="157">
        <f t="array" ref="DG39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15</v>
      </c>
      <c r="DH39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98" s="134">
        <f>IFERROR(SUM(Tabla_Buffers_Agroinsumos[[#This Row],[AN-MP]:[AN-VL]]),"")</f>
        <v>0</v>
      </c>
      <c r="DJ398" s="92">
        <f>IFERROR(Tabla_Buffers_Agroinsumos[[#This Row],[INV FIS AN]]-Tabla_Buffers_Agroinsumos[[#This Row],[BUFFER AN]],"")</f>
        <v>0</v>
      </c>
      <c r="DK398" s="92">
        <f>IFERROR(Tabla_Buffers_Agroinsumos[[#This Row],[INV FIS AN]]+Tabla_Buffers_Agroinsumos[[#This Row],[TRANSFERENCIAS A AN]]-Tabla_Buffers_Agroinsumos[[#This Row],[BUFFER AN]]-Tabla_Buffers_Agroinsumos[[#This Row],[TRANSFERENCIAS DE AN]],"")</f>
        <v>0</v>
      </c>
      <c r="DL398" s="134"/>
      <c r="DM398" s="134"/>
      <c r="DN398" s="134"/>
      <c r="DO398" s="134"/>
      <c r="DP398" s="134"/>
      <c r="DQ398" s="134"/>
      <c r="DR398" s="134"/>
      <c r="DS398" s="134"/>
      <c r="DT398" s="134"/>
      <c r="DU398" s="134">
        <f t="array" ref="DU398">IFERROR(INDEX(TABLACONSOLIDADA[Buff Act],MATCH("AGROINSUMOSAGROQUIMICOSSUR"&amp;Tabla_Buffers_Agroinsumos[[#This Row],[CODIGO ]],TABLACONSOLIDADA[Bodega]&amp;TABLACONSOLIDADA[Codigo],0)),"")</f>
        <v>0</v>
      </c>
      <c r="DV398" s="157">
        <f t="array" ref="DV398">IFERROR(INDEX(TABLACONSOLIDADA[Inv Fís Act],MATCH("AGROINSUMOSAGROQUIMICOSSUR"&amp;Tabla_Buffers_Agroinsumos[[#This Row],[CODIGO ]],TABLACONSOLIDADA[Bodega]&amp;TABLACONSOLIDADA[Codigo],0)),"")</f>
        <v>0</v>
      </c>
      <c r="DW398" s="157">
        <f t="array" ref="DW39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9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98" s="134">
        <f>IFERROR(SUM(Tabla_Buffers_Agroinsumos[[#This Row],[AS-MP]:[AS-VL]]),"")</f>
        <v>0</v>
      </c>
      <c r="DZ398" s="92">
        <f>IFERROR(Tabla_Buffers_Agroinsumos[[#This Row],[INV FIS AS]]-Tabla_Buffers_Agroinsumos[[#This Row],[BUFFER AS]],"")</f>
        <v>0</v>
      </c>
      <c r="EA398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98" s="134"/>
      <c r="EC398" s="134"/>
      <c r="ED398" s="134"/>
      <c r="EE398" s="134"/>
      <c r="EF398" s="134"/>
      <c r="EG398" s="134"/>
      <c r="EH398" s="134"/>
      <c r="EI398" s="134"/>
      <c r="EJ398" s="134"/>
      <c r="EK398" s="134">
        <f t="array" ref="EK398">IFERROR(INDEX(TABLACONSOLIDADA[Buff Act],MATCH("AGROINSUMOSLAFINCA"&amp;Tabla_Buffers_Agroinsumos[[#This Row],[CODIGO ]],TABLACONSOLIDADA[Bodega]&amp;TABLACONSOLIDADA[Codigo],0)),"")</f>
        <v>0</v>
      </c>
      <c r="EL398" s="157">
        <f t="array" ref="EL398">IFERROR(INDEX(TABLACONSOLIDADA[Inv Fís Act],MATCH("AGROINSUMOSLAFINCA"&amp;Tabla_Buffers_Agroinsumos[[#This Row],[CODIGO ]],TABLACONSOLIDADA[Bodega]&amp;TABLACONSOLIDADA[Codigo],0)),"")</f>
        <v>0</v>
      </c>
      <c r="EM398" s="157">
        <f t="array" ref="EM39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9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98" s="134">
        <f>IFERROR(SUM(Tabla_Buffers_Agroinsumos[[#This Row],[LF-MP]:[LF-VL]]),"")</f>
        <v>0</v>
      </c>
      <c r="EP398" s="92">
        <f>IFERROR(Tabla_Buffers_Agroinsumos[[#This Row],[INV FIS LF]]-Tabla_Buffers_Agroinsumos[[#This Row],[BUFFER LF]],"")</f>
        <v>0</v>
      </c>
      <c r="EQ398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98" s="134"/>
      <c r="ES398" s="134"/>
      <c r="ET398" s="134"/>
      <c r="EU398" s="134"/>
      <c r="EV398" s="134"/>
      <c r="EW398" s="134"/>
      <c r="EX398" s="134"/>
      <c r="EY398" s="134"/>
      <c r="EZ398" s="134"/>
      <c r="FA398" s="134">
        <f t="array" ref="FA398">IFERROR(INDEX(TABLACONSOLIDADA[Buff Act],MATCH("AGROINSUMOSVERONICALEDESMA"&amp;Tabla_Buffers_Agroinsumos[[#This Row],[CODIGO ]],TABLACONSOLIDADA[Bodega]&amp;TABLACONSOLIDADA[Codigo],0)),"")</f>
        <v>84</v>
      </c>
      <c r="FB398" s="157">
        <f t="array" ref="FB398">IFERROR(INDEX(TABLACONSOLIDADA[Inv Fís Act],MATCH("AGROINSUMOSVERONICALEDESMA"&amp;Tabla_Buffers_Agroinsumos[[#This Row],[CODIGO ]],TABLACONSOLIDADA[Bodega]&amp;TABLACONSOLIDADA[Codigo],0)),"")</f>
        <v>0</v>
      </c>
      <c r="FC398" s="157">
        <f t="array" ref="FC39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144</v>
      </c>
      <c r="FD39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98" s="134">
        <f>IFERROR(SUM(Tabla_Buffers_Agroinsumos[[#This Row],[VL-MP]:[VL-LF]]),"")</f>
        <v>0</v>
      </c>
      <c r="FF398" s="92">
        <f>IFERROR(Tabla_Buffers_Agroinsumos[[#This Row],[INV FIS VL]]-Tabla_Buffers_Agroinsumos[[#This Row],[BUFFER VL]],"")</f>
        <v>-84</v>
      </c>
      <c r="FG398" s="92">
        <f>IFERROR(Tabla_Buffers_Agroinsumos[[#This Row],[INV FIS VL]]+Tabla_Buffers_Agroinsumos[[#This Row],[TRANSFERENCIAS A VL]]-Tabla_Buffers_Agroinsumos[[#This Row],[BUFFER VL]]-Tabla_Buffers_Agroinsumos[[#This Row],[TRANSFERENCIAS DE VL]],"")</f>
        <v>-84</v>
      </c>
      <c r="FH398" s="134"/>
      <c r="FI398" s="134"/>
      <c r="FJ398" s="134"/>
      <c r="FK398" s="134"/>
      <c r="FL398" s="134"/>
      <c r="FM398" s="134"/>
      <c r="FN398" s="134"/>
      <c r="FO398" s="134"/>
      <c r="FP398" s="134"/>
    </row>
    <row r="399" spans="1:172">
      <c r="A399" s="7" t="s">
        <v>667</v>
      </c>
      <c r="B399" s="7" t="s">
        <v>668</v>
      </c>
      <c r="C399" s="7" t="s">
        <v>709</v>
      </c>
      <c r="D399" s="7" t="s">
        <v>715</v>
      </c>
      <c r="E399" s="7" t="s">
        <v>975</v>
      </c>
      <c r="F399" s="19" t="s">
        <v>698</v>
      </c>
      <c r="G399" s="19" t="s">
        <v>698</v>
      </c>
      <c r="H399" s="19">
        <f>VLOOKUP(Tabla_Buffers_Agroinsumos[[#This Row],[CODIGO ]],TABLACONSOLIDADA[[Codigo]:[PV]],6,0)</f>
        <v>59</v>
      </c>
      <c r="I399" s="19">
        <f>VLOOKUP(Tabla_Buffers_Agroinsumos[[#This Row],[CODIGO ]],TABLACONSOLIDADA[[Codigo]:[PV]],5,0)</f>
        <v>14.83</v>
      </c>
      <c r="J399" s="19" t="s">
        <v>698</v>
      </c>
      <c r="K399" s="19" t="s">
        <v>698</v>
      </c>
      <c r="L399" s="19">
        <f>IFERROR(Tabla_Buffers_Agroinsumos[[#This Row],[BUFFER CENTRAL]]/((Tabla_Buffers_Agroinsumos[[#This Row],[TIEMPO REPOSICION ]]/Tabla_Buffers_Agroinsumos[[#This Row],[FRECUENCIA]])+1),0)</f>
        <v>0</v>
      </c>
      <c r="M399" s="19" t="str">
        <f t="array" ref="M399">IFERROR(INDEX(TABLACONSOLIDADA[Buff Act],MATCH("AGROINSUMOSMATERIAPRIMA"&amp;Tabla_Buffers_Agroinsumos[[#This Row],[CODIGO ]],TABLACONSOLIDADA[Bodega]&amp;TABLACONSOLIDADA[Codigo],0)),"")</f>
        <v/>
      </c>
      <c r="N399" s="157" t="str">
        <f t="array" ref="N399">IFERROR(INDEX(TABLACONSOLIDADA[Inv Fís Act],MATCH("AGROINSUMOSMATERIAPRIMA"&amp;Tabla_Buffers_Agroinsumos[[#This Row],[CODIGO ]],TABLACONSOLIDADA[Bodega]&amp;TABLACONSOLIDADA[Codigo],0)),"")</f>
        <v/>
      </c>
      <c r="O399" s="157" t="str">
        <f t="array" ref="O39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39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399" s="19">
        <f>IFERROR(SUM(Tabla_Buffers_Agroinsumos[[#This Row],[MP-C]:[MP-VL]]),"")</f>
        <v>0</v>
      </c>
      <c r="R399" s="92" t="str">
        <f>IFERROR(Tabla_Buffers_Agroinsumos[[#This Row],[INV FIS MATERIA PRIMA]]-Tabla_Buffers_Agroinsumos[[#This Row],[BUFFER MATERIA PRIMA]],"")</f>
        <v/>
      </c>
      <c r="S39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399" s="19"/>
      <c r="U399" s="19"/>
      <c r="V399" s="19"/>
      <c r="W399" s="19"/>
      <c r="X399" s="19"/>
      <c r="Y399" s="19"/>
      <c r="Z399" s="19"/>
      <c r="AA399" s="19"/>
      <c r="AB399" s="19"/>
      <c r="AC399" s="135">
        <f t="array" ref="AC399">IFERROR(INDEX(TABLACONSOLIDADA[Buff Act],MATCH("AGROINSUMOSCENTRAL"&amp;Tabla_Buffers_Agroinsumos[[#This Row],[CODIGO ]],TABLACONSOLIDADA[Bodega]&amp;TABLACONSOLIDADA[Codigo],0)),"")</f>
        <v>250</v>
      </c>
      <c r="AD399" s="157">
        <f t="array" ref="AD399">IFERROR(INDEX(TABLACONSOLIDADA[Inv Fís Act],MATCH("AGROINSUMOSCENTRAL"&amp;Tabla_Buffers_Agroinsumos[[#This Row],[CODIGO ]],TABLACONSOLIDADA[Bodega]&amp;TABLACONSOLIDADA[Codigo],0)),"")</f>
        <v>1</v>
      </c>
      <c r="AE399" s="157">
        <f t="array" ref="AE39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244</v>
      </c>
      <c r="AF39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399" s="91">
        <f>IFERROR(SUM(Tabla_Buffers_Agroinsumos[[#This Row],[C-MP]:[C-VL]]),"")</f>
        <v>0</v>
      </c>
      <c r="AH399" s="92">
        <f>IFERROR(Tabla_Buffers_Agroinsumos[[#This Row],[INV FIS CENTRAL]]-Tabla_Buffers_Agroinsumos[[#This Row],[BUFFER CENTRAL]],"")</f>
        <v>-249</v>
      </c>
      <c r="AI399" s="92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-249</v>
      </c>
      <c r="AJ399" s="134"/>
      <c r="AK399" s="134"/>
      <c r="AL399" s="134"/>
      <c r="AM399" s="134"/>
      <c r="AN399" s="134"/>
      <c r="AO399" s="134"/>
      <c r="AP399" s="134"/>
      <c r="AQ399" s="134"/>
      <c r="AR399" s="134"/>
      <c r="AS399" s="134">
        <f t="array" ref="AS399">IFERROR(INDEX(TABLACONSOLIDADA[Buff Act],MATCH("AGROINSUMOScentralPROPIA"&amp;Tabla_Buffers_Agroinsumos[[#This Row],[CODIGO ]],TABLACONSOLIDADA[Bodega]&amp;TABLACONSOLIDADA[Codigo],0)),"")</f>
        <v>75</v>
      </c>
      <c r="AT399" s="157">
        <f t="array" ref="AT399">IFERROR(INDEX(TABLACONSOLIDADA[Inv Fís Act],MATCH("AGROINSUMOScentralPROPIA"&amp;Tabla_Buffers_Agroinsumos[[#This Row],[CODIGO ]],TABLACONSOLIDADA[Bodega]&amp;TABLACONSOLIDADA[Codigo],0)),"")</f>
        <v>0</v>
      </c>
      <c r="AU399" s="157">
        <f t="array" ref="AU39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39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399" s="134">
        <f>IFERROR(SUM(Tabla_Buffers_Agroinsumos[[#This Row],[P-MP]:[P-VL]]),"")</f>
        <v>0</v>
      </c>
      <c r="AX399" s="92">
        <f>IFERROR(Tabla_Buffers_Agroinsumos[[#This Row],[INV FIS PROPIA]]-Tabla_Buffers_Agroinsumos[[#This Row],[BUFFER PROPIA]],"")</f>
        <v>-75</v>
      </c>
      <c r="AY399" s="92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-75</v>
      </c>
      <c r="AZ399" s="134"/>
      <c r="BA399" s="134"/>
      <c r="BB399" s="134"/>
      <c r="BC399" s="134"/>
      <c r="BD399" s="134"/>
      <c r="BE399" s="134"/>
      <c r="BF399" s="134"/>
      <c r="BG399" s="134"/>
      <c r="BH399" s="134"/>
      <c r="BI399" s="91">
        <f t="array" ref="BI399">IFERROR(INDEX(TABLACONSOLIDADA[Buff Act],MATCH("AGROINSUMOSSTODOMINGO"&amp;Tabla_Buffers_Agroinsumos[[#This Row],[CODIGO ]],TABLACONSOLIDADA[Bodega]&amp;TABLACONSOLIDADA[Codigo],0)),"")</f>
        <v>0</v>
      </c>
      <c r="BJ399" s="157">
        <f t="array" ref="BJ399">IFERROR(INDEX(TABLACONSOLIDADA[Inv Fís Act],MATCH("AGROINSUMOSSTODOMINGO"&amp;Tabla_Buffers_Agroinsumos[[#This Row],[CODIGO ]],TABLACONSOLIDADA[Bodega]&amp;TABLACONSOLIDADA[Codigo],0)),"")</f>
        <v>27</v>
      </c>
      <c r="BK399" s="157">
        <f t="array" ref="BK39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27</v>
      </c>
      <c r="BL39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399" s="91">
        <f>IFERROR(SUM(Tabla_Buffers_Agroinsumos[[#This Row],[SD-MP]:[SD-VL]]),"")</f>
        <v>0</v>
      </c>
      <c r="BN399" s="92"/>
      <c r="BO399" s="92"/>
      <c r="BP399" s="134"/>
      <c r="BQ399" s="134"/>
      <c r="BR399" s="134"/>
      <c r="BS399" s="134"/>
      <c r="BT399" s="134"/>
      <c r="BU399" s="134"/>
      <c r="BV399" s="134"/>
      <c r="BW399" s="134"/>
      <c r="BX399" s="134"/>
      <c r="BY399" s="134">
        <f t="array" ref="BY399">IFERROR(INDEX(TABLACONSOLIDADA[Buff Act],MATCH("AGROINSUMOSMONCAYOLOPEZ"&amp;Tabla_Buffers_Agroinsumos[[#This Row],[CODIGO ]],TABLACONSOLIDADA[Bodega]&amp;TABLACONSOLIDADA[Codigo],0)),"")</f>
        <v>10</v>
      </c>
      <c r="BZ399" s="157">
        <f t="array" ref="BZ399">IFERROR(INDEX(TABLACONSOLIDADA[Inv Fís Act],MATCH("AGROINSUMOSMONCAYOLOPEZ"&amp;Tabla_Buffers_Agroinsumos[[#This Row],[CODIGO ]],TABLACONSOLIDADA[Bodega]&amp;TABLACONSOLIDADA[Codigo],0)),"")</f>
        <v>3</v>
      </c>
      <c r="CA399" s="157">
        <f t="array" ref="CA39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3</v>
      </c>
      <c r="CB39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399" s="134">
        <f>IFERROR(SUM(Tabla_Buffers_Agroinsumos[[#This Row],[ML-MP]:[ML-VL]]),"")</f>
        <v>0</v>
      </c>
      <c r="CD399" s="92">
        <f>IFERROR(Tabla_Buffers_Agroinsumos[[#This Row],[INV FIS ML]]-Tabla_Buffers_Agroinsumos[[#This Row],[BUFFER ML]],"")</f>
        <v>-7</v>
      </c>
      <c r="CE399" s="92">
        <f>IFERROR(Tabla_Buffers_Agroinsumos[[#This Row],[INV FIS ML]]+Tabla_Buffers_Agroinsumos[[#This Row],[TRANSFERENCIAS A ML]]-Tabla_Buffers_Agroinsumos[[#This Row],[BUFFER ML]]-Tabla_Buffers_Agroinsumos[[#This Row],[TRANSFERENCIAS DE ML]],"")</f>
        <v>-7</v>
      </c>
      <c r="CF399" s="134"/>
      <c r="CG399" s="134"/>
      <c r="CH399" s="134"/>
      <c r="CI399" s="134"/>
      <c r="CJ399" s="134"/>
      <c r="CK399" s="134"/>
      <c r="CL399" s="134"/>
      <c r="CM399" s="134"/>
      <c r="CN399" s="134"/>
      <c r="CO399" s="134">
        <f t="array" ref="CO399">IFERROR(INDEX(TABLACONSOLIDADA[Buff Act],MATCH("AGROINSUMOSAGROHERMANOSLEON"&amp;Tabla_Buffers_Agroinsumos[[#This Row],[CODIGO ]],TABLACONSOLIDADA[Bodega]&amp;TABLACONSOLIDADA[Codigo],0)),"")</f>
        <v>20</v>
      </c>
      <c r="CP399" s="157">
        <f t="array" ref="CP399">IFERROR(INDEX(TABLACONSOLIDADA[Inv Fís Act],MATCH("AGROINSUMOSAGROHERMANOSLEON"&amp;Tabla_Buffers_Agroinsumos[[#This Row],[CODIGO ]],TABLACONSOLIDADA[Bodega]&amp;TABLACONSOLIDADA[Codigo],0)),"")</f>
        <v>20</v>
      </c>
      <c r="CQ399" s="157">
        <f t="array" ref="CQ39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20</v>
      </c>
      <c r="CR39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399" s="134">
        <f>IFERROR(SUM(Tabla_Buffers_Agroinsumos[[#This Row],[AL-MP]:[AL-VL]]),"")</f>
        <v>0</v>
      </c>
      <c r="CT399" s="92">
        <f>IFERROR(Tabla_Buffers_Agroinsumos[[#This Row],[INV FIS AL]]-Tabla_Buffers_Agroinsumos[[#This Row],[BUFFER AL]],"")</f>
        <v>0</v>
      </c>
      <c r="CU399" s="92">
        <f>IFERROR(Tabla_Buffers_Agroinsumos[[#This Row],[INV FIS AL]]+Tabla_Buffers_Agroinsumos[[#This Row],[TRANSFERENCIAS A AL]]-Tabla_Buffers_Agroinsumos[[#This Row],[BUFFER AL]]-Tabla_Buffers_Agroinsumos[[#This Row],[TRANSFERENCIAS DE AL]],"")</f>
        <v>0</v>
      </c>
      <c r="CV399" s="134"/>
      <c r="CW399" s="134"/>
      <c r="CX399" s="134"/>
      <c r="CY399" s="134"/>
      <c r="CZ399" s="134"/>
      <c r="DA399" s="134"/>
      <c r="DB399" s="134"/>
      <c r="DC399" s="134"/>
      <c r="DD399" s="134"/>
      <c r="DE399" s="134">
        <f t="array" ref="DE399">IFERROR(INDEX(TABLACONSOLIDADA[Buff Act],MATCH("AGROINSUMOSAGRONUEVO"&amp;Tabla_Buffers_Agroinsumos[[#This Row],[CODIGO ]],TABLACONSOLIDADA[Bodega]&amp;TABLACONSOLIDADA[Codigo],0)),"")</f>
        <v>0</v>
      </c>
      <c r="DF399" s="157">
        <f t="array" ref="DF399">IFERROR(INDEX(TABLACONSOLIDADA[Inv Fís Act],MATCH("AGROINSUMOSAGRONUEVO"&amp;Tabla_Buffers_Agroinsumos[[#This Row],[CODIGO ]],TABLACONSOLIDADA[Bodega]&amp;TABLACONSOLIDADA[Codigo],0)),"")</f>
        <v>20</v>
      </c>
      <c r="DG399" s="157">
        <f t="array" ref="DG39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20</v>
      </c>
      <c r="DH39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399" s="134">
        <f>IFERROR(SUM(Tabla_Buffers_Agroinsumos[[#This Row],[AN-MP]:[AN-VL]]),"")</f>
        <v>0</v>
      </c>
      <c r="DJ399" s="92">
        <f>IFERROR(Tabla_Buffers_Agroinsumos[[#This Row],[INV FIS AN]]-Tabla_Buffers_Agroinsumos[[#This Row],[BUFFER AN]],"")</f>
        <v>20</v>
      </c>
      <c r="DK399" s="92">
        <f>IFERROR(Tabla_Buffers_Agroinsumos[[#This Row],[INV FIS AN]]+Tabla_Buffers_Agroinsumos[[#This Row],[TRANSFERENCIAS A AN]]-Tabla_Buffers_Agroinsumos[[#This Row],[BUFFER AN]]-Tabla_Buffers_Agroinsumos[[#This Row],[TRANSFERENCIAS DE AN]],"")</f>
        <v>20</v>
      </c>
      <c r="DL399" s="134"/>
      <c r="DM399" s="134"/>
      <c r="DN399" s="134"/>
      <c r="DO399" s="134"/>
      <c r="DP399" s="134"/>
      <c r="DQ399" s="134"/>
      <c r="DR399" s="134"/>
      <c r="DS399" s="134"/>
      <c r="DT399" s="134"/>
      <c r="DU399" s="134">
        <f t="array" ref="DU399">IFERROR(INDEX(TABLACONSOLIDADA[Buff Act],MATCH("AGROINSUMOSAGROQUIMICOSSUR"&amp;Tabla_Buffers_Agroinsumos[[#This Row],[CODIGO ]],TABLACONSOLIDADA[Bodega]&amp;TABLACONSOLIDADA[Codigo],0)),"")</f>
        <v>0</v>
      </c>
      <c r="DV399" s="157">
        <f t="array" ref="DV399">IFERROR(INDEX(TABLACONSOLIDADA[Inv Fís Act],MATCH("AGROINSUMOSAGROQUIMICOSSUR"&amp;Tabla_Buffers_Agroinsumos[[#This Row],[CODIGO ]],TABLACONSOLIDADA[Bodega]&amp;TABLACONSOLIDADA[Codigo],0)),"")</f>
        <v>0</v>
      </c>
      <c r="DW399" s="157">
        <f t="array" ref="DW39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39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399" s="134">
        <f>IFERROR(SUM(Tabla_Buffers_Agroinsumos[[#This Row],[AS-MP]:[AS-VL]]),"")</f>
        <v>0</v>
      </c>
      <c r="DZ399" s="92">
        <f>IFERROR(Tabla_Buffers_Agroinsumos[[#This Row],[INV FIS AS]]-Tabla_Buffers_Agroinsumos[[#This Row],[BUFFER AS]],"")</f>
        <v>0</v>
      </c>
      <c r="EA399" s="92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399" s="134"/>
      <c r="EC399" s="134"/>
      <c r="ED399" s="134"/>
      <c r="EE399" s="134"/>
      <c r="EF399" s="134"/>
      <c r="EG399" s="134"/>
      <c r="EH399" s="134"/>
      <c r="EI399" s="134"/>
      <c r="EJ399" s="134"/>
      <c r="EK399" s="134">
        <f t="array" ref="EK399">IFERROR(INDEX(TABLACONSOLIDADA[Buff Act],MATCH("AGROINSUMOSLAFINCA"&amp;Tabla_Buffers_Agroinsumos[[#This Row],[CODIGO ]],TABLACONSOLIDADA[Bodega]&amp;TABLACONSOLIDADA[Codigo],0)),"")</f>
        <v>0</v>
      </c>
      <c r="EL399" s="157">
        <f t="array" ref="EL399">IFERROR(INDEX(TABLACONSOLIDADA[Inv Fís Act],MATCH("AGROINSUMOSLAFINCA"&amp;Tabla_Buffers_Agroinsumos[[#This Row],[CODIGO ]],TABLACONSOLIDADA[Bodega]&amp;TABLACONSOLIDADA[Codigo],0)),"")</f>
        <v>0</v>
      </c>
      <c r="EM399" s="157">
        <f t="array" ref="EM39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39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399" s="134">
        <f>IFERROR(SUM(Tabla_Buffers_Agroinsumos[[#This Row],[LF-MP]:[LF-VL]]),"")</f>
        <v>0</v>
      </c>
      <c r="EP399" s="92">
        <f>IFERROR(Tabla_Buffers_Agroinsumos[[#This Row],[INV FIS LF]]-Tabla_Buffers_Agroinsumos[[#This Row],[BUFFER LF]],"")</f>
        <v>0</v>
      </c>
      <c r="EQ399" s="92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399" s="134"/>
      <c r="ES399" s="134"/>
      <c r="ET399" s="134"/>
      <c r="EU399" s="134"/>
      <c r="EV399" s="134"/>
      <c r="EW399" s="134"/>
      <c r="EX399" s="134"/>
      <c r="EY399" s="134"/>
      <c r="EZ399" s="134"/>
      <c r="FA399" s="134">
        <f t="array" ref="FA399">IFERROR(INDEX(TABLACONSOLIDADA[Buff Act],MATCH("AGROINSUMOSVERONICALEDESMA"&amp;Tabla_Buffers_Agroinsumos[[#This Row],[CODIGO ]],TABLACONSOLIDADA[Bodega]&amp;TABLACONSOLIDADA[Codigo],0)),"")</f>
        <v>6</v>
      </c>
      <c r="FB399" s="157">
        <f t="array" ref="FB399">IFERROR(INDEX(TABLACONSOLIDADA[Inv Fís Act],MATCH("AGROINSUMOSVERONICALEDESMA"&amp;Tabla_Buffers_Agroinsumos[[#This Row],[CODIGO ]],TABLACONSOLIDADA[Bodega]&amp;TABLACONSOLIDADA[Codigo],0)),"")</f>
        <v>6</v>
      </c>
      <c r="FC399" s="157">
        <f t="array" ref="FC39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6</v>
      </c>
      <c r="FD39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399" s="134">
        <f>IFERROR(SUM(Tabla_Buffers_Agroinsumos[[#This Row],[VL-MP]:[VL-LF]]),"")</f>
        <v>0</v>
      </c>
      <c r="FF399" s="92">
        <f>IFERROR(Tabla_Buffers_Agroinsumos[[#This Row],[INV FIS VL]]-Tabla_Buffers_Agroinsumos[[#This Row],[BUFFER VL]],"")</f>
        <v>0</v>
      </c>
      <c r="FG399" s="92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399" s="134"/>
      <c r="FI399" s="134"/>
      <c r="FJ399" s="134"/>
      <c r="FK399" s="134"/>
      <c r="FL399" s="134"/>
      <c r="FM399" s="134"/>
      <c r="FN399" s="134"/>
      <c r="FO399" s="134"/>
      <c r="FP399" s="134"/>
    </row>
    <row r="400" spans="1:172">
      <c r="A400" s="20" t="s">
        <v>669</v>
      </c>
      <c r="B400" s="20" t="s">
        <v>670</v>
      </c>
      <c r="C400" s="20" t="s">
        <v>708</v>
      </c>
      <c r="D400" s="20" t="s">
        <v>715</v>
      </c>
      <c r="E400" s="7" t="s">
        <v>975</v>
      </c>
      <c r="F400" s="19" t="s">
        <v>698</v>
      </c>
      <c r="G400" s="19" t="s">
        <v>698</v>
      </c>
      <c r="H400" s="19">
        <f>VLOOKUP(Tabla_Buffers_Agroinsumos[[#This Row],[CODIGO ]],TABLACONSOLIDADA[[Codigo]:[PV]],6,0)</f>
        <v>7.32</v>
      </c>
      <c r="I400" s="19">
        <f>VLOOKUP(Tabla_Buffers_Agroinsumos[[#This Row],[CODIGO ]],TABLACONSOLIDADA[[Codigo]:[PV]],5,0)</f>
        <v>1.75</v>
      </c>
      <c r="J400" s="19" t="s">
        <v>698</v>
      </c>
      <c r="K400" s="19" t="s">
        <v>698</v>
      </c>
      <c r="L400" s="19">
        <f>IFERROR(Tabla_Buffers_Agroinsumos[[#This Row],[BUFFER CENTRAL]]/((Tabla_Buffers_Agroinsumos[[#This Row],[TIEMPO REPOSICION ]]/Tabla_Buffers_Agroinsumos[[#This Row],[FRECUENCIA]])+1),0)</f>
        <v>0</v>
      </c>
      <c r="M400" s="19" t="str">
        <f t="array" ref="M400">IFERROR(INDEX(TABLACONSOLIDADA[Buff Act],MATCH("AGROINSUMOSMATERIAPRIMA"&amp;Tabla_Buffers_Agroinsumos[[#This Row],[CODIGO ]],TABLACONSOLIDADA[Bodega]&amp;TABLACONSOLIDADA[Codigo],0)),"")</f>
        <v/>
      </c>
      <c r="N400" s="157" t="str">
        <f t="array" ref="N400">IFERROR(INDEX(TABLACONSOLIDADA[Inv Fís Act],MATCH("AGROINSUMOSMATERIAPRIMA"&amp;Tabla_Buffers_Agroinsumos[[#This Row],[CODIGO ]],TABLACONSOLIDADA[Bodega]&amp;TABLACONSOLIDADA[Codigo],0)),"")</f>
        <v/>
      </c>
      <c r="O400" s="157" t="str">
        <f t="array" ref="O40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0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00" s="19">
        <f>IFERROR(SUM(Tabla_Buffers_Agroinsumos[[#This Row],[MP-C]:[MP-VL]]),"")</f>
        <v>0</v>
      </c>
      <c r="R400" s="154" t="str">
        <f>IFERROR(Tabla_Buffers_Agroinsumos[[#This Row],[INV FIS MATERIA PRIMA]]-Tabla_Buffers_Agroinsumos[[#This Row],[BUFFER MATERIA PRIMA]],"")</f>
        <v/>
      </c>
      <c r="S400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00" s="19"/>
      <c r="U400" s="19"/>
      <c r="V400" s="19"/>
      <c r="W400" s="19"/>
      <c r="X400" s="19"/>
      <c r="Y400" s="19"/>
      <c r="Z400" s="19"/>
      <c r="AA400" s="19"/>
      <c r="AB400" s="19"/>
      <c r="AC400" s="135">
        <f t="array" ref="AC400">IFERROR(INDEX(TABLACONSOLIDADA[Buff Act],MATCH("AGROINSUMOSCENTRAL"&amp;Tabla_Buffers_Agroinsumos[[#This Row],[CODIGO ]],TABLACONSOLIDADA[Bodega]&amp;TABLACONSOLIDADA[Codigo],0)),"")</f>
        <v>2000</v>
      </c>
      <c r="AD400" s="157">
        <f t="array" ref="AD400">IFERROR(INDEX(TABLACONSOLIDADA[Inv Fís Act],MATCH("AGROINSUMOSCENTRAL"&amp;Tabla_Buffers_Agroinsumos[[#This Row],[CODIGO ]],TABLACONSOLIDADA[Bodega]&amp;TABLACONSOLIDADA[Codigo],0)),"")</f>
        <v>596</v>
      </c>
      <c r="AE400" s="157">
        <f t="array" ref="AE40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>2000</v>
      </c>
      <c r="AF40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00" s="91">
        <f>IFERROR(SUM(Tabla_Buffers_Agroinsumos[[#This Row],[C-MP]:[C-VL]]),"")</f>
        <v>0</v>
      </c>
      <c r="AH400" s="154">
        <f>IFERROR(Tabla_Buffers_Agroinsumos[[#This Row],[INV FIS CENTRAL]]-Tabla_Buffers_Agroinsumos[[#This Row],[BUFFER CENTRAL]],"")</f>
        <v>-1404</v>
      </c>
      <c r="AI400" s="154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>-1404</v>
      </c>
      <c r="AJ400" s="135"/>
      <c r="AK400" s="135"/>
      <c r="AL400" s="135"/>
      <c r="AM400" s="135"/>
      <c r="AN400" s="135"/>
      <c r="AO400" s="135"/>
      <c r="AP400" s="135"/>
      <c r="AQ400" s="135"/>
      <c r="AR400" s="135"/>
      <c r="AS400" s="135">
        <f t="array" ref="AS400">IFERROR(INDEX(TABLACONSOLIDADA[Buff Act],MATCH("AGROINSUMOScentralPROPIA"&amp;Tabla_Buffers_Agroinsumos[[#This Row],[CODIGO ]],TABLACONSOLIDADA[Bodega]&amp;TABLACONSOLIDADA[Codigo],0)),"")</f>
        <v>600</v>
      </c>
      <c r="AT400" s="157">
        <f t="array" ref="AT400">IFERROR(INDEX(TABLACONSOLIDADA[Inv Fís Act],MATCH("AGROINSUMOScentralPROPIA"&amp;Tabla_Buffers_Agroinsumos[[#This Row],[CODIGO ]],TABLACONSOLIDADA[Bodega]&amp;TABLACONSOLIDADA[Codigo],0)),"")</f>
        <v>0</v>
      </c>
      <c r="AU400" s="157">
        <f t="array" ref="AU40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>0</v>
      </c>
      <c r="AV400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00" s="135">
        <f>IFERROR(SUM(Tabla_Buffers_Agroinsumos[[#This Row],[P-MP]:[P-VL]]),"")</f>
        <v>0</v>
      </c>
      <c r="AX400" s="154">
        <f>IFERROR(Tabla_Buffers_Agroinsumos[[#This Row],[INV FIS PROPIA]]-Tabla_Buffers_Agroinsumos[[#This Row],[BUFFER PROPIA]],"")</f>
        <v>-600</v>
      </c>
      <c r="AY400" s="154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>-600</v>
      </c>
      <c r="AZ400" s="135"/>
      <c r="BA400" s="135"/>
      <c r="BB400" s="135"/>
      <c r="BC400" s="135"/>
      <c r="BD400" s="135"/>
      <c r="BE400" s="135"/>
      <c r="BF400" s="135"/>
      <c r="BG400" s="135"/>
      <c r="BH400" s="135"/>
      <c r="BI400" s="153">
        <f t="array" ref="BI400">IFERROR(INDEX(TABLACONSOLIDADA[Buff Act],MATCH("AGROINSUMOSSTODOMINGO"&amp;Tabla_Buffers_Agroinsumos[[#This Row],[CODIGO ]],TABLACONSOLIDADA[Bodega]&amp;TABLACONSOLIDADA[Codigo],0)),"")</f>
        <v>0</v>
      </c>
      <c r="BJ400" s="157">
        <f t="array" ref="BJ400">IFERROR(INDEX(TABLACONSOLIDADA[Inv Fís Act],MATCH("AGROINSUMOSSTODOMINGO"&amp;Tabla_Buffers_Agroinsumos[[#This Row],[CODIGO ]],TABLACONSOLIDADA[Bodega]&amp;TABLACONSOLIDADA[Codigo],0)),"")</f>
        <v>0</v>
      </c>
      <c r="BK400" s="157">
        <f t="array" ref="BK40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>0</v>
      </c>
      <c r="BL40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00" s="91">
        <f>IFERROR(SUM(Tabla_Buffers_Agroinsumos[[#This Row],[SD-MP]:[SD-VL]]),"")</f>
        <v>0</v>
      </c>
      <c r="BN400" s="154"/>
      <c r="BO400" s="154"/>
      <c r="BP400" s="135"/>
      <c r="BQ400" s="135"/>
      <c r="BR400" s="135"/>
      <c r="BS400" s="135"/>
      <c r="BT400" s="135"/>
      <c r="BU400" s="135"/>
      <c r="BV400" s="135"/>
      <c r="BW400" s="135"/>
      <c r="BX400" s="135"/>
      <c r="BY400" s="135">
        <f t="array" ref="BY400">IFERROR(INDEX(TABLACONSOLIDADA[Buff Act],MATCH("AGROINSUMOSMONCAYOLOPEZ"&amp;Tabla_Buffers_Agroinsumos[[#This Row],[CODIGO ]],TABLACONSOLIDADA[Bodega]&amp;TABLACONSOLIDADA[Codigo],0)),"")</f>
        <v>20</v>
      </c>
      <c r="BZ400" s="157">
        <f t="array" ref="BZ400">IFERROR(INDEX(TABLACONSOLIDADA[Inv Fís Act],MATCH("AGROINSUMOSMONCAYOLOPEZ"&amp;Tabla_Buffers_Agroinsumos[[#This Row],[CODIGO ]],TABLACONSOLIDADA[Bodega]&amp;TABLACONSOLIDADA[Codigo],0)),"")</f>
        <v>20</v>
      </c>
      <c r="CA400" s="157">
        <f t="array" ref="CA40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>20</v>
      </c>
      <c r="CB400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00" s="135">
        <f>IFERROR(SUM(Tabla_Buffers_Agroinsumos[[#This Row],[ML-MP]:[ML-VL]]),"")</f>
        <v>0</v>
      </c>
      <c r="CD400" s="154">
        <f>IFERROR(Tabla_Buffers_Agroinsumos[[#This Row],[INV FIS ML]]-Tabla_Buffers_Agroinsumos[[#This Row],[BUFFER ML]],"")</f>
        <v>0</v>
      </c>
      <c r="CE400" s="154">
        <f>IFERROR(Tabla_Buffers_Agroinsumos[[#This Row],[INV FIS ML]]+Tabla_Buffers_Agroinsumos[[#This Row],[TRANSFERENCIAS A ML]]-Tabla_Buffers_Agroinsumos[[#This Row],[BUFFER ML]]-Tabla_Buffers_Agroinsumos[[#This Row],[TRANSFERENCIAS DE ML]],"")</f>
        <v>0</v>
      </c>
      <c r="CF400" s="135"/>
      <c r="CG400" s="135"/>
      <c r="CH400" s="135"/>
      <c r="CI400" s="135"/>
      <c r="CJ400" s="135"/>
      <c r="CK400" s="135"/>
      <c r="CL400" s="135"/>
      <c r="CM400" s="135"/>
      <c r="CN400" s="135"/>
      <c r="CO400" s="135">
        <f t="array" ref="CO400">IFERROR(INDEX(TABLACONSOLIDADA[Buff Act],MATCH("AGROINSUMOSAGROHERMANOSLEON"&amp;Tabla_Buffers_Agroinsumos[[#This Row],[CODIGO ]],TABLACONSOLIDADA[Bodega]&amp;TABLACONSOLIDADA[Codigo],0)),"")</f>
        <v>50</v>
      </c>
      <c r="CP400" s="157">
        <f t="array" ref="CP400">IFERROR(INDEX(TABLACONSOLIDADA[Inv Fís Act],MATCH("AGROINSUMOSAGROHERMANOSLEON"&amp;Tabla_Buffers_Agroinsumos[[#This Row],[CODIGO ]],TABLACONSOLIDADA[Bodega]&amp;TABLACONSOLIDADA[Codigo],0)),"")</f>
        <v>85</v>
      </c>
      <c r="CQ400" s="157">
        <f t="array" ref="CQ40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>85</v>
      </c>
      <c r="CR400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00" s="135">
        <f>IFERROR(SUM(Tabla_Buffers_Agroinsumos[[#This Row],[AL-MP]:[AL-VL]]),"")</f>
        <v>0</v>
      </c>
      <c r="CT400" s="154">
        <f>IFERROR(Tabla_Buffers_Agroinsumos[[#This Row],[INV FIS AL]]-Tabla_Buffers_Agroinsumos[[#This Row],[BUFFER AL]],"")</f>
        <v>35</v>
      </c>
      <c r="CU400" s="154">
        <f>IFERROR(Tabla_Buffers_Agroinsumos[[#This Row],[INV FIS AL]]+Tabla_Buffers_Agroinsumos[[#This Row],[TRANSFERENCIAS A AL]]-Tabla_Buffers_Agroinsumos[[#This Row],[BUFFER AL]]-Tabla_Buffers_Agroinsumos[[#This Row],[TRANSFERENCIAS DE AL]],"")</f>
        <v>35</v>
      </c>
      <c r="CV400" s="135"/>
      <c r="CW400" s="135"/>
      <c r="CX400" s="135"/>
      <c r="CY400" s="135"/>
      <c r="CZ400" s="135"/>
      <c r="DA400" s="135"/>
      <c r="DB400" s="135"/>
      <c r="DC400" s="135"/>
      <c r="DD400" s="135"/>
      <c r="DE400" s="135">
        <f t="array" ref="DE400">IFERROR(INDEX(TABLACONSOLIDADA[Buff Act],MATCH("AGROINSUMOSAGRONUEVO"&amp;Tabla_Buffers_Agroinsumos[[#This Row],[CODIGO ]],TABLACONSOLIDADA[Bodega]&amp;TABLACONSOLIDADA[Codigo],0)),"")</f>
        <v>100</v>
      </c>
      <c r="DF400" s="157">
        <f t="array" ref="DF400">IFERROR(INDEX(TABLACONSOLIDADA[Inv Fís Act],MATCH("AGROINSUMOSAGRONUEVO"&amp;Tabla_Buffers_Agroinsumos[[#This Row],[CODIGO ]],TABLACONSOLIDADA[Bodega]&amp;TABLACONSOLIDADA[Codigo],0)),"")</f>
        <v>95</v>
      </c>
      <c r="DG400" s="157">
        <f t="array" ref="DG40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>95</v>
      </c>
      <c r="DH400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00" s="135">
        <f>IFERROR(SUM(Tabla_Buffers_Agroinsumos[[#This Row],[AN-MP]:[AN-VL]]),"")</f>
        <v>0</v>
      </c>
      <c r="DJ400" s="154">
        <f>IFERROR(Tabla_Buffers_Agroinsumos[[#This Row],[INV FIS AN]]-Tabla_Buffers_Agroinsumos[[#This Row],[BUFFER AN]],"")</f>
        <v>-5</v>
      </c>
      <c r="DK400" s="154">
        <f>IFERROR(Tabla_Buffers_Agroinsumos[[#This Row],[INV FIS AN]]+Tabla_Buffers_Agroinsumos[[#This Row],[TRANSFERENCIAS A AN]]-Tabla_Buffers_Agroinsumos[[#This Row],[BUFFER AN]]-Tabla_Buffers_Agroinsumos[[#This Row],[TRANSFERENCIAS DE AN]],"")</f>
        <v>-5</v>
      </c>
      <c r="DL400" s="135"/>
      <c r="DM400" s="135"/>
      <c r="DN400" s="135"/>
      <c r="DO400" s="135"/>
      <c r="DP400" s="135"/>
      <c r="DQ400" s="135"/>
      <c r="DR400" s="135"/>
      <c r="DS400" s="135"/>
      <c r="DT400" s="135"/>
      <c r="DU400" s="135">
        <f t="array" ref="DU400">IFERROR(INDEX(TABLACONSOLIDADA[Buff Act],MATCH("AGROINSUMOSAGROQUIMICOSSUR"&amp;Tabla_Buffers_Agroinsumos[[#This Row],[CODIGO ]],TABLACONSOLIDADA[Bodega]&amp;TABLACONSOLIDADA[Codigo],0)),"")</f>
        <v>0</v>
      </c>
      <c r="DV400" s="157">
        <f t="array" ref="DV400">IFERROR(INDEX(TABLACONSOLIDADA[Inv Fís Act],MATCH("AGROINSUMOSAGROQUIMICOSSUR"&amp;Tabla_Buffers_Agroinsumos[[#This Row],[CODIGO ]],TABLACONSOLIDADA[Bodega]&amp;TABLACONSOLIDADA[Codigo],0)),"")</f>
        <v>0</v>
      </c>
      <c r="DW400" s="157">
        <f t="array" ref="DW40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>0</v>
      </c>
      <c r="DX400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00" s="135">
        <f>IFERROR(SUM(Tabla_Buffers_Agroinsumos[[#This Row],[AS-MP]:[AS-VL]]),"")</f>
        <v>0</v>
      </c>
      <c r="DZ400" s="154">
        <f>IFERROR(Tabla_Buffers_Agroinsumos[[#This Row],[INV FIS AS]]-Tabla_Buffers_Agroinsumos[[#This Row],[BUFFER AS]],"")</f>
        <v>0</v>
      </c>
      <c r="EA400" s="154">
        <f>IFERROR(Tabla_Buffers_Agroinsumos[[#This Row],[INV FIS AS]]+Tabla_Buffers_Agroinsumos[[#This Row],[TRANSFERENCIAS A AS]]-Tabla_Buffers_Agroinsumos[[#This Row],[BUFFER AS]]-Tabla_Buffers_Agroinsumos[[#This Row],[TRANSFERENCIAS DE AS]],"")</f>
        <v>0</v>
      </c>
      <c r="EB400" s="135"/>
      <c r="EC400" s="135"/>
      <c r="ED400" s="135"/>
      <c r="EE400" s="135"/>
      <c r="EF400" s="135"/>
      <c r="EG400" s="135"/>
      <c r="EH400" s="135"/>
      <c r="EI400" s="135"/>
      <c r="EJ400" s="135"/>
      <c r="EK400" s="135">
        <f t="array" ref="EK400">IFERROR(INDEX(TABLACONSOLIDADA[Buff Act],MATCH("AGROINSUMOSLAFINCA"&amp;Tabla_Buffers_Agroinsumos[[#This Row],[CODIGO ]],TABLACONSOLIDADA[Bodega]&amp;TABLACONSOLIDADA[Codigo],0)),"")</f>
        <v>0</v>
      </c>
      <c r="EL400" s="157">
        <f t="array" ref="EL400">IFERROR(INDEX(TABLACONSOLIDADA[Inv Fís Act],MATCH("AGROINSUMOSLAFINCA"&amp;Tabla_Buffers_Agroinsumos[[#This Row],[CODIGO ]],TABLACONSOLIDADA[Bodega]&amp;TABLACONSOLIDADA[Codigo],0)),"")</f>
        <v>0</v>
      </c>
      <c r="EM400" s="157">
        <f t="array" ref="EM40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>0</v>
      </c>
      <c r="EN400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00" s="135">
        <f>IFERROR(SUM(Tabla_Buffers_Agroinsumos[[#This Row],[LF-MP]:[LF-VL]]),"")</f>
        <v>0</v>
      </c>
      <c r="EP400" s="154">
        <f>IFERROR(Tabla_Buffers_Agroinsumos[[#This Row],[INV FIS LF]]-Tabla_Buffers_Agroinsumos[[#This Row],[BUFFER LF]],"")</f>
        <v>0</v>
      </c>
      <c r="EQ400" s="154">
        <f>IFERROR(Tabla_Buffers_Agroinsumos[[#This Row],[INV FIS LF]]+Tabla_Buffers_Agroinsumos[[#This Row],[TRANSFERENCIAS A LF]]-Tabla_Buffers_Agroinsumos[[#This Row],[BUFFER LF]]-Tabla_Buffers_Agroinsumos[[#This Row],[TRANSFERENCIAS DE LF]],"")</f>
        <v>0</v>
      </c>
      <c r="ER400" s="135"/>
      <c r="ES400" s="135"/>
      <c r="ET400" s="135"/>
      <c r="EU400" s="135"/>
      <c r="EV400" s="135"/>
      <c r="EW400" s="135"/>
      <c r="EX400" s="135"/>
      <c r="EY400" s="135"/>
      <c r="EZ400" s="135"/>
      <c r="FA400" s="135">
        <f t="array" ref="FA400">IFERROR(INDEX(TABLACONSOLIDADA[Buff Act],MATCH("AGROINSUMOSVERONICALEDESMA"&amp;Tabla_Buffers_Agroinsumos[[#This Row],[CODIGO ]],TABLACONSOLIDADA[Bodega]&amp;TABLACONSOLIDADA[Codigo],0)),"")</f>
        <v>0</v>
      </c>
      <c r="FB400" s="157">
        <f t="array" ref="FB400">IFERROR(INDEX(TABLACONSOLIDADA[Inv Fís Act],MATCH("AGROINSUMOSVERONICALEDESMA"&amp;Tabla_Buffers_Agroinsumos[[#This Row],[CODIGO ]],TABLACONSOLIDADA[Bodega]&amp;TABLACONSOLIDADA[Codigo],0)),"")</f>
        <v>0</v>
      </c>
      <c r="FC400" s="157">
        <f t="array" ref="FC40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>0</v>
      </c>
      <c r="FD400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00" s="135">
        <f>IFERROR(SUM(Tabla_Buffers_Agroinsumos[[#This Row],[VL-MP]:[VL-LF]]),"")</f>
        <v>0</v>
      </c>
      <c r="FF400" s="154">
        <f>IFERROR(Tabla_Buffers_Agroinsumos[[#This Row],[INV FIS VL]]-Tabla_Buffers_Agroinsumos[[#This Row],[BUFFER VL]],"")</f>
        <v>0</v>
      </c>
      <c r="FG400" s="154">
        <f>IFERROR(Tabla_Buffers_Agroinsumos[[#This Row],[INV FIS VL]]+Tabla_Buffers_Agroinsumos[[#This Row],[TRANSFERENCIAS A VL]]-Tabla_Buffers_Agroinsumos[[#This Row],[BUFFER VL]]-Tabla_Buffers_Agroinsumos[[#This Row],[TRANSFERENCIAS DE VL]],"")</f>
        <v>0</v>
      </c>
      <c r="FH400" s="135"/>
      <c r="FI400" s="135"/>
      <c r="FJ400" s="135"/>
      <c r="FK400" s="135"/>
      <c r="FL400" s="135"/>
      <c r="FM400" s="135"/>
      <c r="FN400" s="135"/>
      <c r="FO400" s="135"/>
      <c r="FP400" s="135"/>
    </row>
    <row r="401" spans="1:172">
      <c r="A401" s="20" t="s">
        <v>1279</v>
      </c>
      <c r="B401" s="20" t="s">
        <v>1278</v>
      </c>
      <c r="C401" s="20" t="s">
        <v>716</v>
      </c>
      <c r="D401" s="20" t="s">
        <v>718</v>
      </c>
      <c r="E401" s="20" t="s">
        <v>863</v>
      </c>
      <c r="F401" s="111" t="s">
        <v>808</v>
      </c>
      <c r="G401" s="111" t="s">
        <v>802</v>
      </c>
      <c r="H401" s="111" t="e">
        <f>VLOOKUP(Tabla_Buffers_Agroinsumos[[#This Row],[CODIGO ]],TABLACONSOLIDADA[[Codigo]:[PV]],6,0)</f>
        <v>#N/A</v>
      </c>
      <c r="I401" s="111" t="e">
        <f>VLOOKUP(Tabla_Buffers_Agroinsumos[[#This Row],[CODIGO ]],TABLACONSOLIDADA[[Codigo]:[PV]],5,0)</f>
        <v>#N/A</v>
      </c>
      <c r="J401" s="111"/>
      <c r="K401" s="111"/>
      <c r="L401" s="111">
        <f>IFERROR(Tabla_Buffers_Agroinsumos[[#This Row],[BUFFER CENTRAL]]/((Tabla_Buffers_Agroinsumos[[#This Row],[TIEMPO REPOSICION ]]/Tabla_Buffers_Agroinsumos[[#This Row],[FRECUENCIA]])+1),0)</f>
        <v>0</v>
      </c>
      <c r="M401" s="111">
        <v>2000</v>
      </c>
      <c r="N401" s="111" t="str">
        <f t="array" ref="N401">IFERROR(INDEX(TABLACONSOLIDADA[Inv Fís Act],MATCH("AGROINSUMOSMATERIAPRIMA"&amp;Tabla_Buffers_Agroinsumos[[#This Row],[CODIGO ]],TABLACONSOLIDADA[Bodega]&amp;TABLACONSOLIDADA[Codigo],0)),"")</f>
        <v/>
      </c>
      <c r="O401" s="161" t="str">
        <f t="array" ref="O40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01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01" s="111">
        <f>IFERROR(SUM(Tabla_Buffers_Agroinsumos[[#This Row],[MP-C]:[MP-VL]]),"")</f>
        <v>0</v>
      </c>
      <c r="R401" s="154" t="str">
        <f>IFERROR(Tabla_Buffers_Agroinsumos[[#This Row],[INV FIS MATERIA PRIMA]]-Tabla_Buffers_Agroinsumos[[#This Row],[BUFFER MATERIA PRIMA]],"")</f>
        <v/>
      </c>
      <c r="S401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01" s="111"/>
      <c r="U401" s="111"/>
      <c r="V401" s="111"/>
      <c r="W401" s="111"/>
      <c r="X401" s="111"/>
      <c r="Y401" s="111"/>
      <c r="Z401" s="111"/>
      <c r="AA401" s="111"/>
      <c r="AB401" s="111"/>
      <c r="AC401" s="135" t="str">
        <f t="array" ref="AC401">IFERROR(INDEX(TABLACONSOLIDADA[Buff Act],MATCH("AGROINSUMOSCENTRAL"&amp;Tabla_Buffers_Agroinsumos[[#This Row],[CODIGO ]],TABLACONSOLIDADA[Bodega]&amp;TABLACONSOLIDADA[Codigo],0)),"")</f>
        <v/>
      </c>
      <c r="AD401" s="111" t="str">
        <f t="array" ref="AD401">IFERROR(INDEX(TABLACONSOLIDADA[Inv Fís Act],MATCH("AGROINSUMOSCENTRAL"&amp;Tabla_Buffers_Agroinsumos[[#This Row],[CODIGO ]],TABLACONSOLIDADA[Bodega]&amp;TABLACONSOLIDADA[Codigo],0)),"")</f>
        <v/>
      </c>
      <c r="AE401" s="161" t="str">
        <f t="array" ref="AE40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01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01" s="153">
        <f>IFERROR(SUM(Tabla_Buffers_Agroinsumos[[#This Row],[C-MP]:[C-VL]]),"")</f>
        <v>0</v>
      </c>
      <c r="AH401" s="154" t="str">
        <f>IFERROR(Tabla_Buffers_Agroinsumos[[#This Row],[INV FIS CENTRAL]]-Tabla_Buffers_Agroinsumos[[#This Row],[BUFFER CENTRAL]],"")</f>
        <v/>
      </c>
      <c r="AI401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01" s="135"/>
      <c r="AK401" s="135"/>
      <c r="AL401" s="135"/>
      <c r="AM401" s="135"/>
      <c r="AN401" s="135"/>
      <c r="AO401" s="135"/>
      <c r="AP401" s="135"/>
      <c r="AQ401" s="135"/>
      <c r="AR401" s="135"/>
      <c r="AS401" s="135" t="str">
        <f t="array" ref="AS401">IFERROR(INDEX(TABLACONSOLIDADA[Buff Act],MATCH("AGROINSUMOScentralPROPIA"&amp;Tabla_Buffers_Agroinsumos[[#This Row],[CODIGO ]],TABLACONSOLIDADA[Bodega]&amp;TABLACONSOLIDADA[Codigo],0)),"")</f>
        <v/>
      </c>
      <c r="AT401" s="111" t="str">
        <f t="array" ref="AT401">IFERROR(INDEX(TABLACONSOLIDADA[Inv Fís Act],MATCH("AGROINSUMOScentralPROPIA"&amp;Tabla_Buffers_Agroinsumos[[#This Row],[CODIGO ]],TABLACONSOLIDADA[Bodega]&amp;TABLACONSOLIDADA[Codigo],0)),"")</f>
        <v/>
      </c>
      <c r="AU401" s="161" t="str">
        <f t="array" ref="AU40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01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01" s="135">
        <f>IFERROR(SUM(Tabla_Buffers_Agroinsumos[[#This Row],[P-MP]:[P-VL]]),"")</f>
        <v>0</v>
      </c>
      <c r="AX401" s="154" t="str">
        <f>IFERROR(Tabla_Buffers_Agroinsumos[[#This Row],[INV FIS PROPIA]]-Tabla_Buffers_Agroinsumos[[#This Row],[BUFFER PROPIA]],"")</f>
        <v/>
      </c>
      <c r="AY401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01" s="135"/>
      <c r="BA401" s="135"/>
      <c r="BB401" s="135"/>
      <c r="BC401" s="135"/>
      <c r="BD401" s="135"/>
      <c r="BE401" s="135"/>
      <c r="BF401" s="135"/>
      <c r="BG401" s="135"/>
      <c r="BH401" s="135"/>
      <c r="BI401" s="153" t="str">
        <f t="array" ref="BI401">IFERROR(INDEX(TABLACONSOLIDADA[Buff Act],MATCH("AGROINSUMOSSTODOMINGO"&amp;Tabla_Buffers_Agroinsumos[[#This Row],[CODIGO ]],TABLACONSOLIDADA[Bodega]&amp;TABLACONSOLIDADA[Codigo],0)),"")</f>
        <v/>
      </c>
      <c r="BJ401" s="111" t="str">
        <f t="array" ref="BJ401">IFERROR(INDEX(TABLACONSOLIDADA[Inv Fís Act],MATCH("AGROINSUMOSSTODOMINGO"&amp;Tabla_Buffers_Agroinsumos[[#This Row],[CODIGO ]],TABLACONSOLIDADA[Bodega]&amp;TABLACONSOLIDADA[Codigo],0)),"")</f>
        <v/>
      </c>
      <c r="BK401" s="161" t="str">
        <f t="array" ref="BK40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01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01" s="153">
        <f>IFERROR(SUM(Tabla_Buffers_Agroinsumos[[#This Row],[SD-MP]:[SD-VL]]),"")</f>
        <v>0</v>
      </c>
      <c r="BN401" s="154"/>
      <c r="BO401" s="154"/>
      <c r="BP401" s="135"/>
      <c r="BQ401" s="135"/>
      <c r="BR401" s="135"/>
      <c r="BS401" s="135"/>
      <c r="BT401" s="135"/>
      <c r="BU401" s="135"/>
      <c r="BV401" s="135"/>
      <c r="BW401" s="135"/>
      <c r="BX401" s="135"/>
      <c r="BY401" s="135" t="str">
        <f t="array" ref="BY401">IFERROR(INDEX(TABLACONSOLIDADA[Buff Act],MATCH("AGROINSUMOSMONCAYOLOPEZ"&amp;Tabla_Buffers_Agroinsumos[[#This Row],[CODIGO ]],TABLACONSOLIDADA[Bodega]&amp;TABLACONSOLIDADA[Codigo],0)),"")</f>
        <v/>
      </c>
      <c r="BZ401" s="111" t="str">
        <f t="array" ref="BZ401">IFERROR(INDEX(TABLACONSOLIDADA[Inv Fís Act],MATCH("AGROINSUMOSMONCAYOLOPEZ"&amp;Tabla_Buffers_Agroinsumos[[#This Row],[CODIGO ]],TABLACONSOLIDADA[Bodega]&amp;TABLACONSOLIDADA[Codigo],0)),"")</f>
        <v/>
      </c>
      <c r="CA401" s="161" t="str">
        <f t="array" ref="CA40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01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01" s="135">
        <f>IFERROR(SUM(Tabla_Buffers_Agroinsumos[[#This Row],[ML-MP]:[ML-VL]]),"")</f>
        <v>0</v>
      </c>
      <c r="CD401" s="154" t="str">
        <f>IFERROR(Tabla_Buffers_Agroinsumos[[#This Row],[INV FIS ML]]-Tabla_Buffers_Agroinsumos[[#This Row],[BUFFER ML]],"")</f>
        <v/>
      </c>
      <c r="CE401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01" s="135"/>
      <c r="CG401" s="135"/>
      <c r="CH401" s="135"/>
      <c r="CI401" s="135"/>
      <c r="CJ401" s="135"/>
      <c r="CK401" s="135"/>
      <c r="CL401" s="135"/>
      <c r="CM401" s="135"/>
      <c r="CN401" s="135"/>
      <c r="CO401" s="135" t="str">
        <f t="array" ref="CO401">IFERROR(INDEX(TABLACONSOLIDADA[Buff Act],MATCH("AGROINSUMOSAGROHERMANOSLEON"&amp;Tabla_Buffers_Agroinsumos[[#This Row],[CODIGO ]],TABLACONSOLIDADA[Bodega]&amp;TABLACONSOLIDADA[Codigo],0)),"")</f>
        <v/>
      </c>
      <c r="CP401" s="111" t="str">
        <f t="array" ref="CP401">IFERROR(INDEX(TABLACONSOLIDADA[Inv Fís Act],MATCH("AGROINSUMOSAGROHERMANOSLEON"&amp;Tabla_Buffers_Agroinsumos[[#This Row],[CODIGO ]],TABLACONSOLIDADA[Bodega]&amp;TABLACONSOLIDADA[Codigo],0)),"")</f>
        <v/>
      </c>
      <c r="CQ401" s="161" t="str">
        <f t="array" ref="CQ40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01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01" s="135">
        <f>IFERROR(SUM(Tabla_Buffers_Agroinsumos[[#This Row],[AL-MP]:[AL-VL]]),"")</f>
        <v>0</v>
      </c>
      <c r="CT401" s="154" t="str">
        <f>IFERROR(Tabla_Buffers_Agroinsumos[[#This Row],[INV FIS AL]]-Tabla_Buffers_Agroinsumos[[#This Row],[BUFFER AL]],"")</f>
        <v/>
      </c>
      <c r="CU401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01" s="135"/>
      <c r="CW401" s="135"/>
      <c r="CX401" s="135"/>
      <c r="CY401" s="135"/>
      <c r="CZ401" s="135"/>
      <c r="DA401" s="135"/>
      <c r="DB401" s="135"/>
      <c r="DC401" s="135"/>
      <c r="DD401" s="135"/>
      <c r="DE401" s="135" t="str">
        <f t="array" ref="DE401">IFERROR(INDEX(TABLACONSOLIDADA[Buff Act],MATCH("AGROINSUMOSAGRONUEVO"&amp;Tabla_Buffers_Agroinsumos[[#This Row],[CODIGO ]],TABLACONSOLIDADA[Bodega]&amp;TABLACONSOLIDADA[Codigo],0)),"")</f>
        <v/>
      </c>
      <c r="DF401" s="111" t="str">
        <f t="array" ref="DF401">IFERROR(INDEX(TABLACONSOLIDADA[Inv Fís Act],MATCH("AGROINSUMOSAGRONUEVO"&amp;Tabla_Buffers_Agroinsumos[[#This Row],[CODIGO ]],TABLACONSOLIDADA[Bodega]&amp;TABLACONSOLIDADA[Codigo],0)),"")</f>
        <v/>
      </c>
      <c r="DG401" s="161" t="str">
        <f t="array" ref="DG40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01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01" s="135">
        <f>IFERROR(SUM(Tabla_Buffers_Agroinsumos[[#This Row],[AN-MP]:[AN-VL]]),"")</f>
        <v>0</v>
      </c>
      <c r="DJ401" s="154" t="str">
        <f>IFERROR(Tabla_Buffers_Agroinsumos[[#This Row],[INV FIS AN]]-Tabla_Buffers_Agroinsumos[[#This Row],[BUFFER AN]],"")</f>
        <v/>
      </c>
      <c r="DK401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01" s="135"/>
      <c r="DM401" s="135"/>
      <c r="DN401" s="135"/>
      <c r="DO401" s="135"/>
      <c r="DP401" s="135"/>
      <c r="DQ401" s="135"/>
      <c r="DR401" s="135"/>
      <c r="DS401" s="135"/>
      <c r="DT401" s="135"/>
      <c r="DU401" s="135" t="str">
        <f t="array" ref="DU401">IFERROR(INDEX(TABLACONSOLIDADA[Buff Act],MATCH("AGROINSUMOSAGROQUIMICOSSUR"&amp;Tabla_Buffers_Agroinsumos[[#This Row],[CODIGO ]],TABLACONSOLIDADA[Bodega]&amp;TABLACONSOLIDADA[Codigo],0)),"")</f>
        <v/>
      </c>
      <c r="DV401" s="111" t="str">
        <f t="array" ref="DV401">IFERROR(INDEX(TABLACONSOLIDADA[Inv Fís Act],MATCH("AGROINSUMOSAGROQUIMICOSSUR"&amp;Tabla_Buffers_Agroinsumos[[#This Row],[CODIGO ]],TABLACONSOLIDADA[Bodega]&amp;TABLACONSOLIDADA[Codigo],0)),"")</f>
        <v/>
      </c>
      <c r="DW401" s="161" t="str">
        <f t="array" ref="DW40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01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01" s="135">
        <f>IFERROR(SUM(Tabla_Buffers_Agroinsumos[[#This Row],[AS-MP]:[AS-VL]]),"")</f>
        <v>0</v>
      </c>
      <c r="DZ401" s="154" t="str">
        <f>IFERROR(Tabla_Buffers_Agroinsumos[[#This Row],[INV FIS AS]]-Tabla_Buffers_Agroinsumos[[#This Row],[BUFFER AS]],"")</f>
        <v/>
      </c>
      <c r="EA401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01" s="135"/>
      <c r="EC401" s="135"/>
      <c r="ED401" s="135"/>
      <c r="EE401" s="135"/>
      <c r="EF401" s="135"/>
      <c r="EG401" s="135"/>
      <c r="EH401" s="135"/>
      <c r="EI401" s="135"/>
      <c r="EJ401" s="135"/>
      <c r="EK401" s="135" t="str">
        <f t="array" ref="EK401">IFERROR(INDEX(TABLACONSOLIDADA[Buff Act],MATCH("AGROINSUMOSLAFINCA"&amp;Tabla_Buffers_Agroinsumos[[#This Row],[CODIGO ]],TABLACONSOLIDADA[Bodega]&amp;TABLACONSOLIDADA[Codigo],0)),"")</f>
        <v/>
      </c>
      <c r="EL401" s="111" t="str">
        <f t="array" ref="EL401">IFERROR(INDEX(TABLACONSOLIDADA[Inv Fís Act],MATCH("AGROINSUMOSLAFINCA"&amp;Tabla_Buffers_Agroinsumos[[#This Row],[CODIGO ]],TABLACONSOLIDADA[Bodega]&amp;TABLACONSOLIDADA[Codigo],0)),"")</f>
        <v/>
      </c>
      <c r="EM401" s="161" t="str">
        <f t="array" ref="EM40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01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01" s="135">
        <f>IFERROR(SUM(Tabla_Buffers_Agroinsumos[[#This Row],[LF-MP]:[LF-VL]]),"")</f>
        <v>0</v>
      </c>
      <c r="EP401" s="154" t="str">
        <f>IFERROR(Tabla_Buffers_Agroinsumos[[#This Row],[INV FIS LF]]-Tabla_Buffers_Agroinsumos[[#This Row],[BUFFER LF]],"")</f>
        <v/>
      </c>
      <c r="EQ401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01" s="135"/>
      <c r="ES401" s="135"/>
      <c r="ET401" s="135"/>
      <c r="EU401" s="135"/>
      <c r="EV401" s="135"/>
      <c r="EW401" s="135"/>
      <c r="EX401" s="135"/>
      <c r="EY401" s="135"/>
      <c r="EZ401" s="135"/>
      <c r="FA401" s="135" t="str">
        <f t="array" ref="FA401">IFERROR(INDEX(TABLACONSOLIDADA[Buff Act],MATCH("AGROINSUMOSVERONICALEDESMA"&amp;Tabla_Buffers_Agroinsumos[[#This Row],[CODIGO ]],TABLACONSOLIDADA[Bodega]&amp;TABLACONSOLIDADA[Codigo],0)),"")</f>
        <v/>
      </c>
      <c r="FB401" s="111" t="str">
        <f t="array" ref="FB401">IFERROR(INDEX(TABLACONSOLIDADA[Inv Fís Act],MATCH("AGROINSUMOSVERONICALEDESMA"&amp;Tabla_Buffers_Agroinsumos[[#This Row],[CODIGO ]],TABLACONSOLIDADA[Bodega]&amp;TABLACONSOLIDADA[Codigo],0)),"")</f>
        <v/>
      </c>
      <c r="FC401" s="161" t="str">
        <f t="array" ref="FC40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01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01" s="135">
        <f>IFERROR(SUM(Tabla_Buffers_Agroinsumos[[#This Row],[VL-MP]:[VL-LF]]),"")</f>
        <v>0</v>
      </c>
      <c r="FF401" s="154" t="str">
        <f>IFERROR(Tabla_Buffers_Agroinsumos[[#This Row],[INV FIS VL]]-Tabla_Buffers_Agroinsumos[[#This Row],[BUFFER VL]],"")</f>
        <v/>
      </c>
      <c r="FG401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01" s="135"/>
      <c r="FI401" s="135"/>
      <c r="FJ401" s="135"/>
      <c r="FK401" s="135"/>
      <c r="FL401" s="135"/>
      <c r="FM401" s="135"/>
      <c r="FN401" s="135"/>
      <c r="FO401" s="135"/>
      <c r="FP401" s="135"/>
    </row>
    <row r="402" spans="1:172">
      <c r="A402" s="20" t="s">
        <v>1284</v>
      </c>
      <c r="B402" s="20" t="s">
        <v>1282</v>
      </c>
      <c r="C402" s="20" t="s">
        <v>716</v>
      </c>
      <c r="D402" s="20" t="s">
        <v>718</v>
      </c>
      <c r="E402" s="20" t="s">
        <v>863</v>
      </c>
      <c r="F402" s="111" t="s">
        <v>808</v>
      </c>
      <c r="G402" s="111" t="s">
        <v>802</v>
      </c>
      <c r="H402" s="111" t="e">
        <f>VLOOKUP(Tabla_Buffers_Agroinsumos[[#This Row],[CODIGO ]],TABLACONSOLIDADA[[Codigo]:[PV]],6,0)</f>
        <v>#N/A</v>
      </c>
      <c r="I402" s="111" t="e">
        <f>VLOOKUP(Tabla_Buffers_Agroinsumos[[#This Row],[CODIGO ]],TABLACONSOLIDADA[[Codigo]:[PV]],5,0)</f>
        <v>#N/A</v>
      </c>
      <c r="J402" s="111"/>
      <c r="K402" s="111"/>
      <c r="L402" s="111">
        <f>IFERROR(Tabla_Buffers_Agroinsumos[[#This Row],[BUFFER CENTRAL]]/((Tabla_Buffers_Agroinsumos[[#This Row],[TIEMPO REPOSICION ]]/Tabla_Buffers_Agroinsumos[[#This Row],[FRECUENCIA]])+1),0)</f>
        <v>0</v>
      </c>
      <c r="M402" s="111">
        <v>2000</v>
      </c>
      <c r="N402" s="111" t="str">
        <f t="array" ref="N402">IFERROR(INDEX(TABLACONSOLIDADA[Inv Fís Act],MATCH("AGROINSUMOSMATERIAPRIMA"&amp;Tabla_Buffers_Agroinsumos[[#This Row],[CODIGO ]],TABLACONSOLIDADA[Bodega]&amp;TABLACONSOLIDADA[Codigo],0)),"")</f>
        <v/>
      </c>
      <c r="O402" s="161" t="str">
        <f t="array" ref="O40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02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02" s="111">
        <f>IFERROR(SUM(Tabla_Buffers_Agroinsumos[[#This Row],[MP-C]:[MP-VL]]),"")</f>
        <v>0</v>
      </c>
      <c r="R402" s="154" t="str">
        <f>IFERROR(Tabla_Buffers_Agroinsumos[[#This Row],[INV FIS MATERIA PRIMA]]-Tabla_Buffers_Agroinsumos[[#This Row],[BUFFER MATERIA PRIMA]],"")</f>
        <v/>
      </c>
      <c r="S402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02" s="111"/>
      <c r="U402" s="111"/>
      <c r="V402" s="111"/>
      <c r="W402" s="111"/>
      <c r="X402" s="111"/>
      <c r="Y402" s="111"/>
      <c r="Z402" s="111"/>
      <c r="AA402" s="111"/>
      <c r="AB402" s="111"/>
      <c r="AC402" s="135" t="str">
        <f t="array" ref="AC402">IFERROR(INDEX(TABLACONSOLIDADA[Buff Act],MATCH("AGROINSUMOSCENTRAL"&amp;Tabla_Buffers_Agroinsumos[[#This Row],[CODIGO ]],TABLACONSOLIDADA[Bodega]&amp;TABLACONSOLIDADA[Codigo],0)),"")</f>
        <v/>
      </c>
      <c r="AD402" s="111" t="str">
        <f t="array" ref="AD402">IFERROR(INDEX(TABLACONSOLIDADA[Inv Fís Act],MATCH("AGROINSUMOSCENTRAL"&amp;Tabla_Buffers_Agroinsumos[[#This Row],[CODIGO ]],TABLACONSOLIDADA[Bodega]&amp;TABLACONSOLIDADA[Codigo],0)),"")</f>
        <v/>
      </c>
      <c r="AE402" s="161" t="str">
        <f t="array" ref="AE40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02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02" s="153">
        <f>IFERROR(SUM(Tabla_Buffers_Agroinsumos[[#This Row],[C-MP]:[C-VL]]),"")</f>
        <v>0</v>
      </c>
      <c r="AH402" s="154" t="str">
        <f>IFERROR(Tabla_Buffers_Agroinsumos[[#This Row],[INV FIS CENTRAL]]-Tabla_Buffers_Agroinsumos[[#This Row],[BUFFER CENTRAL]],"")</f>
        <v/>
      </c>
      <c r="AI402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02" s="135"/>
      <c r="AK402" s="135"/>
      <c r="AL402" s="135"/>
      <c r="AM402" s="135"/>
      <c r="AN402" s="135"/>
      <c r="AO402" s="135"/>
      <c r="AP402" s="135"/>
      <c r="AQ402" s="135"/>
      <c r="AR402" s="135"/>
      <c r="AS402" s="135" t="str">
        <f t="array" ref="AS402">IFERROR(INDEX(TABLACONSOLIDADA[Buff Act],MATCH("AGROINSUMOScentralPROPIA"&amp;Tabla_Buffers_Agroinsumos[[#This Row],[CODIGO ]],TABLACONSOLIDADA[Bodega]&amp;TABLACONSOLIDADA[Codigo],0)),"")</f>
        <v/>
      </c>
      <c r="AT402" s="111" t="str">
        <f t="array" ref="AT402">IFERROR(INDEX(TABLACONSOLIDADA[Inv Fís Act],MATCH("AGROINSUMOScentralPROPIA"&amp;Tabla_Buffers_Agroinsumos[[#This Row],[CODIGO ]],TABLACONSOLIDADA[Bodega]&amp;TABLACONSOLIDADA[Codigo],0)),"")</f>
        <v/>
      </c>
      <c r="AU402" s="161" t="str">
        <f t="array" ref="AU40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02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02" s="135">
        <f>IFERROR(SUM(Tabla_Buffers_Agroinsumos[[#This Row],[P-MP]:[P-VL]]),"")</f>
        <v>0</v>
      </c>
      <c r="AX402" s="154" t="str">
        <f>IFERROR(Tabla_Buffers_Agroinsumos[[#This Row],[INV FIS PROPIA]]-Tabla_Buffers_Agroinsumos[[#This Row],[BUFFER PROPIA]],"")</f>
        <v/>
      </c>
      <c r="AY402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02" s="135"/>
      <c r="BA402" s="135"/>
      <c r="BB402" s="135"/>
      <c r="BC402" s="135"/>
      <c r="BD402" s="135"/>
      <c r="BE402" s="135"/>
      <c r="BF402" s="135"/>
      <c r="BG402" s="135"/>
      <c r="BH402" s="135"/>
      <c r="BI402" s="153" t="str">
        <f t="array" ref="BI402">IFERROR(INDEX(TABLACONSOLIDADA[Buff Act],MATCH("AGROINSUMOSSTODOMINGO"&amp;Tabla_Buffers_Agroinsumos[[#This Row],[CODIGO ]],TABLACONSOLIDADA[Bodega]&amp;TABLACONSOLIDADA[Codigo],0)),"")</f>
        <v/>
      </c>
      <c r="BJ402" s="111" t="str">
        <f t="array" ref="BJ402">IFERROR(INDEX(TABLACONSOLIDADA[Inv Fís Act],MATCH("AGROINSUMOSSTODOMINGO"&amp;Tabla_Buffers_Agroinsumos[[#This Row],[CODIGO ]],TABLACONSOLIDADA[Bodega]&amp;TABLACONSOLIDADA[Codigo],0)),"")</f>
        <v/>
      </c>
      <c r="BK402" s="161" t="str">
        <f t="array" ref="BK40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02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02" s="153">
        <f>IFERROR(SUM(Tabla_Buffers_Agroinsumos[[#This Row],[SD-MP]:[SD-VL]]),"")</f>
        <v>0</v>
      </c>
      <c r="BN402" s="154"/>
      <c r="BO402" s="154"/>
      <c r="BP402" s="135"/>
      <c r="BQ402" s="135"/>
      <c r="BR402" s="135"/>
      <c r="BS402" s="135"/>
      <c r="BT402" s="135"/>
      <c r="BU402" s="135"/>
      <c r="BV402" s="135"/>
      <c r="BW402" s="135"/>
      <c r="BX402" s="135"/>
      <c r="BY402" s="135" t="str">
        <f t="array" ref="BY402">IFERROR(INDEX(TABLACONSOLIDADA[Buff Act],MATCH("AGROINSUMOSMONCAYOLOPEZ"&amp;Tabla_Buffers_Agroinsumos[[#This Row],[CODIGO ]],TABLACONSOLIDADA[Bodega]&amp;TABLACONSOLIDADA[Codigo],0)),"")</f>
        <v/>
      </c>
      <c r="BZ402" s="111" t="str">
        <f t="array" ref="BZ402">IFERROR(INDEX(TABLACONSOLIDADA[Inv Fís Act],MATCH("AGROINSUMOSMONCAYOLOPEZ"&amp;Tabla_Buffers_Agroinsumos[[#This Row],[CODIGO ]],TABLACONSOLIDADA[Bodega]&amp;TABLACONSOLIDADA[Codigo],0)),"")</f>
        <v/>
      </c>
      <c r="CA402" s="161" t="str">
        <f t="array" ref="CA40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02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02" s="135">
        <f>IFERROR(SUM(Tabla_Buffers_Agroinsumos[[#This Row],[ML-MP]:[ML-VL]]),"")</f>
        <v>0</v>
      </c>
      <c r="CD402" s="154" t="str">
        <f>IFERROR(Tabla_Buffers_Agroinsumos[[#This Row],[INV FIS ML]]-Tabla_Buffers_Agroinsumos[[#This Row],[BUFFER ML]],"")</f>
        <v/>
      </c>
      <c r="CE402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02" s="135"/>
      <c r="CG402" s="135"/>
      <c r="CH402" s="135"/>
      <c r="CI402" s="135"/>
      <c r="CJ402" s="135"/>
      <c r="CK402" s="135"/>
      <c r="CL402" s="135"/>
      <c r="CM402" s="135"/>
      <c r="CN402" s="135"/>
      <c r="CO402" s="135" t="str">
        <f t="array" ref="CO402">IFERROR(INDEX(TABLACONSOLIDADA[Buff Act],MATCH("AGROINSUMOSAGROHERMANOSLEON"&amp;Tabla_Buffers_Agroinsumos[[#This Row],[CODIGO ]],TABLACONSOLIDADA[Bodega]&amp;TABLACONSOLIDADA[Codigo],0)),"")</f>
        <v/>
      </c>
      <c r="CP402" s="111" t="str">
        <f t="array" ref="CP402">IFERROR(INDEX(TABLACONSOLIDADA[Inv Fís Act],MATCH("AGROINSUMOSAGROHERMANOSLEON"&amp;Tabla_Buffers_Agroinsumos[[#This Row],[CODIGO ]],TABLACONSOLIDADA[Bodega]&amp;TABLACONSOLIDADA[Codigo],0)),"")</f>
        <v/>
      </c>
      <c r="CQ402" s="161" t="str">
        <f t="array" ref="CQ40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02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02" s="135">
        <f>IFERROR(SUM(Tabla_Buffers_Agroinsumos[[#This Row],[AL-MP]:[AL-VL]]),"")</f>
        <v>0</v>
      </c>
      <c r="CT402" s="154" t="str">
        <f>IFERROR(Tabla_Buffers_Agroinsumos[[#This Row],[INV FIS AL]]-Tabla_Buffers_Agroinsumos[[#This Row],[BUFFER AL]],"")</f>
        <v/>
      </c>
      <c r="CU402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02" s="135"/>
      <c r="CW402" s="135"/>
      <c r="CX402" s="135"/>
      <c r="CY402" s="135"/>
      <c r="CZ402" s="135"/>
      <c r="DA402" s="135"/>
      <c r="DB402" s="135"/>
      <c r="DC402" s="135"/>
      <c r="DD402" s="135"/>
      <c r="DE402" s="135" t="str">
        <f t="array" ref="DE402">IFERROR(INDEX(TABLACONSOLIDADA[Buff Act],MATCH("AGROINSUMOSAGRONUEVO"&amp;Tabla_Buffers_Agroinsumos[[#This Row],[CODIGO ]],TABLACONSOLIDADA[Bodega]&amp;TABLACONSOLIDADA[Codigo],0)),"")</f>
        <v/>
      </c>
      <c r="DF402" s="111" t="str">
        <f t="array" ref="DF402">IFERROR(INDEX(TABLACONSOLIDADA[Inv Fís Act],MATCH("AGROINSUMOSAGRONUEVO"&amp;Tabla_Buffers_Agroinsumos[[#This Row],[CODIGO ]],TABLACONSOLIDADA[Bodega]&amp;TABLACONSOLIDADA[Codigo],0)),"")</f>
        <v/>
      </c>
      <c r="DG402" s="161" t="str">
        <f t="array" ref="DG40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02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02" s="135">
        <f>IFERROR(SUM(Tabla_Buffers_Agroinsumos[[#This Row],[AN-MP]:[AN-VL]]),"")</f>
        <v>0</v>
      </c>
      <c r="DJ402" s="154" t="str">
        <f>IFERROR(Tabla_Buffers_Agroinsumos[[#This Row],[INV FIS AN]]-Tabla_Buffers_Agroinsumos[[#This Row],[BUFFER AN]],"")</f>
        <v/>
      </c>
      <c r="DK402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02" s="135"/>
      <c r="DM402" s="135"/>
      <c r="DN402" s="135"/>
      <c r="DO402" s="135"/>
      <c r="DP402" s="135"/>
      <c r="DQ402" s="135"/>
      <c r="DR402" s="135"/>
      <c r="DS402" s="135"/>
      <c r="DT402" s="135"/>
      <c r="DU402" s="135" t="str">
        <f t="array" ref="DU402">IFERROR(INDEX(TABLACONSOLIDADA[Buff Act],MATCH("AGROINSUMOSAGROQUIMICOSSUR"&amp;Tabla_Buffers_Agroinsumos[[#This Row],[CODIGO ]],TABLACONSOLIDADA[Bodega]&amp;TABLACONSOLIDADA[Codigo],0)),"")</f>
        <v/>
      </c>
      <c r="DV402" s="111" t="str">
        <f t="array" ref="DV402">IFERROR(INDEX(TABLACONSOLIDADA[Inv Fís Act],MATCH("AGROINSUMOSAGROQUIMICOSSUR"&amp;Tabla_Buffers_Agroinsumos[[#This Row],[CODIGO ]],TABLACONSOLIDADA[Bodega]&amp;TABLACONSOLIDADA[Codigo],0)),"")</f>
        <v/>
      </c>
      <c r="DW402" s="161" t="str">
        <f t="array" ref="DW40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02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02" s="135">
        <f>IFERROR(SUM(Tabla_Buffers_Agroinsumos[[#This Row],[AS-MP]:[AS-VL]]),"")</f>
        <v>0</v>
      </c>
      <c r="DZ402" s="154" t="str">
        <f>IFERROR(Tabla_Buffers_Agroinsumos[[#This Row],[INV FIS AS]]-Tabla_Buffers_Agroinsumos[[#This Row],[BUFFER AS]],"")</f>
        <v/>
      </c>
      <c r="EA402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02" s="135"/>
      <c r="EC402" s="135"/>
      <c r="ED402" s="135"/>
      <c r="EE402" s="135"/>
      <c r="EF402" s="135"/>
      <c r="EG402" s="135"/>
      <c r="EH402" s="135"/>
      <c r="EI402" s="135"/>
      <c r="EJ402" s="135"/>
      <c r="EK402" s="135" t="str">
        <f t="array" ref="EK402">IFERROR(INDEX(TABLACONSOLIDADA[Buff Act],MATCH("AGROINSUMOSLAFINCA"&amp;Tabla_Buffers_Agroinsumos[[#This Row],[CODIGO ]],TABLACONSOLIDADA[Bodega]&amp;TABLACONSOLIDADA[Codigo],0)),"")</f>
        <v/>
      </c>
      <c r="EL402" s="111" t="str">
        <f t="array" ref="EL402">IFERROR(INDEX(TABLACONSOLIDADA[Inv Fís Act],MATCH("AGROINSUMOSLAFINCA"&amp;Tabla_Buffers_Agroinsumos[[#This Row],[CODIGO ]],TABLACONSOLIDADA[Bodega]&amp;TABLACONSOLIDADA[Codigo],0)),"")</f>
        <v/>
      </c>
      <c r="EM402" s="161" t="str">
        <f t="array" ref="EM40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02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02" s="135">
        <f>IFERROR(SUM(Tabla_Buffers_Agroinsumos[[#This Row],[LF-MP]:[LF-VL]]),"")</f>
        <v>0</v>
      </c>
      <c r="EP402" s="154" t="str">
        <f>IFERROR(Tabla_Buffers_Agroinsumos[[#This Row],[INV FIS LF]]-Tabla_Buffers_Agroinsumos[[#This Row],[BUFFER LF]],"")</f>
        <v/>
      </c>
      <c r="EQ402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02" s="135"/>
      <c r="ES402" s="135"/>
      <c r="ET402" s="135"/>
      <c r="EU402" s="135"/>
      <c r="EV402" s="135"/>
      <c r="EW402" s="135"/>
      <c r="EX402" s="135"/>
      <c r="EY402" s="135"/>
      <c r="EZ402" s="135"/>
      <c r="FA402" s="135" t="str">
        <f t="array" ref="FA402">IFERROR(INDEX(TABLACONSOLIDADA[Buff Act],MATCH("AGROINSUMOSVERONICALEDESMA"&amp;Tabla_Buffers_Agroinsumos[[#This Row],[CODIGO ]],TABLACONSOLIDADA[Bodega]&amp;TABLACONSOLIDADA[Codigo],0)),"")</f>
        <v/>
      </c>
      <c r="FB402" s="111" t="str">
        <f t="array" ref="FB402">IFERROR(INDEX(TABLACONSOLIDADA[Inv Fís Act],MATCH("AGROINSUMOSVERONICALEDESMA"&amp;Tabla_Buffers_Agroinsumos[[#This Row],[CODIGO ]],TABLACONSOLIDADA[Bodega]&amp;TABLACONSOLIDADA[Codigo],0)),"")</f>
        <v/>
      </c>
      <c r="FC402" s="161" t="str">
        <f t="array" ref="FC40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02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02" s="135">
        <f>IFERROR(SUM(Tabla_Buffers_Agroinsumos[[#This Row],[VL-MP]:[VL-LF]]),"")</f>
        <v>0</v>
      </c>
      <c r="FF402" s="154" t="str">
        <f>IFERROR(Tabla_Buffers_Agroinsumos[[#This Row],[INV FIS VL]]-Tabla_Buffers_Agroinsumos[[#This Row],[BUFFER VL]],"")</f>
        <v/>
      </c>
      <c r="FG402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02" s="135"/>
      <c r="FI402" s="135"/>
      <c r="FJ402" s="135"/>
      <c r="FK402" s="135"/>
      <c r="FL402" s="135"/>
      <c r="FM402" s="135"/>
      <c r="FN402" s="135"/>
      <c r="FO402" s="135"/>
      <c r="FP402" s="135"/>
    </row>
    <row r="403" spans="1:172">
      <c r="A403" s="20" t="s">
        <v>1285</v>
      </c>
      <c r="B403" s="20" t="s">
        <v>1283</v>
      </c>
      <c r="C403" s="20" t="s">
        <v>716</v>
      </c>
      <c r="D403" s="20" t="s">
        <v>718</v>
      </c>
      <c r="E403" s="20" t="s">
        <v>863</v>
      </c>
      <c r="F403" s="111" t="s">
        <v>808</v>
      </c>
      <c r="G403" s="111" t="s">
        <v>802</v>
      </c>
      <c r="H403" s="111" t="e">
        <f>VLOOKUP(Tabla_Buffers_Agroinsumos[[#This Row],[CODIGO ]],TABLACONSOLIDADA[[Codigo]:[PV]],6,0)</f>
        <v>#N/A</v>
      </c>
      <c r="I403" s="111" t="e">
        <f>VLOOKUP(Tabla_Buffers_Agroinsumos[[#This Row],[CODIGO ]],TABLACONSOLIDADA[[Codigo]:[PV]],5,0)</f>
        <v>#N/A</v>
      </c>
      <c r="J403" s="111"/>
      <c r="K403" s="111"/>
      <c r="L403" s="111">
        <f>IFERROR(Tabla_Buffers_Agroinsumos[[#This Row],[BUFFER CENTRAL]]/((Tabla_Buffers_Agroinsumos[[#This Row],[TIEMPO REPOSICION ]]/Tabla_Buffers_Agroinsumos[[#This Row],[FRECUENCIA]])+1),0)</f>
        <v>0</v>
      </c>
      <c r="M403" s="111">
        <v>2000</v>
      </c>
      <c r="N403" s="111" t="str">
        <f t="array" ref="N403">IFERROR(INDEX(TABLACONSOLIDADA[Inv Fís Act],MATCH("AGROINSUMOSMATERIAPRIMA"&amp;Tabla_Buffers_Agroinsumos[[#This Row],[CODIGO ]],TABLACONSOLIDADA[Bodega]&amp;TABLACONSOLIDADA[Codigo],0)),"")</f>
        <v/>
      </c>
      <c r="O403" s="161" t="str">
        <f t="array" ref="O40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03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03" s="111">
        <f>IFERROR(SUM(Tabla_Buffers_Agroinsumos[[#This Row],[MP-C]:[MP-VL]]),"")</f>
        <v>0</v>
      </c>
      <c r="R403" s="154" t="str">
        <f>IFERROR(Tabla_Buffers_Agroinsumos[[#This Row],[INV FIS MATERIA PRIMA]]-Tabla_Buffers_Agroinsumos[[#This Row],[BUFFER MATERIA PRIMA]],"")</f>
        <v/>
      </c>
      <c r="S403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03" s="111"/>
      <c r="U403" s="111"/>
      <c r="V403" s="111"/>
      <c r="W403" s="111"/>
      <c r="X403" s="111"/>
      <c r="Y403" s="111"/>
      <c r="Z403" s="111"/>
      <c r="AA403" s="111"/>
      <c r="AB403" s="111"/>
      <c r="AC403" s="135" t="str">
        <f t="array" ref="AC403">IFERROR(INDEX(TABLACONSOLIDADA[Buff Act],MATCH("AGROINSUMOSCENTRAL"&amp;Tabla_Buffers_Agroinsumos[[#This Row],[CODIGO ]],TABLACONSOLIDADA[Bodega]&amp;TABLACONSOLIDADA[Codigo],0)),"")</f>
        <v/>
      </c>
      <c r="AD403" s="111" t="str">
        <f t="array" ref="AD403">IFERROR(INDEX(TABLACONSOLIDADA[Inv Fís Act],MATCH("AGROINSUMOSCENTRAL"&amp;Tabla_Buffers_Agroinsumos[[#This Row],[CODIGO ]],TABLACONSOLIDADA[Bodega]&amp;TABLACONSOLIDADA[Codigo],0)),"")</f>
        <v/>
      </c>
      <c r="AE403" s="161" t="str">
        <f t="array" ref="AE40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03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03" s="153">
        <f>IFERROR(SUM(Tabla_Buffers_Agroinsumos[[#This Row],[C-MP]:[C-VL]]),"")</f>
        <v>0</v>
      </c>
      <c r="AH403" s="154" t="str">
        <f>IFERROR(Tabla_Buffers_Agroinsumos[[#This Row],[INV FIS CENTRAL]]-Tabla_Buffers_Agroinsumos[[#This Row],[BUFFER CENTRAL]],"")</f>
        <v/>
      </c>
      <c r="AI403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03" s="135"/>
      <c r="AK403" s="135"/>
      <c r="AL403" s="135"/>
      <c r="AM403" s="135"/>
      <c r="AN403" s="135"/>
      <c r="AO403" s="135"/>
      <c r="AP403" s="135"/>
      <c r="AQ403" s="135"/>
      <c r="AR403" s="135"/>
      <c r="AS403" s="135" t="str">
        <f t="array" ref="AS403">IFERROR(INDEX(TABLACONSOLIDADA[Buff Act],MATCH("AGROINSUMOScentralPROPIA"&amp;Tabla_Buffers_Agroinsumos[[#This Row],[CODIGO ]],TABLACONSOLIDADA[Bodega]&amp;TABLACONSOLIDADA[Codigo],0)),"")</f>
        <v/>
      </c>
      <c r="AT403" s="111" t="str">
        <f t="array" ref="AT403">IFERROR(INDEX(TABLACONSOLIDADA[Inv Fís Act],MATCH("AGROINSUMOScentralPROPIA"&amp;Tabla_Buffers_Agroinsumos[[#This Row],[CODIGO ]],TABLACONSOLIDADA[Bodega]&amp;TABLACONSOLIDADA[Codigo],0)),"")</f>
        <v/>
      </c>
      <c r="AU403" s="161" t="str">
        <f t="array" ref="AU40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03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03" s="135">
        <f>IFERROR(SUM(Tabla_Buffers_Agroinsumos[[#This Row],[P-MP]:[P-VL]]),"")</f>
        <v>0</v>
      </c>
      <c r="AX403" s="154" t="str">
        <f>IFERROR(Tabla_Buffers_Agroinsumos[[#This Row],[INV FIS PROPIA]]-Tabla_Buffers_Agroinsumos[[#This Row],[BUFFER PROPIA]],"")</f>
        <v/>
      </c>
      <c r="AY403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03" s="135"/>
      <c r="BA403" s="135"/>
      <c r="BB403" s="135"/>
      <c r="BC403" s="135"/>
      <c r="BD403" s="135"/>
      <c r="BE403" s="135"/>
      <c r="BF403" s="135"/>
      <c r="BG403" s="135"/>
      <c r="BH403" s="135"/>
      <c r="BI403" s="153" t="str">
        <f t="array" ref="BI403">IFERROR(INDEX(TABLACONSOLIDADA[Buff Act],MATCH("AGROINSUMOSSTODOMINGO"&amp;Tabla_Buffers_Agroinsumos[[#This Row],[CODIGO ]],TABLACONSOLIDADA[Bodega]&amp;TABLACONSOLIDADA[Codigo],0)),"")</f>
        <v/>
      </c>
      <c r="BJ403" s="111" t="str">
        <f t="array" ref="BJ403">IFERROR(INDEX(TABLACONSOLIDADA[Inv Fís Act],MATCH("AGROINSUMOSSTODOMINGO"&amp;Tabla_Buffers_Agroinsumos[[#This Row],[CODIGO ]],TABLACONSOLIDADA[Bodega]&amp;TABLACONSOLIDADA[Codigo],0)),"")</f>
        <v/>
      </c>
      <c r="BK403" s="161" t="str">
        <f t="array" ref="BK40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03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03" s="153">
        <f>IFERROR(SUM(Tabla_Buffers_Agroinsumos[[#This Row],[SD-MP]:[SD-VL]]),"")</f>
        <v>0</v>
      </c>
      <c r="BN403" s="154"/>
      <c r="BO403" s="154"/>
      <c r="BP403" s="135"/>
      <c r="BQ403" s="135"/>
      <c r="BR403" s="135"/>
      <c r="BS403" s="135"/>
      <c r="BT403" s="135"/>
      <c r="BU403" s="135"/>
      <c r="BV403" s="135"/>
      <c r="BW403" s="135"/>
      <c r="BX403" s="135"/>
      <c r="BY403" s="135" t="str">
        <f t="array" ref="BY403">IFERROR(INDEX(TABLACONSOLIDADA[Buff Act],MATCH("AGROINSUMOSMONCAYOLOPEZ"&amp;Tabla_Buffers_Agroinsumos[[#This Row],[CODIGO ]],TABLACONSOLIDADA[Bodega]&amp;TABLACONSOLIDADA[Codigo],0)),"")</f>
        <v/>
      </c>
      <c r="BZ403" s="111" t="str">
        <f t="array" ref="BZ403">IFERROR(INDEX(TABLACONSOLIDADA[Inv Fís Act],MATCH("AGROINSUMOSMONCAYOLOPEZ"&amp;Tabla_Buffers_Agroinsumos[[#This Row],[CODIGO ]],TABLACONSOLIDADA[Bodega]&amp;TABLACONSOLIDADA[Codigo],0)),"")</f>
        <v/>
      </c>
      <c r="CA403" s="161" t="str">
        <f t="array" ref="CA40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03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03" s="135">
        <f>IFERROR(SUM(Tabla_Buffers_Agroinsumos[[#This Row],[ML-MP]:[ML-VL]]),"")</f>
        <v>0</v>
      </c>
      <c r="CD403" s="154" t="str">
        <f>IFERROR(Tabla_Buffers_Agroinsumos[[#This Row],[INV FIS ML]]-Tabla_Buffers_Agroinsumos[[#This Row],[BUFFER ML]],"")</f>
        <v/>
      </c>
      <c r="CE403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03" s="135"/>
      <c r="CG403" s="135"/>
      <c r="CH403" s="135"/>
      <c r="CI403" s="135"/>
      <c r="CJ403" s="135"/>
      <c r="CK403" s="135"/>
      <c r="CL403" s="135"/>
      <c r="CM403" s="135"/>
      <c r="CN403" s="135"/>
      <c r="CO403" s="135" t="str">
        <f t="array" ref="CO403">IFERROR(INDEX(TABLACONSOLIDADA[Buff Act],MATCH("AGROINSUMOSAGROHERMANOSLEON"&amp;Tabla_Buffers_Agroinsumos[[#This Row],[CODIGO ]],TABLACONSOLIDADA[Bodega]&amp;TABLACONSOLIDADA[Codigo],0)),"")</f>
        <v/>
      </c>
      <c r="CP403" s="111" t="str">
        <f t="array" ref="CP403">IFERROR(INDEX(TABLACONSOLIDADA[Inv Fís Act],MATCH("AGROINSUMOSAGROHERMANOSLEON"&amp;Tabla_Buffers_Agroinsumos[[#This Row],[CODIGO ]],TABLACONSOLIDADA[Bodega]&amp;TABLACONSOLIDADA[Codigo],0)),"")</f>
        <v/>
      </c>
      <c r="CQ403" s="161" t="str">
        <f t="array" ref="CQ40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03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03" s="135">
        <f>IFERROR(SUM(Tabla_Buffers_Agroinsumos[[#This Row],[AL-MP]:[AL-VL]]),"")</f>
        <v>0</v>
      </c>
      <c r="CT403" s="154" t="str">
        <f>IFERROR(Tabla_Buffers_Agroinsumos[[#This Row],[INV FIS AL]]-Tabla_Buffers_Agroinsumos[[#This Row],[BUFFER AL]],"")</f>
        <v/>
      </c>
      <c r="CU403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03" s="135"/>
      <c r="CW403" s="135"/>
      <c r="CX403" s="135"/>
      <c r="CY403" s="135"/>
      <c r="CZ403" s="135"/>
      <c r="DA403" s="135"/>
      <c r="DB403" s="135"/>
      <c r="DC403" s="135"/>
      <c r="DD403" s="135"/>
      <c r="DE403" s="135" t="str">
        <f t="array" ref="DE403">IFERROR(INDEX(TABLACONSOLIDADA[Buff Act],MATCH("AGROINSUMOSAGRONUEVO"&amp;Tabla_Buffers_Agroinsumos[[#This Row],[CODIGO ]],TABLACONSOLIDADA[Bodega]&amp;TABLACONSOLIDADA[Codigo],0)),"")</f>
        <v/>
      </c>
      <c r="DF403" s="111" t="str">
        <f t="array" ref="DF403">IFERROR(INDEX(TABLACONSOLIDADA[Inv Fís Act],MATCH("AGROINSUMOSAGRONUEVO"&amp;Tabla_Buffers_Agroinsumos[[#This Row],[CODIGO ]],TABLACONSOLIDADA[Bodega]&amp;TABLACONSOLIDADA[Codigo],0)),"")</f>
        <v/>
      </c>
      <c r="DG403" s="161" t="str">
        <f t="array" ref="DG40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03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03" s="135">
        <f>IFERROR(SUM(Tabla_Buffers_Agroinsumos[[#This Row],[AN-MP]:[AN-VL]]),"")</f>
        <v>0</v>
      </c>
      <c r="DJ403" s="154" t="str">
        <f>IFERROR(Tabla_Buffers_Agroinsumos[[#This Row],[INV FIS AN]]-Tabla_Buffers_Agroinsumos[[#This Row],[BUFFER AN]],"")</f>
        <v/>
      </c>
      <c r="DK403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03" s="135"/>
      <c r="DM403" s="135"/>
      <c r="DN403" s="135"/>
      <c r="DO403" s="135"/>
      <c r="DP403" s="135"/>
      <c r="DQ403" s="135"/>
      <c r="DR403" s="135"/>
      <c r="DS403" s="135"/>
      <c r="DT403" s="135"/>
      <c r="DU403" s="135" t="str">
        <f t="array" ref="DU403">IFERROR(INDEX(TABLACONSOLIDADA[Buff Act],MATCH("AGROINSUMOSAGROQUIMICOSSUR"&amp;Tabla_Buffers_Agroinsumos[[#This Row],[CODIGO ]],TABLACONSOLIDADA[Bodega]&amp;TABLACONSOLIDADA[Codigo],0)),"")</f>
        <v/>
      </c>
      <c r="DV403" s="111" t="str">
        <f t="array" ref="DV403">IFERROR(INDEX(TABLACONSOLIDADA[Inv Fís Act],MATCH("AGROINSUMOSAGROQUIMICOSSUR"&amp;Tabla_Buffers_Agroinsumos[[#This Row],[CODIGO ]],TABLACONSOLIDADA[Bodega]&amp;TABLACONSOLIDADA[Codigo],0)),"")</f>
        <v/>
      </c>
      <c r="DW403" s="161" t="str">
        <f t="array" ref="DW40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03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03" s="135">
        <f>IFERROR(SUM(Tabla_Buffers_Agroinsumos[[#This Row],[AS-MP]:[AS-VL]]),"")</f>
        <v>0</v>
      </c>
      <c r="DZ403" s="154" t="str">
        <f>IFERROR(Tabla_Buffers_Agroinsumos[[#This Row],[INV FIS AS]]-Tabla_Buffers_Agroinsumos[[#This Row],[BUFFER AS]],"")</f>
        <v/>
      </c>
      <c r="EA403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03" s="135"/>
      <c r="EC403" s="135"/>
      <c r="ED403" s="135"/>
      <c r="EE403" s="135"/>
      <c r="EF403" s="135"/>
      <c r="EG403" s="135"/>
      <c r="EH403" s="135"/>
      <c r="EI403" s="135"/>
      <c r="EJ403" s="135"/>
      <c r="EK403" s="135" t="str">
        <f t="array" ref="EK403">IFERROR(INDEX(TABLACONSOLIDADA[Buff Act],MATCH("AGROINSUMOSLAFINCA"&amp;Tabla_Buffers_Agroinsumos[[#This Row],[CODIGO ]],TABLACONSOLIDADA[Bodega]&amp;TABLACONSOLIDADA[Codigo],0)),"")</f>
        <v/>
      </c>
      <c r="EL403" s="111" t="str">
        <f t="array" ref="EL403">IFERROR(INDEX(TABLACONSOLIDADA[Inv Fís Act],MATCH("AGROINSUMOSLAFINCA"&amp;Tabla_Buffers_Agroinsumos[[#This Row],[CODIGO ]],TABLACONSOLIDADA[Bodega]&amp;TABLACONSOLIDADA[Codigo],0)),"")</f>
        <v/>
      </c>
      <c r="EM403" s="161" t="str">
        <f t="array" ref="EM40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03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03" s="135">
        <f>IFERROR(SUM(Tabla_Buffers_Agroinsumos[[#This Row],[LF-MP]:[LF-VL]]),"")</f>
        <v>0</v>
      </c>
      <c r="EP403" s="154" t="str">
        <f>IFERROR(Tabla_Buffers_Agroinsumos[[#This Row],[INV FIS LF]]-Tabla_Buffers_Agroinsumos[[#This Row],[BUFFER LF]],"")</f>
        <v/>
      </c>
      <c r="EQ403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03" s="135"/>
      <c r="ES403" s="135"/>
      <c r="ET403" s="135"/>
      <c r="EU403" s="135"/>
      <c r="EV403" s="135"/>
      <c r="EW403" s="135"/>
      <c r="EX403" s="135"/>
      <c r="EY403" s="135"/>
      <c r="EZ403" s="135"/>
      <c r="FA403" s="135" t="str">
        <f t="array" ref="FA403">IFERROR(INDEX(TABLACONSOLIDADA[Buff Act],MATCH("AGROINSUMOSVERONICALEDESMA"&amp;Tabla_Buffers_Agroinsumos[[#This Row],[CODIGO ]],TABLACONSOLIDADA[Bodega]&amp;TABLACONSOLIDADA[Codigo],0)),"")</f>
        <v/>
      </c>
      <c r="FB403" s="111" t="str">
        <f t="array" ref="FB403">IFERROR(INDEX(TABLACONSOLIDADA[Inv Fís Act],MATCH("AGROINSUMOSVERONICALEDESMA"&amp;Tabla_Buffers_Agroinsumos[[#This Row],[CODIGO ]],TABLACONSOLIDADA[Bodega]&amp;TABLACONSOLIDADA[Codigo],0)),"")</f>
        <v/>
      </c>
      <c r="FC403" s="161" t="str">
        <f t="array" ref="FC40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03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03" s="135">
        <f>IFERROR(SUM(Tabla_Buffers_Agroinsumos[[#This Row],[VL-MP]:[VL-LF]]),"")</f>
        <v>0</v>
      </c>
      <c r="FF403" s="154" t="str">
        <f>IFERROR(Tabla_Buffers_Agroinsumos[[#This Row],[INV FIS VL]]-Tabla_Buffers_Agroinsumos[[#This Row],[BUFFER VL]],"")</f>
        <v/>
      </c>
      <c r="FG403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03" s="135"/>
      <c r="FI403" s="135"/>
      <c r="FJ403" s="135"/>
      <c r="FK403" s="135"/>
      <c r="FL403" s="135"/>
      <c r="FM403" s="135"/>
      <c r="FN403" s="135"/>
      <c r="FO403" s="135"/>
      <c r="FP403" s="135"/>
    </row>
    <row r="404" spans="1:172">
      <c r="A404" s="20" t="s">
        <v>1286</v>
      </c>
      <c r="B404" s="20" t="s">
        <v>1287</v>
      </c>
      <c r="C404" s="20" t="s">
        <v>1288</v>
      </c>
      <c r="D404" s="20" t="s">
        <v>1288</v>
      </c>
      <c r="E404" s="20" t="s">
        <v>863</v>
      </c>
      <c r="F404" s="111"/>
      <c r="G404" s="111" t="s">
        <v>802</v>
      </c>
      <c r="H404" s="111" t="e">
        <f>VLOOKUP(Tabla_Buffers_Agroinsumos[[#This Row],[CODIGO ]],TABLACONSOLIDADA[[Codigo]:[PV]],6,0)</f>
        <v>#N/A</v>
      </c>
      <c r="I404" s="111" t="e">
        <f>VLOOKUP(Tabla_Buffers_Agroinsumos[[#This Row],[CODIGO ]],TABLACONSOLIDADA[[Codigo]:[PV]],5,0)</f>
        <v>#N/A</v>
      </c>
      <c r="J404" s="111"/>
      <c r="K404" s="111"/>
      <c r="L404" s="111">
        <f>IFERROR(Tabla_Buffers_Agroinsumos[[#This Row],[BUFFER CENTRAL]]/((Tabla_Buffers_Agroinsumos[[#This Row],[TIEMPO REPOSICION ]]/Tabla_Buffers_Agroinsumos[[#This Row],[FRECUENCIA]])+1),0)</f>
        <v>0</v>
      </c>
      <c r="M404" s="111" t="str">
        <f t="array" ref="M404">IFERROR(INDEX(TABLACONSOLIDADA[Buff Act],MATCH("AGROINSUMOSMATERIAPRIMA"&amp;Tabla_Buffers_Agroinsumos[[#This Row],[CODIGO ]],TABLACONSOLIDADA[Bodega]&amp;TABLACONSOLIDADA[Codigo],0)),"")</f>
        <v/>
      </c>
      <c r="N404" s="111" t="str">
        <f t="array" ref="N404">IFERROR(INDEX(TABLACONSOLIDADA[Inv Fís Act],MATCH("AGROINSUMOSMATERIAPRIMA"&amp;Tabla_Buffers_Agroinsumos[[#This Row],[CODIGO ]],TABLACONSOLIDADA[Bodega]&amp;TABLACONSOLIDADA[Codigo],0)),"")</f>
        <v/>
      </c>
      <c r="O404" s="185" t="str">
        <f t="array" ref="O40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04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04" s="111">
        <f>IFERROR(SUM(Tabla_Buffers_Agroinsumos[[#This Row],[MP-C]:[MP-VL]]),"")</f>
        <v>0</v>
      </c>
      <c r="R404" s="154" t="str">
        <f>IFERROR(Tabla_Buffers_Agroinsumos[[#This Row],[INV FIS MATERIA PRIMA]]-Tabla_Buffers_Agroinsumos[[#This Row],[BUFFER MATERIA PRIMA]],"")</f>
        <v/>
      </c>
      <c r="S404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04" s="111"/>
      <c r="U404" s="111"/>
      <c r="V404" s="111"/>
      <c r="W404" s="111"/>
      <c r="X404" s="111"/>
      <c r="Y404" s="111"/>
      <c r="Z404" s="111"/>
      <c r="AA404" s="111"/>
      <c r="AB404" s="111"/>
      <c r="AC404" s="135" t="str">
        <f t="array" ref="AC404">IFERROR(INDEX(TABLACONSOLIDADA[Buff Act],MATCH("AGROINSUMOSCENTRAL"&amp;Tabla_Buffers_Agroinsumos[[#This Row],[CODIGO ]],TABLACONSOLIDADA[Bodega]&amp;TABLACONSOLIDADA[Codigo],0)),"")</f>
        <v/>
      </c>
      <c r="AD404" s="111" t="str">
        <f t="array" ref="AD404">IFERROR(INDEX(TABLACONSOLIDADA[Inv Fís Act],MATCH("AGROINSUMOSCENTRAL"&amp;Tabla_Buffers_Agroinsumos[[#This Row],[CODIGO ]],TABLACONSOLIDADA[Bodega]&amp;TABLACONSOLIDADA[Codigo],0)),"")</f>
        <v/>
      </c>
      <c r="AE404" s="185" t="str">
        <f t="array" ref="AE40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04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04" s="153">
        <f>IFERROR(SUM(Tabla_Buffers_Agroinsumos[[#This Row],[C-MP]:[C-VL]]),"")</f>
        <v>0</v>
      </c>
      <c r="AH404" s="154" t="str">
        <f>IFERROR(Tabla_Buffers_Agroinsumos[[#This Row],[INV FIS CENTRAL]]-Tabla_Buffers_Agroinsumos[[#This Row],[BUFFER CENTRAL]],"")</f>
        <v/>
      </c>
      <c r="AI404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04" s="135"/>
      <c r="AK404" s="135"/>
      <c r="AL404" s="135"/>
      <c r="AM404" s="135"/>
      <c r="AN404" s="135"/>
      <c r="AO404" s="135"/>
      <c r="AP404" s="135"/>
      <c r="AQ404" s="135"/>
      <c r="AR404" s="135"/>
      <c r="AS404" s="135" t="str">
        <f t="array" ref="AS404">IFERROR(INDEX(TABLACONSOLIDADA[Buff Act],MATCH("AGROINSUMOScentralPROPIA"&amp;Tabla_Buffers_Agroinsumos[[#This Row],[CODIGO ]],TABLACONSOLIDADA[Bodega]&amp;TABLACONSOLIDADA[Codigo],0)),"")</f>
        <v/>
      </c>
      <c r="AT404" s="111" t="str">
        <f t="array" ref="AT404">IFERROR(INDEX(TABLACONSOLIDADA[Inv Fís Act],MATCH("AGROINSUMOScentralPROPIA"&amp;Tabla_Buffers_Agroinsumos[[#This Row],[CODIGO ]],TABLACONSOLIDADA[Bodega]&amp;TABLACONSOLIDADA[Codigo],0)),"")</f>
        <v/>
      </c>
      <c r="AU404" s="185" t="str">
        <f t="array" ref="AU40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04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04" s="135">
        <f>IFERROR(SUM(Tabla_Buffers_Agroinsumos[[#This Row],[P-MP]:[P-VL]]),"")</f>
        <v>0</v>
      </c>
      <c r="AX404" s="154" t="str">
        <f>IFERROR(Tabla_Buffers_Agroinsumos[[#This Row],[INV FIS PROPIA]]-Tabla_Buffers_Agroinsumos[[#This Row],[BUFFER PROPIA]],"")</f>
        <v/>
      </c>
      <c r="AY404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04" s="135"/>
      <c r="BA404" s="135"/>
      <c r="BB404" s="135"/>
      <c r="BC404" s="135"/>
      <c r="BD404" s="135"/>
      <c r="BE404" s="135"/>
      <c r="BF404" s="135"/>
      <c r="BG404" s="135"/>
      <c r="BH404" s="135"/>
      <c r="BI404" s="153" t="str">
        <f t="array" ref="BI404">IFERROR(INDEX(TABLACONSOLIDADA[Buff Act],MATCH("AGROINSUMOSSTODOMINGO"&amp;Tabla_Buffers_Agroinsumos[[#This Row],[CODIGO ]],TABLACONSOLIDADA[Bodega]&amp;TABLACONSOLIDADA[Codigo],0)),"")</f>
        <v/>
      </c>
      <c r="BJ404" s="111" t="str">
        <f t="array" ref="BJ404">IFERROR(INDEX(TABLACONSOLIDADA[Inv Fís Act],MATCH("AGROINSUMOSSTODOMINGO"&amp;Tabla_Buffers_Agroinsumos[[#This Row],[CODIGO ]],TABLACONSOLIDADA[Bodega]&amp;TABLACONSOLIDADA[Codigo],0)),"")</f>
        <v/>
      </c>
      <c r="BK404" s="185" t="str">
        <f t="array" ref="BK40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04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04" s="153">
        <f>IFERROR(SUM(Tabla_Buffers_Agroinsumos[[#This Row],[SD-MP]:[SD-VL]]),"")</f>
        <v>0</v>
      </c>
      <c r="BN404" s="154"/>
      <c r="BO404" s="154"/>
      <c r="BP404" s="135"/>
      <c r="BQ404" s="135"/>
      <c r="BR404" s="135"/>
      <c r="BS404" s="135"/>
      <c r="BT404" s="135"/>
      <c r="BU404" s="135"/>
      <c r="BV404" s="135"/>
      <c r="BW404" s="135"/>
      <c r="BX404" s="135"/>
      <c r="BY404" s="135" t="str">
        <f t="array" ref="BY404">IFERROR(INDEX(TABLACONSOLIDADA[Buff Act],MATCH("AGROINSUMOSMONCAYOLOPEZ"&amp;Tabla_Buffers_Agroinsumos[[#This Row],[CODIGO ]],TABLACONSOLIDADA[Bodega]&amp;TABLACONSOLIDADA[Codigo],0)),"")</f>
        <v/>
      </c>
      <c r="BZ404" s="111" t="str">
        <f t="array" ref="BZ404">IFERROR(INDEX(TABLACONSOLIDADA[Inv Fís Act],MATCH("AGROINSUMOSMONCAYOLOPEZ"&amp;Tabla_Buffers_Agroinsumos[[#This Row],[CODIGO ]],TABLACONSOLIDADA[Bodega]&amp;TABLACONSOLIDADA[Codigo],0)),"")</f>
        <v/>
      </c>
      <c r="CA404" s="185" t="str">
        <f t="array" ref="CA40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04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04" s="135">
        <f>IFERROR(SUM(Tabla_Buffers_Agroinsumos[[#This Row],[ML-MP]:[ML-VL]]),"")</f>
        <v>0</v>
      </c>
      <c r="CD404" s="154" t="str">
        <f>IFERROR(Tabla_Buffers_Agroinsumos[[#This Row],[INV FIS ML]]-Tabla_Buffers_Agroinsumos[[#This Row],[BUFFER ML]],"")</f>
        <v/>
      </c>
      <c r="CE404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04" s="135"/>
      <c r="CG404" s="135"/>
      <c r="CH404" s="135"/>
      <c r="CI404" s="135"/>
      <c r="CJ404" s="135"/>
      <c r="CK404" s="135"/>
      <c r="CL404" s="135"/>
      <c r="CM404" s="135"/>
      <c r="CN404" s="135"/>
      <c r="CO404" s="135" t="str">
        <f t="array" ref="CO404">IFERROR(INDEX(TABLACONSOLIDADA[Buff Act],MATCH("AGROINSUMOSAGROHERMANOSLEON"&amp;Tabla_Buffers_Agroinsumos[[#This Row],[CODIGO ]],TABLACONSOLIDADA[Bodega]&amp;TABLACONSOLIDADA[Codigo],0)),"")</f>
        <v/>
      </c>
      <c r="CP404" s="111" t="str">
        <f t="array" ref="CP404">IFERROR(INDEX(TABLACONSOLIDADA[Inv Fís Act],MATCH("AGROINSUMOSAGROHERMANOSLEON"&amp;Tabla_Buffers_Agroinsumos[[#This Row],[CODIGO ]],TABLACONSOLIDADA[Bodega]&amp;TABLACONSOLIDADA[Codigo],0)),"")</f>
        <v/>
      </c>
      <c r="CQ404" s="185" t="str">
        <f t="array" ref="CQ40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04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04" s="135">
        <f>IFERROR(SUM(Tabla_Buffers_Agroinsumos[[#This Row],[AL-MP]:[AL-VL]]),"")</f>
        <v>0</v>
      </c>
      <c r="CT404" s="154" t="str">
        <f>IFERROR(Tabla_Buffers_Agroinsumos[[#This Row],[INV FIS AL]]-Tabla_Buffers_Agroinsumos[[#This Row],[BUFFER AL]],"")</f>
        <v/>
      </c>
      <c r="CU404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04" s="135"/>
      <c r="CW404" s="135"/>
      <c r="CX404" s="135"/>
      <c r="CY404" s="135"/>
      <c r="CZ404" s="135"/>
      <c r="DA404" s="135"/>
      <c r="DB404" s="135"/>
      <c r="DC404" s="135"/>
      <c r="DD404" s="135"/>
      <c r="DE404" s="135" t="str">
        <f t="array" ref="DE404">IFERROR(INDEX(TABLACONSOLIDADA[Buff Act],MATCH("AGROINSUMOSAGRONUEVO"&amp;Tabla_Buffers_Agroinsumos[[#This Row],[CODIGO ]],TABLACONSOLIDADA[Bodega]&amp;TABLACONSOLIDADA[Codigo],0)),"")</f>
        <v/>
      </c>
      <c r="DF404" s="111" t="str">
        <f t="array" ref="DF404">IFERROR(INDEX(TABLACONSOLIDADA[Inv Fís Act],MATCH("AGROINSUMOSAGRONUEVO"&amp;Tabla_Buffers_Agroinsumos[[#This Row],[CODIGO ]],TABLACONSOLIDADA[Bodega]&amp;TABLACONSOLIDADA[Codigo],0)),"")</f>
        <v/>
      </c>
      <c r="DG404" s="185" t="str">
        <f t="array" ref="DG40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04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04" s="135">
        <f>IFERROR(SUM(Tabla_Buffers_Agroinsumos[[#This Row],[AN-MP]:[AN-VL]]),"")</f>
        <v>0</v>
      </c>
      <c r="DJ404" s="154" t="str">
        <f>IFERROR(Tabla_Buffers_Agroinsumos[[#This Row],[INV FIS AN]]-Tabla_Buffers_Agroinsumos[[#This Row],[BUFFER AN]],"")</f>
        <v/>
      </c>
      <c r="DK404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04" s="135"/>
      <c r="DM404" s="135"/>
      <c r="DN404" s="135"/>
      <c r="DO404" s="135"/>
      <c r="DP404" s="135"/>
      <c r="DQ404" s="135"/>
      <c r="DR404" s="135"/>
      <c r="DS404" s="135"/>
      <c r="DT404" s="135"/>
      <c r="DU404" s="135" t="str">
        <f t="array" ref="DU404">IFERROR(INDEX(TABLACONSOLIDADA[Buff Act],MATCH("AGROINSUMOSAGROQUIMICOSSUR"&amp;Tabla_Buffers_Agroinsumos[[#This Row],[CODIGO ]],TABLACONSOLIDADA[Bodega]&amp;TABLACONSOLIDADA[Codigo],0)),"")</f>
        <v/>
      </c>
      <c r="DV404" s="111" t="str">
        <f t="array" ref="DV404">IFERROR(INDEX(TABLACONSOLIDADA[Inv Fís Act],MATCH("AGROINSUMOSAGROQUIMICOSSUR"&amp;Tabla_Buffers_Agroinsumos[[#This Row],[CODIGO ]],TABLACONSOLIDADA[Bodega]&amp;TABLACONSOLIDADA[Codigo],0)),"")</f>
        <v/>
      </c>
      <c r="DW404" s="185" t="str">
        <f t="array" ref="DW40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04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04" s="135">
        <f>IFERROR(SUM(Tabla_Buffers_Agroinsumos[[#This Row],[AS-MP]:[AS-VL]]),"")</f>
        <v>0</v>
      </c>
      <c r="DZ404" s="154" t="str">
        <f>IFERROR(Tabla_Buffers_Agroinsumos[[#This Row],[INV FIS AS]]-Tabla_Buffers_Agroinsumos[[#This Row],[BUFFER AS]],"")</f>
        <v/>
      </c>
      <c r="EA404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04" s="135"/>
      <c r="EC404" s="135"/>
      <c r="ED404" s="135"/>
      <c r="EE404" s="135"/>
      <c r="EF404" s="135"/>
      <c r="EG404" s="135"/>
      <c r="EH404" s="135"/>
      <c r="EI404" s="135"/>
      <c r="EJ404" s="135"/>
      <c r="EK404" s="135" t="str">
        <f t="array" ref="EK404">IFERROR(INDEX(TABLACONSOLIDADA[Buff Act],MATCH("AGROINSUMOSLAFINCA"&amp;Tabla_Buffers_Agroinsumos[[#This Row],[CODIGO ]],TABLACONSOLIDADA[Bodega]&amp;TABLACONSOLIDADA[Codigo],0)),"")</f>
        <v/>
      </c>
      <c r="EL404" s="111" t="str">
        <f t="array" ref="EL404">IFERROR(INDEX(TABLACONSOLIDADA[Inv Fís Act],MATCH("AGROINSUMOSLAFINCA"&amp;Tabla_Buffers_Agroinsumos[[#This Row],[CODIGO ]],TABLACONSOLIDADA[Bodega]&amp;TABLACONSOLIDADA[Codigo],0)),"")</f>
        <v/>
      </c>
      <c r="EM404" s="185" t="str">
        <f t="array" ref="EM40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04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04" s="135">
        <f>IFERROR(SUM(Tabla_Buffers_Agroinsumos[[#This Row],[LF-MP]:[LF-VL]]),"")</f>
        <v>0</v>
      </c>
      <c r="EP404" s="154" t="str">
        <f>IFERROR(Tabla_Buffers_Agroinsumos[[#This Row],[INV FIS LF]]-Tabla_Buffers_Agroinsumos[[#This Row],[BUFFER LF]],"")</f>
        <v/>
      </c>
      <c r="EQ404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04" s="135"/>
      <c r="ES404" s="135"/>
      <c r="ET404" s="135"/>
      <c r="EU404" s="135"/>
      <c r="EV404" s="135"/>
      <c r="EW404" s="135"/>
      <c r="EX404" s="135"/>
      <c r="EY404" s="135"/>
      <c r="EZ404" s="135"/>
      <c r="FA404" s="135" t="str">
        <f t="array" ref="FA404">IFERROR(INDEX(TABLACONSOLIDADA[Buff Act],MATCH("AGROINSUMOSVERONICALEDESMA"&amp;Tabla_Buffers_Agroinsumos[[#This Row],[CODIGO ]],TABLACONSOLIDADA[Bodega]&amp;TABLACONSOLIDADA[Codigo],0)),"")</f>
        <v/>
      </c>
      <c r="FB404" s="111" t="str">
        <f t="array" ref="FB404">IFERROR(INDEX(TABLACONSOLIDADA[Inv Fís Act],MATCH("AGROINSUMOSVERONICALEDESMA"&amp;Tabla_Buffers_Agroinsumos[[#This Row],[CODIGO ]],TABLACONSOLIDADA[Bodega]&amp;TABLACONSOLIDADA[Codigo],0)),"")</f>
        <v/>
      </c>
      <c r="FC404" s="185" t="str">
        <f t="array" ref="FC40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04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04" s="135">
        <f>IFERROR(SUM(Tabla_Buffers_Agroinsumos[[#This Row],[VL-MP]:[VL-LF]]),"")</f>
        <v>0</v>
      </c>
      <c r="FF404" s="154" t="str">
        <f>IFERROR(Tabla_Buffers_Agroinsumos[[#This Row],[INV FIS VL]]-Tabla_Buffers_Agroinsumos[[#This Row],[BUFFER VL]],"")</f>
        <v/>
      </c>
      <c r="FG404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04" s="135"/>
      <c r="FI404" s="135"/>
      <c r="FJ404" s="135"/>
      <c r="FK404" s="135"/>
      <c r="FL404" s="135"/>
      <c r="FM404" s="135"/>
      <c r="FN404" s="135"/>
      <c r="FO404" s="135"/>
      <c r="FP404" s="135"/>
    </row>
    <row r="405" spans="1:172">
      <c r="A405" s="20" t="s">
        <v>1289</v>
      </c>
      <c r="B405" s="20" t="s">
        <v>1291</v>
      </c>
      <c r="C405" s="20" t="s">
        <v>726</v>
      </c>
      <c r="D405" s="20" t="s">
        <v>1292</v>
      </c>
      <c r="E405" s="20" t="s">
        <v>863</v>
      </c>
      <c r="F405" s="111"/>
      <c r="G405" s="111" t="s">
        <v>802</v>
      </c>
      <c r="H405" s="111" t="e">
        <f>VLOOKUP(Tabla_Buffers_Agroinsumos[[#This Row],[CODIGO ]],TABLACONSOLIDADA[[Codigo]:[PV]],6,0)</f>
        <v>#N/A</v>
      </c>
      <c r="I405" s="111" t="e">
        <f>VLOOKUP(Tabla_Buffers_Agroinsumos[[#This Row],[CODIGO ]],TABLACONSOLIDADA[[Codigo]:[PV]],5,0)</f>
        <v>#N/A</v>
      </c>
      <c r="J405" s="111"/>
      <c r="K405" s="111"/>
      <c r="L405" s="111">
        <f>IFERROR(Tabla_Buffers_Agroinsumos[[#This Row],[BUFFER CENTRAL]]/((Tabla_Buffers_Agroinsumos[[#This Row],[TIEMPO REPOSICION ]]/Tabla_Buffers_Agroinsumos[[#This Row],[FRECUENCIA]])+1),0)</f>
        <v>0</v>
      </c>
      <c r="M405" s="111" t="str">
        <f t="array" ref="M405">IFERROR(INDEX(TABLACONSOLIDADA[Buff Act],MATCH("AGROINSUMOSMATERIAPRIMA"&amp;Tabla_Buffers_Agroinsumos[[#This Row],[CODIGO ]],TABLACONSOLIDADA[Bodega]&amp;TABLACONSOLIDADA[Codigo],0)),"")</f>
        <v/>
      </c>
      <c r="N405" s="111" t="str">
        <f t="array" ref="N405">IFERROR(INDEX(TABLACONSOLIDADA[Inv Fís Act],MATCH("AGROINSUMOSMATERIAPRIMA"&amp;Tabla_Buffers_Agroinsumos[[#This Row],[CODIGO ]],TABLACONSOLIDADA[Bodega]&amp;TABLACONSOLIDADA[Codigo],0)),"")</f>
        <v/>
      </c>
      <c r="O405" s="161" t="str">
        <f t="array" ref="O40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05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05" s="111">
        <f>IFERROR(SUM(Tabla_Buffers_Agroinsumos[[#This Row],[MP-C]:[MP-VL]]),"")</f>
        <v>0</v>
      </c>
      <c r="R405" s="154" t="str">
        <f>IFERROR(Tabla_Buffers_Agroinsumos[[#This Row],[INV FIS MATERIA PRIMA]]-Tabla_Buffers_Agroinsumos[[#This Row],[BUFFER MATERIA PRIMA]],"")</f>
        <v/>
      </c>
      <c r="S405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05" s="111"/>
      <c r="U405" s="111"/>
      <c r="V405" s="111"/>
      <c r="W405" s="111"/>
      <c r="X405" s="111"/>
      <c r="Y405" s="111"/>
      <c r="Z405" s="111"/>
      <c r="AA405" s="111"/>
      <c r="AB405" s="111"/>
      <c r="AC405" s="135" t="str">
        <f t="array" ref="AC405">IFERROR(INDEX(TABLACONSOLIDADA[Buff Act],MATCH("AGROINSUMOSCENTRAL"&amp;Tabla_Buffers_Agroinsumos[[#This Row],[CODIGO ]],TABLACONSOLIDADA[Bodega]&amp;TABLACONSOLIDADA[Codigo],0)),"")</f>
        <v/>
      </c>
      <c r="AD405" s="111" t="str">
        <f t="array" ref="AD405">IFERROR(INDEX(TABLACONSOLIDADA[Inv Fís Act],MATCH("AGROINSUMOSCENTRAL"&amp;Tabla_Buffers_Agroinsumos[[#This Row],[CODIGO ]],TABLACONSOLIDADA[Bodega]&amp;TABLACONSOLIDADA[Codigo],0)),"")</f>
        <v/>
      </c>
      <c r="AE405" s="161" t="str">
        <f t="array" ref="AE40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05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05" s="153">
        <f>IFERROR(SUM(Tabla_Buffers_Agroinsumos[[#This Row],[C-MP]:[C-VL]]),"")</f>
        <v>0</v>
      </c>
      <c r="AH405" s="154" t="str">
        <f>IFERROR(Tabla_Buffers_Agroinsumos[[#This Row],[INV FIS CENTRAL]]-Tabla_Buffers_Agroinsumos[[#This Row],[BUFFER CENTRAL]],"")</f>
        <v/>
      </c>
      <c r="AI405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05" s="135"/>
      <c r="AK405" s="135"/>
      <c r="AL405" s="135"/>
      <c r="AM405" s="135"/>
      <c r="AN405" s="135"/>
      <c r="AO405" s="135"/>
      <c r="AP405" s="135"/>
      <c r="AQ405" s="135"/>
      <c r="AR405" s="135"/>
      <c r="AS405" s="135" t="str">
        <f t="array" ref="AS405">IFERROR(INDEX(TABLACONSOLIDADA[Buff Act],MATCH("AGROINSUMOScentralPROPIA"&amp;Tabla_Buffers_Agroinsumos[[#This Row],[CODIGO ]],TABLACONSOLIDADA[Bodega]&amp;TABLACONSOLIDADA[Codigo],0)),"")</f>
        <v/>
      </c>
      <c r="AT405" s="111" t="str">
        <f t="array" ref="AT405">IFERROR(INDEX(TABLACONSOLIDADA[Inv Fís Act],MATCH("AGROINSUMOScentralPROPIA"&amp;Tabla_Buffers_Agroinsumos[[#This Row],[CODIGO ]],TABLACONSOLIDADA[Bodega]&amp;TABLACONSOLIDADA[Codigo],0)),"")</f>
        <v/>
      </c>
      <c r="AU405" s="161" t="str">
        <f t="array" ref="AU40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05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05" s="135">
        <f>IFERROR(SUM(Tabla_Buffers_Agroinsumos[[#This Row],[P-MP]:[P-VL]]),"")</f>
        <v>0</v>
      </c>
      <c r="AX405" s="154" t="str">
        <f>IFERROR(Tabla_Buffers_Agroinsumos[[#This Row],[INV FIS PROPIA]]-Tabla_Buffers_Agroinsumos[[#This Row],[BUFFER PROPIA]],"")</f>
        <v/>
      </c>
      <c r="AY405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05" s="135"/>
      <c r="BA405" s="135"/>
      <c r="BB405" s="135"/>
      <c r="BC405" s="135"/>
      <c r="BD405" s="135"/>
      <c r="BE405" s="135"/>
      <c r="BF405" s="135"/>
      <c r="BG405" s="135"/>
      <c r="BH405" s="135"/>
      <c r="BI405" s="153" t="str">
        <f t="array" ref="BI405">IFERROR(INDEX(TABLACONSOLIDADA[Buff Act],MATCH("AGROINSUMOSSTODOMINGO"&amp;Tabla_Buffers_Agroinsumos[[#This Row],[CODIGO ]],TABLACONSOLIDADA[Bodega]&amp;TABLACONSOLIDADA[Codigo],0)),"")</f>
        <v/>
      </c>
      <c r="BJ405" s="111" t="str">
        <f t="array" ref="BJ405">IFERROR(INDEX(TABLACONSOLIDADA[Inv Fís Act],MATCH("AGROINSUMOSSTODOMINGO"&amp;Tabla_Buffers_Agroinsumos[[#This Row],[CODIGO ]],TABLACONSOLIDADA[Bodega]&amp;TABLACONSOLIDADA[Codigo],0)),"")</f>
        <v/>
      </c>
      <c r="BK405" s="161" t="str">
        <f t="array" ref="BK40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05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05" s="153">
        <f>IFERROR(SUM(Tabla_Buffers_Agroinsumos[[#This Row],[SD-MP]:[SD-VL]]),"")</f>
        <v>0</v>
      </c>
      <c r="BN405" s="154"/>
      <c r="BO405" s="154"/>
      <c r="BP405" s="135"/>
      <c r="BQ405" s="135"/>
      <c r="BR405" s="135"/>
      <c r="BS405" s="135"/>
      <c r="BT405" s="135"/>
      <c r="BU405" s="135"/>
      <c r="BV405" s="135"/>
      <c r="BW405" s="135"/>
      <c r="BX405" s="135"/>
      <c r="BY405" s="135" t="str">
        <f t="array" ref="BY405">IFERROR(INDEX(TABLACONSOLIDADA[Buff Act],MATCH("AGROINSUMOSMONCAYOLOPEZ"&amp;Tabla_Buffers_Agroinsumos[[#This Row],[CODIGO ]],TABLACONSOLIDADA[Bodega]&amp;TABLACONSOLIDADA[Codigo],0)),"")</f>
        <v/>
      </c>
      <c r="BZ405" s="111" t="str">
        <f t="array" ref="BZ405">IFERROR(INDEX(TABLACONSOLIDADA[Inv Fís Act],MATCH("AGROINSUMOSMONCAYOLOPEZ"&amp;Tabla_Buffers_Agroinsumos[[#This Row],[CODIGO ]],TABLACONSOLIDADA[Bodega]&amp;TABLACONSOLIDADA[Codigo],0)),"")</f>
        <v/>
      </c>
      <c r="CA405" s="161" t="str">
        <f t="array" ref="CA40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05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05" s="135">
        <f>IFERROR(SUM(Tabla_Buffers_Agroinsumos[[#This Row],[ML-MP]:[ML-VL]]),"")</f>
        <v>0</v>
      </c>
      <c r="CD405" s="154" t="str">
        <f>IFERROR(Tabla_Buffers_Agroinsumos[[#This Row],[INV FIS ML]]-Tabla_Buffers_Agroinsumos[[#This Row],[BUFFER ML]],"")</f>
        <v/>
      </c>
      <c r="CE405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05" s="135"/>
      <c r="CG405" s="135"/>
      <c r="CH405" s="135"/>
      <c r="CI405" s="135"/>
      <c r="CJ405" s="135"/>
      <c r="CK405" s="135"/>
      <c r="CL405" s="135"/>
      <c r="CM405" s="135"/>
      <c r="CN405" s="135"/>
      <c r="CO405" s="135" t="str">
        <f t="array" ref="CO405">IFERROR(INDEX(TABLACONSOLIDADA[Buff Act],MATCH("AGROINSUMOSAGROHERMANOSLEON"&amp;Tabla_Buffers_Agroinsumos[[#This Row],[CODIGO ]],TABLACONSOLIDADA[Bodega]&amp;TABLACONSOLIDADA[Codigo],0)),"")</f>
        <v/>
      </c>
      <c r="CP405" s="111" t="str">
        <f t="array" ref="CP405">IFERROR(INDEX(TABLACONSOLIDADA[Inv Fís Act],MATCH("AGROINSUMOSAGROHERMANOSLEON"&amp;Tabla_Buffers_Agroinsumos[[#This Row],[CODIGO ]],TABLACONSOLIDADA[Bodega]&amp;TABLACONSOLIDADA[Codigo],0)),"")</f>
        <v/>
      </c>
      <c r="CQ405" s="161" t="str">
        <f t="array" ref="CQ40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05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05" s="135">
        <f>IFERROR(SUM(Tabla_Buffers_Agroinsumos[[#This Row],[AL-MP]:[AL-VL]]),"")</f>
        <v>0</v>
      </c>
      <c r="CT405" s="154" t="str">
        <f>IFERROR(Tabla_Buffers_Agroinsumos[[#This Row],[INV FIS AL]]-Tabla_Buffers_Agroinsumos[[#This Row],[BUFFER AL]],"")</f>
        <v/>
      </c>
      <c r="CU405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05" s="135"/>
      <c r="CW405" s="135"/>
      <c r="CX405" s="135"/>
      <c r="CY405" s="135"/>
      <c r="CZ405" s="135"/>
      <c r="DA405" s="135"/>
      <c r="DB405" s="135"/>
      <c r="DC405" s="135"/>
      <c r="DD405" s="135"/>
      <c r="DE405" s="135" t="str">
        <f t="array" ref="DE405">IFERROR(INDEX(TABLACONSOLIDADA[Buff Act],MATCH("AGROINSUMOSAGRONUEVO"&amp;Tabla_Buffers_Agroinsumos[[#This Row],[CODIGO ]],TABLACONSOLIDADA[Bodega]&amp;TABLACONSOLIDADA[Codigo],0)),"")</f>
        <v/>
      </c>
      <c r="DF405" s="111" t="str">
        <f t="array" ref="DF405">IFERROR(INDEX(TABLACONSOLIDADA[Inv Fís Act],MATCH("AGROINSUMOSAGRONUEVO"&amp;Tabla_Buffers_Agroinsumos[[#This Row],[CODIGO ]],TABLACONSOLIDADA[Bodega]&amp;TABLACONSOLIDADA[Codigo],0)),"")</f>
        <v/>
      </c>
      <c r="DG405" s="161" t="str">
        <f t="array" ref="DG40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05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05" s="135">
        <f>IFERROR(SUM(Tabla_Buffers_Agroinsumos[[#This Row],[AN-MP]:[AN-VL]]),"")</f>
        <v>0</v>
      </c>
      <c r="DJ405" s="154" t="str">
        <f>IFERROR(Tabla_Buffers_Agroinsumos[[#This Row],[INV FIS AN]]-Tabla_Buffers_Agroinsumos[[#This Row],[BUFFER AN]],"")</f>
        <v/>
      </c>
      <c r="DK405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05" s="135"/>
      <c r="DM405" s="135"/>
      <c r="DN405" s="135"/>
      <c r="DO405" s="135"/>
      <c r="DP405" s="135"/>
      <c r="DQ405" s="135"/>
      <c r="DR405" s="135"/>
      <c r="DS405" s="135"/>
      <c r="DT405" s="135"/>
      <c r="DU405" s="135" t="str">
        <f t="array" ref="DU405">IFERROR(INDEX(TABLACONSOLIDADA[Buff Act],MATCH("AGROINSUMOSAGROQUIMICOSSUR"&amp;Tabla_Buffers_Agroinsumos[[#This Row],[CODIGO ]],TABLACONSOLIDADA[Bodega]&amp;TABLACONSOLIDADA[Codigo],0)),"")</f>
        <v/>
      </c>
      <c r="DV405" s="111" t="str">
        <f t="array" ref="DV405">IFERROR(INDEX(TABLACONSOLIDADA[Inv Fís Act],MATCH("AGROINSUMOSAGROQUIMICOSSUR"&amp;Tabla_Buffers_Agroinsumos[[#This Row],[CODIGO ]],TABLACONSOLIDADA[Bodega]&amp;TABLACONSOLIDADA[Codigo],0)),"")</f>
        <v/>
      </c>
      <c r="DW405" s="161" t="str">
        <f t="array" ref="DW40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05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05" s="135">
        <f>IFERROR(SUM(Tabla_Buffers_Agroinsumos[[#This Row],[AS-MP]:[AS-VL]]),"")</f>
        <v>0</v>
      </c>
      <c r="DZ405" s="154" t="str">
        <f>IFERROR(Tabla_Buffers_Agroinsumos[[#This Row],[INV FIS AS]]-Tabla_Buffers_Agroinsumos[[#This Row],[BUFFER AS]],"")</f>
        <v/>
      </c>
      <c r="EA405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05" s="135"/>
      <c r="EC405" s="135"/>
      <c r="ED405" s="135"/>
      <c r="EE405" s="135"/>
      <c r="EF405" s="135"/>
      <c r="EG405" s="135"/>
      <c r="EH405" s="135"/>
      <c r="EI405" s="135"/>
      <c r="EJ405" s="135"/>
      <c r="EK405" s="135" t="str">
        <f t="array" ref="EK405">IFERROR(INDEX(TABLACONSOLIDADA[Buff Act],MATCH("AGROINSUMOSLAFINCA"&amp;Tabla_Buffers_Agroinsumos[[#This Row],[CODIGO ]],TABLACONSOLIDADA[Bodega]&amp;TABLACONSOLIDADA[Codigo],0)),"")</f>
        <v/>
      </c>
      <c r="EL405" s="111" t="str">
        <f t="array" ref="EL405">IFERROR(INDEX(TABLACONSOLIDADA[Inv Fís Act],MATCH("AGROINSUMOSLAFINCA"&amp;Tabla_Buffers_Agroinsumos[[#This Row],[CODIGO ]],TABLACONSOLIDADA[Bodega]&amp;TABLACONSOLIDADA[Codigo],0)),"")</f>
        <v/>
      </c>
      <c r="EM405" s="161" t="str">
        <f t="array" ref="EM40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05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05" s="135">
        <f>IFERROR(SUM(Tabla_Buffers_Agroinsumos[[#This Row],[LF-MP]:[LF-VL]]),"")</f>
        <v>0</v>
      </c>
      <c r="EP405" s="154" t="str">
        <f>IFERROR(Tabla_Buffers_Agroinsumos[[#This Row],[INV FIS LF]]-Tabla_Buffers_Agroinsumos[[#This Row],[BUFFER LF]],"")</f>
        <v/>
      </c>
      <c r="EQ405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05" s="135"/>
      <c r="ES405" s="135"/>
      <c r="ET405" s="135"/>
      <c r="EU405" s="135"/>
      <c r="EV405" s="135"/>
      <c r="EW405" s="135"/>
      <c r="EX405" s="135"/>
      <c r="EY405" s="135"/>
      <c r="EZ405" s="135"/>
      <c r="FA405" s="135" t="str">
        <f t="array" ref="FA405">IFERROR(INDEX(TABLACONSOLIDADA[Buff Act],MATCH("AGROINSUMOSVERONICALEDESMA"&amp;Tabla_Buffers_Agroinsumos[[#This Row],[CODIGO ]],TABLACONSOLIDADA[Bodega]&amp;TABLACONSOLIDADA[Codigo],0)),"")</f>
        <v/>
      </c>
      <c r="FB405" s="111" t="str">
        <f t="array" ref="FB405">IFERROR(INDEX(TABLACONSOLIDADA[Inv Fís Act],MATCH("AGROINSUMOSVERONICALEDESMA"&amp;Tabla_Buffers_Agroinsumos[[#This Row],[CODIGO ]],TABLACONSOLIDADA[Bodega]&amp;TABLACONSOLIDADA[Codigo],0)),"")</f>
        <v/>
      </c>
      <c r="FC405" s="161" t="str">
        <f t="array" ref="FC40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05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05" s="135">
        <f>IFERROR(SUM(Tabla_Buffers_Agroinsumos[[#This Row],[VL-MP]:[VL-LF]]),"")</f>
        <v>0</v>
      </c>
      <c r="FF405" s="154" t="str">
        <f>IFERROR(Tabla_Buffers_Agroinsumos[[#This Row],[INV FIS VL]]-Tabla_Buffers_Agroinsumos[[#This Row],[BUFFER VL]],"")</f>
        <v/>
      </c>
      <c r="FG405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05" s="135"/>
      <c r="FI405" s="135"/>
      <c r="FJ405" s="135"/>
      <c r="FK405" s="135"/>
      <c r="FL405" s="135"/>
      <c r="FM405" s="135"/>
      <c r="FN405" s="135"/>
      <c r="FO405" s="135"/>
      <c r="FP405" s="135"/>
    </row>
    <row r="406" spans="1:172">
      <c r="A406" s="20" t="s">
        <v>1290</v>
      </c>
      <c r="B406" s="20" t="s">
        <v>1293</v>
      </c>
      <c r="C406" s="20" t="s">
        <v>726</v>
      </c>
      <c r="D406" s="20" t="s">
        <v>1292</v>
      </c>
      <c r="E406" s="20" t="s">
        <v>863</v>
      </c>
      <c r="F406" s="111"/>
      <c r="G406" s="111" t="s">
        <v>802</v>
      </c>
      <c r="H406" s="111" t="e">
        <f>VLOOKUP(Tabla_Buffers_Agroinsumos[[#This Row],[CODIGO ]],TABLACONSOLIDADA[[Codigo]:[PV]],6,0)</f>
        <v>#N/A</v>
      </c>
      <c r="I406" s="111" t="e">
        <f>VLOOKUP(Tabla_Buffers_Agroinsumos[[#This Row],[CODIGO ]],TABLACONSOLIDADA[[Codigo]:[PV]],5,0)</f>
        <v>#N/A</v>
      </c>
      <c r="J406" s="111"/>
      <c r="K406" s="111"/>
      <c r="L406" s="111">
        <f>IFERROR(Tabla_Buffers_Agroinsumos[[#This Row],[BUFFER CENTRAL]]/((Tabla_Buffers_Agroinsumos[[#This Row],[TIEMPO REPOSICION ]]/Tabla_Buffers_Agroinsumos[[#This Row],[FRECUENCIA]])+1),0)</f>
        <v>0</v>
      </c>
      <c r="M406" s="111" t="str">
        <f t="array" ref="M406">IFERROR(INDEX(TABLACONSOLIDADA[Buff Act],MATCH("AGROINSUMOSMATERIAPRIMA"&amp;Tabla_Buffers_Agroinsumos[[#This Row],[CODIGO ]],TABLACONSOLIDADA[Bodega]&amp;TABLACONSOLIDADA[Codigo],0)),"")</f>
        <v/>
      </c>
      <c r="N406" s="111" t="str">
        <f t="array" ref="N406">IFERROR(INDEX(TABLACONSOLIDADA[Inv Fís Act],MATCH("AGROINSUMOSMATERIAPRIMA"&amp;Tabla_Buffers_Agroinsumos[[#This Row],[CODIGO ]],TABLACONSOLIDADA[Bodega]&amp;TABLACONSOLIDADA[Codigo],0)),"")</f>
        <v/>
      </c>
      <c r="O406" s="161" t="str">
        <f t="array" ref="O40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06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06" s="111">
        <f>IFERROR(SUM(Tabla_Buffers_Agroinsumos[[#This Row],[MP-C]:[MP-VL]]),"")</f>
        <v>0</v>
      </c>
      <c r="R406" s="154" t="str">
        <f>IFERROR(Tabla_Buffers_Agroinsumos[[#This Row],[INV FIS MATERIA PRIMA]]-Tabla_Buffers_Agroinsumos[[#This Row],[BUFFER MATERIA PRIMA]],"")</f>
        <v/>
      </c>
      <c r="S406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06" s="111"/>
      <c r="U406" s="111"/>
      <c r="V406" s="111"/>
      <c r="W406" s="111"/>
      <c r="X406" s="111"/>
      <c r="Y406" s="111"/>
      <c r="Z406" s="111"/>
      <c r="AA406" s="111"/>
      <c r="AB406" s="111"/>
      <c r="AC406" s="135" t="str">
        <f t="array" ref="AC406">IFERROR(INDEX(TABLACONSOLIDADA[Buff Act],MATCH("AGROINSUMOSCENTRAL"&amp;Tabla_Buffers_Agroinsumos[[#This Row],[CODIGO ]],TABLACONSOLIDADA[Bodega]&amp;TABLACONSOLIDADA[Codigo],0)),"")</f>
        <v/>
      </c>
      <c r="AD406" s="111" t="str">
        <f t="array" ref="AD406">IFERROR(INDEX(TABLACONSOLIDADA[Inv Fís Act],MATCH("AGROINSUMOSCENTRAL"&amp;Tabla_Buffers_Agroinsumos[[#This Row],[CODIGO ]],TABLACONSOLIDADA[Bodega]&amp;TABLACONSOLIDADA[Codigo],0)),"")</f>
        <v/>
      </c>
      <c r="AE406" s="161" t="str">
        <f t="array" ref="AE40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06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06" s="153">
        <f>IFERROR(SUM(Tabla_Buffers_Agroinsumos[[#This Row],[C-MP]:[C-VL]]),"")</f>
        <v>0</v>
      </c>
      <c r="AH406" s="154" t="str">
        <f>IFERROR(Tabla_Buffers_Agroinsumos[[#This Row],[INV FIS CENTRAL]]-Tabla_Buffers_Agroinsumos[[#This Row],[BUFFER CENTRAL]],"")</f>
        <v/>
      </c>
      <c r="AI406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06" s="135"/>
      <c r="AK406" s="135"/>
      <c r="AL406" s="135"/>
      <c r="AM406" s="135"/>
      <c r="AN406" s="135"/>
      <c r="AO406" s="135"/>
      <c r="AP406" s="135"/>
      <c r="AQ406" s="135"/>
      <c r="AR406" s="135"/>
      <c r="AS406" s="135" t="str">
        <f t="array" ref="AS406">IFERROR(INDEX(TABLACONSOLIDADA[Buff Act],MATCH("AGROINSUMOScentralPROPIA"&amp;Tabla_Buffers_Agroinsumos[[#This Row],[CODIGO ]],TABLACONSOLIDADA[Bodega]&amp;TABLACONSOLIDADA[Codigo],0)),"")</f>
        <v/>
      </c>
      <c r="AT406" s="111" t="str">
        <f t="array" ref="AT406">IFERROR(INDEX(TABLACONSOLIDADA[Inv Fís Act],MATCH("AGROINSUMOScentralPROPIA"&amp;Tabla_Buffers_Agroinsumos[[#This Row],[CODIGO ]],TABLACONSOLIDADA[Bodega]&amp;TABLACONSOLIDADA[Codigo],0)),"")</f>
        <v/>
      </c>
      <c r="AU406" s="161" t="str">
        <f t="array" ref="AU40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06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06" s="135">
        <f>IFERROR(SUM(Tabla_Buffers_Agroinsumos[[#This Row],[P-MP]:[P-VL]]),"")</f>
        <v>0</v>
      </c>
      <c r="AX406" s="154" t="str">
        <f>IFERROR(Tabla_Buffers_Agroinsumos[[#This Row],[INV FIS PROPIA]]-Tabla_Buffers_Agroinsumos[[#This Row],[BUFFER PROPIA]],"")</f>
        <v/>
      </c>
      <c r="AY406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06" s="135"/>
      <c r="BA406" s="135"/>
      <c r="BB406" s="135"/>
      <c r="BC406" s="135"/>
      <c r="BD406" s="135"/>
      <c r="BE406" s="135"/>
      <c r="BF406" s="135"/>
      <c r="BG406" s="135"/>
      <c r="BH406" s="135"/>
      <c r="BI406" s="153" t="str">
        <f t="array" ref="BI406">IFERROR(INDEX(TABLACONSOLIDADA[Buff Act],MATCH("AGROINSUMOSSTODOMINGO"&amp;Tabla_Buffers_Agroinsumos[[#This Row],[CODIGO ]],TABLACONSOLIDADA[Bodega]&amp;TABLACONSOLIDADA[Codigo],0)),"")</f>
        <v/>
      </c>
      <c r="BJ406" s="111" t="str">
        <f t="array" ref="BJ406">IFERROR(INDEX(TABLACONSOLIDADA[Inv Fís Act],MATCH("AGROINSUMOSSTODOMINGO"&amp;Tabla_Buffers_Agroinsumos[[#This Row],[CODIGO ]],TABLACONSOLIDADA[Bodega]&amp;TABLACONSOLIDADA[Codigo],0)),"")</f>
        <v/>
      </c>
      <c r="BK406" s="161" t="str">
        <f t="array" ref="BK40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06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06" s="153">
        <f>IFERROR(SUM(Tabla_Buffers_Agroinsumos[[#This Row],[SD-MP]:[SD-VL]]),"")</f>
        <v>0</v>
      </c>
      <c r="BN406" s="154"/>
      <c r="BO406" s="154"/>
      <c r="BP406" s="135"/>
      <c r="BQ406" s="135"/>
      <c r="BR406" s="135"/>
      <c r="BS406" s="135"/>
      <c r="BT406" s="135"/>
      <c r="BU406" s="135"/>
      <c r="BV406" s="135"/>
      <c r="BW406" s="135"/>
      <c r="BX406" s="135"/>
      <c r="BY406" s="135" t="str">
        <f t="array" ref="BY406">IFERROR(INDEX(TABLACONSOLIDADA[Buff Act],MATCH("AGROINSUMOSMONCAYOLOPEZ"&amp;Tabla_Buffers_Agroinsumos[[#This Row],[CODIGO ]],TABLACONSOLIDADA[Bodega]&amp;TABLACONSOLIDADA[Codigo],0)),"")</f>
        <v/>
      </c>
      <c r="BZ406" s="111" t="str">
        <f t="array" ref="BZ406">IFERROR(INDEX(TABLACONSOLIDADA[Inv Fís Act],MATCH("AGROINSUMOSMONCAYOLOPEZ"&amp;Tabla_Buffers_Agroinsumos[[#This Row],[CODIGO ]],TABLACONSOLIDADA[Bodega]&amp;TABLACONSOLIDADA[Codigo],0)),"")</f>
        <v/>
      </c>
      <c r="CA406" s="161" t="str">
        <f t="array" ref="CA40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06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06" s="135">
        <f>IFERROR(SUM(Tabla_Buffers_Agroinsumos[[#This Row],[ML-MP]:[ML-VL]]),"")</f>
        <v>0</v>
      </c>
      <c r="CD406" s="154" t="str">
        <f>IFERROR(Tabla_Buffers_Agroinsumos[[#This Row],[INV FIS ML]]-Tabla_Buffers_Agroinsumos[[#This Row],[BUFFER ML]],"")</f>
        <v/>
      </c>
      <c r="CE406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06" s="135"/>
      <c r="CG406" s="135"/>
      <c r="CH406" s="135"/>
      <c r="CI406" s="135"/>
      <c r="CJ406" s="135"/>
      <c r="CK406" s="135"/>
      <c r="CL406" s="135"/>
      <c r="CM406" s="135"/>
      <c r="CN406" s="135"/>
      <c r="CO406" s="135" t="str">
        <f t="array" ref="CO406">IFERROR(INDEX(TABLACONSOLIDADA[Buff Act],MATCH("AGROINSUMOSAGROHERMANOSLEON"&amp;Tabla_Buffers_Agroinsumos[[#This Row],[CODIGO ]],TABLACONSOLIDADA[Bodega]&amp;TABLACONSOLIDADA[Codigo],0)),"")</f>
        <v/>
      </c>
      <c r="CP406" s="111" t="str">
        <f t="array" ref="CP406">IFERROR(INDEX(TABLACONSOLIDADA[Inv Fís Act],MATCH("AGROINSUMOSAGROHERMANOSLEON"&amp;Tabla_Buffers_Agroinsumos[[#This Row],[CODIGO ]],TABLACONSOLIDADA[Bodega]&amp;TABLACONSOLIDADA[Codigo],0)),"")</f>
        <v/>
      </c>
      <c r="CQ406" s="161" t="str">
        <f t="array" ref="CQ40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06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06" s="135">
        <f>IFERROR(SUM(Tabla_Buffers_Agroinsumos[[#This Row],[AL-MP]:[AL-VL]]),"")</f>
        <v>0</v>
      </c>
      <c r="CT406" s="154" t="str">
        <f>IFERROR(Tabla_Buffers_Agroinsumos[[#This Row],[INV FIS AL]]-Tabla_Buffers_Agroinsumos[[#This Row],[BUFFER AL]],"")</f>
        <v/>
      </c>
      <c r="CU406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06" s="135"/>
      <c r="CW406" s="135"/>
      <c r="CX406" s="135"/>
      <c r="CY406" s="135"/>
      <c r="CZ406" s="135"/>
      <c r="DA406" s="135"/>
      <c r="DB406" s="135"/>
      <c r="DC406" s="135"/>
      <c r="DD406" s="135"/>
      <c r="DE406" s="135" t="str">
        <f t="array" ref="DE406">IFERROR(INDEX(TABLACONSOLIDADA[Buff Act],MATCH("AGROINSUMOSAGRONUEVO"&amp;Tabla_Buffers_Agroinsumos[[#This Row],[CODIGO ]],TABLACONSOLIDADA[Bodega]&amp;TABLACONSOLIDADA[Codigo],0)),"")</f>
        <v/>
      </c>
      <c r="DF406" s="111" t="str">
        <f t="array" ref="DF406">IFERROR(INDEX(TABLACONSOLIDADA[Inv Fís Act],MATCH("AGROINSUMOSAGRONUEVO"&amp;Tabla_Buffers_Agroinsumos[[#This Row],[CODIGO ]],TABLACONSOLIDADA[Bodega]&amp;TABLACONSOLIDADA[Codigo],0)),"")</f>
        <v/>
      </c>
      <c r="DG406" s="161" t="str">
        <f t="array" ref="DG40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06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06" s="135">
        <f>IFERROR(SUM(Tabla_Buffers_Agroinsumos[[#This Row],[AN-MP]:[AN-VL]]),"")</f>
        <v>0</v>
      </c>
      <c r="DJ406" s="154" t="str">
        <f>IFERROR(Tabla_Buffers_Agroinsumos[[#This Row],[INV FIS AN]]-Tabla_Buffers_Agroinsumos[[#This Row],[BUFFER AN]],"")</f>
        <v/>
      </c>
      <c r="DK406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06" s="135"/>
      <c r="DM406" s="135"/>
      <c r="DN406" s="135"/>
      <c r="DO406" s="135"/>
      <c r="DP406" s="135"/>
      <c r="DQ406" s="135"/>
      <c r="DR406" s="135"/>
      <c r="DS406" s="135"/>
      <c r="DT406" s="135"/>
      <c r="DU406" s="135" t="str">
        <f t="array" ref="DU406">IFERROR(INDEX(TABLACONSOLIDADA[Buff Act],MATCH("AGROINSUMOSAGROQUIMICOSSUR"&amp;Tabla_Buffers_Agroinsumos[[#This Row],[CODIGO ]],TABLACONSOLIDADA[Bodega]&amp;TABLACONSOLIDADA[Codigo],0)),"")</f>
        <v/>
      </c>
      <c r="DV406" s="111" t="str">
        <f t="array" ref="DV406">IFERROR(INDEX(TABLACONSOLIDADA[Inv Fís Act],MATCH("AGROINSUMOSAGROQUIMICOSSUR"&amp;Tabla_Buffers_Agroinsumos[[#This Row],[CODIGO ]],TABLACONSOLIDADA[Bodega]&amp;TABLACONSOLIDADA[Codigo],0)),"")</f>
        <v/>
      </c>
      <c r="DW406" s="161" t="str">
        <f t="array" ref="DW40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06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06" s="135">
        <f>IFERROR(SUM(Tabla_Buffers_Agroinsumos[[#This Row],[AS-MP]:[AS-VL]]),"")</f>
        <v>0</v>
      </c>
      <c r="DZ406" s="154" t="str">
        <f>IFERROR(Tabla_Buffers_Agroinsumos[[#This Row],[INV FIS AS]]-Tabla_Buffers_Agroinsumos[[#This Row],[BUFFER AS]],"")</f>
        <v/>
      </c>
      <c r="EA406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06" s="135"/>
      <c r="EC406" s="135"/>
      <c r="ED406" s="135"/>
      <c r="EE406" s="135"/>
      <c r="EF406" s="135"/>
      <c r="EG406" s="135"/>
      <c r="EH406" s="135"/>
      <c r="EI406" s="135"/>
      <c r="EJ406" s="135"/>
      <c r="EK406" s="135" t="str">
        <f t="array" ref="EK406">IFERROR(INDEX(TABLACONSOLIDADA[Buff Act],MATCH("AGROINSUMOSLAFINCA"&amp;Tabla_Buffers_Agroinsumos[[#This Row],[CODIGO ]],TABLACONSOLIDADA[Bodega]&amp;TABLACONSOLIDADA[Codigo],0)),"")</f>
        <v/>
      </c>
      <c r="EL406" s="111" t="str">
        <f t="array" ref="EL406">IFERROR(INDEX(TABLACONSOLIDADA[Inv Fís Act],MATCH("AGROINSUMOSLAFINCA"&amp;Tabla_Buffers_Agroinsumos[[#This Row],[CODIGO ]],TABLACONSOLIDADA[Bodega]&amp;TABLACONSOLIDADA[Codigo],0)),"")</f>
        <v/>
      </c>
      <c r="EM406" s="161" t="str">
        <f t="array" ref="EM40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06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06" s="135">
        <f>IFERROR(SUM(Tabla_Buffers_Agroinsumos[[#This Row],[LF-MP]:[LF-VL]]),"")</f>
        <v>0</v>
      </c>
      <c r="EP406" s="154" t="str">
        <f>IFERROR(Tabla_Buffers_Agroinsumos[[#This Row],[INV FIS LF]]-Tabla_Buffers_Agroinsumos[[#This Row],[BUFFER LF]],"")</f>
        <v/>
      </c>
      <c r="EQ406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06" s="135"/>
      <c r="ES406" s="135"/>
      <c r="ET406" s="135"/>
      <c r="EU406" s="135"/>
      <c r="EV406" s="135"/>
      <c r="EW406" s="135"/>
      <c r="EX406" s="135"/>
      <c r="EY406" s="135"/>
      <c r="EZ406" s="135"/>
      <c r="FA406" s="135" t="str">
        <f t="array" ref="FA406">IFERROR(INDEX(TABLACONSOLIDADA[Buff Act],MATCH("AGROINSUMOSVERONICALEDESMA"&amp;Tabla_Buffers_Agroinsumos[[#This Row],[CODIGO ]],TABLACONSOLIDADA[Bodega]&amp;TABLACONSOLIDADA[Codigo],0)),"")</f>
        <v/>
      </c>
      <c r="FB406" s="111" t="str">
        <f t="array" ref="FB406">IFERROR(INDEX(TABLACONSOLIDADA[Inv Fís Act],MATCH("AGROINSUMOSVERONICALEDESMA"&amp;Tabla_Buffers_Agroinsumos[[#This Row],[CODIGO ]],TABLACONSOLIDADA[Bodega]&amp;TABLACONSOLIDADA[Codigo],0)),"")</f>
        <v/>
      </c>
      <c r="FC406" s="161" t="str">
        <f t="array" ref="FC40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06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06" s="135">
        <f>IFERROR(SUM(Tabla_Buffers_Agroinsumos[[#This Row],[VL-MP]:[VL-LF]]),"")</f>
        <v>0</v>
      </c>
      <c r="FF406" s="154" t="str">
        <f>IFERROR(Tabla_Buffers_Agroinsumos[[#This Row],[INV FIS VL]]-Tabla_Buffers_Agroinsumos[[#This Row],[BUFFER VL]],"")</f>
        <v/>
      </c>
      <c r="FG406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06" s="135"/>
      <c r="FI406" s="135"/>
      <c r="FJ406" s="135"/>
      <c r="FK406" s="135"/>
      <c r="FL406" s="135"/>
      <c r="FM406" s="135"/>
      <c r="FN406" s="135"/>
      <c r="FO406" s="135"/>
      <c r="FP406" s="135"/>
    </row>
    <row r="407" spans="1:172">
      <c r="A407" s="20" t="s">
        <v>1294</v>
      </c>
      <c r="B407" s="20" t="s">
        <v>1296</v>
      </c>
      <c r="C407" s="20" t="s">
        <v>716</v>
      </c>
      <c r="D407" s="20" t="s">
        <v>718</v>
      </c>
      <c r="E407" s="20" t="s">
        <v>863</v>
      </c>
      <c r="F407" s="111" t="s">
        <v>808</v>
      </c>
      <c r="G407" s="111" t="s">
        <v>802</v>
      </c>
      <c r="H407" s="111" t="e">
        <f>VLOOKUP(Tabla_Buffers_Agroinsumos[[#This Row],[CODIGO ]],TABLACONSOLIDADA[[Codigo]:[PV]],6,0)</f>
        <v>#N/A</v>
      </c>
      <c r="I407" s="111" t="e">
        <f>VLOOKUP(Tabla_Buffers_Agroinsumos[[#This Row],[CODIGO ]],TABLACONSOLIDADA[[Codigo]:[PV]],5,0)</f>
        <v>#N/A</v>
      </c>
      <c r="J407" s="111"/>
      <c r="K407" s="111"/>
      <c r="L407" s="111">
        <f>IFERROR(Tabla_Buffers_Agroinsumos[[#This Row],[BUFFER CENTRAL]]/((Tabla_Buffers_Agroinsumos[[#This Row],[TIEMPO REPOSICION ]]/Tabla_Buffers_Agroinsumos[[#This Row],[FRECUENCIA]])+1),0)</f>
        <v>0</v>
      </c>
      <c r="M407" s="111">
        <v>1000</v>
      </c>
      <c r="N407" s="111" t="str">
        <f t="array" ref="N407">IFERROR(INDEX(TABLACONSOLIDADA[Inv Fís Act],MATCH("AGROINSUMOSMATERIAPRIMA"&amp;Tabla_Buffers_Agroinsumos[[#This Row],[CODIGO ]],TABLACONSOLIDADA[Bodega]&amp;TABLACONSOLIDADA[Codigo],0)),"")</f>
        <v/>
      </c>
      <c r="O407" s="161" t="str">
        <f t="array" ref="O40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07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07" s="111">
        <f>IFERROR(SUM(Tabla_Buffers_Agroinsumos[[#This Row],[MP-C]:[MP-VL]]),"")</f>
        <v>0</v>
      </c>
      <c r="R407" s="154" t="str">
        <f>IFERROR(Tabla_Buffers_Agroinsumos[[#This Row],[INV FIS MATERIA PRIMA]]-Tabla_Buffers_Agroinsumos[[#This Row],[BUFFER MATERIA PRIMA]],"")</f>
        <v/>
      </c>
      <c r="S407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07" s="111"/>
      <c r="U407" s="111"/>
      <c r="V407" s="111"/>
      <c r="W407" s="111"/>
      <c r="X407" s="111"/>
      <c r="Y407" s="111"/>
      <c r="Z407" s="111"/>
      <c r="AA407" s="111"/>
      <c r="AB407" s="111"/>
      <c r="AC407" s="135" t="str">
        <f t="array" ref="AC407">IFERROR(INDEX(TABLACONSOLIDADA[Buff Act],MATCH("AGROINSUMOSCENTRAL"&amp;Tabla_Buffers_Agroinsumos[[#This Row],[CODIGO ]],TABLACONSOLIDADA[Bodega]&amp;TABLACONSOLIDADA[Codigo],0)),"")</f>
        <v/>
      </c>
      <c r="AD407" s="111" t="str">
        <f t="array" ref="AD407">IFERROR(INDEX(TABLACONSOLIDADA[Inv Fís Act],MATCH("AGROINSUMOSCENTRAL"&amp;Tabla_Buffers_Agroinsumos[[#This Row],[CODIGO ]],TABLACONSOLIDADA[Bodega]&amp;TABLACONSOLIDADA[Codigo],0)),"")</f>
        <v/>
      </c>
      <c r="AE407" s="161" t="str">
        <f t="array" ref="AE40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07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07" s="153">
        <f>IFERROR(SUM(Tabla_Buffers_Agroinsumos[[#This Row],[C-MP]:[C-VL]]),"")</f>
        <v>0</v>
      </c>
      <c r="AH407" s="154" t="str">
        <f>IFERROR(Tabla_Buffers_Agroinsumos[[#This Row],[INV FIS CENTRAL]]-Tabla_Buffers_Agroinsumos[[#This Row],[BUFFER CENTRAL]],"")</f>
        <v/>
      </c>
      <c r="AI407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07" s="135"/>
      <c r="AK407" s="135"/>
      <c r="AL407" s="135"/>
      <c r="AM407" s="135"/>
      <c r="AN407" s="135"/>
      <c r="AO407" s="135"/>
      <c r="AP407" s="135"/>
      <c r="AQ407" s="135"/>
      <c r="AR407" s="135"/>
      <c r="AS407" s="135" t="str">
        <f t="array" ref="AS407">IFERROR(INDEX(TABLACONSOLIDADA[Buff Act],MATCH("AGROINSUMOScentralPROPIA"&amp;Tabla_Buffers_Agroinsumos[[#This Row],[CODIGO ]],TABLACONSOLIDADA[Bodega]&amp;TABLACONSOLIDADA[Codigo],0)),"")</f>
        <v/>
      </c>
      <c r="AT407" s="111" t="str">
        <f t="array" ref="AT407">IFERROR(INDEX(TABLACONSOLIDADA[Inv Fís Act],MATCH("AGROINSUMOScentralPROPIA"&amp;Tabla_Buffers_Agroinsumos[[#This Row],[CODIGO ]],TABLACONSOLIDADA[Bodega]&amp;TABLACONSOLIDADA[Codigo],0)),"")</f>
        <v/>
      </c>
      <c r="AU407" s="161" t="str">
        <f t="array" ref="AU40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07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07" s="135">
        <f>IFERROR(SUM(Tabla_Buffers_Agroinsumos[[#This Row],[P-MP]:[P-VL]]),"")</f>
        <v>0</v>
      </c>
      <c r="AX407" s="154" t="str">
        <f>IFERROR(Tabla_Buffers_Agroinsumos[[#This Row],[INV FIS PROPIA]]-Tabla_Buffers_Agroinsumos[[#This Row],[BUFFER PROPIA]],"")</f>
        <v/>
      </c>
      <c r="AY407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07" s="135"/>
      <c r="BA407" s="135"/>
      <c r="BB407" s="135"/>
      <c r="BC407" s="135"/>
      <c r="BD407" s="135"/>
      <c r="BE407" s="135"/>
      <c r="BF407" s="135"/>
      <c r="BG407" s="135"/>
      <c r="BH407" s="135"/>
      <c r="BI407" s="153" t="str">
        <f t="array" ref="BI407">IFERROR(INDEX(TABLACONSOLIDADA[Buff Act],MATCH("AGROINSUMOSSTODOMINGO"&amp;Tabla_Buffers_Agroinsumos[[#This Row],[CODIGO ]],TABLACONSOLIDADA[Bodega]&amp;TABLACONSOLIDADA[Codigo],0)),"")</f>
        <v/>
      </c>
      <c r="BJ407" s="111" t="str">
        <f t="array" ref="BJ407">IFERROR(INDEX(TABLACONSOLIDADA[Inv Fís Act],MATCH("AGROINSUMOSSTODOMINGO"&amp;Tabla_Buffers_Agroinsumos[[#This Row],[CODIGO ]],TABLACONSOLIDADA[Bodega]&amp;TABLACONSOLIDADA[Codigo],0)),"")</f>
        <v/>
      </c>
      <c r="BK407" s="161" t="str">
        <f t="array" ref="BK40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07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07" s="153">
        <f>IFERROR(SUM(Tabla_Buffers_Agroinsumos[[#This Row],[SD-MP]:[SD-VL]]),"")</f>
        <v>0</v>
      </c>
      <c r="BN407" s="154"/>
      <c r="BO407" s="154"/>
      <c r="BP407" s="135"/>
      <c r="BQ407" s="135"/>
      <c r="BR407" s="135"/>
      <c r="BS407" s="135"/>
      <c r="BT407" s="135"/>
      <c r="BU407" s="135"/>
      <c r="BV407" s="135"/>
      <c r="BW407" s="135"/>
      <c r="BX407" s="135"/>
      <c r="BY407" s="135" t="str">
        <f t="array" ref="BY407">IFERROR(INDEX(TABLACONSOLIDADA[Buff Act],MATCH("AGROINSUMOSMONCAYOLOPEZ"&amp;Tabla_Buffers_Agroinsumos[[#This Row],[CODIGO ]],TABLACONSOLIDADA[Bodega]&amp;TABLACONSOLIDADA[Codigo],0)),"")</f>
        <v/>
      </c>
      <c r="BZ407" s="111" t="str">
        <f t="array" ref="BZ407">IFERROR(INDEX(TABLACONSOLIDADA[Inv Fís Act],MATCH("AGROINSUMOSMONCAYOLOPEZ"&amp;Tabla_Buffers_Agroinsumos[[#This Row],[CODIGO ]],TABLACONSOLIDADA[Bodega]&amp;TABLACONSOLIDADA[Codigo],0)),"")</f>
        <v/>
      </c>
      <c r="CA407" s="161" t="str">
        <f t="array" ref="CA40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07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07" s="135">
        <f>IFERROR(SUM(Tabla_Buffers_Agroinsumos[[#This Row],[ML-MP]:[ML-VL]]),"")</f>
        <v>0</v>
      </c>
      <c r="CD407" s="154" t="str">
        <f>IFERROR(Tabla_Buffers_Agroinsumos[[#This Row],[INV FIS ML]]-Tabla_Buffers_Agroinsumos[[#This Row],[BUFFER ML]],"")</f>
        <v/>
      </c>
      <c r="CE407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07" s="135"/>
      <c r="CG407" s="135"/>
      <c r="CH407" s="135"/>
      <c r="CI407" s="135"/>
      <c r="CJ407" s="135"/>
      <c r="CK407" s="135"/>
      <c r="CL407" s="135"/>
      <c r="CM407" s="135"/>
      <c r="CN407" s="135"/>
      <c r="CO407" s="135" t="str">
        <f t="array" ref="CO407">IFERROR(INDEX(TABLACONSOLIDADA[Buff Act],MATCH("AGROINSUMOSAGROHERMANOSLEON"&amp;Tabla_Buffers_Agroinsumos[[#This Row],[CODIGO ]],TABLACONSOLIDADA[Bodega]&amp;TABLACONSOLIDADA[Codigo],0)),"")</f>
        <v/>
      </c>
      <c r="CP407" s="111" t="str">
        <f t="array" ref="CP407">IFERROR(INDEX(TABLACONSOLIDADA[Inv Fís Act],MATCH("AGROINSUMOSAGROHERMANOSLEON"&amp;Tabla_Buffers_Agroinsumos[[#This Row],[CODIGO ]],TABLACONSOLIDADA[Bodega]&amp;TABLACONSOLIDADA[Codigo],0)),"")</f>
        <v/>
      </c>
      <c r="CQ407" s="161" t="str">
        <f t="array" ref="CQ40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07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07" s="135">
        <f>IFERROR(SUM(Tabla_Buffers_Agroinsumos[[#This Row],[AL-MP]:[AL-VL]]),"")</f>
        <v>0</v>
      </c>
      <c r="CT407" s="154" t="str">
        <f>IFERROR(Tabla_Buffers_Agroinsumos[[#This Row],[INV FIS AL]]-Tabla_Buffers_Agroinsumos[[#This Row],[BUFFER AL]],"")</f>
        <v/>
      </c>
      <c r="CU407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07" s="135"/>
      <c r="CW407" s="135"/>
      <c r="CX407" s="135"/>
      <c r="CY407" s="135"/>
      <c r="CZ407" s="135"/>
      <c r="DA407" s="135"/>
      <c r="DB407" s="135"/>
      <c r="DC407" s="135"/>
      <c r="DD407" s="135"/>
      <c r="DE407" s="135" t="str">
        <f t="array" ref="DE407">IFERROR(INDEX(TABLACONSOLIDADA[Buff Act],MATCH("AGROINSUMOSAGRONUEVO"&amp;Tabla_Buffers_Agroinsumos[[#This Row],[CODIGO ]],TABLACONSOLIDADA[Bodega]&amp;TABLACONSOLIDADA[Codigo],0)),"")</f>
        <v/>
      </c>
      <c r="DF407" s="111" t="str">
        <f t="array" ref="DF407">IFERROR(INDEX(TABLACONSOLIDADA[Inv Fís Act],MATCH("AGROINSUMOSAGRONUEVO"&amp;Tabla_Buffers_Agroinsumos[[#This Row],[CODIGO ]],TABLACONSOLIDADA[Bodega]&amp;TABLACONSOLIDADA[Codigo],0)),"")</f>
        <v/>
      </c>
      <c r="DG407" s="161" t="str">
        <f t="array" ref="DG40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07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07" s="135">
        <f>IFERROR(SUM(Tabla_Buffers_Agroinsumos[[#This Row],[AN-MP]:[AN-VL]]),"")</f>
        <v>0</v>
      </c>
      <c r="DJ407" s="154" t="str">
        <f>IFERROR(Tabla_Buffers_Agroinsumos[[#This Row],[INV FIS AN]]-Tabla_Buffers_Agroinsumos[[#This Row],[BUFFER AN]],"")</f>
        <v/>
      </c>
      <c r="DK407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07" s="135"/>
      <c r="DM407" s="135"/>
      <c r="DN407" s="135"/>
      <c r="DO407" s="135"/>
      <c r="DP407" s="135"/>
      <c r="DQ407" s="135"/>
      <c r="DR407" s="135"/>
      <c r="DS407" s="135"/>
      <c r="DT407" s="135"/>
      <c r="DU407" s="135" t="str">
        <f t="array" ref="DU407">IFERROR(INDEX(TABLACONSOLIDADA[Buff Act],MATCH("AGROINSUMOSAGROQUIMICOSSUR"&amp;Tabla_Buffers_Agroinsumos[[#This Row],[CODIGO ]],TABLACONSOLIDADA[Bodega]&amp;TABLACONSOLIDADA[Codigo],0)),"")</f>
        <v/>
      </c>
      <c r="DV407" s="111" t="str">
        <f t="array" ref="DV407">IFERROR(INDEX(TABLACONSOLIDADA[Inv Fís Act],MATCH("AGROINSUMOSAGROQUIMICOSSUR"&amp;Tabla_Buffers_Agroinsumos[[#This Row],[CODIGO ]],TABLACONSOLIDADA[Bodega]&amp;TABLACONSOLIDADA[Codigo],0)),"")</f>
        <v/>
      </c>
      <c r="DW407" s="161" t="str">
        <f t="array" ref="DW40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07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07" s="135">
        <f>IFERROR(SUM(Tabla_Buffers_Agroinsumos[[#This Row],[AS-MP]:[AS-VL]]),"")</f>
        <v>0</v>
      </c>
      <c r="DZ407" s="154" t="str">
        <f>IFERROR(Tabla_Buffers_Agroinsumos[[#This Row],[INV FIS AS]]-Tabla_Buffers_Agroinsumos[[#This Row],[BUFFER AS]],"")</f>
        <v/>
      </c>
      <c r="EA407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07" s="135"/>
      <c r="EC407" s="135"/>
      <c r="ED407" s="135"/>
      <c r="EE407" s="135"/>
      <c r="EF407" s="135"/>
      <c r="EG407" s="135"/>
      <c r="EH407" s="135"/>
      <c r="EI407" s="135"/>
      <c r="EJ407" s="135"/>
      <c r="EK407" s="135" t="str">
        <f t="array" ref="EK407">IFERROR(INDEX(TABLACONSOLIDADA[Buff Act],MATCH("AGROINSUMOSLAFINCA"&amp;Tabla_Buffers_Agroinsumos[[#This Row],[CODIGO ]],TABLACONSOLIDADA[Bodega]&amp;TABLACONSOLIDADA[Codigo],0)),"")</f>
        <v/>
      </c>
      <c r="EL407" s="111" t="str">
        <f t="array" ref="EL407">IFERROR(INDEX(TABLACONSOLIDADA[Inv Fís Act],MATCH("AGROINSUMOSLAFINCA"&amp;Tabla_Buffers_Agroinsumos[[#This Row],[CODIGO ]],TABLACONSOLIDADA[Bodega]&amp;TABLACONSOLIDADA[Codigo],0)),"")</f>
        <v/>
      </c>
      <c r="EM407" s="161" t="str">
        <f t="array" ref="EM40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07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07" s="135">
        <f>IFERROR(SUM(Tabla_Buffers_Agroinsumos[[#This Row],[LF-MP]:[LF-VL]]),"")</f>
        <v>0</v>
      </c>
      <c r="EP407" s="154" t="str">
        <f>IFERROR(Tabla_Buffers_Agroinsumos[[#This Row],[INV FIS LF]]-Tabla_Buffers_Agroinsumos[[#This Row],[BUFFER LF]],"")</f>
        <v/>
      </c>
      <c r="EQ407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07" s="135"/>
      <c r="ES407" s="135"/>
      <c r="ET407" s="135"/>
      <c r="EU407" s="135"/>
      <c r="EV407" s="135"/>
      <c r="EW407" s="135"/>
      <c r="EX407" s="135"/>
      <c r="EY407" s="135"/>
      <c r="EZ407" s="135"/>
      <c r="FA407" s="135" t="str">
        <f t="array" ref="FA407">IFERROR(INDEX(TABLACONSOLIDADA[Buff Act],MATCH("AGROINSUMOSVERONICALEDESMA"&amp;Tabla_Buffers_Agroinsumos[[#This Row],[CODIGO ]],TABLACONSOLIDADA[Bodega]&amp;TABLACONSOLIDADA[Codigo],0)),"")</f>
        <v/>
      </c>
      <c r="FB407" s="111" t="str">
        <f t="array" ref="FB407">IFERROR(INDEX(TABLACONSOLIDADA[Inv Fís Act],MATCH("AGROINSUMOSVERONICALEDESMA"&amp;Tabla_Buffers_Agroinsumos[[#This Row],[CODIGO ]],TABLACONSOLIDADA[Bodega]&amp;TABLACONSOLIDADA[Codigo],0)),"")</f>
        <v/>
      </c>
      <c r="FC407" s="161" t="str">
        <f t="array" ref="FC40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07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07" s="135">
        <f>IFERROR(SUM(Tabla_Buffers_Agroinsumos[[#This Row],[VL-MP]:[VL-LF]]),"")</f>
        <v>0</v>
      </c>
      <c r="FF407" s="154" t="str">
        <f>IFERROR(Tabla_Buffers_Agroinsumos[[#This Row],[INV FIS VL]]-Tabla_Buffers_Agroinsumos[[#This Row],[BUFFER VL]],"")</f>
        <v/>
      </c>
      <c r="FG407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07" s="135"/>
      <c r="FI407" s="135"/>
      <c r="FJ407" s="135"/>
      <c r="FK407" s="135"/>
      <c r="FL407" s="135"/>
      <c r="FM407" s="135"/>
      <c r="FN407" s="135"/>
      <c r="FO407" s="135"/>
      <c r="FP407" s="135"/>
    </row>
    <row r="408" spans="1:172">
      <c r="A408" s="20" t="s">
        <v>1295</v>
      </c>
      <c r="B408" s="20" t="s">
        <v>1297</v>
      </c>
      <c r="C408" s="20" t="s">
        <v>716</v>
      </c>
      <c r="D408" s="20" t="s">
        <v>718</v>
      </c>
      <c r="E408" s="20" t="s">
        <v>863</v>
      </c>
      <c r="F408" s="111" t="s">
        <v>808</v>
      </c>
      <c r="G408" s="111" t="s">
        <v>802</v>
      </c>
      <c r="H408" s="111" t="e">
        <f>VLOOKUP(Tabla_Buffers_Agroinsumos[[#This Row],[CODIGO ]],TABLACONSOLIDADA[[Codigo]:[PV]],6,0)</f>
        <v>#N/A</v>
      </c>
      <c r="I408" s="111" t="e">
        <f>VLOOKUP(Tabla_Buffers_Agroinsumos[[#This Row],[CODIGO ]],TABLACONSOLIDADA[[Codigo]:[PV]],5,0)</f>
        <v>#N/A</v>
      </c>
      <c r="J408" s="111"/>
      <c r="K408" s="111"/>
      <c r="L408" s="111">
        <f>IFERROR(Tabla_Buffers_Agroinsumos[[#This Row],[BUFFER CENTRAL]]/((Tabla_Buffers_Agroinsumos[[#This Row],[TIEMPO REPOSICION ]]/Tabla_Buffers_Agroinsumos[[#This Row],[FRECUENCIA]])+1),0)</f>
        <v>0</v>
      </c>
      <c r="M408" s="111">
        <v>1000</v>
      </c>
      <c r="N408" s="111" t="str">
        <f t="array" ref="N408">IFERROR(INDEX(TABLACONSOLIDADA[Inv Fís Act],MATCH("AGROINSUMOSMATERIAPRIMA"&amp;Tabla_Buffers_Agroinsumos[[#This Row],[CODIGO ]],TABLACONSOLIDADA[Bodega]&amp;TABLACONSOLIDADA[Codigo],0)),"")</f>
        <v/>
      </c>
      <c r="O408" s="161" t="str">
        <f t="array" ref="O40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08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08" s="111">
        <f>IFERROR(SUM(Tabla_Buffers_Agroinsumos[[#This Row],[MP-C]:[MP-VL]]),"")</f>
        <v>0</v>
      </c>
      <c r="R408" s="154" t="str">
        <f>IFERROR(Tabla_Buffers_Agroinsumos[[#This Row],[INV FIS MATERIA PRIMA]]-Tabla_Buffers_Agroinsumos[[#This Row],[BUFFER MATERIA PRIMA]],"")</f>
        <v/>
      </c>
      <c r="S408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08" s="111"/>
      <c r="U408" s="111"/>
      <c r="V408" s="111"/>
      <c r="W408" s="111"/>
      <c r="X408" s="111"/>
      <c r="Y408" s="111"/>
      <c r="Z408" s="111"/>
      <c r="AA408" s="111"/>
      <c r="AB408" s="111"/>
      <c r="AC408" s="135" t="str">
        <f t="array" ref="AC408">IFERROR(INDEX(TABLACONSOLIDADA[Buff Act],MATCH("AGROINSUMOSCENTRAL"&amp;Tabla_Buffers_Agroinsumos[[#This Row],[CODIGO ]],TABLACONSOLIDADA[Bodega]&amp;TABLACONSOLIDADA[Codigo],0)),"")</f>
        <v/>
      </c>
      <c r="AD408" s="111" t="str">
        <f t="array" ref="AD408">IFERROR(INDEX(TABLACONSOLIDADA[Inv Fís Act],MATCH("AGROINSUMOSCENTRAL"&amp;Tabla_Buffers_Agroinsumos[[#This Row],[CODIGO ]],TABLACONSOLIDADA[Bodega]&amp;TABLACONSOLIDADA[Codigo],0)),"")</f>
        <v/>
      </c>
      <c r="AE408" s="161" t="str">
        <f t="array" ref="AE40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08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08" s="153">
        <f>IFERROR(SUM(Tabla_Buffers_Agroinsumos[[#This Row],[C-MP]:[C-VL]]),"")</f>
        <v>0</v>
      </c>
      <c r="AH408" s="154" t="str">
        <f>IFERROR(Tabla_Buffers_Agroinsumos[[#This Row],[INV FIS CENTRAL]]-Tabla_Buffers_Agroinsumos[[#This Row],[BUFFER CENTRAL]],"")</f>
        <v/>
      </c>
      <c r="AI408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08" s="135"/>
      <c r="AK408" s="135"/>
      <c r="AL408" s="135"/>
      <c r="AM408" s="135"/>
      <c r="AN408" s="135"/>
      <c r="AO408" s="135"/>
      <c r="AP408" s="135"/>
      <c r="AQ408" s="135"/>
      <c r="AR408" s="135"/>
      <c r="AS408" s="135" t="str">
        <f t="array" ref="AS408">IFERROR(INDEX(TABLACONSOLIDADA[Buff Act],MATCH("AGROINSUMOScentralPROPIA"&amp;Tabla_Buffers_Agroinsumos[[#This Row],[CODIGO ]],TABLACONSOLIDADA[Bodega]&amp;TABLACONSOLIDADA[Codigo],0)),"")</f>
        <v/>
      </c>
      <c r="AT408" s="111" t="str">
        <f t="array" ref="AT408">IFERROR(INDEX(TABLACONSOLIDADA[Inv Fís Act],MATCH("AGROINSUMOScentralPROPIA"&amp;Tabla_Buffers_Agroinsumos[[#This Row],[CODIGO ]],TABLACONSOLIDADA[Bodega]&amp;TABLACONSOLIDADA[Codigo],0)),"")</f>
        <v/>
      </c>
      <c r="AU408" s="161" t="str">
        <f t="array" ref="AU40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08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08" s="135">
        <f>IFERROR(SUM(Tabla_Buffers_Agroinsumos[[#This Row],[P-MP]:[P-VL]]),"")</f>
        <v>0</v>
      </c>
      <c r="AX408" s="154" t="str">
        <f>IFERROR(Tabla_Buffers_Agroinsumos[[#This Row],[INV FIS PROPIA]]-Tabla_Buffers_Agroinsumos[[#This Row],[BUFFER PROPIA]],"")</f>
        <v/>
      </c>
      <c r="AY408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08" s="135"/>
      <c r="BA408" s="135"/>
      <c r="BB408" s="135"/>
      <c r="BC408" s="135"/>
      <c r="BD408" s="135"/>
      <c r="BE408" s="135"/>
      <c r="BF408" s="135"/>
      <c r="BG408" s="135"/>
      <c r="BH408" s="135"/>
      <c r="BI408" s="153" t="str">
        <f t="array" ref="BI408">IFERROR(INDEX(TABLACONSOLIDADA[Buff Act],MATCH("AGROINSUMOSSTODOMINGO"&amp;Tabla_Buffers_Agroinsumos[[#This Row],[CODIGO ]],TABLACONSOLIDADA[Bodega]&amp;TABLACONSOLIDADA[Codigo],0)),"")</f>
        <v/>
      </c>
      <c r="BJ408" s="111" t="str">
        <f t="array" ref="BJ408">IFERROR(INDEX(TABLACONSOLIDADA[Inv Fís Act],MATCH("AGROINSUMOSSTODOMINGO"&amp;Tabla_Buffers_Agroinsumos[[#This Row],[CODIGO ]],TABLACONSOLIDADA[Bodega]&amp;TABLACONSOLIDADA[Codigo],0)),"")</f>
        <v/>
      </c>
      <c r="BK408" s="161" t="str">
        <f t="array" ref="BK40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08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08" s="153">
        <f>IFERROR(SUM(Tabla_Buffers_Agroinsumos[[#This Row],[SD-MP]:[SD-VL]]),"")</f>
        <v>0</v>
      </c>
      <c r="BN408" s="154"/>
      <c r="BO408" s="154"/>
      <c r="BP408" s="135"/>
      <c r="BQ408" s="135"/>
      <c r="BR408" s="135"/>
      <c r="BS408" s="135"/>
      <c r="BT408" s="135"/>
      <c r="BU408" s="135"/>
      <c r="BV408" s="135"/>
      <c r="BW408" s="135"/>
      <c r="BX408" s="135"/>
      <c r="BY408" s="135" t="str">
        <f t="array" ref="BY408">IFERROR(INDEX(TABLACONSOLIDADA[Buff Act],MATCH("AGROINSUMOSMONCAYOLOPEZ"&amp;Tabla_Buffers_Agroinsumos[[#This Row],[CODIGO ]],TABLACONSOLIDADA[Bodega]&amp;TABLACONSOLIDADA[Codigo],0)),"")</f>
        <v/>
      </c>
      <c r="BZ408" s="111" t="str">
        <f t="array" ref="BZ408">IFERROR(INDEX(TABLACONSOLIDADA[Inv Fís Act],MATCH("AGROINSUMOSMONCAYOLOPEZ"&amp;Tabla_Buffers_Agroinsumos[[#This Row],[CODIGO ]],TABLACONSOLIDADA[Bodega]&amp;TABLACONSOLIDADA[Codigo],0)),"")</f>
        <v/>
      </c>
      <c r="CA408" s="161" t="str">
        <f t="array" ref="CA40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08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08" s="135">
        <f>IFERROR(SUM(Tabla_Buffers_Agroinsumos[[#This Row],[ML-MP]:[ML-VL]]),"")</f>
        <v>0</v>
      </c>
      <c r="CD408" s="154" t="str">
        <f>IFERROR(Tabla_Buffers_Agroinsumos[[#This Row],[INV FIS ML]]-Tabla_Buffers_Agroinsumos[[#This Row],[BUFFER ML]],"")</f>
        <v/>
      </c>
      <c r="CE408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08" s="135"/>
      <c r="CG408" s="135"/>
      <c r="CH408" s="135"/>
      <c r="CI408" s="135"/>
      <c r="CJ408" s="135"/>
      <c r="CK408" s="135"/>
      <c r="CL408" s="135"/>
      <c r="CM408" s="135"/>
      <c r="CN408" s="135"/>
      <c r="CO408" s="135" t="str">
        <f t="array" ref="CO408">IFERROR(INDEX(TABLACONSOLIDADA[Buff Act],MATCH("AGROINSUMOSAGROHERMANOSLEON"&amp;Tabla_Buffers_Agroinsumos[[#This Row],[CODIGO ]],TABLACONSOLIDADA[Bodega]&amp;TABLACONSOLIDADA[Codigo],0)),"")</f>
        <v/>
      </c>
      <c r="CP408" s="111" t="str">
        <f t="array" ref="CP408">IFERROR(INDEX(TABLACONSOLIDADA[Inv Fís Act],MATCH("AGROINSUMOSAGROHERMANOSLEON"&amp;Tabla_Buffers_Agroinsumos[[#This Row],[CODIGO ]],TABLACONSOLIDADA[Bodega]&amp;TABLACONSOLIDADA[Codigo],0)),"")</f>
        <v/>
      </c>
      <c r="CQ408" s="161" t="str">
        <f t="array" ref="CQ40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08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08" s="135">
        <f>IFERROR(SUM(Tabla_Buffers_Agroinsumos[[#This Row],[AL-MP]:[AL-VL]]),"")</f>
        <v>0</v>
      </c>
      <c r="CT408" s="154" t="str">
        <f>IFERROR(Tabla_Buffers_Agroinsumos[[#This Row],[INV FIS AL]]-Tabla_Buffers_Agroinsumos[[#This Row],[BUFFER AL]],"")</f>
        <v/>
      </c>
      <c r="CU408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08" s="135"/>
      <c r="CW408" s="135"/>
      <c r="CX408" s="135"/>
      <c r="CY408" s="135"/>
      <c r="CZ408" s="135"/>
      <c r="DA408" s="135"/>
      <c r="DB408" s="135"/>
      <c r="DC408" s="135"/>
      <c r="DD408" s="135"/>
      <c r="DE408" s="135" t="str">
        <f t="array" ref="DE408">IFERROR(INDEX(TABLACONSOLIDADA[Buff Act],MATCH("AGROINSUMOSAGRONUEVO"&amp;Tabla_Buffers_Agroinsumos[[#This Row],[CODIGO ]],TABLACONSOLIDADA[Bodega]&amp;TABLACONSOLIDADA[Codigo],0)),"")</f>
        <v/>
      </c>
      <c r="DF408" s="111" t="str">
        <f t="array" ref="DF408">IFERROR(INDEX(TABLACONSOLIDADA[Inv Fís Act],MATCH("AGROINSUMOSAGRONUEVO"&amp;Tabla_Buffers_Agroinsumos[[#This Row],[CODIGO ]],TABLACONSOLIDADA[Bodega]&amp;TABLACONSOLIDADA[Codigo],0)),"")</f>
        <v/>
      </c>
      <c r="DG408" s="161" t="str">
        <f t="array" ref="DG40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08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08" s="135">
        <f>IFERROR(SUM(Tabla_Buffers_Agroinsumos[[#This Row],[AN-MP]:[AN-VL]]),"")</f>
        <v>0</v>
      </c>
      <c r="DJ408" s="154" t="str">
        <f>IFERROR(Tabla_Buffers_Agroinsumos[[#This Row],[INV FIS AN]]-Tabla_Buffers_Agroinsumos[[#This Row],[BUFFER AN]],"")</f>
        <v/>
      </c>
      <c r="DK408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08" s="135"/>
      <c r="DM408" s="135"/>
      <c r="DN408" s="135"/>
      <c r="DO408" s="135"/>
      <c r="DP408" s="135"/>
      <c r="DQ408" s="135"/>
      <c r="DR408" s="135"/>
      <c r="DS408" s="135"/>
      <c r="DT408" s="135"/>
      <c r="DU408" s="135" t="str">
        <f t="array" ref="DU408">IFERROR(INDEX(TABLACONSOLIDADA[Buff Act],MATCH("AGROINSUMOSAGROQUIMICOSSUR"&amp;Tabla_Buffers_Agroinsumos[[#This Row],[CODIGO ]],TABLACONSOLIDADA[Bodega]&amp;TABLACONSOLIDADA[Codigo],0)),"")</f>
        <v/>
      </c>
      <c r="DV408" s="111" t="str">
        <f t="array" ref="DV408">IFERROR(INDEX(TABLACONSOLIDADA[Inv Fís Act],MATCH("AGROINSUMOSAGROQUIMICOSSUR"&amp;Tabla_Buffers_Agroinsumos[[#This Row],[CODIGO ]],TABLACONSOLIDADA[Bodega]&amp;TABLACONSOLIDADA[Codigo],0)),"")</f>
        <v/>
      </c>
      <c r="DW408" s="161" t="str">
        <f t="array" ref="DW40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08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08" s="135">
        <f>IFERROR(SUM(Tabla_Buffers_Agroinsumos[[#This Row],[AS-MP]:[AS-VL]]),"")</f>
        <v>0</v>
      </c>
      <c r="DZ408" s="154" t="str">
        <f>IFERROR(Tabla_Buffers_Agroinsumos[[#This Row],[INV FIS AS]]-Tabla_Buffers_Agroinsumos[[#This Row],[BUFFER AS]],"")</f>
        <v/>
      </c>
      <c r="EA408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08" s="135"/>
      <c r="EC408" s="135"/>
      <c r="ED408" s="135"/>
      <c r="EE408" s="135"/>
      <c r="EF408" s="135"/>
      <c r="EG408" s="135"/>
      <c r="EH408" s="135"/>
      <c r="EI408" s="135"/>
      <c r="EJ408" s="135"/>
      <c r="EK408" s="135" t="str">
        <f t="array" ref="EK408">IFERROR(INDEX(TABLACONSOLIDADA[Buff Act],MATCH("AGROINSUMOSLAFINCA"&amp;Tabla_Buffers_Agroinsumos[[#This Row],[CODIGO ]],TABLACONSOLIDADA[Bodega]&amp;TABLACONSOLIDADA[Codigo],0)),"")</f>
        <v/>
      </c>
      <c r="EL408" s="111" t="str">
        <f t="array" ref="EL408">IFERROR(INDEX(TABLACONSOLIDADA[Inv Fís Act],MATCH("AGROINSUMOSLAFINCA"&amp;Tabla_Buffers_Agroinsumos[[#This Row],[CODIGO ]],TABLACONSOLIDADA[Bodega]&amp;TABLACONSOLIDADA[Codigo],0)),"")</f>
        <v/>
      </c>
      <c r="EM408" s="161" t="str">
        <f t="array" ref="EM40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08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08" s="135">
        <f>IFERROR(SUM(Tabla_Buffers_Agroinsumos[[#This Row],[LF-MP]:[LF-VL]]),"")</f>
        <v>0</v>
      </c>
      <c r="EP408" s="154" t="str">
        <f>IFERROR(Tabla_Buffers_Agroinsumos[[#This Row],[INV FIS LF]]-Tabla_Buffers_Agroinsumos[[#This Row],[BUFFER LF]],"")</f>
        <v/>
      </c>
      <c r="EQ408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08" s="135"/>
      <c r="ES408" s="135"/>
      <c r="ET408" s="135"/>
      <c r="EU408" s="135"/>
      <c r="EV408" s="135"/>
      <c r="EW408" s="135"/>
      <c r="EX408" s="135"/>
      <c r="EY408" s="135"/>
      <c r="EZ408" s="135"/>
      <c r="FA408" s="135" t="str">
        <f t="array" ref="FA408">IFERROR(INDEX(TABLACONSOLIDADA[Buff Act],MATCH("AGROINSUMOSVERONICALEDESMA"&amp;Tabla_Buffers_Agroinsumos[[#This Row],[CODIGO ]],TABLACONSOLIDADA[Bodega]&amp;TABLACONSOLIDADA[Codigo],0)),"")</f>
        <v/>
      </c>
      <c r="FB408" s="111" t="str">
        <f t="array" ref="FB408">IFERROR(INDEX(TABLACONSOLIDADA[Inv Fís Act],MATCH("AGROINSUMOSVERONICALEDESMA"&amp;Tabla_Buffers_Agroinsumos[[#This Row],[CODIGO ]],TABLACONSOLIDADA[Bodega]&amp;TABLACONSOLIDADA[Codigo],0)),"")</f>
        <v/>
      </c>
      <c r="FC408" s="161" t="str">
        <f t="array" ref="FC40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08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08" s="135">
        <f>IFERROR(SUM(Tabla_Buffers_Agroinsumos[[#This Row],[VL-MP]:[VL-LF]]),"")</f>
        <v>0</v>
      </c>
      <c r="FF408" s="154" t="str">
        <f>IFERROR(Tabla_Buffers_Agroinsumos[[#This Row],[INV FIS VL]]-Tabla_Buffers_Agroinsumos[[#This Row],[BUFFER VL]],"")</f>
        <v/>
      </c>
      <c r="FG408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08" s="135"/>
      <c r="FI408" s="135"/>
      <c r="FJ408" s="135"/>
      <c r="FK408" s="135"/>
      <c r="FL408" s="135"/>
      <c r="FM408" s="135"/>
      <c r="FN408" s="135"/>
      <c r="FO408" s="135"/>
      <c r="FP408" s="135"/>
    </row>
    <row r="409" spans="1:172">
      <c r="A409" s="20" t="s">
        <v>1298</v>
      </c>
      <c r="B409" s="20" t="s">
        <v>1299</v>
      </c>
      <c r="C409" s="20" t="s">
        <v>700</v>
      </c>
      <c r="D409" s="20" t="s">
        <v>718</v>
      </c>
      <c r="E409" s="20" t="s">
        <v>863</v>
      </c>
      <c r="F409" s="111" t="s">
        <v>1300</v>
      </c>
      <c r="G409" s="111" t="s">
        <v>802</v>
      </c>
      <c r="H409" s="111" t="e">
        <f>VLOOKUP(Tabla_Buffers_Agroinsumos[[#This Row],[CODIGO ]],TABLACONSOLIDADA[[Codigo]:[PV]],6,0)</f>
        <v>#N/A</v>
      </c>
      <c r="I409" s="111" t="e">
        <f>VLOOKUP(Tabla_Buffers_Agroinsumos[[#This Row],[CODIGO ]],TABLACONSOLIDADA[[Codigo]:[PV]],5,0)</f>
        <v>#N/A</v>
      </c>
      <c r="J409" s="111"/>
      <c r="K409" s="111"/>
      <c r="L409" s="111">
        <f>IFERROR(Tabla_Buffers_Agroinsumos[[#This Row],[BUFFER CENTRAL]]/((Tabla_Buffers_Agroinsumos[[#This Row],[TIEMPO REPOSICION ]]/Tabla_Buffers_Agroinsumos[[#This Row],[FRECUENCIA]])+1),0)</f>
        <v>0</v>
      </c>
      <c r="M409" s="111">
        <v>4000</v>
      </c>
      <c r="N409" s="111" t="str">
        <f t="array" ref="N409">IFERROR(INDEX(TABLACONSOLIDADA[Inv Fís Act],MATCH("AGROINSUMOSMATERIAPRIMA"&amp;Tabla_Buffers_Agroinsumos[[#This Row],[CODIGO ]],TABLACONSOLIDADA[Bodega]&amp;TABLACONSOLIDADA[Codigo],0)),"")</f>
        <v/>
      </c>
      <c r="O409" s="161" t="str">
        <f t="array" ref="O40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09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09" s="111">
        <f>IFERROR(SUM(Tabla_Buffers_Agroinsumos[[#This Row],[MP-C]:[MP-VL]]),"")</f>
        <v>0</v>
      </c>
      <c r="R409" s="154" t="str">
        <f>IFERROR(Tabla_Buffers_Agroinsumos[[#This Row],[INV FIS MATERIA PRIMA]]-Tabla_Buffers_Agroinsumos[[#This Row],[BUFFER MATERIA PRIMA]],"")</f>
        <v/>
      </c>
      <c r="S409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09" s="111"/>
      <c r="U409" s="111"/>
      <c r="V409" s="111"/>
      <c r="W409" s="111"/>
      <c r="X409" s="111"/>
      <c r="Y409" s="111"/>
      <c r="Z409" s="111"/>
      <c r="AA409" s="111"/>
      <c r="AB409" s="111"/>
      <c r="AC409" s="135" t="str">
        <f t="array" ref="AC409">IFERROR(INDEX(TABLACONSOLIDADA[Buff Act],MATCH("AGROINSUMOSCENTRAL"&amp;Tabla_Buffers_Agroinsumos[[#This Row],[CODIGO ]],TABLACONSOLIDADA[Bodega]&amp;TABLACONSOLIDADA[Codigo],0)),"")</f>
        <v/>
      </c>
      <c r="AD409" s="111" t="str">
        <f t="array" ref="AD409">IFERROR(INDEX(TABLACONSOLIDADA[Inv Fís Act],MATCH("AGROINSUMOSCENTRAL"&amp;Tabla_Buffers_Agroinsumos[[#This Row],[CODIGO ]],TABLACONSOLIDADA[Bodega]&amp;TABLACONSOLIDADA[Codigo],0)),"")</f>
        <v/>
      </c>
      <c r="AE409" s="161" t="str">
        <f t="array" ref="AE40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09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09" s="153">
        <f>IFERROR(SUM(Tabla_Buffers_Agroinsumos[[#This Row],[C-MP]:[C-VL]]),"")</f>
        <v>0</v>
      </c>
      <c r="AH409" s="154" t="str">
        <f>IFERROR(Tabla_Buffers_Agroinsumos[[#This Row],[INV FIS CENTRAL]]-Tabla_Buffers_Agroinsumos[[#This Row],[BUFFER CENTRAL]],"")</f>
        <v/>
      </c>
      <c r="AI409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09" s="135"/>
      <c r="AK409" s="135"/>
      <c r="AL409" s="135"/>
      <c r="AM409" s="135"/>
      <c r="AN409" s="135"/>
      <c r="AO409" s="135"/>
      <c r="AP409" s="135"/>
      <c r="AQ409" s="135"/>
      <c r="AR409" s="135"/>
      <c r="AS409" s="135" t="str">
        <f t="array" ref="AS409">IFERROR(INDEX(TABLACONSOLIDADA[Buff Act],MATCH("AGROINSUMOScentralPROPIA"&amp;Tabla_Buffers_Agroinsumos[[#This Row],[CODIGO ]],TABLACONSOLIDADA[Bodega]&amp;TABLACONSOLIDADA[Codigo],0)),"")</f>
        <v/>
      </c>
      <c r="AT409" s="111" t="str">
        <f t="array" ref="AT409">IFERROR(INDEX(TABLACONSOLIDADA[Inv Fís Act],MATCH("AGROINSUMOScentralPROPIA"&amp;Tabla_Buffers_Agroinsumos[[#This Row],[CODIGO ]],TABLACONSOLIDADA[Bodega]&amp;TABLACONSOLIDADA[Codigo],0)),"")</f>
        <v/>
      </c>
      <c r="AU409" s="161" t="str">
        <f t="array" ref="AU40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09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09" s="135">
        <f>IFERROR(SUM(Tabla_Buffers_Agroinsumos[[#This Row],[P-MP]:[P-VL]]),"")</f>
        <v>0</v>
      </c>
      <c r="AX409" s="154" t="str">
        <f>IFERROR(Tabla_Buffers_Agroinsumos[[#This Row],[INV FIS PROPIA]]-Tabla_Buffers_Agroinsumos[[#This Row],[BUFFER PROPIA]],"")</f>
        <v/>
      </c>
      <c r="AY409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09" s="135"/>
      <c r="BA409" s="135"/>
      <c r="BB409" s="135"/>
      <c r="BC409" s="135"/>
      <c r="BD409" s="135"/>
      <c r="BE409" s="135"/>
      <c r="BF409" s="135"/>
      <c r="BG409" s="135"/>
      <c r="BH409" s="135"/>
      <c r="BI409" s="153" t="str">
        <f t="array" ref="BI409">IFERROR(INDEX(TABLACONSOLIDADA[Buff Act],MATCH("AGROINSUMOSSTODOMINGO"&amp;Tabla_Buffers_Agroinsumos[[#This Row],[CODIGO ]],TABLACONSOLIDADA[Bodega]&amp;TABLACONSOLIDADA[Codigo],0)),"")</f>
        <v/>
      </c>
      <c r="BJ409" s="111" t="str">
        <f t="array" ref="BJ409">IFERROR(INDEX(TABLACONSOLIDADA[Inv Fís Act],MATCH("AGROINSUMOSSTODOMINGO"&amp;Tabla_Buffers_Agroinsumos[[#This Row],[CODIGO ]],TABLACONSOLIDADA[Bodega]&amp;TABLACONSOLIDADA[Codigo],0)),"")</f>
        <v/>
      </c>
      <c r="BK409" s="161" t="str">
        <f t="array" ref="BK40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09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09" s="153">
        <f>IFERROR(SUM(Tabla_Buffers_Agroinsumos[[#This Row],[SD-MP]:[SD-VL]]),"")</f>
        <v>0</v>
      </c>
      <c r="BN409" s="154"/>
      <c r="BO409" s="154"/>
      <c r="BP409" s="135"/>
      <c r="BQ409" s="135"/>
      <c r="BR409" s="135"/>
      <c r="BS409" s="135"/>
      <c r="BT409" s="135"/>
      <c r="BU409" s="135"/>
      <c r="BV409" s="135"/>
      <c r="BW409" s="135"/>
      <c r="BX409" s="135"/>
      <c r="BY409" s="135" t="str">
        <f t="array" ref="BY409">IFERROR(INDEX(TABLACONSOLIDADA[Buff Act],MATCH("AGROINSUMOSMONCAYOLOPEZ"&amp;Tabla_Buffers_Agroinsumos[[#This Row],[CODIGO ]],TABLACONSOLIDADA[Bodega]&amp;TABLACONSOLIDADA[Codigo],0)),"")</f>
        <v/>
      </c>
      <c r="BZ409" s="111" t="str">
        <f t="array" ref="BZ409">IFERROR(INDEX(TABLACONSOLIDADA[Inv Fís Act],MATCH("AGROINSUMOSMONCAYOLOPEZ"&amp;Tabla_Buffers_Agroinsumos[[#This Row],[CODIGO ]],TABLACONSOLIDADA[Bodega]&amp;TABLACONSOLIDADA[Codigo],0)),"")</f>
        <v/>
      </c>
      <c r="CA409" s="161" t="str">
        <f t="array" ref="CA40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09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09" s="135">
        <f>IFERROR(SUM(Tabla_Buffers_Agroinsumos[[#This Row],[ML-MP]:[ML-VL]]),"")</f>
        <v>0</v>
      </c>
      <c r="CD409" s="154" t="str">
        <f>IFERROR(Tabla_Buffers_Agroinsumos[[#This Row],[INV FIS ML]]-Tabla_Buffers_Agroinsumos[[#This Row],[BUFFER ML]],"")</f>
        <v/>
      </c>
      <c r="CE409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09" s="135"/>
      <c r="CG409" s="135"/>
      <c r="CH409" s="135"/>
      <c r="CI409" s="135"/>
      <c r="CJ409" s="135"/>
      <c r="CK409" s="135"/>
      <c r="CL409" s="135"/>
      <c r="CM409" s="135"/>
      <c r="CN409" s="135"/>
      <c r="CO409" s="135" t="str">
        <f t="array" ref="CO409">IFERROR(INDEX(TABLACONSOLIDADA[Buff Act],MATCH("AGROINSUMOSAGROHERMANOSLEON"&amp;Tabla_Buffers_Agroinsumos[[#This Row],[CODIGO ]],TABLACONSOLIDADA[Bodega]&amp;TABLACONSOLIDADA[Codigo],0)),"")</f>
        <v/>
      </c>
      <c r="CP409" s="111" t="str">
        <f t="array" ref="CP409">IFERROR(INDEX(TABLACONSOLIDADA[Inv Fís Act],MATCH("AGROINSUMOSAGROHERMANOSLEON"&amp;Tabla_Buffers_Agroinsumos[[#This Row],[CODIGO ]],TABLACONSOLIDADA[Bodega]&amp;TABLACONSOLIDADA[Codigo],0)),"")</f>
        <v/>
      </c>
      <c r="CQ409" s="161" t="str">
        <f t="array" ref="CQ40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09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09" s="135">
        <f>IFERROR(SUM(Tabla_Buffers_Agroinsumos[[#This Row],[AL-MP]:[AL-VL]]),"")</f>
        <v>0</v>
      </c>
      <c r="CT409" s="154" t="str">
        <f>IFERROR(Tabla_Buffers_Agroinsumos[[#This Row],[INV FIS AL]]-Tabla_Buffers_Agroinsumos[[#This Row],[BUFFER AL]],"")</f>
        <v/>
      </c>
      <c r="CU409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09" s="135"/>
      <c r="CW409" s="135"/>
      <c r="CX409" s="135"/>
      <c r="CY409" s="135"/>
      <c r="CZ409" s="135"/>
      <c r="DA409" s="135"/>
      <c r="DB409" s="135"/>
      <c r="DC409" s="135"/>
      <c r="DD409" s="135"/>
      <c r="DE409" s="135" t="str">
        <f t="array" ref="DE409">IFERROR(INDEX(TABLACONSOLIDADA[Buff Act],MATCH("AGROINSUMOSAGRONUEVO"&amp;Tabla_Buffers_Agroinsumos[[#This Row],[CODIGO ]],TABLACONSOLIDADA[Bodega]&amp;TABLACONSOLIDADA[Codigo],0)),"")</f>
        <v/>
      </c>
      <c r="DF409" s="111" t="str">
        <f t="array" ref="DF409">IFERROR(INDEX(TABLACONSOLIDADA[Inv Fís Act],MATCH("AGROINSUMOSAGRONUEVO"&amp;Tabla_Buffers_Agroinsumos[[#This Row],[CODIGO ]],TABLACONSOLIDADA[Bodega]&amp;TABLACONSOLIDADA[Codigo],0)),"")</f>
        <v/>
      </c>
      <c r="DG409" s="161" t="str">
        <f t="array" ref="DG40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09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09" s="135">
        <f>IFERROR(SUM(Tabla_Buffers_Agroinsumos[[#This Row],[AN-MP]:[AN-VL]]),"")</f>
        <v>0</v>
      </c>
      <c r="DJ409" s="154" t="str">
        <f>IFERROR(Tabla_Buffers_Agroinsumos[[#This Row],[INV FIS AN]]-Tabla_Buffers_Agroinsumos[[#This Row],[BUFFER AN]],"")</f>
        <v/>
      </c>
      <c r="DK409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09" s="135"/>
      <c r="DM409" s="135"/>
      <c r="DN409" s="135"/>
      <c r="DO409" s="135"/>
      <c r="DP409" s="135"/>
      <c r="DQ409" s="135"/>
      <c r="DR409" s="135"/>
      <c r="DS409" s="135"/>
      <c r="DT409" s="135"/>
      <c r="DU409" s="135" t="str">
        <f t="array" ref="DU409">IFERROR(INDEX(TABLACONSOLIDADA[Buff Act],MATCH("AGROINSUMOSAGROQUIMICOSSUR"&amp;Tabla_Buffers_Agroinsumos[[#This Row],[CODIGO ]],TABLACONSOLIDADA[Bodega]&amp;TABLACONSOLIDADA[Codigo],0)),"")</f>
        <v/>
      </c>
      <c r="DV409" s="111" t="str">
        <f t="array" ref="DV409">IFERROR(INDEX(TABLACONSOLIDADA[Inv Fís Act],MATCH("AGROINSUMOSAGROQUIMICOSSUR"&amp;Tabla_Buffers_Agroinsumos[[#This Row],[CODIGO ]],TABLACONSOLIDADA[Bodega]&amp;TABLACONSOLIDADA[Codigo],0)),"")</f>
        <v/>
      </c>
      <c r="DW409" s="161" t="str">
        <f t="array" ref="DW40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09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09" s="135">
        <f>IFERROR(SUM(Tabla_Buffers_Agroinsumos[[#This Row],[AS-MP]:[AS-VL]]),"")</f>
        <v>0</v>
      </c>
      <c r="DZ409" s="154" t="str">
        <f>IFERROR(Tabla_Buffers_Agroinsumos[[#This Row],[INV FIS AS]]-Tabla_Buffers_Agroinsumos[[#This Row],[BUFFER AS]],"")</f>
        <v/>
      </c>
      <c r="EA409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09" s="135"/>
      <c r="EC409" s="135"/>
      <c r="ED409" s="135"/>
      <c r="EE409" s="135"/>
      <c r="EF409" s="135"/>
      <c r="EG409" s="135"/>
      <c r="EH409" s="135"/>
      <c r="EI409" s="135"/>
      <c r="EJ409" s="135"/>
      <c r="EK409" s="135" t="str">
        <f t="array" ref="EK409">IFERROR(INDEX(TABLACONSOLIDADA[Buff Act],MATCH("AGROINSUMOSLAFINCA"&amp;Tabla_Buffers_Agroinsumos[[#This Row],[CODIGO ]],TABLACONSOLIDADA[Bodega]&amp;TABLACONSOLIDADA[Codigo],0)),"")</f>
        <v/>
      </c>
      <c r="EL409" s="111" t="str">
        <f t="array" ref="EL409">IFERROR(INDEX(TABLACONSOLIDADA[Inv Fís Act],MATCH("AGROINSUMOSLAFINCA"&amp;Tabla_Buffers_Agroinsumos[[#This Row],[CODIGO ]],TABLACONSOLIDADA[Bodega]&amp;TABLACONSOLIDADA[Codigo],0)),"")</f>
        <v/>
      </c>
      <c r="EM409" s="161" t="str">
        <f t="array" ref="EM40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09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09" s="135">
        <f>IFERROR(SUM(Tabla_Buffers_Agroinsumos[[#This Row],[LF-MP]:[LF-VL]]),"")</f>
        <v>0</v>
      </c>
      <c r="EP409" s="154" t="str">
        <f>IFERROR(Tabla_Buffers_Agroinsumos[[#This Row],[INV FIS LF]]-Tabla_Buffers_Agroinsumos[[#This Row],[BUFFER LF]],"")</f>
        <v/>
      </c>
      <c r="EQ409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09" s="135"/>
      <c r="ES409" s="135"/>
      <c r="ET409" s="135"/>
      <c r="EU409" s="135"/>
      <c r="EV409" s="135"/>
      <c r="EW409" s="135"/>
      <c r="EX409" s="135"/>
      <c r="EY409" s="135"/>
      <c r="EZ409" s="135"/>
      <c r="FA409" s="135" t="str">
        <f t="array" ref="FA409">IFERROR(INDEX(TABLACONSOLIDADA[Buff Act],MATCH("AGROINSUMOSVERONICALEDESMA"&amp;Tabla_Buffers_Agroinsumos[[#This Row],[CODIGO ]],TABLACONSOLIDADA[Bodega]&amp;TABLACONSOLIDADA[Codigo],0)),"")</f>
        <v/>
      </c>
      <c r="FB409" s="111" t="str">
        <f t="array" ref="FB409">IFERROR(INDEX(TABLACONSOLIDADA[Inv Fís Act],MATCH("AGROINSUMOSVERONICALEDESMA"&amp;Tabla_Buffers_Agroinsumos[[#This Row],[CODIGO ]],TABLACONSOLIDADA[Bodega]&amp;TABLACONSOLIDADA[Codigo],0)),"")</f>
        <v/>
      </c>
      <c r="FC409" s="161" t="str">
        <f t="array" ref="FC40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09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09" s="135">
        <f>IFERROR(SUM(Tabla_Buffers_Agroinsumos[[#This Row],[VL-MP]:[VL-LF]]),"")</f>
        <v>0</v>
      </c>
      <c r="FF409" s="154" t="str">
        <f>IFERROR(Tabla_Buffers_Agroinsumos[[#This Row],[INV FIS VL]]-Tabla_Buffers_Agroinsumos[[#This Row],[BUFFER VL]],"")</f>
        <v/>
      </c>
      <c r="FG409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09" s="135"/>
      <c r="FI409" s="135"/>
      <c r="FJ409" s="135"/>
      <c r="FK409" s="135"/>
      <c r="FL409" s="135"/>
      <c r="FM409" s="135"/>
      <c r="FN409" s="135"/>
      <c r="FO409" s="135"/>
      <c r="FP409" s="135"/>
    </row>
    <row r="410" spans="1:172">
      <c r="A410" s="20" t="s">
        <v>1301</v>
      </c>
      <c r="B410" s="20" t="s">
        <v>1302</v>
      </c>
      <c r="C410" s="7" t="s">
        <v>707</v>
      </c>
      <c r="D410" s="7" t="s">
        <v>1319</v>
      </c>
      <c r="E410" s="7" t="s">
        <v>975</v>
      </c>
      <c r="F410" s="111"/>
      <c r="G410" s="111"/>
      <c r="H410" s="111" t="e">
        <f>VLOOKUP(Tabla_Buffers_Agroinsumos[[#This Row],[CODIGO ]],TABLACONSOLIDADA[[Codigo]:[PV]],6,0)</f>
        <v>#N/A</v>
      </c>
      <c r="I410" s="111" t="e">
        <f>VLOOKUP(Tabla_Buffers_Agroinsumos[[#This Row],[CODIGO ]],TABLACONSOLIDADA[[Codigo]:[PV]],5,0)</f>
        <v>#N/A</v>
      </c>
      <c r="J410" s="111"/>
      <c r="K410" s="111"/>
      <c r="L410" s="111">
        <f>IFERROR(Tabla_Buffers_Agroinsumos[[#This Row],[BUFFER CENTRAL]]/((Tabla_Buffers_Agroinsumos[[#This Row],[TIEMPO REPOSICION ]]/Tabla_Buffers_Agroinsumos[[#This Row],[FRECUENCIA]])+1),0)</f>
        <v>0</v>
      </c>
      <c r="M410" s="111">
        <v>500</v>
      </c>
      <c r="N410" s="111" t="str">
        <f t="array" ref="N410">IFERROR(INDEX(TABLACONSOLIDADA[Inv Fís Act],MATCH("AGROINSUMOSMATERIAPRIMA"&amp;Tabla_Buffers_Agroinsumos[[#This Row],[CODIGO ]],TABLACONSOLIDADA[Bodega]&amp;TABLACONSOLIDADA[Codigo],0)),"")</f>
        <v/>
      </c>
      <c r="O410" s="161" t="str">
        <f t="array" ref="O41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10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10" s="111">
        <f>IFERROR(SUM(Tabla_Buffers_Agroinsumos[[#This Row],[MP-C]:[MP-VL]]),"")</f>
        <v>0</v>
      </c>
      <c r="R410" s="154" t="str">
        <f>IFERROR(Tabla_Buffers_Agroinsumos[[#This Row],[INV FIS MATERIA PRIMA]]-Tabla_Buffers_Agroinsumos[[#This Row],[BUFFER MATERIA PRIMA]],"")</f>
        <v/>
      </c>
      <c r="S410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10" s="111"/>
      <c r="U410" s="111"/>
      <c r="V410" s="111"/>
      <c r="W410" s="111"/>
      <c r="X410" s="111"/>
      <c r="Y410" s="111"/>
      <c r="Z410" s="111"/>
      <c r="AA410" s="111"/>
      <c r="AB410" s="111"/>
      <c r="AC410" s="135" t="str">
        <f t="array" ref="AC410">IFERROR(INDEX(TABLACONSOLIDADA[Buff Act],MATCH("AGROINSUMOSCENTRAL"&amp;Tabla_Buffers_Agroinsumos[[#This Row],[CODIGO ]],TABLACONSOLIDADA[Bodega]&amp;TABLACONSOLIDADA[Codigo],0)),"")</f>
        <v/>
      </c>
      <c r="AD410" s="111" t="str">
        <f t="array" ref="AD410">IFERROR(INDEX(TABLACONSOLIDADA[Inv Fís Act],MATCH("AGROINSUMOSCENTRAL"&amp;Tabla_Buffers_Agroinsumos[[#This Row],[CODIGO ]],TABLACONSOLIDADA[Bodega]&amp;TABLACONSOLIDADA[Codigo],0)),"")</f>
        <v/>
      </c>
      <c r="AE410" s="161" t="str">
        <f t="array" ref="AE41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10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10" s="153">
        <f>IFERROR(SUM(Tabla_Buffers_Agroinsumos[[#This Row],[C-MP]:[C-VL]]),"")</f>
        <v>0</v>
      </c>
      <c r="AH410" s="154" t="str">
        <f>IFERROR(Tabla_Buffers_Agroinsumos[[#This Row],[INV FIS CENTRAL]]-Tabla_Buffers_Agroinsumos[[#This Row],[BUFFER CENTRAL]],"")</f>
        <v/>
      </c>
      <c r="AI410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10" s="135"/>
      <c r="AK410" s="135"/>
      <c r="AL410" s="135"/>
      <c r="AM410" s="135"/>
      <c r="AN410" s="135"/>
      <c r="AO410" s="135"/>
      <c r="AP410" s="135"/>
      <c r="AQ410" s="135"/>
      <c r="AR410" s="135"/>
      <c r="AS410" s="135" t="str">
        <f t="array" ref="AS410">IFERROR(INDEX(TABLACONSOLIDADA[Buff Act],MATCH("AGROINSUMOScentralPROPIA"&amp;Tabla_Buffers_Agroinsumos[[#This Row],[CODIGO ]],TABLACONSOLIDADA[Bodega]&amp;TABLACONSOLIDADA[Codigo],0)),"")</f>
        <v/>
      </c>
      <c r="AT410" s="111" t="str">
        <f t="array" ref="AT410">IFERROR(INDEX(TABLACONSOLIDADA[Inv Fís Act],MATCH("AGROINSUMOScentralPROPIA"&amp;Tabla_Buffers_Agroinsumos[[#This Row],[CODIGO ]],TABLACONSOLIDADA[Bodega]&amp;TABLACONSOLIDADA[Codigo],0)),"")</f>
        <v/>
      </c>
      <c r="AU410" s="161" t="str">
        <f t="array" ref="AU41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10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10" s="135">
        <f>IFERROR(SUM(Tabla_Buffers_Agroinsumos[[#This Row],[P-MP]:[P-VL]]),"")</f>
        <v>0</v>
      </c>
      <c r="AX410" s="154" t="str">
        <f>IFERROR(Tabla_Buffers_Agroinsumos[[#This Row],[INV FIS PROPIA]]-Tabla_Buffers_Agroinsumos[[#This Row],[BUFFER PROPIA]],"")</f>
        <v/>
      </c>
      <c r="AY410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10" s="135"/>
      <c r="BA410" s="135"/>
      <c r="BB410" s="135"/>
      <c r="BC410" s="135"/>
      <c r="BD410" s="135"/>
      <c r="BE410" s="135"/>
      <c r="BF410" s="135"/>
      <c r="BG410" s="135"/>
      <c r="BH410" s="135"/>
      <c r="BI410" s="153" t="str">
        <f t="array" ref="BI410">IFERROR(INDEX(TABLACONSOLIDADA[Buff Act],MATCH("AGROINSUMOSSTODOMINGO"&amp;Tabla_Buffers_Agroinsumos[[#This Row],[CODIGO ]],TABLACONSOLIDADA[Bodega]&amp;TABLACONSOLIDADA[Codigo],0)),"")</f>
        <v/>
      </c>
      <c r="BJ410" s="111" t="str">
        <f t="array" ref="BJ410">IFERROR(INDEX(TABLACONSOLIDADA[Inv Fís Act],MATCH("AGROINSUMOSSTODOMINGO"&amp;Tabla_Buffers_Agroinsumos[[#This Row],[CODIGO ]],TABLACONSOLIDADA[Bodega]&amp;TABLACONSOLIDADA[Codigo],0)),"")</f>
        <v/>
      </c>
      <c r="BK410" s="161" t="str">
        <f t="array" ref="BK41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10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10" s="153">
        <f>IFERROR(SUM(Tabla_Buffers_Agroinsumos[[#This Row],[SD-MP]:[SD-VL]]),"")</f>
        <v>0</v>
      </c>
      <c r="BN410" s="154"/>
      <c r="BO410" s="154"/>
      <c r="BP410" s="135"/>
      <c r="BQ410" s="135"/>
      <c r="BR410" s="135"/>
      <c r="BS410" s="135"/>
      <c r="BT410" s="135"/>
      <c r="BU410" s="135"/>
      <c r="BV410" s="135"/>
      <c r="BW410" s="135"/>
      <c r="BX410" s="135"/>
      <c r="BY410" s="135" t="str">
        <f t="array" ref="BY410">IFERROR(INDEX(TABLACONSOLIDADA[Buff Act],MATCH("AGROINSUMOSMONCAYOLOPEZ"&amp;Tabla_Buffers_Agroinsumos[[#This Row],[CODIGO ]],TABLACONSOLIDADA[Bodega]&amp;TABLACONSOLIDADA[Codigo],0)),"")</f>
        <v/>
      </c>
      <c r="BZ410" s="111" t="str">
        <f t="array" ref="BZ410">IFERROR(INDEX(TABLACONSOLIDADA[Inv Fís Act],MATCH("AGROINSUMOSMONCAYOLOPEZ"&amp;Tabla_Buffers_Agroinsumos[[#This Row],[CODIGO ]],TABLACONSOLIDADA[Bodega]&amp;TABLACONSOLIDADA[Codigo],0)),"")</f>
        <v/>
      </c>
      <c r="CA410" s="161" t="str">
        <f t="array" ref="CA41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10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10" s="135">
        <f>IFERROR(SUM(Tabla_Buffers_Agroinsumos[[#This Row],[ML-MP]:[ML-VL]]),"")</f>
        <v>0</v>
      </c>
      <c r="CD410" s="154" t="str">
        <f>IFERROR(Tabla_Buffers_Agroinsumos[[#This Row],[INV FIS ML]]-Tabla_Buffers_Agroinsumos[[#This Row],[BUFFER ML]],"")</f>
        <v/>
      </c>
      <c r="CE410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10" s="135"/>
      <c r="CG410" s="135"/>
      <c r="CH410" s="135"/>
      <c r="CI410" s="135"/>
      <c r="CJ410" s="135"/>
      <c r="CK410" s="135"/>
      <c r="CL410" s="135"/>
      <c r="CM410" s="135"/>
      <c r="CN410" s="135"/>
      <c r="CO410" s="135" t="str">
        <f t="array" ref="CO410">IFERROR(INDEX(TABLACONSOLIDADA[Buff Act],MATCH("AGROINSUMOSAGROHERMANOSLEON"&amp;Tabla_Buffers_Agroinsumos[[#This Row],[CODIGO ]],TABLACONSOLIDADA[Bodega]&amp;TABLACONSOLIDADA[Codigo],0)),"")</f>
        <v/>
      </c>
      <c r="CP410" s="111" t="str">
        <f t="array" ref="CP410">IFERROR(INDEX(TABLACONSOLIDADA[Inv Fís Act],MATCH("AGROINSUMOSAGROHERMANOSLEON"&amp;Tabla_Buffers_Agroinsumos[[#This Row],[CODIGO ]],TABLACONSOLIDADA[Bodega]&amp;TABLACONSOLIDADA[Codigo],0)),"")</f>
        <v/>
      </c>
      <c r="CQ410" s="161" t="str">
        <f t="array" ref="CQ41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10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10" s="135">
        <f>IFERROR(SUM(Tabla_Buffers_Agroinsumos[[#This Row],[AL-MP]:[AL-VL]]),"")</f>
        <v>0</v>
      </c>
      <c r="CT410" s="154" t="str">
        <f>IFERROR(Tabla_Buffers_Agroinsumos[[#This Row],[INV FIS AL]]-Tabla_Buffers_Agroinsumos[[#This Row],[BUFFER AL]],"")</f>
        <v/>
      </c>
      <c r="CU410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10" s="135"/>
      <c r="CW410" s="135"/>
      <c r="CX410" s="135"/>
      <c r="CY410" s="135"/>
      <c r="CZ410" s="135"/>
      <c r="DA410" s="135"/>
      <c r="DB410" s="135"/>
      <c r="DC410" s="135"/>
      <c r="DD410" s="135"/>
      <c r="DE410" s="135" t="str">
        <f t="array" ref="DE410">IFERROR(INDEX(TABLACONSOLIDADA[Buff Act],MATCH("AGROINSUMOSAGRONUEVO"&amp;Tabla_Buffers_Agroinsumos[[#This Row],[CODIGO ]],TABLACONSOLIDADA[Bodega]&amp;TABLACONSOLIDADA[Codigo],0)),"")</f>
        <v/>
      </c>
      <c r="DF410" s="111" t="str">
        <f t="array" ref="DF410">IFERROR(INDEX(TABLACONSOLIDADA[Inv Fís Act],MATCH("AGROINSUMOSAGRONUEVO"&amp;Tabla_Buffers_Agroinsumos[[#This Row],[CODIGO ]],TABLACONSOLIDADA[Bodega]&amp;TABLACONSOLIDADA[Codigo],0)),"")</f>
        <v/>
      </c>
      <c r="DG410" s="161" t="str">
        <f t="array" ref="DG41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10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10" s="135">
        <f>IFERROR(SUM(Tabla_Buffers_Agroinsumos[[#This Row],[AN-MP]:[AN-VL]]),"")</f>
        <v>0</v>
      </c>
      <c r="DJ410" s="154" t="str">
        <f>IFERROR(Tabla_Buffers_Agroinsumos[[#This Row],[INV FIS AN]]-Tabla_Buffers_Agroinsumos[[#This Row],[BUFFER AN]],"")</f>
        <v/>
      </c>
      <c r="DK410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10" s="135"/>
      <c r="DM410" s="135"/>
      <c r="DN410" s="135"/>
      <c r="DO410" s="135"/>
      <c r="DP410" s="135"/>
      <c r="DQ410" s="135"/>
      <c r="DR410" s="135"/>
      <c r="DS410" s="135"/>
      <c r="DT410" s="135"/>
      <c r="DU410" s="135" t="str">
        <f t="array" ref="DU410">IFERROR(INDEX(TABLACONSOLIDADA[Buff Act],MATCH("AGROINSUMOSAGROQUIMICOSSUR"&amp;Tabla_Buffers_Agroinsumos[[#This Row],[CODIGO ]],TABLACONSOLIDADA[Bodega]&amp;TABLACONSOLIDADA[Codigo],0)),"")</f>
        <v/>
      </c>
      <c r="DV410" s="111" t="str">
        <f t="array" ref="DV410">IFERROR(INDEX(TABLACONSOLIDADA[Inv Fís Act],MATCH("AGROINSUMOSAGROQUIMICOSSUR"&amp;Tabla_Buffers_Agroinsumos[[#This Row],[CODIGO ]],TABLACONSOLIDADA[Bodega]&amp;TABLACONSOLIDADA[Codigo],0)),"")</f>
        <v/>
      </c>
      <c r="DW410" s="161" t="str">
        <f t="array" ref="DW41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10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10" s="135">
        <f>IFERROR(SUM(Tabla_Buffers_Agroinsumos[[#This Row],[AS-MP]:[AS-VL]]),"")</f>
        <v>0</v>
      </c>
      <c r="DZ410" s="154" t="str">
        <f>IFERROR(Tabla_Buffers_Agroinsumos[[#This Row],[INV FIS AS]]-Tabla_Buffers_Agroinsumos[[#This Row],[BUFFER AS]],"")</f>
        <v/>
      </c>
      <c r="EA410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10" s="135"/>
      <c r="EC410" s="135"/>
      <c r="ED410" s="135"/>
      <c r="EE410" s="135"/>
      <c r="EF410" s="135"/>
      <c r="EG410" s="135"/>
      <c r="EH410" s="135"/>
      <c r="EI410" s="135"/>
      <c r="EJ410" s="135"/>
      <c r="EK410" s="135" t="str">
        <f t="array" ref="EK410">IFERROR(INDEX(TABLACONSOLIDADA[Buff Act],MATCH("AGROINSUMOSLAFINCA"&amp;Tabla_Buffers_Agroinsumos[[#This Row],[CODIGO ]],TABLACONSOLIDADA[Bodega]&amp;TABLACONSOLIDADA[Codigo],0)),"")</f>
        <v/>
      </c>
      <c r="EL410" s="111" t="str">
        <f t="array" ref="EL410">IFERROR(INDEX(TABLACONSOLIDADA[Inv Fís Act],MATCH("AGROINSUMOSLAFINCA"&amp;Tabla_Buffers_Agroinsumos[[#This Row],[CODIGO ]],TABLACONSOLIDADA[Bodega]&amp;TABLACONSOLIDADA[Codigo],0)),"")</f>
        <v/>
      </c>
      <c r="EM410" s="161" t="str">
        <f t="array" ref="EM41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10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10" s="135">
        <f>IFERROR(SUM(Tabla_Buffers_Agroinsumos[[#This Row],[LF-MP]:[LF-VL]]),"")</f>
        <v>0</v>
      </c>
      <c r="EP410" s="154" t="str">
        <f>IFERROR(Tabla_Buffers_Agroinsumos[[#This Row],[INV FIS LF]]-Tabla_Buffers_Agroinsumos[[#This Row],[BUFFER LF]],"")</f>
        <v/>
      </c>
      <c r="EQ410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10" s="135"/>
      <c r="ES410" s="135"/>
      <c r="ET410" s="135"/>
      <c r="EU410" s="135"/>
      <c r="EV410" s="135"/>
      <c r="EW410" s="135"/>
      <c r="EX410" s="135"/>
      <c r="EY410" s="135"/>
      <c r="EZ410" s="135"/>
      <c r="FA410" s="135" t="str">
        <f t="array" ref="FA410">IFERROR(INDEX(TABLACONSOLIDADA[Buff Act],MATCH("AGROINSUMOSVERONICALEDESMA"&amp;Tabla_Buffers_Agroinsumos[[#This Row],[CODIGO ]],TABLACONSOLIDADA[Bodega]&amp;TABLACONSOLIDADA[Codigo],0)),"")</f>
        <v/>
      </c>
      <c r="FB410" s="111" t="str">
        <f t="array" ref="FB410">IFERROR(INDEX(TABLACONSOLIDADA[Inv Fís Act],MATCH("AGROINSUMOSVERONICALEDESMA"&amp;Tabla_Buffers_Agroinsumos[[#This Row],[CODIGO ]],TABLACONSOLIDADA[Bodega]&amp;TABLACONSOLIDADA[Codigo],0)),"")</f>
        <v/>
      </c>
      <c r="FC410" s="161" t="str">
        <f t="array" ref="FC41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10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10" s="135">
        <f>IFERROR(SUM(Tabla_Buffers_Agroinsumos[[#This Row],[VL-MP]:[VL-LF]]),"")</f>
        <v>0</v>
      </c>
      <c r="FF410" s="154" t="str">
        <f>IFERROR(Tabla_Buffers_Agroinsumos[[#This Row],[INV FIS VL]]-Tabla_Buffers_Agroinsumos[[#This Row],[BUFFER VL]],"")</f>
        <v/>
      </c>
      <c r="FG410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10" s="135"/>
      <c r="FI410" s="135"/>
      <c r="FJ410" s="135"/>
      <c r="FK410" s="135"/>
      <c r="FL410" s="135"/>
      <c r="FM410" s="135"/>
      <c r="FN410" s="135"/>
      <c r="FO410" s="135"/>
      <c r="FP410" s="135"/>
    </row>
    <row r="411" spans="1:172">
      <c r="A411" s="20" t="s">
        <v>1303</v>
      </c>
      <c r="B411" s="20" t="s">
        <v>1329</v>
      </c>
      <c r="C411" s="7" t="s">
        <v>707</v>
      </c>
      <c r="D411" s="20" t="s">
        <v>718</v>
      </c>
      <c r="E411" s="20" t="s">
        <v>863</v>
      </c>
      <c r="F411" s="111" t="s">
        <v>1313</v>
      </c>
      <c r="G411" s="111" t="s">
        <v>802</v>
      </c>
      <c r="H411" s="111" t="e">
        <f>VLOOKUP(Tabla_Buffers_Agroinsumos[[#This Row],[CODIGO ]],TABLACONSOLIDADA[[Codigo]:[PV]],6,0)</f>
        <v>#N/A</v>
      </c>
      <c r="I411" s="111" t="e">
        <f>VLOOKUP(Tabla_Buffers_Agroinsumos[[#This Row],[CODIGO ]],TABLACONSOLIDADA[[Codigo]:[PV]],5,0)</f>
        <v>#N/A</v>
      </c>
      <c r="J411" s="111"/>
      <c r="K411" s="111"/>
      <c r="L411" s="111">
        <f>IFERROR(Tabla_Buffers_Agroinsumos[[#This Row],[BUFFER CENTRAL]]/((Tabla_Buffers_Agroinsumos[[#This Row],[TIEMPO REPOSICION ]]/Tabla_Buffers_Agroinsumos[[#This Row],[FRECUENCIA]])+1),0)</f>
        <v>0</v>
      </c>
      <c r="M411" s="111">
        <v>1500</v>
      </c>
      <c r="N411" s="111" t="str">
        <f t="array" ref="N411">IFERROR(INDEX(TABLACONSOLIDADA[Inv Fís Act],MATCH("AGROINSUMOSMATERIAPRIMA"&amp;Tabla_Buffers_Agroinsumos[[#This Row],[CODIGO ]],TABLACONSOLIDADA[Bodega]&amp;TABLACONSOLIDADA[Codigo],0)),"")</f>
        <v/>
      </c>
      <c r="O411" s="161" t="str">
        <f t="array" ref="O41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11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11" s="111">
        <f>IFERROR(SUM(Tabla_Buffers_Agroinsumos[[#This Row],[MP-C]:[MP-VL]]),"")</f>
        <v>0</v>
      </c>
      <c r="R411" s="154" t="str">
        <f>IFERROR(Tabla_Buffers_Agroinsumos[[#This Row],[INV FIS MATERIA PRIMA]]-Tabla_Buffers_Agroinsumos[[#This Row],[BUFFER MATERIA PRIMA]],"")</f>
        <v/>
      </c>
      <c r="S411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11" s="111"/>
      <c r="U411" s="111"/>
      <c r="V411" s="111"/>
      <c r="W411" s="111"/>
      <c r="X411" s="111"/>
      <c r="Y411" s="111"/>
      <c r="Z411" s="111"/>
      <c r="AA411" s="111"/>
      <c r="AB411" s="111"/>
      <c r="AC411" s="135" t="str">
        <f t="array" ref="AC411">IFERROR(INDEX(TABLACONSOLIDADA[Buff Act],MATCH("AGROINSUMOSCENTRAL"&amp;Tabla_Buffers_Agroinsumos[[#This Row],[CODIGO ]],TABLACONSOLIDADA[Bodega]&amp;TABLACONSOLIDADA[Codigo],0)),"")</f>
        <v/>
      </c>
      <c r="AD411" s="111" t="str">
        <f t="array" ref="AD411">IFERROR(INDEX(TABLACONSOLIDADA[Inv Fís Act],MATCH("AGROINSUMOSCENTRAL"&amp;Tabla_Buffers_Agroinsumos[[#This Row],[CODIGO ]],TABLACONSOLIDADA[Bodega]&amp;TABLACONSOLIDADA[Codigo],0)),"")</f>
        <v/>
      </c>
      <c r="AE411" s="161" t="str">
        <f t="array" ref="AE41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11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11" s="153">
        <f>IFERROR(SUM(Tabla_Buffers_Agroinsumos[[#This Row],[C-MP]:[C-VL]]),"")</f>
        <v>0</v>
      </c>
      <c r="AH411" s="154" t="str">
        <f>IFERROR(Tabla_Buffers_Agroinsumos[[#This Row],[INV FIS CENTRAL]]-Tabla_Buffers_Agroinsumos[[#This Row],[BUFFER CENTRAL]],"")</f>
        <v/>
      </c>
      <c r="AI411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11" s="135"/>
      <c r="AK411" s="135"/>
      <c r="AL411" s="135"/>
      <c r="AM411" s="135"/>
      <c r="AN411" s="135"/>
      <c r="AO411" s="135"/>
      <c r="AP411" s="135"/>
      <c r="AQ411" s="135"/>
      <c r="AR411" s="135"/>
      <c r="AS411" s="135" t="str">
        <f t="array" ref="AS411">IFERROR(INDEX(TABLACONSOLIDADA[Buff Act],MATCH("AGROINSUMOScentralPROPIA"&amp;Tabla_Buffers_Agroinsumos[[#This Row],[CODIGO ]],TABLACONSOLIDADA[Bodega]&amp;TABLACONSOLIDADA[Codigo],0)),"")</f>
        <v/>
      </c>
      <c r="AT411" s="111" t="str">
        <f t="array" ref="AT411">IFERROR(INDEX(TABLACONSOLIDADA[Inv Fís Act],MATCH("AGROINSUMOScentralPROPIA"&amp;Tabla_Buffers_Agroinsumos[[#This Row],[CODIGO ]],TABLACONSOLIDADA[Bodega]&amp;TABLACONSOLIDADA[Codigo],0)),"")</f>
        <v/>
      </c>
      <c r="AU411" s="161" t="str">
        <f t="array" ref="AU41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11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11" s="135">
        <f>IFERROR(SUM(Tabla_Buffers_Agroinsumos[[#This Row],[P-MP]:[P-VL]]),"")</f>
        <v>0</v>
      </c>
      <c r="AX411" s="154" t="str">
        <f>IFERROR(Tabla_Buffers_Agroinsumos[[#This Row],[INV FIS PROPIA]]-Tabla_Buffers_Agroinsumos[[#This Row],[BUFFER PROPIA]],"")</f>
        <v/>
      </c>
      <c r="AY411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11" s="135"/>
      <c r="BA411" s="135"/>
      <c r="BB411" s="135"/>
      <c r="BC411" s="135"/>
      <c r="BD411" s="135"/>
      <c r="BE411" s="135"/>
      <c r="BF411" s="135"/>
      <c r="BG411" s="135"/>
      <c r="BH411" s="135"/>
      <c r="BI411" s="153" t="str">
        <f t="array" ref="BI411">IFERROR(INDEX(TABLACONSOLIDADA[Buff Act],MATCH("AGROINSUMOSSTODOMINGO"&amp;Tabla_Buffers_Agroinsumos[[#This Row],[CODIGO ]],TABLACONSOLIDADA[Bodega]&amp;TABLACONSOLIDADA[Codigo],0)),"")</f>
        <v/>
      </c>
      <c r="BJ411" s="111" t="str">
        <f t="array" ref="BJ411">IFERROR(INDEX(TABLACONSOLIDADA[Inv Fís Act],MATCH("AGROINSUMOSSTODOMINGO"&amp;Tabla_Buffers_Agroinsumos[[#This Row],[CODIGO ]],TABLACONSOLIDADA[Bodega]&amp;TABLACONSOLIDADA[Codigo],0)),"")</f>
        <v/>
      </c>
      <c r="BK411" s="161" t="str">
        <f t="array" ref="BK41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11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11" s="153">
        <f>IFERROR(SUM(Tabla_Buffers_Agroinsumos[[#This Row],[SD-MP]:[SD-VL]]),"")</f>
        <v>0</v>
      </c>
      <c r="BN411" s="154"/>
      <c r="BO411" s="154"/>
      <c r="BP411" s="135"/>
      <c r="BQ411" s="135"/>
      <c r="BR411" s="135"/>
      <c r="BS411" s="135"/>
      <c r="BT411" s="135"/>
      <c r="BU411" s="135"/>
      <c r="BV411" s="135"/>
      <c r="BW411" s="135"/>
      <c r="BX411" s="135"/>
      <c r="BY411" s="135" t="str">
        <f t="array" ref="BY411">IFERROR(INDEX(TABLACONSOLIDADA[Buff Act],MATCH("AGROINSUMOSMONCAYOLOPEZ"&amp;Tabla_Buffers_Agroinsumos[[#This Row],[CODIGO ]],TABLACONSOLIDADA[Bodega]&amp;TABLACONSOLIDADA[Codigo],0)),"")</f>
        <v/>
      </c>
      <c r="BZ411" s="111" t="str">
        <f t="array" ref="BZ411">IFERROR(INDEX(TABLACONSOLIDADA[Inv Fís Act],MATCH("AGROINSUMOSMONCAYOLOPEZ"&amp;Tabla_Buffers_Agroinsumos[[#This Row],[CODIGO ]],TABLACONSOLIDADA[Bodega]&amp;TABLACONSOLIDADA[Codigo],0)),"")</f>
        <v/>
      </c>
      <c r="CA411" s="161" t="str">
        <f t="array" ref="CA41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11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11" s="135">
        <f>IFERROR(SUM(Tabla_Buffers_Agroinsumos[[#This Row],[ML-MP]:[ML-VL]]),"")</f>
        <v>0</v>
      </c>
      <c r="CD411" s="154" t="str">
        <f>IFERROR(Tabla_Buffers_Agroinsumos[[#This Row],[INV FIS ML]]-Tabla_Buffers_Agroinsumos[[#This Row],[BUFFER ML]],"")</f>
        <v/>
      </c>
      <c r="CE411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11" s="135"/>
      <c r="CG411" s="135"/>
      <c r="CH411" s="135"/>
      <c r="CI411" s="135"/>
      <c r="CJ411" s="135"/>
      <c r="CK411" s="135"/>
      <c r="CL411" s="135"/>
      <c r="CM411" s="135"/>
      <c r="CN411" s="135"/>
      <c r="CO411" s="135" t="str">
        <f t="array" ref="CO411">IFERROR(INDEX(TABLACONSOLIDADA[Buff Act],MATCH("AGROINSUMOSAGROHERMANOSLEON"&amp;Tabla_Buffers_Agroinsumos[[#This Row],[CODIGO ]],TABLACONSOLIDADA[Bodega]&amp;TABLACONSOLIDADA[Codigo],0)),"")</f>
        <v/>
      </c>
      <c r="CP411" s="111" t="str">
        <f t="array" ref="CP411">IFERROR(INDEX(TABLACONSOLIDADA[Inv Fís Act],MATCH("AGROINSUMOSAGROHERMANOSLEON"&amp;Tabla_Buffers_Agroinsumos[[#This Row],[CODIGO ]],TABLACONSOLIDADA[Bodega]&amp;TABLACONSOLIDADA[Codigo],0)),"")</f>
        <v/>
      </c>
      <c r="CQ411" s="161" t="str">
        <f t="array" ref="CQ41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11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11" s="135">
        <f>IFERROR(SUM(Tabla_Buffers_Agroinsumos[[#This Row],[AL-MP]:[AL-VL]]),"")</f>
        <v>0</v>
      </c>
      <c r="CT411" s="154" t="str">
        <f>IFERROR(Tabla_Buffers_Agroinsumos[[#This Row],[INV FIS AL]]-Tabla_Buffers_Agroinsumos[[#This Row],[BUFFER AL]],"")</f>
        <v/>
      </c>
      <c r="CU411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11" s="135"/>
      <c r="CW411" s="135"/>
      <c r="CX411" s="135"/>
      <c r="CY411" s="135"/>
      <c r="CZ411" s="135"/>
      <c r="DA411" s="135"/>
      <c r="DB411" s="135"/>
      <c r="DC411" s="135"/>
      <c r="DD411" s="135"/>
      <c r="DE411" s="135" t="str">
        <f t="array" ref="DE411">IFERROR(INDEX(TABLACONSOLIDADA[Buff Act],MATCH("AGROINSUMOSAGRONUEVO"&amp;Tabla_Buffers_Agroinsumos[[#This Row],[CODIGO ]],TABLACONSOLIDADA[Bodega]&amp;TABLACONSOLIDADA[Codigo],0)),"")</f>
        <v/>
      </c>
      <c r="DF411" s="111" t="str">
        <f t="array" ref="DF411">IFERROR(INDEX(TABLACONSOLIDADA[Inv Fís Act],MATCH("AGROINSUMOSAGRONUEVO"&amp;Tabla_Buffers_Agroinsumos[[#This Row],[CODIGO ]],TABLACONSOLIDADA[Bodega]&amp;TABLACONSOLIDADA[Codigo],0)),"")</f>
        <v/>
      </c>
      <c r="DG411" s="161" t="str">
        <f t="array" ref="DG41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11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11" s="135">
        <f>IFERROR(SUM(Tabla_Buffers_Agroinsumos[[#This Row],[AN-MP]:[AN-VL]]),"")</f>
        <v>0</v>
      </c>
      <c r="DJ411" s="154" t="str">
        <f>IFERROR(Tabla_Buffers_Agroinsumos[[#This Row],[INV FIS AN]]-Tabla_Buffers_Agroinsumos[[#This Row],[BUFFER AN]],"")</f>
        <v/>
      </c>
      <c r="DK411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11" s="135"/>
      <c r="DM411" s="135"/>
      <c r="DN411" s="135"/>
      <c r="DO411" s="135"/>
      <c r="DP411" s="135"/>
      <c r="DQ411" s="135"/>
      <c r="DR411" s="135"/>
      <c r="DS411" s="135"/>
      <c r="DT411" s="135"/>
      <c r="DU411" s="135" t="str">
        <f t="array" ref="DU411">IFERROR(INDEX(TABLACONSOLIDADA[Buff Act],MATCH("AGROINSUMOSAGROQUIMICOSSUR"&amp;Tabla_Buffers_Agroinsumos[[#This Row],[CODIGO ]],TABLACONSOLIDADA[Bodega]&amp;TABLACONSOLIDADA[Codigo],0)),"")</f>
        <v/>
      </c>
      <c r="DV411" s="111" t="str">
        <f t="array" ref="DV411">IFERROR(INDEX(TABLACONSOLIDADA[Inv Fís Act],MATCH("AGROINSUMOSAGROQUIMICOSSUR"&amp;Tabla_Buffers_Agroinsumos[[#This Row],[CODIGO ]],TABLACONSOLIDADA[Bodega]&amp;TABLACONSOLIDADA[Codigo],0)),"")</f>
        <v/>
      </c>
      <c r="DW411" s="161" t="str">
        <f t="array" ref="DW41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11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11" s="135">
        <f>IFERROR(SUM(Tabla_Buffers_Agroinsumos[[#This Row],[AS-MP]:[AS-VL]]),"")</f>
        <v>0</v>
      </c>
      <c r="DZ411" s="154" t="str">
        <f>IFERROR(Tabla_Buffers_Agroinsumos[[#This Row],[INV FIS AS]]-Tabla_Buffers_Agroinsumos[[#This Row],[BUFFER AS]],"")</f>
        <v/>
      </c>
      <c r="EA411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11" s="135"/>
      <c r="EC411" s="135"/>
      <c r="ED411" s="135"/>
      <c r="EE411" s="135"/>
      <c r="EF411" s="135"/>
      <c r="EG411" s="135"/>
      <c r="EH411" s="135"/>
      <c r="EI411" s="135"/>
      <c r="EJ411" s="135"/>
      <c r="EK411" s="135" t="str">
        <f t="array" ref="EK411">IFERROR(INDEX(TABLACONSOLIDADA[Buff Act],MATCH("AGROINSUMOSLAFINCA"&amp;Tabla_Buffers_Agroinsumos[[#This Row],[CODIGO ]],TABLACONSOLIDADA[Bodega]&amp;TABLACONSOLIDADA[Codigo],0)),"")</f>
        <v/>
      </c>
      <c r="EL411" s="111" t="str">
        <f t="array" ref="EL411">IFERROR(INDEX(TABLACONSOLIDADA[Inv Fís Act],MATCH("AGROINSUMOSLAFINCA"&amp;Tabla_Buffers_Agroinsumos[[#This Row],[CODIGO ]],TABLACONSOLIDADA[Bodega]&amp;TABLACONSOLIDADA[Codigo],0)),"")</f>
        <v/>
      </c>
      <c r="EM411" s="161" t="str">
        <f t="array" ref="EM41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11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11" s="135">
        <f>IFERROR(SUM(Tabla_Buffers_Agroinsumos[[#This Row],[LF-MP]:[LF-VL]]),"")</f>
        <v>0</v>
      </c>
      <c r="EP411" s="154" t="str">
        <f>IFERROR(Tabla_Buffers_Agroinsumos[[#This Row],[INV FIS LF]]-Tabla_Buffers_Agroinsumos[[#This Row],[BUFFER LF]],"")</f>
        <v/>
      </c>
      <c r="EQ411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11" s="135"/>
      <c r="ES411" s="135"/>
      <c r="ET411" s="135"/>
      <c r="EU411" s="135"/>
      <c r="EV411" s="135"/>
      <c r="EW411" s="135"/>
      <c r="EX411" s="135"/>
      <c r="EY411" s="135"/>
      <c r="EZ411" s="135"/>
      <c r="FA411" s="135" t="str">
        <f t="array" ref="FA411">IFERROR(INDEX(TABLACONSOLIDADA[Buff Act],MATCH("AGROINSUMOSVERONICALEDESMA"&amp;Tabla_Buffers_Agroinsumos[[#This Row],[CODIGO ]],TABLACONSOLIDADA[Bodega]&amp;TABLACONSOLIDADA[Codigo],0)),"")</f>
        <v/>
      </c>
      <c r="FB411" s="111" t="str">
        <f t="array" ref="FB411">IFERROR(INDEX(TABLACONSOLIDADA[Inv Fís Act],MATCH("AGROINSUMOSVERONICALEDESMA"&amp;Tabla_Buffers_Agroinsumos[[#This Row],[CODIGO ]],TABLACONSOLIDADA[Bodega]&amp;TABLACONSOLIDADA[Codigo],0)),"")</f>
        <v/>
      </c>
      <c r="FC411" s="161" t="str">
        <f t="array" ref="FC41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11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11" s="135">
        <f>IFERROR(SUM(Tabla_Buffers_Agroinsumos[[#This Row],[VL-MP]:[VL-LF]]),"")</f>
        <v>0</v>
      </c>
      <c r="FF411" s="154" t="str">
        <f>IFERROR(Tabla_Buffers_Agroinsumos[[#This Row],[INV FIS VL]]-Tabla_Buffers_Agroinsumos[[#This Row],[BUFFER VL]],"")</f>
        <v/>
      </c>
      <c r="FG411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11" s="135"/>
      <c r="FI411" s="135"/>
      <c r="FJ411" s="135"/>
      <c r="FK411" s="135"/>
      <c r="FL411" s="135"/>
      <c r="FM411" s="135"/>
      <c r="FN411" s="135"/>
      <c r="FO411" s="135"/>
      <c r="FP411" s="135"/>
    </row>
    <row r="412" spans="1:172">
      <c r="A412" s="20" t="s">
        <v>1304</v>
      </c>
      <c r="B412" s="20" t="s">
        <v>1306</v>
      </c>
      <c r="C412" s="20" t="s">
        <v>700</v>
      </c>
      <c r="D412" s="20" t="s">
        <v>718</v>
      </c>
      <c r="E412" s="20" t="s">
        <v>863</v>
      </c>
      <c r="F412" s="111" t="s">
        <v>1300</v>
      </c>
      <c r="G412" s="111" t="s">
        <v>802</v>
      </c>
      <c r="H412" s="111" t="e">
        <f>VLOOKUP(Tabla_Buffers_Agroinsumos[[#This Row],[CODIGO ]],TABLACONSOLIDADA[[Codigo]:[PV]],6,0)</f>
        <v>#N/A</v>
      </c>
      <c r="I412" s="111" t="e">
        <f>VLOOKUP(Tabla_Buffers_Agroinsumos[[#This Row],[CODIGO ]],TABLACONSOLIDADA[[Codigo]:[PV]],5,0)</f>
        <v>#N/A</v>
      </c>
      <c r="J412" s="111"/>
      <c r="K412" s="111"/>
      <c r="L412" s="111">
        <f>IFERROR(Tabla_Buffers_Agroinsumos[[#This Row],[BUFFER CENTRAL]]/((Tabla_Buffers_Agroinsumos[[#This Row],[TIEMPO REPOSICION ]]/Tabla_Buffers_Agroinsumos[[#This Row],[FRECUENCIA]])+1),0)</f>
        <v>0</v>
      </c>
      <c r="M412" s="111">
        <v>5000</v>
      </c>
      <c r="N412" s="111" t="str">
        <f t="array" ref="N412">IFERROR(INDEX(TABLACONSOLIDADA[Inv Fís Act],MATCH("AGROINSUMOSMATERIAPRIMA"&amp;Tabla_Buffers_Agroinsumos[[#This Row],[CODIGO ]],TABLACONSOLIDADA[Bodega]&amp;TABLACONSOLIDADA[Codigo],0)),"")</f>
        <v/>
      </c>
      <c r="O412" s="186" t="str">
        <f t="array" ref="O41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12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12" s="111">
        <f>IFERROR(SUM(Tabla_Buffers_Agroinsumos[[#This Row],[MP-C]:[MP-VL]]),"")</f>
        <v>0</v>
      </c>
      <c r="R412" s="154" t="str">
        <f>IFERROR(Tabla_Buffers_Agroinsumos[[#This Row],[INV FIS MATERIA PRIMA]]-Tabla_Buffers_Agroinsumos[[#This Row],[BUFFER MATERIA PRIMA]],"")</f>
        <v/>
      </c>
      <c r="S412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12" s="111"/>
      <c r="U412" s="111"/>
      <c r="V412" s="111"/>
      <c r="W412" s="111"/>
      <c r="X412" s="111"/>
      <c r="Y412" s="111"/>
      <c r="Z412" s="111"/>
      <c r="AA412" s="111"/>
      <c r="AB412" s="111"/>
      <c r="AC412" s="135" t="str">
        <f t="array" ref="AC412">IFERROR(INDEX(TABLACONSOLIDADA[Buff Act],MATCH("AGROINSUMOSCENTRAL"&amp;Tabla_Buffers_Agroinsumos[[#This Row],[CODIGO ]],TABLACONSOLIDADA[Bodega]&amp;TABLACONSOLIDADA[Codigo],0)),"")</f>
        <v/>
      </c>
      <c r="AD412" s="111" t="str">
        <f t="array" ref="AD412">IFERROR(INDEX(TABLACONSOLIDADA[Inv Fís Act],MATCH("AGROINSUMOSCENTRAL"&amp;Tabla_Buffers_Agroinsumos[[#This Row],[CODIGO ]],TABLACONSOLIDADA[Bodega]&amp;TABLACONSOLIDADA[Codigo],0)),"")</f>
        <v/>
      </c>
      <c r="AE412" s="186" t="str">
        <f t="array" ref="AE41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12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12" s="153">
        <f>IFERROR(SUM(Tabla_Buffers_Agroinsumos[[#This Row],[C-MP]:[C-VL]]),"")</f>
        <v>0</v>
      </c>
      <c r="AH412" s="154" t="str">
        <f>IFERROR(Tabla_Buffers_Agroinsumos[[#This Row],[INV FIS CENTRAL]]-Tabla_Buffers_Agroinsumos[[#This Row],[BUFFER CENTRAL]],"")</f>
        <v/>
      </c>
      <c r="AI412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12" s="135"/>
      <c r="AK412" s="135"/>
      <c r="AL412" s="135"/>
      <c r="AM412" s="135"/>
      <c r="AN412" s="135"/>
      <c r="AO412" s="135"/>
      <c r="AP412" s="135"/>
      <c r="AQ412" s="135"/>
      <c r="AR412" s="135"/>
      <c r="AS412" s="135" t="str">
        <f t="array" ref="AS412">IFERROR(INDEX(TABLACONSOLIDADA[Buff Act],MATCH("AGROINSUMOScentralPROPIA"&amp;Tabla_Buffers_Agroinsumos[[#This Row],[CODIGO ]],TABLACONSOLIDADA[Bodega]&amp;TABLACONSOLIDADA[Codigo],0)),"")</f>
        <v/>
      </c>
      <c r="AT412" s="111" t="str">
        <f t="array" ref="AT412">IFERROR(INDEX(TABLACONSOLIDADA[Inv Fís Act],MATCH("AGROINSUMOScentralPROPIA"&amp;Tabla_Buffers_Agroinsumos[[#This Row],[CODIGO ]],TABLACONSOLIDADA[Bodega]&amp;TABLACONSOLIDADA[Codigo],0)),"")</f>
        <v/>
      </c>
      <c r="AU412" s="186" t="str">
        <f t="array" ref="AU41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12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12" s="135">
        <f>IFERROR(SUM(Tabla_Buffers_Agroinsumos[[#This Row],[P-MP]:[P-VL]]),"")</f>
        <v>0</v>
      </c>
      <c r="AX412" s="154" t="str">
        <f>IFERROR(Tabla_Buffers_Agroinsumos[[#This Row],[INV FIS PROPIA]]-Tabla_Buffers_Agroinsumos[[#This Row],[BUFFER PROPIA]],"")</f>
        <v/>
      </c>
      <c r="AY412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12" s="135"/>
      <c r="BA412" s="135"/>
      <c r="BB412" s="135"/>
      <c r="BC412" s="135"/>
      <c r="BD412" s="135"/>
      <c r="BE412" s="135"/>
      <c r="BF412" s="135"/>
      <c r="BG412" s="135"/>
      <c r="BH412" s="135"/>
      <c r="BI412" s="153" t="str">
        <f t="array" ref="BI412">IFERROR(INDEX(TABLACONSOLIDADA[Buff Act],MATCH("AGROINSUMOSSTODOMINGO"&amp;Tabla_Buffers_Agroinsumos[[#This Row],[CODIGO ]],TABLACONSOLIDADA[Bodega]&amp;TABLACONSOLIDADA[Codigo],0)),"")</f>
        <v/>
      </c>
      <c r="BJ412" s="111" t="str">
        <f t="array" ref="BJ412">IFERROR(INDEX(TABLACONSOLIDADA[Inv Fís Act],MATCH("AGROINSUMOSSTODOMINGO"&amp;Tabla_Buffers_Agroinsumos[[#This Row],[CODIGO ]],TABLACONSOLIDADA[Bodega]&amp;TABLACONSOLIDADA[Codigo],0)),"")</f>
        <v/>
      </c>
      <c r="BK412" s="186" t="str">
        <f t="array" ref="BK41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12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12" s="153">
        <f>IFERROR(SUM(Tabla_Buffers_Agroinsumos[[#This Row],[SD-MP]:[SD-VL]]),"")</f>
        <v>0</v>
      </c>
      <c r="BN412" s="154"/>
      <c r="BO412" s="154"/>
      <c r="BP412" s="135"/>
      <c r="BQ412" s="135"/>
      <c r="BR412" s="135"/>
      <c r="BS412" s="135"/>
      <c r="BT412" s="135"/>
      <c r="BU412" s="135"/>
      <c r="BV412" s="135"/>
      <c r="BW412" s="135"/>
      <c r="BX412" s="135"/>
      <c r="BY412" s="135" t="str">
        <f t="array" ref="BY412">IFERROR(INDEX(TABLACONSOLIDADA[Buff Act],MATCH("AGROINSUMOSMONCAYOLOPEZ"&amp;Tabla_Buffers_Agroinsumos[[#This Row],[CODIGO ]],TABLACONSOLIDADA[Bodega]&amp;TABLACONSOLIDADA[Codigo],0)),"")</f>
        <v/>
      </c>
      <c r="BZ412" s="111" t="str">
        <f t="array" ref="BZ412">IFERROR(INDEX(TABLACONSOLIDADA[Inv Fís Act],MATCH("AGROINSUMOSMONCAYOLOPEZ"&amp;Tabla_Buffers_Agroinsumos[[#This Row],[CODIGO ]],TABLACONSOLIDADA[Bodega]&amp;TABLACONSOLIDADA[Codigo],0)),"")</f>
        <v/>
      </c>
      <c r="CA412" s="186" t="str">
        <f t="array" ref="CA41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12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12" s="135">
        <f>IFERROR(SUM(Tabla_Buffers_Agroinsumos[[#This Row],[ML-MP]:[ML-VL]]),"")</f>
        <v>0</v>
      </c>
      <c r="CD412" s="154" t="str">
        <f>IFERROR(Tabla_Buffers_Agroinsumos[[#This Row],[INV FIS ML]]-Tabla_Buffers_Agroinsumos[[#This Row],[BUFFER ML]],"")</f>
        <v/>
      </c>
      <c r="CE412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12" s="135"/>
      <c r="CG412" s="135"/>
      <c r="CH412" s="135"/>
      <c r="CI412" s="135"/>
      <c r="CJ412" s="135"/>
      <c r="CK412" s="135"/>
      <c r="CL412" s="135"/>
      <c r="CM412" s="135"/>
      <c r="CN412" s="135"/>
      <c r="CO412" s="135" t="str">
        <f t="array" ref="CO412">IFERROR(INDEX(TABLACONSOLIDADA[Buff Act],MATCH("AGROINSUMOSAGROHERMANOSLEON"&amp;Tabla_Buffers_Agroinsumos[[#This Row],[CODIGO ]],TABLACONSOLIDADA[Bodega]&amp;TABLACONSOLIDADA[Codigo],0)),"")</f>
        <v/>
      </c>
      <c r="CP412" s="111" t="str">
        <f t="array" ref="CP412">IFERROR(INDEX(TABLACONSOLIDADA[Inv Fís Act],MATCH("AGROINSUMOSAGROHERMANOSLEON"&amp;Tabla_Buffers_Agroinsumos[[#This Row],[CODIGO ]],TABLACONSOLIDADA[Bodega]&amp;TABLACONSOLIDADA[Codigo],0)),"")</f>
        <v/>
      </c>
      <c r="CQ412" s="186" t="str">
        <f t="array" ref="CQ41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12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12" s="135">
        <f>IFERROR(SUM(Tabla_Buffers_Agroinsumos[[#This Row],[AL-MP]:[AL-VL]]),"")</f>
        <v>0</v>
      </c>
      <c r="CT412" s="154" t="str">
        <f>IFERROR(Tabla_Buffers_Agroinsumos[[#This Row],[INV FIS AL]]-Tabla_Buffers_Agroinsumos[[#This Row],[BUFFER AL]],"")</f>
        <v/>
      </c>
      <c r="CU412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12" s="135"/>
      <c r="CW412" s="135"/>
      <c r="CX412" s="135"/>
      <c r="CY412" s="135"/>
      <c r="CZ412" s="135"/>
      <c r="DA412" s="135"/>
      <c r="DB412" s="135"/>
      <c r="DC412" s="135"/>
      <c r="DD412" s="135"/>
      <c r="DE412" s="135" t="str">
        <f t="array" ref="DE412">IFERROR(INDEX(TABLACONSOLIDADA[Buff Act],MATCH("AGROINSUMOSAGRONUEVO"&amp;Tabla_Buffers_Agroinsumos[[#This Row],[CODIGO ]],TABLACONSOLIDADA[Bodega]&amp;TABLACONSOLIDADA[Codigo],0)),"")</f>
        <v/>
      </c>
      <c r="DF412" s="111" t="str">
        <f t="array" ref="DF412">IFERROR(INDEX(TABLACONSOLIDADA[Inv Fís Act],MATCH("AGROINSUMOSAGRONUEVO"&amp;Tabla_Buffers_Agroinsumos[[#This Row],[CODIGO ]],TABLACONSOLIDADA[Bodega]&amp;TABLACONSOLIDADA[Codigo],0)),"")</f>
        <v/>
      </c>
      <c r="DG412" s="186" t="str">
        <f t="array" ref="DG41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12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12" s="135">
        <f>IFERROR(SUM(Tabla_Buffers_Agroinsumos[[#This Row],[AN-MP]:[AN-VL]]),"")</f>
        <v>0</v>
      </c>
      <c r="DJ412" s="154" t="str">
        <f>IFERROR(Tabla_Buffers_Agroinsumos[[#This Row],[INV FIS AN]]-Tabla_Buffers_Agroinsumos[[#This Row],[BUFFER AN]],"")</f>
        <v/>
      </c>
      <c r="DK412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12" s="135"/>
      <c r="DM412" s="135"/>
      <c r="DN412" s="135"/>
      <c r="DO412" s="135"/>
      <c r="DP412" s="135"/>
      <c r="DQ412" s="135"/>
      <c r="DR412" s="135"/>
      <c r="DS412" s="135"/>
      <c r="DT412" s="135"/>
      <c r="DU412" s="135" t="str">
        <f t="array" ref="DU412">IFERROR(INDEX(TABLACONSOLIDADA[Buff Act],MATCH("AGROINSUMOSAGROQUIMICOSSUR"&amp;Tabla_Buffers_Agroinsumos[[#This Row],[CODIGO ]],TABLACONSOLIDADA[Bodega]&amp;TABLACONSOLIDADA[Codigo],0)),"")</f>
        <v/>
      </c>
      <c r="DV412" s="111" t="str">
        <f t="array" ref="DV412">IFERROR(INDEX(TABLACONSOLIDADA[Inv Fís Act],MATCH("AGROINSUMOSAGROQUIMICOSSUR"&amp;Tabla_Buffers_Agroinsumos[[#This Row],[CODIGO ]],TABLACONSOLIDADA[Bodega]&amp;TABLACONSOLIDADA[Codigo],0)),"")</f>
        <v/>
      </c>
      <c r="DW412" s="186" t="str">
        <f t="array" ref="DW41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12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12" s="135">
        <f>IFERROR(SUM(Tabla_Buffers_Agroinsumos[[#This Row],[AS-MP]:[AS-VL]]),"")</f>
        <v>0</v>
      </c>
      <c r="DZ412" s="154" t="str">
        <f>IFERROR(Tabla_Buffers_Agroinsumos[[#This Row],[INV FIS AS]]-Tabla_Buffers_Agroinsumos[[#This Row],[BUFFER AS]],"")</f>
        <v/>
      </c>
      <c r="EA412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12" s="135"/>
      <c r="EC412" s="135"/>
      <c r="ED412" s="135"/>
      <c r="EE412" s="135"/>
      <c r="EF412" s="135"/>
      <c r="EG412" s="135"/>
      <c r="EH412" s="135"/>
      <c r="EI412" s="135"/>
      <c r="EJ412" s="135"/>
      <c r="EK412" s="135" t="str">
        <f t="array" ref="EK412">IFERROR(INDEX(TABLACONSOLIDADA[Buff Act],MATCH("AGROINSUMOSLAFINCA"&amp;Tabla_Buffers_Agroinsumos[[#This Row],[CODIGO ]],TABLACONSOLIDADA[Bodega]&amp;TABLACONSOLIDADA[Codigo],0)),"")</f>
        <v/>
      </c>
      <c r="EL412" s="111" t="str">
        <f t="array" ref="EL412">IFERROR(INDEX(TABLACONSOLIDADA[Inv Fís Act],MATCH("AGROINSUMOSLAFINCA"&amp;Tabla_Buffers_Agroinsumos[[#This Row],[CODIGO ]],TABLACONSOLIDADA[Bodega]&amp;TABLACONSOLIDADA[Codigo],0)),"")</f>
        <v/>
      </c>
      <c r="EM412" s="186" t="str">
        <f t="array" ref="EM41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12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12" s="135">
        <f>IFERROR(SUM(Tabla_Buffers_Agroinsumos[[#This Row],[LF-MP]:[LF-VL]]),"")</f>
        <v>0</v>
      </c>
      <c r="EP412" s="154" t="str">
        <f>IFERROR(Tabla_Buffers_Agroinsumos[[#This Row],[INV FIS LF]]-Tabla_Buffers_Agroinsumos[[#This Row],[BUFFER LF]],"")</f>
        <v/>
      </c>
      <c r="EQ412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12" s="135"/>
      <c r="ES412" s="135"/>
      <c r="ET412" s="135"/>
      <c r="EU412" s="135"/>
      <c r="EV412" s="135"/>
      <c r="EW412" s="135"/>
      <c r="EX412" s="135"/>
      <c r="EY412" s="135"/>
      <c r="EZ412" s="135"/>
      <c r="FA412" s="135" t="str">
        <f t="array" ref="FA412">IFERROR(INDEX(TABLACONSOLIDADA[Buff Act],MATCH("AGROINSUMOSVERONICALEDESMA"&amp;Tabla_Buffers_Agroinsumos[[#This Row],[CODIGO ]],TABLACONSOLIDADA[Bodega]&amp;TABLACONSOLIDADA[Codigo],0)),"")</f>
        <v/>
      </c>
      <c r="FB412" s="111" t="str">
        <f t="array" ref="FB412">IFERROR(INDEX(TABLACONSOLIDADA[Inv Fís Act],MATCH("AGROINSUMOSVERONICALEDESMA"&amp;Tabla_Buffers_Agroinsumos[[#This Row],[CODIGO ]],TABLACONSOLIDADA[Bodega]&amp;TABLACONSOLIDADA[Codigo],0)),"")</f>
        <v/>
      </c>
      <c r="FC412" s="186" t="str">
        <f t="array" ref="FC41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12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12" s="135">
        <f>IFERROR(SUM(Tabla_Buffers_Agroinsumos[[#This Row],[VL-MP]:[VL-LF]]),"")</f>
        <v>0</v>
      </c>
      <c r="FF412" s="154" t="str">
        <f>IFERROR(Tabla_Buffers_Agroinsumos[[#This Row],[INV FIS VL]]-Tabla_Buffers_Agroinsumos[[#This Row],[BUFFER VL]],"")</f>
        <v/>
      </c>
      <c r="FG412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12" s="135"/>
      <c r="FI412" s="135"/>
      <c r="FJ412" s="135"/>
      <c r="FK412" s="135"/>
      <c r="FL412" s="135"/>
      <c r="FM412" s="135"/>
      <c r="FN412" s="135"/>
      <c r="FO412" s="135"/>
      <c r="FP412" s="135"/>
    </row>
    <row r="413" spans="1:172">
      <c r="A413" s="20" t="s">
        <v>1305</v>
      </c>
      <c r="B413" s="20" t="s">
        <v>1307</v>
      </c>
      <c r="C413" s="20" t="s">
        <v>700</v>
      </c>
      <c r="D413" s="20" t="s">
        <v>718</v>
      </c>
      <c r="E413" s="20" t="s">
        <v>863</v>
      </c>
      <c r="F413" s="111" t="s">
        <v>1300</v>
      </c>
      <c r="G413" s="111" t="s">
        <v>802</v>
      </c>
      <c r="H413" s="111" t="e">
        <f>VLOOKUP(Tabla_Buffers_Agroinsumos[[#This Row],[CODIGO ]],TABLACONSOLIDADA[[Codigo]:[PV]],6,0)</f>
        <v>#N/A</v>
      </c>
      <c r="I413" s="111" t="e">
        <f>VLOOKUP(Tabla_Buffers_Agroinsumos[[#This Row],[CODIGO ]],TABLACONSOLIDADA[[Codigo]:[PV]],5,0)</f>
        <v>#N/A</v>
      </c>
      <c r="J413" s="111"/>
      <c r="K413" s="111"/>
      <c r="L413" s="111">
        <f>IFERROR(Tabla_Buffers_Agroinsumos[[#This Row],[BUFFER CENTRAL]]/((Tabla_Buffers_Agroinsumos[[#This Row],[TIEMPO REPOSICION ]]/Tabla_Buffers_Agroinsumos[[#This Row],[FRECUENCIA]])+1),0)</f>
        <v>0</v>
      </c>
      <c r="M413" s="111">
        <v>1500</v>
      </c>
      <c r="N413" s="111" t="str">
        <f t="array" ref="N413">IFERROR(INDEX(TABLACONSOLIDADA[Inv Fís Act],MATCH("AGROINSUMOSMATERIAPRIMA"&amp;Tabla_Buffers_Agroinsumos[[#This Row],[CODIGO ]],TABLACONSOLIDADA[Bodega]&amp;TABLACONSOLIDADA[Codigo],0)),"")</f>
        <v/>
      </c>
      <c r="O413" s="186" t="str">
        <f t="array" ref="O41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13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13" s="111">
        <f>IFERROR(SUM(Tabla_Buffers_Agroinsumos[[#This Row],[MP-C]:[MP-VL]]),"")</f>
        <v>0</v>
      </c>
      <c r="R413" s="154" t="str">
        <f>IFERROR(Tabla_Buffers_Agroinsumos[[#This Row],[INV FIS MATERIA PRIMA]]-Tabla_Buffers_Agroinsumos[[#This Row],[BUFFER MATERIA PRIMA]],"")</f>
        <v/>
      </c>
      <c r="S413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13" s="111"/>
      <c r="U413" s="111"/>
      <c r="V413" s="111"/>
      <c r="W413" s="111"/>
      <c r="X413" s="111"/>
      <c r="Y413" s="111"/>
      <c r="Z413" s="111"/>
      <c r="AA413" s="111"/>
      <c r="AB413" s="111"/>
      <c r="AC413" s="135" t="str">
        <f t="array" ref="AC413">IFERROR(INDEX(TABLACONSOLIDADA[Buff Act],MATCH("AGROINSUMOSCENTRAL"&amp;Tabla_Buffers_Agroinsumos[[#This Row],[CODIGO ]],TABLACONSOLIDADA[Bodega]&amp;TABLACONSOLIDADA[Codigo],0)),"")</f>
        <v/>
      </c>
      <c r="AD413" s="111" t="str">
        <f t="array" ref="AD413">IFERROR(INDEX(TABLACONSOLIDADA[Inv Fís Act],MATCH("AGROINSUMOSCENTRAL"&amp;Tabla_Buffers_Agroinsumos[[#This Row],[CODIGO ]],TABLACONSOLIDADA[Bodega]&amp;TABLACONSOLIDADA[Codigo],0)),"")</f>
        <v/>
      </c>
      <c r="AE413" s="186" t="str">
        <f t="array" ref="AE41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13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13" s="153">
        <f>IFERROR(SUM(Tabla_Buffers_Agroinsumos[[#This Row],[C-MP]:[C-VL]]),"")</f>
        <v>0</v>
      </c>
      <c r="AH413" s="154" t="str">
        <f>IFERROR(Tabla_Buffers_Agroinsumos[[#This Row],[INV FIS CENTRAL]]-Tabla_Buffers_Agroinsumos[[#This Row],[BUFFER CENTRAL]],"")</f>
        <v/>
      </c>
      <c r="AI413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13" s="135"/>
      <c r="AK413" s="135"/>
      <c r="AL413" s="135"/>
      <c r="AM413" s="135"/>
      <c r="AN413" s="135"/>
      <c r="AO413" s="135"/>
      <c r="AP413" s="135"/>
      <c r="AQ413" s="135"/>
      <c r="AR413" s="135"/>
      <c r="AS413" s="135" t="str">
        <f t="array" ref="AS413">IFERROR(INDEX(TABLACONSOLIDADA[Buff Act],MATCH("AGROINSUMOScentralPROPIA"&amp;Tabla_Buffers_Agroinsumos[[#This Row],[CODIGO ]],TABLACONSOLIDADA[Bodega]&amp;TABLACONSOLIDADA[Codigo],0)),"")</f>
        <v/>
      </c>
      <c r="AT413" s="111" t="str">
        <f t="array" ref="AT413">IFERROR(INDEX(TABLACONSOLIDADA[Inv Fís Act],MATCH("AGROINSUMOScentralPROPIA"&amp;Tabla_Buffers_Agroinsumos[[#This Row],[CODIGO ]],TABLACONSOLIDADA[Bodega]&amp;TABLACONSOLIDADA[Codigo],0)),"")</f>
        <v/>
      </c>
      <c r="AU413" s="186" t="str">
        <f t="array" ref="AU41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13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13" s="135">
        <f>IFERROR(SUM(Tabla_Buffers_Agroinsumos[[#This Row],[P-MP]:[P-VL]]),"")</f>
        <v>0</v>
      </c>
      <c r="AX413" s="154" t="str">
        <f>IFERROR(Tabla_Buffers_Agroinsumos[[#This Row],[INV FIS PROPIA]]-Tabla_Buffers_Agroinsumos[[#This Row],[BUFFER PROPIA]],"")</f>
        <v/>
      </c>
      <c r="AY413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13" s="135"/>
      <c r="BA413" s="135"/>
      <c r="BB413" s="135"/>
      <c r="BC413" s="135"/>
      <c r="BD413" s="135"/>
      <c r="BE413" s="135"/>
      <c r="BF413" s="135"/>
      <c r="BG413" s="135"/>
      <c r="BH413" s="135"/>
      <c r="BI413" s="153" t="str">
        <f t="array" ref="BI413">IFERROR(INDEX(TABLACONSOLIDADA[Buff Act],MATCH("AGROINSUMOSSTODOMINGO"&amp;Tabla_Buffers_Agroinsumos[[#This Row],[CODIGO ]],TABLACONSOLIDADA[Bodega]&amp;TABLACONSOLIDADA[Codigo],0)),"")</f>
        <v/>
      </c>
      <c r="BJ413" s="111" t="str">
        <f t="array" ref="BJ413">IFERROR(INDEX(TABLACONSOLIDADA[Inv Fís Act],MATCH("AGROINSUMOSSTODOMINGO"&amp;Tabla_Buffers_Agroinsumos[[#This Row],[CODIGO ]],TABLACONSOLIDADA[Bodega]&amp;TABLACONSOLIDADA[Codigo],0)),"")</f>
        <v/>
      </c>
      <c r="BK413" s="186" t="str">
        <f t="array" ref="BK41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13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13" s="153">
        <f>IFERROR(SUM(Tabla_Buffers_Agroinsumos[[#This Row],[SD-MP]:[SD-VL]]),"")</f>
        <v>0</v>
      </c>
      <c r="BN413" s="154"/>
      <c r="BO413" s="154"/>
      <c r="BP413" s="135"/>
      <c r="BQ413" s="135"/>
      <c r="BR413" s="135"/>
      <c r="BS413" s="135"/>
      <c r="BT413" s="135"/>
      <c r="BU413" s="135"/>
      <c r="BV413" s="135"/>
      <c r="BW413" s="135"/>
      <c r="BX413" s="135"/>
      <c r="BY413" s="135" t="str">
        <f t="array" ref="BY413">IFERROR(INDEX(TABLACONSOLIDADA[Buff Act],MATCH("AGROINSUMOSMONCAYOLOPEZ"&amp;Tabla_Buffers_Agroinsumos[[#This Row],[CODIGO ]],TABLACONSOLIDADA[Bodega]&amp;TABLACONSOLIDADA[Codigo],0)),"")</f>
        <v/>
      </c>
      <c r="BZ413" s="111" t="str">
        <f t="array" ref="BZ413">IFERROR(INDEX(TABLACONSOLIDADA[Inv Fís Act],MATCH("AGROINSUMOSMONCAYOLOPEZ"&amp;Tabla_Buffers_Agroinsumos[[#This Row],[CODIGO ]],TABLACONSOLIDADA[Bodega]&amp;TABLACONSOLIDADA[Codigo],0)),"")</f>
        <v/>
      </c>
      <c r="CA413" s="186" t="str">
        <f t="array" ref="CA41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13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13" s="135">
        <f>IFERROR(SUM(Tabla_Buffers_Agroinsumos[[#This Row],[ML-MP]:[ML-VL]]),"")</f>
        <v>0</v>
      </c>
      <c r="CD413" s="154" t="str">
        <f>IFERROR(Tabla_Buffers_Agroinsumos[[#This Row],[INV FIS ML]]-Tabla_Buffers_Agroinsumos[[#This Row],[BUFFER ML]],"")</f>
        <v/>
      </c>
      <c r="CE413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13" s="135"/>
      <c r="CG413" s="135"/>
      <c r="CH413" s="135"/>
      <c r="CI413" s="135"/>
      <c r="CJ413" s="135"/>
      <c r="CK413" s="135"/>
      <c r="CL413" s="135"/>
      <c r="CM413" s="135"/>
      <c r="CN413" s="135"/>
      <c r="CO413" s="135" t="str">
        <f t="array" ref="CO413">IFERROR(INDEX(TABLACONSOLIDADA[Buff Act],MATCH("AGROINSUMOSAGROHERMANOSLEON"&amp;Tabla_Buffers_Agroinsumos[[#This Row],[CODIGO ]],TABLACONSOLIDADA[Bodega]&amp;TABLACONSOLIDADA[Codigo],0)),"")</f>
        <v/>
      </c>
      <c r="CP413" s="111" t="str">
        <f t="array" ref="CP413">IFERROR(INDEX(TABLACONSOLIDADA[Inv Fís Act],MATCH("AGROINSUMOSAGROHERMANOSLEON"&amp;Tabla_Buffers_Agroinsumos[[#This Row],[CODIGO ]],TABLACONSOLIDADA[Bodega]&amp;TABLACONSOLIDADA[Codigo],0)),"")</f>
        <v/>
      </c>
      <c r="CQ413" s="186" t="str">
        <f t="array" ref="CQ41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13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13" s="135">
        <f>IFERROR(SUM(Tabla_Buffers_Agroinsumos[[#This Row],[AL-MP]:[AL-VL]]),"")</f>
        <v>0</v>
      </c>
      <c r="CT413" s="154" t="str">
        <f>IFERROR(Tabla_Buffers_Agroinsumos[[#This Row],[INV FIS AL]]-Tabla_Buffers_Agroinsumos[[#This Row],[BUFFER AL]],"")</f>
        <v/>
      </c>
      <c r="CU413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13" s="135"/>
      <c r="CW413" s="135"/>
      <c r="CX413" s="135"/>
      <c r="CY413" s="135"/>
      <c r="CZ413" s="135"/>
      <c r="DA413" s="135"/>
      <c r="DB413" s="135"/>
      <c r="DC413" s="135"/>
      <c r="DD413" s="135"/>
      <c r="DE413" s="135" t="str">
        <f t="array" ref="DE413">IFERROR(INDEX(TABLACONSOLIDADA[Buff Act],MATCH("AGROINSUMOSAGRONUEVO"&amp;Tabla_Buffers_Agroinsumos[[#This Row],[CODIGO ]],TABLACONSOLIDADA[Bodega]&amp;TABLACONSOLIDADA[Codigo],0)),"")</f>
        <v/>
      </c>
      <c r="DF413" s="111" t="str">
        <f t="array" ref="DF413">IFERROR(INDEX(TABLACONSOLIDADA[Inv Fís Act],MATCH("AGROINSUMOSAGRONUEVO"&amp;Tabla_Buffers_Agroinsumos[[#This Row],[CODIGO ]],TABLACONSOLIDADA[Bodega]&amp;TABLACONSOLIDADA[Codigo],0)),"")</f>
        <v/>
      </c>
      <c r="DG413" s="186" t="str">
        <f t="array" ref="DG41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13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13" s="135">
        <f>IFERROR(SUM(Tabla_Buffers_Agroinsumos[[#This Row],[AN-MP]:[AN-VL]]),"")</f>
        <v>0</v>
      </c>
      <c r="DJ413" s="154" t="str">
        <f>IFERROR(Tabla_Buffers_Agroinsumos[[#This Row],[INV FIS AN]]-Tabla_Buffers_Agroinsumos[[#This Row],[BUFFER AN]],"")</f>
        <v/>
      </c>
      <c r="DK413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13" s="135"/>
      <c r="DM413" s="135"/>
      <c r="DN413" s="135"/>
      <c r="DO413" s="135"/>
      <c r="DP413" s="135"/>
      <c r="DQ413" s="135"/>
      <c r="DR413" s="135"/>
      <c r="DS413" s="135"/>
      <c r="DT413" s="135"/>
      <c r="DU413" s="135" t="str">
        <f t="array" ref="DU413">IFERROR(INDEX(TABLACONSOLIDADA[Buff Act],MATCH("AGROINSUMOSAGROQUIMICOSSUR"&amp;Tabla_Buffers_Agroinsumos[[#This Row],[CODIGO ]],TABLACONSOLIDADA[Bodega]&amp;TABLACONSOLIDADA[Codigo],0)),"")</f>
        <v/>
      </c>
      <c r="DV413" s="111" t="str">
        <f t="array" ref="DV413">IFERROR(INDEX(TABLACONSOLIDADA[Inv Fís Act],MATCH("AGROINSUMOSAGROQUIMICOSSUR"&amp;Tabla_Buffers_Agroinsumos[[#This Row],[CODIGO ]],TABLACONSOLIDADA[Bodega]&amp;TABLACONSOLIDADA[Codigo],0)),"")</f>
        <v/>
      </c>
      <c r="DW413" s="186" t="str">
        <f t="array" ref="DW41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13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13" s="135">
        <f>IFERROR(SUM(Tabla_Buffers_Agroinsumos[[#This Row],[AS-MP]:[AS-VL]]),"")</f>
        <v>0</v>
      </c>
      <c r="DZ413" s="154" t="str">
        <f>IFERROR(Tabla_Buffers_Agroinsumos[[#This Row],[INV FIS AS]]-Tabla_Buffers_Agroinsumos[[#This Row],[BUFFER AS]],"")</f>
        <v/>
      </c>
      <c r="EA413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13" s="135"/>
      <c r="EC413" s="135"/>
      <c r="ED413" s="135"/>
      <c r="EE413" s="135"/>
      <c r="EF413" s="135"/>
      <c r="EG413" s="135"/>
      <c r="EH413" s="135"/>
      <c r="EI413" s="135"/>
      <c r="EJ413" s="135"/>
      <c r="EK413" s="135" t="str">
        <f t="array" ref="EK413">IFERROR(INDEX(TABLACONSOLIDADA[Buff Act],MATCH("AGROINSUMOSLAFINCA"&amp;Tabla_Buffers_Agroinsumos[[#This Row],[CODIGO ]],TABLACONSOLIDADA[Bodega]&amp;TABLACONSOLIDADA[Codigo],0)),"")</f>
        <v/>
      </c>
      <c r="EL413" s="111" t="str">
        <f t="array" ref="EL413">IFERROR(INDEX(TABLACONSOLIDADA[Inv Fís Act],MATCH("AGROINSUMOSLAFINCA"&amp;Tabla_Buffers_Agroinsumos[[#This Row],[CODIGO ]],TABLACONSOLIDADA[Bodega]&amp;TABLACONSOLIDADA[Codigo],0)),"")</f>
        <v/>
      </c>
      <c r="EM413" s="186" t="str">
        <f t="array" ref="EM41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13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13" s="135">
        <f>IFERROR(SUM(Tabla_Buffers_Agroinsumos[[#This Row],[LF-MP]:[LF-VL]]),"")</f>
        <v>0</v>
      </c>
      <c r="EP413" s="154" t="str">
        <f>IFERROR(Tabla_Buffers_Agroinsumos[[#This Row],[INV FIS LF]]-Tabla_Buffers_Agroinsumos[[#This Row],[BUFFER LF]],"")</f>
        <v/>
      </c>
      <c r="EQ413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13" s="135"/>
      <c r="ES413" s="135"/>
      <c r="ET413" s="135"/>
      <c r="EU413" s="135"/>
      <c r="EV413" s="135"/>
      <c r="EW413" s="135"/>
      <c r="EX413" s="135"/>
      <c r="EY413" s="135"/>
      <c r="EZ413" s="135"/>
      <c r="FA413" s="135" t="str">
        <f t="array" ref="FA413">IFERROR(INDEX(TABLACONSOLIDADA[Buff Act],MATCH("AGROINSUMOSVERONICALEDESMA"&amp;Tabla_Buffers_Agroinsumos[[#This Row],[CODIGO ]],TABLACONSOLIDADA[Bodega]&amp;TABLACONSOLIDADA[Codigo],0)),"")</f>
        <v/>
      </c>
      <c r="FB413" s="111" t="str">
        <f t="array" ref="FB413">IFERROR(INDEX(TABLACONSOLIDADA[Inv Fís Act],MATCH("AGROINSUMOSVERONICALEDESMA"&amp;Tabla_Buffers_Agroinsumos[[#This Row],[CODIGO ]],TABLACONSOLIDADA[Bodega]&amp;TABLACONSOLIDADA[Codigo],0)),"")</f>
        <v/>
      </c>
      <c r="FC413" s="186" t="str">
        <f t="array" ref="FC41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13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13" s="135">
        <f>IFERROR(SUM(Tabla_Buffers_Agroinsumos[[#This Row],[VL-MP]:[VL-LF]]),"")</f>
        <v>0</v>
      </c>
      <c r="FF413" s="154" t="str">
        <f>IFERROR(Tabla_Buffers_Agroinsumos[[#This Row],[INV FIS VL]]-Tabla_Buffers_Agroinsumos[[#This Row],[BUFFER VL]],"")</f>
        <v/>
      </c>
      <c r="FG413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13" s="135"/>
      <c r="FI413" s="135"/>
      <c r="FJ413" s="135"/>
      <c r="FK413" s="135"/>
      <c r="FL413" s="135"/>
      <c r="FM413" s="135"/>
      <c r="FN413" s="135"/>
      <c r="FO413" s="135"/>
      <c r="FP413" s="135"/>
    </row>
    <row r="414" spans="1:172">
      <c r="A414" s="20" t="s">
        <v>1308</v>
      </c>
      <c r="B414" s="20" t="s">
        <v>1309</v>
      </c>
      <c r="C414" s="7" t="s">
        <v>708</v>
      </c>
      <c r="D414" s="7" t="s">
        <v>717</v>
      </c>
      <c r="E414" s="7" t="s">
        <v>863</v>
      </c>
      <c r="F414" s="19" t="s">
        <v>804</v>
      </c>
      <c r="G414" s="19" t="s">
        <v>802</v>
      </c>
      <c r="H414" s="111" t="e">
        <f>VLOOKUP(Tabla_Buffers_Agroinsumos[[#This Row],[CODIGO ]],TABLACONSOLIDADA[[Codigo]:[PV]],6,0)</f>
        <v>#N/A</v>
      </c>
      <c r="I414" s="111" t="e">
        <f>VLOOKUP(Tabla_Buffers_Agroinsumos[[#This Row],[CODIGO ]],TABLACONSOLIDADA[[Codigo]:[PV]],5,0)</f>
        <v>#N/A</v>
      </c>
      <c r="J414" s="111"/>
      <c r="K414" s="111"/>
      <c r="L414" s="111">
        <f>IFERROR(Tabla_Buffers_Agroinsumos[[#This Row],[BUFFER CENTRAL]]/((Tabla_Buffers_Agroinsumos[[#This Row],[TIEMPO REPOSICION ]]/Tabla_Buffers_Agroinsumos[[#This Row],[FRECUENCIA]])+1),0)</f>
        <v>0</v>
      </c>
      <c r="M414" s="111">
        <v>200</v>
      </c>
      <c r="N414" s="111" t="str">
        <f t="array" ref="N414">IFERROR(INDEX(TABLACONSOLIDADA[Inv Fís Act],MATCH("AGROINSUMOSMATERIAPRIMA"&amp;Tabla_Buffers_Agroinsumos[[#This Row],[CODIGO ]],TABLACONSOLIDADA[Bodega]&amp;TABLACONSOLIDADA[Codigo],0)),"")</f>
        <v/>
      </c>
      <c r="O414" s="186" t="str">
        <f t="array" ref="O41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14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14" s="111">
        <f>IFERROR(SUM(Tabla_Buffers_Agroinsumos[[#This Row],[MP-C]:[MP-VL]]),"")</f>
        <v>0</v>
      </c>
      <c r="R414" s="154" t="str">
        <f>IFERROR(Tabla_Buffers_Agroinsumos[[#This Row],[INV FIS MATERIA PRIMA]]-Tabla_Buffers_Agroinsumos[[#This Row],[BUFFER MATERIA PRIMA]],"")</f>
        <v/>
      </c>
      <c r="S414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14" s="111"/>
      <c r="U414" s="111"/>
      <c r="V414" s="111"/>
      <c r="W414" s="111"/>
      <c r="X414" s="111"/>
      <c r="Y414" s="111"/>
      <c r="Z414" s="111"/>
      <c r="AA414" s="111"/>
      <c r="AB414" s="111"/>
      <c r="AC414" s="135" t="str">
        <f t="array" ref="AC414">IFERROR(INDEX(TABLACONSOLIDADA[Buff Act],MATCH("AGROINSUMOSCENTRAL"&amp;Tabla_Buffers_Agroinsumos[[#This Row],[CODIGO ]],TABLACONSOLIDADA[Bodega]&amp;TABLACONSOLIDADA[Codigo],0)),"")</f>
        <v/>
      </c>
      <c r="AD414" s="111" t="str">
        <f t="array" ref="AD414">IFERROR(INDEX(TABLACONSOLIDADA[Inv Fís Act],MATCH("AGROINSUMOSCENTRAL"&amp;Tabla_Buffers_Agroinsumos[[#This Row],[CODIGO ]],TABLACONSOLIDADA[Bodega]&amp;TABLACONSOLIDADA[Codigo],0)),"")</f>
        <v/>
      </c>
      <c r="AE414" s="186" t="str">
        <f t="array" ref="AE41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14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14" s="153">
        <f>IFERROR(SUM(Tabla_Buffers_Agroinsumos[[#This Row],[C-MP]:[C-VL]]),"")</f>
        <v>0</v>
      </c>
      <c r="AH414" s="154" t="str">
        <f>IFERROR(Tabla_Buffers_Agroinsumos[[#This Row],[INV FIS CENTRAL]]-Tabla_Buffers_Agroinsumos[[#This Row],[BUFFER CENTRAL]],"")</f>
        <v/>
      </c>
      <c r="AI414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14" s="135"/>
      <c r="AK414" s="135"/>
      <c r="AL414" s="135"/>
      <c r="AM414" s="135"/>
      <c r="AN414" s="135"/>
      <c r="AO414" s="135"/>
      <c r="AP414" s="135"/>
      <c r="AQ414" s="135"/>
      <c r="AR414" s="135"/>
      <c r="AS414" s="135" t="str">
        <f t="array" ref="AS414">IFERROR(INDEX(TABLACONSOLIDADA[Buff Act],MATCH("AGROINSUMOScentralPROPIA"&amp;Tabla_Buffers_Agroinsumos[[#This Row],[CODIGO ]],TABLACONSOLIDADA[Bodega]&amp;TABLACONSOLIDADA[Codigo],0)),"")</f>
        <v/>
      </c>
      <c r="AT414" s="111" t="str">
        <f t="array" ref="AT414">IFERROR(INDEX(TABLACONSOLIDADA[Inv Fís Act],MATCH("AGROINSUMOScentralPROPIA"&amp;Tabla_Buffers_Agroinsumos[[#This Row],[CODIGO ]],TABLACONSOLIDADA[Bodega]&amp;TABLACONSOLIDADA[Codigo],0)),"")</f>
        <v/>
      </c>
      <c r="AU414" s="186" t="str">
        <f t="array" ref="AU41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14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14" s="135">
        <f>IFERROR(SUM(Tabla_Buffers_Agroinsumos[[#This Row],[P-MP]:[P-VL]]),"")</f>
        <v>0</v>
      </c>
      <c r="AX414" s="154" t="str">
        <f>IFERROR(Tabla_Buffers_Agroinsumos[[#This Row],[INV FIS PROPIA]]-Tabla_Buffers_Agroinsumos[[#This Row],[BUFFER PROPIA]],"")</f>
        <v/>
      </c>
      <c r="AY414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14" s="135"/>
      <c r="BA414" s="135"/>
      <c r="BB414" s="135"/>
      <c r="BC414" s="135"/>
      <c r="BD414" s="135"/>
      <c r="BE414" s="135"/>
      <c r="BF414" s="135"/>
      <c r="BG414" s="135"/>
      <c r="BH414" s="135"/>
      <c r="BI414" s="153" t="str">
        <f t="array" ref="BI414">IFERROR(INDEX(TABLACONSOLIDADA[Buff Act],MATCH("AGROINSUMOSSTODOMINGO"&amp;Tabla_Buffers_Agroinsumos[[#This Row],[CODIGO ]],TABLACONSOLIDADA[Bodega]&amp;TABLACONSOLIDADA[Codigo],0)),"")</f>
        <v/>
      </c>
      <c r="BJ414" s="111" t="str">
        <f t="array" ref="BJ414">IFERROR(INDEX(TABLACONSOLIDADA[Inv Fís Act],MATCH("AGROINSUMOSSTODOMINGO"&amp;Tabla_Buffers_Agroinsumos[[#This Row],[CODIGO ]],TABLACONSOLIDADA[Bodega]&amp;TABLACONSOLIDADA[Codigo],0)),"")</f>
        <v/>
      </c>
      <c r="BK414" s="186" t="str">
        <f t="array" ref="BK41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14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14" s="153">
        <f>IFERROR(SUM(Tabla_Buffers_Agroinsumos[[#This Row],[SD-MP]:[SD-VL]]),"")</f>
        <v>0</v>
      </c>
      <c r="BN414" s="154"/>
      <c r="BO414" s="154"/>
      <c r="BP414" s="135"/>
      <c r="BQ414" s="135"/>
      <c r="BR414" s="135"/>
      <c r="BS414" s="135"/>
      <c r="BT414" s="135"/>
      <c r="BU414" s="135"/>
      <c r="BV414" s="135"/>
      <c r="BW414" s="135"/>
      <c r="BX414" s="135"/>
      <c r="BY414" s="135" t="str">
        <f t="array" ref="BY414">IFERROR(INDEX(TABLACONSOLIDADA[Buff Act],MATCH("AGROINSUMOSMONCAYOLOPEZ"&amp;Tabla_Buffers_Agroinsumos[[#This Row],[CODIGO ]],TABLACONSOLIDADA[Bodega]&amp;TABLACONSOLIDADA[Codigo],0)),"")</f>
        <v/>
      </c>
      <c r="BZ414" s="111" t="str">
        <f t="array" ref="BZ414">IFERROR(INDEX(TABLACONSOLIDADA[Inv Fís Act],MATCH("AGROINSUMOSMONCAYOLOPEZ"&amp;Tabla_Buffers_Agroinsumos[[#This Row],[CODIGO ]],TABLACONSOLIDADA[Bodega]&amp;TABLACONSOLIDADA[Codigo],0)),"")</f>
        <v/>
      </c>
      <c r="CA414" s="186" t="str">
        <f t="array" ref="CA41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14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14" s="135">
        <f>IFERROR(SUM(Tabla_Buffers_Agroinsumos[[#This Row],[ML-MP]:[ML-VL]]),"")</f>
        <v>0</v>
      </c>
      <c r="CD414" s="154" t="str">
        <f>IFERROR(Tabla_Buffers_Agroinsumos[[#This Row],[INV FIS ML]]-Tabla_Buffers_Agroinsumos[[#This Row],[BUFFER ML]],"")</f>
        <v/>
      </c>
      <c r="CE414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14" s="135"/>
      <c r="CG414" s="135"/>
      <c r="CH414" s="135"/>
      <c r="CI414" s="135"/>
      <c r="CJ414" s="135"/>
      <c r="CK414" s="135"/>
      <c r="CL414" s="135"/>
      <c r="CM414" s="135"/>
      <c r="CN414" s="135"/>
      <c r="CO414" s="135" t="str">
        <f t="array" ref="CO414">IFERROR(INDEX(TABLACONSOLIDADA[Buff Act],MATCH("AGROINSUMOSAGROHERMANOSLEON"&amp;Tabla_Buffers_Agroinsumos[[#This Row],[CODIGO ]],TABLACONSOLIDADA[Bodega]&amp;TABLACONSOLIDADA[Codigo],0)),"")</f>
        <v/>
      </c>
      <c r="CP414" s="111" t="str">
        <f t="array" ref="CP414">IFERROR(INDEX(TABLACONSOLIDADA[Inv Fís Act],MATCH("AGROINSUMOSAGROHERMANOSLEON"&amp;Tabla_Buffers_Agroinsumos[[#This Row],[CODIGO ]],TABLACONSOLIDADA[Bodega]&amp;TABLACONSOLIDADA[Codigo],0)),"")</f>
        <v/>
      </c>
      <c r="CQ414" s="186" t="str">
        <f t="array" ref="CQ41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14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14" s="135">
        <f>IFERROR(SUM(Tabla_Buffers_Agroinsumos[[#This Row],[AL-MP]:[AL-VL]]),"")</f>
        <v>0</v>
      </c>
      <c r="CT414" s="154" t="str">
        <f>IFERROR(Tabla_Buffers_Agroinsumos[[#This Row],[INV FIS AL]]-Tabla_Buffers_Agroinsumos[[#This Row],[BUFFER AL]],"")</f>
        <v/>
      </c>
      <c r="CU414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14" s="135"/>
      <c r="CW414" s="135"/>
      <c r="CX414" s="135"/>
      <c r="CY414" s="135"/>
      <c r="CZ414" s="135"/>
      <c r="DA414" s="135"/>
      <c r="DB414" s="135"/>
      <c r="DC414" s="135"/>
      <c r="DD414" s="135"/>
      <c r="DE414" s="135" t="str">
        <f t="array" ref="DE414">IFERROR(INDEX(TABLACONSOLIDADA[Buff Act],MATCH("AGROINSUMOSAGRONUEVO"&amp;Tabla_Buffers_Agroinsumos[[#This Row],[CODIGO ]],TABLACONSOLIDADA[Bodega]&amp;TABLACONSOLIDADA[Codigo],0)),"")</f>
        <v/>
      </c>
      <c r="DF414" s="111" t="str">
        <f t="array" ref="DF414">IFERROR(INDEX(TABLACONSOLIDADA[Inv Fís Act],MATCH("AGROINSUMOSAGRONUEVO"&amp;Tabla_Buffers_Agroinsumos[[#This Row],[CODIGO ]],TABLACONSOLIDADA[Bodega]&amp;TABLACONSOLIDADA[Codigo],0)),"")</f>
        <v/>
      </c>
      <c r="DG414" s="186" t="str">
        <f t="array" ref="DG41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14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14" s="135">
        <f>IFERROR(SUM(Tabla_Buffers_Agroinsumos[[#This Row],[AN-MP]:[AN-VL]]),"")</f>
        <v>0</v>
      </c>
      <c r="DJ414" s="154" t="str">
        <f>IFERROR(Tabla_Buffers_Agroinsumos[[#This Row],[INV FIS AN]]-Tabla_Buffers_Agroinsumos[[#This Row],[BUFFER AN]],"")</f>
        <v/>
      </c>
      <c r="DK414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14" s="135"/>
      <c r="DM414" s="135"/>
      <c r="DN414" s="135"/>
      <c r="DO414" s="135"/>
      <c r="DP414" s="135"/>
      <c r="DQ414" s="135"/>
      <c r="DR414" s="135"/>
      <c r="DS414" s="135"/>
      <c r="DT414" s="135"/>
      <c r="DU414" s="135" t="str">
        <f t="array" ref="DU414">IFERROR(INDEX(TABLACONSOLIDADA[Buff Act],MATCH("AGROINSUMOSAGROQUIMICOSSUR"&amp;Tabla_Buffers_Agroinsumos[[#This Row],[CODIGO ]],TABLACONSOLIDADA[Bodega]&amp;TABLACONSOLIDADA[Codigo],0)),"")</f>
        <v/>
      </c>
      <c r="DV414" s="111" t="str">
        <f t="array" ref="DV414">IFERROR(INDEX(TABLACONSOLIDADA[Inv Fís Act],MATCH("AGROINSUMOSAGROQUIMICOSSUR"&amp;Tabla_Buffers_Agroinsumos[[#This Row],[CODIGO ]],TABLACONSOLIDADA[Bodega]&amp;TABLACONSOLIDADA[Codigo],0)),"")</f>
        <v/>
      </c>
      <c r="DW414" s="186" t="str">
        <f t="array" ref="DW41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14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14" s="135">
        <f>IFERROR(SUM(Tabla_Buffers_Agroinsumos[[#This Row],[AS-MP]:[AS-VL]]),"")</f>
        <v>0</v>
      </c>
      <c r="DZ414" s="154" t="str">
        <f>IFERROR(Tabla_Buffers_Agroinsumos[[#This Row],[INV FIS AS]]-Tabla_Buffers_Agroinsumos[[#This Row],[BUFFER AS]],"")</f>
        <v/>
      </c>
      <c r="EA414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14" s="135"/>
      <c r="EC414" s="135"/>
      <c r="ED414" s="135"/>
      <c r="EE414" s="135"/>
      <c r="EF414" s="135"/>
      <c r="EG414" s="135"/>
      <c r="EH414" s="135"/>
      <c r="EI414" s="135"/>
      <c r="EJ414" s="135"/>
      <c r="EK414" s="135" t="str">
        <f t="array" ref="EK414">IFERROR(INDEX(TABLACONSOLIDADA[Buff Act],MATCH("AGROINSUMOSLAFINCA"&amp;Tabla_Buffers_Agroinsumos[[#This Row],[CODIGO ]],TABLACONSOLIDADA[Bodega]&amp;TABLACONSOLIDADA[Codigo],0)),"")</f>
        <v/>
      </c>
      <c r="EL414" s="111" t="str">
        <f t="array" ref="EL414">IFERROR(INDEX(TABLACONSOLIDADA[Inv Fís Act],MATCH("AGROINSUMOSLAFINCA"&amp;Tabla_Buffers_Agroinsumos[[#This Row],[CODIGO ]],TABLACONSOLIDADA[Bodega]&amp;TABLACONSOLIDADA[Codigo],0)),"")</f>
        <v/>
      </c>
      <c r="EM414" s="186" t="str">
        <f t="array" ref="EM41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14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14" s="135">
        <f>IFERROR(SUM(Tabla_Buffers_Agroinsumos[[#This Row],[LF-MP]:[LF-VL]]),"")</f>
        <v>0</v>
      </c>
      <c r="EP414" s="154" t="str">
        <f>IFERROR(Tabla_Buffers_Agroinsumos[[#This Row],[INV FIS LF]]-Tabla_Buffers_Agroinsumos[[#This Row],[BUFFER LF]],"")</f>
        <v/>
      </c>
      <c r="EQ414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14" s="135"/>
      <c r="ES414" s="135"/>
      <c r="ET414" s="135"/>
      <c r="EU414" s="135"/>
      <c r="EV414" s="135"/>
      <c r="EW414" s="135"/>
      <c r="EX414" s="135"/>
      <c r="EY414" s="135"/>
      <c r="EZ414" s="135"/>
      <c r="FA414" s="135" t="str">
        <f t="array" ref="FA414">IFERROR(INDEX(TABLACONSOLIDADA[Buff Act],MATCH("AGROINSUMOSVERONICALEDESMA"&amp;Tabla_Buffers_Agroinsumos[[#This Row],[CODIGO ]],TABLACONSOLIDADA[Bodega]&amp;TABLACONSOLIDADA[Codigo],0)),"")</f>
        <v/>
      </c>
      <c r="FB414" s="111" t="str">
        <f t="array" ref="FB414">IFERROR(INDEX(TABLACONSOLIDADA[Inv Fís Act],MATCH("AGROINSUMOSVERONICALEDESMA"&amp;Tabla_Buffers_Agroinsumos[[#This Row],[CODIGO ]],TABLACONSOLIDADA[Bodega]&amp;TABLACONSOLIDADA[Codigo],0)),"")</f>
        <v/>
      </c>
      <c r="FC414" s="186" t="str">
        <f t="array" ref="FC41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14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14" s="135">
        <f>IFERROR(SUM(Tabla_Buffers_Agroinsumos[[#This Row],[VL-MP]:[VL-LF]]),"")</f>
        <v>0</v>
      </c>
      <c r="FF414" s="154" t="str">
        <f>IFERROR(Tabla_Buffers_Agroinsumos[[#This Row],[INV FIS VL]]-Tabla_Buffers_Agroinsumos[[#This Row],[BUFFER VL]],"")</f>
        <v/>
      </c>
      <c r="FG414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14" s="135"/>
      <c r="FI414" s="135"/>
      <c r="FJ414" s="135"/>
      <c r="FK414" s="135"/>
      <c r="FL414" s="135"/>
      <c r="FM414" s="135"/>
      <c r="FN414" s="135"/>
      <c r="FO414" s="135"/>
      <c r="FP414" s="135"/>
    </row>
    <row r="415" spans="1:172">
      <c r="A415" s="20" t="s">
        <v>1320</v>
      </c>
      <c r="B415" s="20" t="s">
        <v>1310</v>
      </c>
      <c r="C415" s="7" t="s">
        <v>708</v>
      </c>
      <c r="D415" s="7" t="s">
        <v>717</v>
      </c>
      <c r="E415" s="7" t="s">
        <v>863</v>
      </c>
      <c r="F415" s="19" t="s">
        <v>804</v>
      </c>
      <c r="G415" s="19" t="s">
        <v>802</v>
      </c>
      <c r="H415" s="111" t="e">
        <f>VLOOKUP(Tabla_Buffers_Agroinsumos[[#This Row],[CODIGO ]],TABLACONSOLIDADA[[Codigo]:[PV]],6,0)</f>
        <v>#N/A</v>
      </c>
      <c r="I415" s="111" t="e">
        <f>VLOOKUP(Tabla_Buffers_Agroinsumos[[#This Row],[CODIGO ]],TABLACONSOLIDADA[[Codigo]:[PV]],5,0)</f>
        <v>#N/A</v>
      </c>
      <c r="J415" s="111"/>
      <c r="K415" s="111"/>
      <c r="L415" s="111">
        <f>IFERROR(Tabla_Buffers_Agroinsumos[[#This Row],[BUFFER CENTRAL]]/((Tabla_Buffers_Agroinsumos[[#This Row],[TIEMPO REPOSICION ]]/Tabla_Buffers_Agroinsumos[[#This Row],[FRECUENCIA]])+1),0)</f>
        <v>0</v>
      </c>
      <c r="M415" s="111">
        <v>24</v>
      </c>
      <c r="N415" s="111" t="str">
        <f t="array" ref="N415">IFERROR(INDEX(TABLACONSOLIDADA[Inv Fís Act],MATCH("AGROINSUMOSMATERIAPRIMA"&amp;Tabla_Buffers_Agroinsumos[[#This Row],[CODIGO ]],TABLACONSOLIDADA[Bodega]&amp;TABLACONSOLIDADA[Codigo],0)),"")</f>
        <v/>
      </c>
      <c r="O415" s="186" t="str">
        <f t="array" ref="O41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15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15" s="111">
        <f>IFERROR(SUM(Tabla_Buffers_Agroinsumos[[#This Row],[MP-C]:[MP-VL]]),"")</f>
        <v>0</v>
      </c>
      <c r="R415" s="154" t="str">
        <f>IFERROR(Tabla_Buffers_Agroinsumos[[#This Row],[INV FIS MATERIA PRIMA]]-Tabla_Buffers_Agroinsumos[[#This Row],[BUFFER MATERIA PRIMA]],"")</f>
        <v/>
      </c>
      <c r="S415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15" s="111"/>
      <c r="U415" s="111"/>
      <c r="V415" s="111"/>
      <c r="W415" s="111"/>
      <c r="X415" s="111"/>
      <c r="Y415" s="111"/>
      <c r="Z415" s="111"/>
      <c r="AA415" s="111"/>
      <c r="AB415" s="111"/>
      <c r="AC415" s="135" t="str">
        <f t="array" ref="AC415">IFERROR(INDEX(TABLACONSOLIDADA[Buff Act],MATCH("AGROINSUMOSCENTRAL"&amp;Tabla_Buffers_Agroinsumos[[#This Row],[CODIGO ]],TABLACONSOLIDADA[Bodega]&amp;TABLACONSOLIDADA[Codigo],0)),"")</f>
        <v/>
      </c>
      <c r="AD415" s="111" t="str">
        <f t="array" ref="AD415">IFERROR(INDEX(TABLACONSOLIDADA[Inv Fís Act],MATCH("AGROINSUMOSCENTRAL"&amp;Tabla_Buffers_Agroinsumos[[#This Row],[CODIGO ]],TABLACONSOLIDADA[Bodega]&amp;TABLACONSOLIDADA[Codigo],0)),"")</f>
        <v/>
      </c>
      <c r="AE415" s="186" t="str">
        <f t="array" ref="AE41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15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15" s="153">
        <f>IFERROR(SUM(Tabla_Buffers_Agroinsumos[[#This Row],[C-MP]:[C-VL]]),"")</f>
        <v>0</v>
      </c>
      <c r="AH415" s="154" t="str">
        <f>IFERROR(Tabla_Buffers_Agroinsumos[[#This Row],[INV FIS CENTRAL]]-Tabla_Buffers_Agroinsumos[[#This Row],[BUFFER CENTRAL]],"")</f>
        <v/>
      </c>
      <c r="AI415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15" s="135"/>
      <c r="AK415" s="135"/>
      <c r="AL415" s="135"/>
      <c r="AM415" s="135"/>
      <c r="AN415" s="135"/>
      <c r="AO415" s="135"/>
      <c r="AP415" s="135"/>
      <c r="AQ415" s="135"/>
      <c r="AR415" s="135"/>
      <c r="AS415" s="135" t="str">
        <f t="array" ref="AS415">IFERROR(INDEX(TABLACONSOLIDADA[Buff Act],MATCH("AGROINSUMOScentralPROPIA"&amp;Tabla_Buffers_Agroinsumos[[#This Row],[CODIGO ]],TABLACONSOLIDADA[Bodega]&amp;TABLACONSOLIDADA[Codigo],0)),"")</f>
        <v/>
      </c>
      <c r="AT415" s="111" t="str">
        <f t="array" ref="AT415">IFERROR(INDEX(TABLACONSOLIDADA[Inv Fís Act],MATCH("AGROINSUMOScentralPROPIA"&amp;Tabla_Buffers_Agroinsumos[[#This Row],[CODIGO ]],TABLACONSOLIDADA[Bodega]&amp;TABLACONSOLIDADA[Codigo],0)),"")</f>
        <v/>
      </c>
      <c r="AU415" s="186" t="str">
        <f t="array" ref="AU41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15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15" s="135">
        <f>IFERROR(SUM(Tabla_Buffers_Agroinsumos[[#This Row],[P-MP]:[P-VL]]),"")</f>
        <v>0</v>
      </c>
      <c r="AX415" s="154" t="str">
        <f>IFERROR(Tabla_Buffers_Agroinsumos[[#This Row],[INV FIS PROPIA]]-Tabla_Buffers_Agroinsumos[[#This Row],[BUFFER PROPIA]],"")</f>
        <v/>
      </c>
      <c r="AY415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15" s="135"/>
      <c r="BA415" s="135"/>
      <c r="BB415" s="135"/>
      <c r="BC415" s="135"/>
      <c r="BD415" s="135"/>
      <c r="BE415" s="135"/>
      <c r="BF415" s="135"/>
      <c r="BG415" s="135"/>
      <c r="BH415" s="135"/>
      <c r="BI415" s="153" t="str">
        <f t="array" ref="BI415">IFERROR(INDEX(TABLACONSOLIDADA[Buff Act],MATCH("AGROINSUMOSSTODOMINGO"&amp;Tabla_Buffers_Agroinsumos[[#This Row],[CODIGO ]],TABLACONSOLIDADA[Bodega]&amp;TABLACONSOLIDADA[Codigo],0)),"")</f>
        <v/>
      </c>
      <c r="BJ415" s="111" t="str">
        <f t="array" ref="BJ415">IFERROR(INDEX(TABLACONSOLIDADA[Inv Fís Act],MATCH("AGROINSUMOSSTODOMINGO"&amp;Tabla_Buffers_Agroinsumos[[#This Row],[CODIGO ]],TABLACONSOLIDADA[Bodega]&amp;TABLACONSOLIDADA[Codigo],0)),"")</f>
        <v/>
      </c>
      <c r="BK415" s="186" t="str">
        <f t="array" ref="BK41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15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15" s="153">
        <f>IFERROR(SUM(Tabla_Buffers_Agroinsumos[[#This Row],[SD-MP]:[SD-VL]]),"")</f>
        <v>0</v>
      </c>
      <c r="BN415" s="154"/>
      <c r="BO415" s="154"/>
      <c r="BP415" s="135"/>
      <c r="BQ415" s="135"/>
      <c r="BR415" s="135"/>
      <c r="BS415" s="135"/>
      <c r="BT415" s="135"/>
      <c r="BU415" s="135"/>
      <c r="BV415" s="135"/>
      <c r="BW415" s="135"/>
      <c r="BX415" s="135"/>
      <c r="BY415" s="135" t="str">
        <f t="array" ref="BY415">IFERROR(INDEX(TABLACONSOLIDADA[Buff Act],MATCH("AGROINSUMOSMONCAYOLOPEZ"&amp;Tabla_Buffers_Agroinsumos[[#This Row],[CODIGO ]],TABLACONSOLIDADA[Bodega]&amp;TABLACONSOLIDADA[Codigo],0)),"")</f>
        <v/>
      </c>
      <c r="BZ415" s="111" t="str">
        <f t="array" ref="BZ415">IFERROR(INDEX(TABLACONSOLIDADA[Inv Fís Act],MATCH("AGROINSUMOSMONCAYOLOPEZ"&amp;Tabla_Buffers_Agroinsumos[[#This Row],[CODIGO ]],TABLACONSOLIDADA[Bodega]&amp;TABLACONSOLIDADA[Codigo],0)),"")</f>
        <v/>
      </c>
      <c r="CA415" s="186" t="str">
        <f t="array" ref="CA41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15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15" s="135">
        <f>IFERROR(SUM(Tabla_Buffers_Agroinsumos[[#This Row],[ML-MP]:[ML-VL]]),"")</f>
        <v>0</v>
      </c>
      <c r="CD415" s="154" t="str">
        <f>IFERROR(Tabla_Buffers_Agroinsumos[[#This Row],[INV FIS ML]]-Tabla_Buffers_Agroinsumos[[#This Row],[BUFFER ML]],"")</f>
        <v/>
      </c>
      <c r="CE415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15" s="135"/>
      <c r="CG415" s="135"/>
      <c r="CH415" s="135"/>
      <c r="CI415" s="135"/>
      <c r="CJ415" s="135"/>
      <c r="CK415" s="135"/>
      <c r="CL415" s="135"/>
      <c r="CM415" s="135"/>
      <c r="CN415" s="135"/>
      <c r="CO415" s="135" t="str">
        <f t="array" ref="CO415">IFERROR(INDEX(TABLACONSOLIDADA[Buff Act],MATCH("AGROINSUMOSAGROHERMANOSLEON"&amp;Tabla_Buffers_Agroinsumos[[#This Row],[CODIGO ]],TABLACONSOLIDADA[Bodega]&amp;TABLACONSOLIDADA[Codigo],0)),"")</f>
        <v/>
      </c>
      <c r="CP415" s="111" t="str">
        <f t="array" ref="CP415">IFERROR(INDEX(TABLACONSOLIDADA[Inv Fís Act],MATCH("AGROINSUMOSAGROHERMANOSLEON"&amp;Tabla_Buffers_Agroinsumos[[#This Row],[CODIGO ]],TABLACONSOLIDADA[Bodega]&amp;TABLACONSOLIDADA[Codigo],0)),"")</f>
        <v/>
      </c>
      <c r="CQ415" s="186" t="str">
        <f t="array" ref="CQ41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15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15" s="135">
        <f>IFERROR(SUM(Tabla_Buffers_Agroinsumos[[#This Row],[AL-MP]:[AL-VL]]),"")</f>
        <v>0</v>
      </c>
      <c r="CT415" s="154" t="str">
        <f>IFERROR(Tabla_Buffers_Agroinsumos[[#This Row],[INV FIS AL]]-Tabla_Buffers_Agroinsumos[[#This Row],[BUFFER AL]],"")</f>
        <v/>
      </c>
      <c r="CU415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15" s="135"/>
      <c r="CW415" s="135"/>
      <c r="CX415" s="135"/>
      <c r="CY415" s="135"/>
      <c r="CZ415" s="135"/>
      <c r="DA415" s="135"/>
      <c r="DB415" s="135"/>
      <c r="DC415" s="135"/>
      <c r="DD415" s="135"/>
      <c r="DE415" s="135" t="str">
        <f t="array" ref="DE415">IFERROR(INDEX(TABLACONSOLIDADA[Buff Act],MATCH("AGROINSUMOSAGRONUEVO"&amp;Tabla_Buffers_Agroinsumos[[#This Row],[CODIGO ]],TABLACONSOLIDADA[Bodega]&amp;TABLACONSOLIDADA[Codigo],0)),"")</f>
        <v/>
      </c>
      <c r="DF415" s="111" t="str">
        <f t="array" ref="DF415">IFERROR(INDEX(TABLACONSOLIDADA[Inv Fís Act],MATCH("AGROINSUMOSAGRONUEVO"&amp;Tabla_Buffers_Agroinsumos[[#This Row],[CODIGO ]],TABLACONSOLIDADA[Bodega]&amp;TABLACONSOLIDADA[Codigo],0)),"")</f>
        <v/>
      </c>
      <c r="DG415" s="186" t="str">
        <f t="array" ref="DG41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15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15" s="135">
        <f>IFERROR(SUM(Tabla_Buffers_Agroinsumos[[#This Row],[AN-MP]:[AN-VL]]),"")</f>
        <v>0</v>
      </c>
      <c r="DJ415" s="154" t="str">
        <f>IFERROR(Tabla_Buffers_Agroinsumos[[#This Row],[INV FIS AN]]-Tabla_Buffers_Agroinsumos[[#This Row],[BUFFER AN]],"")</f>
        <v/>
      </c>
      <c r="DK415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15" s="135"/>
      <c r="DM415" s="135"/>
      <c r="DN415" s="135"/>
      <c r="DO415" s="135"/>
      <c r="DP415" s="135"/>
      <c r="DQ415" s="135"/>
      <c r="DR415" s="135"/>
      <c r="DS415" s="135"/>
      <c r="DT415" s="135"/>
      <c r="DU415" s="135" t="str">
        <f t="array" ref="DU415">IFERROR(INDEX(TABLACONSOLIDADA[Buff Act],MATCH("AGROINSUMOSAGROQUIMICOSSUR"&amp;Tabla_Buffers_Agroinsumos[[#This Row],[CODIGO ]],TABLACONSOLIDADA[Bodega]&amp;TABLACONSOLIDADA[Codigo],0)),"")</f>
        <v/>
      </c>
      <c r="DV415" s="111" t="str">
        <f t="array" ref="DV415">IFERROR(INDEX(TABLACONSOLIDADA[Inv Fís Act],MATCH("AGROINSUMOSAGROQUIMICOSSUR"&amp;Tabla_Buffers_Agroinsumos[[#This Row],[CODIGO ]],TABLACONSOLIDADA[Bodega]&amp;TABLACONSOLIDADA[Codigo],0)),"")</f>
        <v/>
      </c>
      <c r="DW415" s="186" t="str">
        <f t="array" ref="DW41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15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15" s="135">
        <f>IFERROR(SUM(Tabla_Buffers_Agroinsumos[[#This Row],[AS-MP]:[AS-VL]]),"")</f>
        <v>0</v>
      </c>
      <c r="DZ415" s="154" t="str">
        <f>IFERROR(Tabla_Buffers_Agroinsumos[[#This Row],[INV FIS AS]]-Tabla_Buffers_Agroinsumos[[#This Row],[BUFFER AS]],"")</f>
        <v/>
      </c>
      <c r="EA415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15" s="135"/>
      <c r="EC415" s="135"/>
      <c r="ED415" s="135"/>
      <c r="EE415" s="135"/>
      <c r="EF415" s="135"/>
      <c r="EG415" s="135"/>
      <c r="EH415" s="135"/>
      <c r="EI415" s="135"/>
      <c r="EJ415" s="135"/>
      <c r="EK415" s="135" t="str">
        <f t="array" ref="EK415">IFERROR(INDEX(TABLACONSOLIDADA[Buff Act],MATCH("AGROINSUMOSLAFINCA"&amp;Tabla_Buffers_Agroinsumos[[#This Row],[CODIGO ]],TABLACONSOLIDADA[Bodega]&amp;TABLACONSOLIDADA[Codigo],0)),"")</f>
        <v/>
      </c>
      <c r="EL415" s="111" t="str">
        <f t="array" ref="EL415">IFERROR(INDEX(TABLACONSOLIDADA[Inv Fís Act],MATCH("AGROINSUMOSLAFINCA"&amp;Tabla_Buffers_Agroinsumos[[#This Row],[CODIGO ]],TABLACONSOLIDADA[Bodega]&amp;TABLACONSOLIDADA[Codigo],0)),"")</f>
        <v/>
      </c>
      <c r="EM415" s="186" t="str">
        <f t="array" ref="EM41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15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15" s="135">
        <f>IFERROR(SUM(Tabla_Buffers_Agroinsumos[[#This Row],[LF-MP]:[LF-VL]]),"")</f>
        <v>0</v>
      </c>
      <c r="EP415" s="154" t="str">
        <f>IFERROR(Tabla_Buffers_Agroinsumos[[#This Row],[INV FIS LF]]-Tabla_Buffers_Agroinsumos[[#This Row],[BUFFER LF]],"")</f>
        <v/>
      </c>
      <c r="EQ415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15" s="135"/>
      <c r="ES415" s="135"/>
      <c r="ET415" s="135"/>
      <c r="EU415" s="135"/>
      <c r="EV415" s="135"/>
      <c r="EW415" s="135"/>
      <c r="EX415" s="135"/>
      <c r="EY415" s="135"/>
      <c r="EZ415" s="135"/>
      <c r="FA415" s="135" t="str">
        <f t="array" ref="FA415">IFERROR(INDEX(TABLACONSOLIDADA[Buff Act],MATCH("AGROINSUMOSVERONICALEDESMA"&amp;Tabla_Buffers_Agroinsumos[[#This Row],[CODIGO ]],TABLACONSOLIDADA[Bodega]&amp;TABLACONSOLIDADA[Codigo],0)),"")</f>
        <v/>
      </c>
      <c r="FB415" s="111" t="str">
        <f t="array" ref="FB415">IFERROR(INDEX(TABLACONSOLIDADA[Inv Fís Act],MATCH("AGROINSUMOSVERONICALEDESMA"&amp;Tabla_Buffers_Agroinsumos[[#This Row],[CODIGO ]],TABLACONSOLIDADA[Bodega]&amp;TABLACONSOLIDADA[Codigo],0)),"")</f>
        <v/>
      </c>
      <c r="FC415" s="186" t="str">
        <f t="array" ref="FC41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15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15" s="135">
        <f>IFERROR(SUM(Tabla_Buffers_Agroinsumos[[#This Row],[VL-MP]:[VL-LF]]),"")</f>
        <v>0</v>
      </c>
      <c r="FF415" s="154" t="str">
        <f>IFERROR(Tabla_Buffers_Agroinsumos[[#This Row],[INV FIS VL]]-Tabla_Buffers_Agroinsumos[[#This Row],[BUFFER VL]],"")</f>
        <v/>
      </c>
      <c r="FG415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15" s="135"/>
      <c r="FI415" s="135"/>
      <c r="FJ415" s="135"/>
      <c r="FK415" s="135"/>
      <c r="FL415" s="135"/>
      <c r="FM415" s="135"/>
      <c r="FN415" s="135"/>
      <c r="FO415" s="135"/>
      <c r="FP415" s="135"/>
    </row>
    <row r="416" spans="1:172">
      <c r="A416" s="20" t="s">
        <v>1311</v>
      </c>
      <c r="B416" s="20" t="s">
        <v>1312</v>
      </c>
      <c r="C416" s="7" t="s">
        <v>707</v>
      </c>
      <c r="D416" s="7" t="s">
        <v>761</v>
      </c>
      <c r="E416" s="7" t="s">
        <v>863</v>
      </c>
      <c r="F416" s="19" t="s">
        <v>1313</v>
      </c>
      <c r="G416" s="19" t="s">
        <v>802</v>
      </c>
      <c r="H416" s="111" t="e">
        <f>VLOOKUP(Tabla_Buffers_Agroinsumos[[#This Row],[CODIGO ]],TABLACONSOLIDADA[[Codigo]:[PV]],6,0)</f>
        <v>#N/A</v>
      </c>
      <c r="I416" s="111" t="e">
        <f>VLOOKUP(Tabla_Buffers_Agroinsumos[[#This Row],[CODIGO ]],TABLACONSOLIDADA[[Codigo]:[PV]],5,0)</f>
        <v>#N/A</v>
      </c>
      <c r="J416" s="111"/>
      <c r="K416" s="111"/>
      <c r="L416" s="111">
        <f>IFERROR(Tabla_Buffers_Agroinsumos[[#This Row],[BUFFER CENTRAL]]/((Tabla_Buffers_Agroinsumos[[#This Row],[TIEMPO REPOSICION ]]/Tabla_Buffers_Agroinsumos[[#This Row],[FRECUENCIA]])+1),0)</f>
        <v>0</v>
      </c>
      <c r="M416" s="111">
        <v>200</v>
      </c>
      <c r="N416" s="111" t="str">
        <f t="array" ref="N416">IFERROR(INDEX(TABLACONSOLIDADA[Inv Fís Act],MATCH("AGROINSUMOSMATERIAPRIMA"&amp;Tabla_Buffers_Agroinsumos[[#This Row],[CODIGO ]],TABLACONSOLIDADA[Bodega]&amp;TABLACONSOLIDADA[Codigo],0)),"")</f>
        <v/>
      </c>
      <c r="O416" s="161" t="str">
        <f t="array" ref="O41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16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16" s="111">
        <f>IFERROR(SUM(Tabla_Buffers_Agroinsumos[[#This Row],[MP-C]:[MP-VL]]),"")</f>
        <v>0</v>
      </c>
      <c r="R416" s="154" t="str">
        <f>IFERROR(Tabla_Buffers_Agroinsumos[[#This Row],[INV FIS MATERIA PRIMA]]-Tabla_Buffers_Agroinsumos[[#This Row],[BUFFER MATERIA PRIMA]],"")</f>
        <v/>
      </c>
      <c r="S416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16" s="111"/>
      <c r="U416" s="111"/>
      <c r="V416" s="111"/>
      <c r="W416" s="111"/>
      <c r="X416" s="111"/>
      <c r="Y416" s="111"/>
      <c r="Z416" s="111"/>
      <c r="AA416" s="111"/>
      <c r="AB416" s="111"/>
      <c r="AC416" s="135" t="str">
        <f t="array" ref="AC416">IFERROR(INDEX(TABLACONSOLIDADA[Buff Act],MATCH("AGROINSUMOSCENTRAL"&amp;Tabla_Buffers_Agroinsumos[[#This Row],[CODIGO ]],TABLACONSOLIDADA[Bodega]&amp;TABLACONSOLIDADA[Codigo],0)),"")</f>
        <v/>
      </c>
      <c r="AD416" s="111" t="str">
        <f t="array" ref="AD416">IFERROR(INDEX(TABLACONSOLIDADA[Inv Fís Act],MATCH("AGROINSUMOSCENTRAL"&amp;Tabla_Buffers_Agroinsumos[[#This Row],[CODIGO ]],TABLACONSOLIDADA[Bodega]&amp;TABLACONSOLIDADA[Codigo],0)),"")</f>
        <v/>
      </c>
      <c r="AE416" s="161" t="str">
        <f t="array" ref="AE41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16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16" s="153">
        <f>IFERROR(SUM(Tabla_Buffers_Agroinsumos[[#This Row],[C-MP]:[C-VL]]),"")</f>
        <v>0</v>
      </c>
      <c r="AH416" s="154" t="str">
        <f>IFERROR(Tabla_Buffers_Agroinsumos[[#This Row],[INV FIS CENTRAL]]-Tabla_Buffers_Agroinsumos[[#This Row],[BUFFER CENTRAL]],"")</f>
        <v/>
      </c>
      <c r="AI416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16" s="135"/>
      <c r="AK416" s="135"/>
      <c r="AL416" s="135"/>
      <c r="AM416" s="135"/>
      <c r="AN416" s="135"/>
      <c r="AO416" s="135"/>
      <c r="AP416" s="135"/>
      <c r="AQ416" s="135"/>
      <c r="AR416" s="135"/>
      <c r="AS416" s="135" t="str">
        <f t="array" ref="AS416">IFERROR(INDEX(TABLACONSOLIDADA[Buff Act],MATCH("AGROINSUMOScentralPROPIA"&amp;Tabla_Buffers_Agroinsumos[[#This Row],[CODIGO ]],TABLACONSOLIDADA[Bodega]&amp;TABLACONSOLIDADA[Codigo],0)),"")</f>
        <v/>
      </c>
      <c r="AT416" s="111" t="str">
        <f t="array" ref="AT416">IFERROR(INDEX(TABLACONSOLIDADA[Inv Fís Act],MATCH("AGROINSUMOScentralPROPIA"&amp;Tabla_Buffers_Agroinsumos[[#This Row],[CODIGO ]],TABLACONSOLIDADA[Bodega]&amp;TABLACONSOLIDADA[Codigo],0)),"")</f>
        <v/>
      </c>
      <c r="AU416" s="161" t="str">
        <f t="array" ref="AU41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16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16" s="135">
        <f>IFERROR(SUM(Tabla_Buffers_Agroinsumos[[#This Row],[P-MP]:[P-VL]]),"")</f>
        <v>0</v>
      </c>
      <c r="AX416" s="154" t="str">
        <f>IFERROR(Tabla_Buffers_Agroinsumos[[#This Row],[INV FIS PROPIA]]-Tabla_Buffers_Agroinsumos[[#This Row],[BUFFER PROPIA]],"")</f>
        <v/>
      </c>
      <c r="AY416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16" s="135"/>
      <c r="BA416" s="135"/>
      <c r="BB416" s="135"/>
      <c r="BC416" s="135"/>
      <c r="BD416" s="135"/>
      <c r="BE416" s="135"/>
      <c r="BF416" s="135"/>
      <c r="BG416" s="135"/>
      <c r="BH416" s="135"/>
      <c r="BI416" s="153" t="str">
        <f t="array" ref="BI416">IFERROR(INDEX(TABLACONSOLIDADA[Buff Act],MATCH("AGROINSUMOSSTODOMINGO"&amp;Tabla_Buffers_Agroinsumos[[#This Row],[CODIGO ]],TABLACONSOLIDADA[Bodega]&amp;TABLACONSOLIDADA[Codigo],0)),"")</f>
        <v/>
      </c>
      <c r="BJ416" s="111" t="str">
        <f t="array" ref="BJ416">IFERROR(INDEX(TABLACONSOLIDADA[Inv Fís Act],MATCH("AGROINSUMOSSTODOMINGO"&amp;Tabla_Buffers_Agroinsumos[[#This Row],[CODIGO ]],TABLACONSOLIDADA[Bodega]&amp;TABLACONSOLIDADA[Codigo],0)),"")</f>
        <v/>
      </c>
      <c r="BK416" s="161" t="str">
        <f t="array" ref="BK41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16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16" s="153">
        <f>IFERROR(SUM(Tabla_Buffers_Agroinsumos[[#This Row],[SD-MP]:[SD-VL]]),"")</f>
        <v>0</v>
      </c>
      <c r="BN416" s="154"/>
      <c r="BO416" s="154"/>
      <c r="BP416" s="135"/>
      <c r="BQ416" s="135"/>
      <c r="BR416" s="135"/>
      <c r="BS416" s="135"/>
      <c r="BT416" s="135"/>
      <c r="BU416" s="135"/>
      <c r="BV416" s="135"/>
      <c r="BW416" s="135"/>
      <c r="BX416" s="135"/>
      <c r="BY416" s="135" t="str">
        <f t="array" ref="BY416">IFERROR(INDEX(TABLACONSOLIDADA[Buff Act],MATCH("AGROINSUMOSMONCAYOLOPEZ"&amp;Tabla_Buffers_Agroinsumos[[#This Row],[CODIGO ]],TABLACONSOLIDADA[Bodega]&amp;TABLACONSOLIDADA[Codigo],0)),"")</f>
        <v/>
      </c>
      <c r="BZ416" s="111" t="str">
        <f t="array" ref="BZ416">IFERROR(INDEX(TABLACONSOLIDADA[Inv Fís Act],MATCH("AGROINSUMOSMONCAYOLOPEZ"&amp;Tabla_Buffers_Agroinsumos[[#This Row],[CODIGO ]],TABLACONSOLIDADA[Bodega]&amp;TABLACONSOLIDADA[Codigo],0)),"")</f>
        <v/>
      </c>
      <c r="CA416" s="161" t="str">
        <f t="array" ref="CA41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16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16" s="135">
        <f>IFERROR(SUM(Tabla_Buffers_Agroinsumos[[#This Row],[ML-MP]:[ML-VL]]),"")</f>
        <v>0</v>
      </c>
      <c r="CD416" s="154" t="str">
        <f>IFERROR(Tabla_Buffers_Agroinsumos[[#This Row],[INV FIS ML]]-Tabla_Buffers_Agroinsumos[[#This Row],[BUFFER ML]],"")</f>
        <v/>
      </c>
      <c r="CE416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16" s="135"/>
      <c r="CG416" s="135"/>
      <c r="CH416" s="135"/>
      <c r="CI416" s="135"/>
      <c r="CJ416" s="135"/>
      <c r="CK416" s="135"/>
      <c r="CL416" s="135"/>
      <c r="CM416" s="135"/>
      <c r="CN416" s="135"/>
      <c r="CO416" s="135" t="str">
        <f t="array" ref="CO416">IFERROR(INDEX(TABLACONSOLIDADA[Buff Act],MATCH("AGROINSUMOSAGROHERMANOSLEON"&amp;Tabla_Buffers_Agroinsumos[[#This Row],[CODIGO ]],TABLACONSOLIDADA[Bodega]&amp;TABLACONSOLIDADA[Codigo],0)),"")</f>
        <v/>
      </c>
      <c r="CP416" s="111" t="str">
        <f t="array" ref="CP416">IFERROR(INDEX(TABLACONSOLIDADA[Inv Fís Act],MATCH("AGROINSUMOSAGROHERMANOSLEON"&amp;Tabla_Buffers_Agroinsumos[[#This Row],[CODIGO ]],TABLACONSOLIDADA[Bodega]&amp;TABLACONSOLIDADA[Codigo],0)),"")</f>
        <v/>
      </c>
      <c r="CQ416" s="161" t="str">
        <f t="array" ref="CQ41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16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16" s="135">
        <f>IFERROR(SUM(Tabla_Buffers_Agroinsumos[[#This Row],[AL-MP]:[AL-VL]]),"")</f>
        <v>0</v>
      </c>
      <c r="CT416" s="154" t="str">
        <f>IFERROR(Tabla_Buffers_Agroinsumos[[#This Row],[INV FIS AL]]-Tabla_Buffers_Agroinsumos[[#This Row],[BUFFER AL]],"")</f>
        <v/>
      </c>
      <c r="CU416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16" s="135"/>
      <c r="CW416" s="135"/>
      <c r="CX416" s="135"/>
      <c r="CY416" s="135"/>
      <c r="CZ416" s="135"/>
      <c r="DA416" s="135"/>
      <c r="DB416" s="135"/>
      <c r="DC416" s="135"/>
      <c r="DD416" s="135"/>
      <c r="DE416" s="135" t="str">
        <f t="array" ref="DE416">IFERROR(INDEX(TABLACONSOLIDADA[Buff Act],MATCH("AGROINSUMOSAGRONUEVO"&amp;Tabla_Buffers_Agroinsumos[[#This Row],[CODIGO ]],TABLACONSOLIDADA[Bodega]&amp;TABLACONSOLIDADA[Codigo],0)),"")</f>
        <v/>
      </c>
      <c r="DF416" s="111" t="str">
        <f t="array" ref="DF416">IFERROR(INDEX(TABLACONSOLIDADA[Inv Fís Act],MATCH("AGROINSUMOSAGRONUEVO"&amp;Tabla_Buffers_Agroinsumos[[#This Row],[CODIGO ]],TABLACONSOLIDADA[Bodega]&amp;TABLACONSOLIDADA[Codigo],0)),"")</f>
        <v/>
      </c>
      <c r="DG416" s="161" t="str">
        <f t="array" ref="DG41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16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16" s="135">
        <f>IFERROR(SUM(Tabla_Buffers_Agroinsumos[[#This Row],[AN-MP]:[AN-VL]]),"")</f>
        <v>0</v>
      </c>
      <c r="DJ416" s="154" t="str">
        <f>IFERROR(Tabla_Buffers_Agroinsumos[[#This Row],[INV FIS AN]]-Tabla_Buffers_Agroinsumos[[#This Row],[BUFFER AN]],"")</f>
        <v/>
      </c>
      <c r="DK416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16" s="135"/>
      <c r="DM416" s="135"/>
      <c r="DN416" s="135"/>
      <c r="DO416" s="135"/>
      <c r="DP416" s="135"/>
      <c r="DQ416" s="135"/>
      <c r="DR416" s="135"/>
      <c r="DS416" s="135"/>
      <c r="DT416" s="135"/>
      <c r="DU416" s="135" t="str">
        <f t="array" ref="DU416">IFERROR(INDEX(TABLACONSOLIDADA[Buff Act],MATCH("AGROINSUMOSAGROQUIMICOSSUR"&amp;Tabla_Buffers_Agroinsumos[[#This Row],[CODIGO ]],TABLACONSOLIDADA[Bodega]&amp;TABLACONSOLIDADA[Codigo],0)),"")</f>
        <v/>
      </c>
      <c r="DV416" s="111" t="str">
        <f t="array" ref="DV416">IFERROR(INDEX(TABLACONSOLIDADA[Inv Fís Act],MATCH("AGROINSUMOSAGROQUIMICOSSUR"&amp;Tabla_Buffers_Agroinsumos[[#This Row],[CODIGO ]],TABLACONSOLIDADA[Bodega]&amp;TABLACONSOLIDADA[Codigo],0)),"")</f>
        <v/>
      </c>
      <c r="DW416" s="161" t="str">
        <f t="array" ref="DW41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16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16" s="135">
        <f>IFERROR(SUM(Tabla_Buffers_Agroinsumos[[#This Row],[AS-MP]:[AS-VL]]),"")</f>
        <v>0</v>
      </c>
      <c r="DZ416" s="154" t="str">
        <f>IFERROR(Tabla_Buffers_Agroinsumos[[#This Row],[INV FIS AS]]-Tabla_Buffers_Agroinsumos[[#This Row],[BUFFER AS]],"")</f>
        <v/>
      </c>
      <c r="EA416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16" s="135"/>
      <c r="EC416" s="135"/>
      <c r="ED416" s="135"/>
      <c r="EE416" s="135"/>
      <c r="EF416" s="135"/>
      <c r="EG416" s="135"/>
      <c r="EH416" s="135"/>
      <c r="EI416" s="135"/>
      <c r="EJ416" s="135"/>
      <c r="EK416" s="135" t="str">
        <f t="array" ref="EK416">IFERROR(INDEX(TABLACONSOLIDADA[Buff Act],MATCH("AGROINSUMOSLAFINCA"&amp;Tabla_Buffers_Agroinsumos[[#This Row],[CODIGO ]],TABLACONSOLIDADA[Bodega]&amp;TABLACONSOLIDADA[Codigo],0)),"")</f>
        <v/>
      </c>
      <c r="EL416" s="111" t="str">
        <f t="array" ref="EL416">IFERROR(INDEX(TABLACONSOLIDADA[Inv Fís Act],MATCH("AGROINSUMOSLAFINCA"&amp;Tabla_Buffers_Agroinsumos[[#This Row],[CODIGO ]],TABLACONSOLIDADA[Bodega]&amp;TABLACONSOLIDADA[Codigo],0)),"")</f>
        <v/>
      </c>
      <c r="EM416" s="161" t="str">
        <f t="array" ref="EM41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16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16" s="135">
        <f>IFERROR(SUM(Tabla_Buffers_Agroinsumos[[#This Row],[LF-MP]:[LF-VL]]),"")</f>
        <v>0</v>
      </c>
      <c r="EP416" s="154" t="str">
        <f>IFERROR(Tabla_Buffers_Agroinsumos[[#This Row],[INV FIS LF]]-Tabla_Buffers_Agroinsumos[[#This Row],[BUFFER LF]],"")</f>
        <v/>
      </c>
      <c r="EQ416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16" s="135"/>
      <c r="ES416" s="135"/>
      <c r="ET416" s="135"/>
      <c r="EU416" s="135"/>
      <c r="EV416" s="135"/>
      <c r="EW416" s="135"/>
      <c r="EX416" s="135"/>
      <c r="EY416" s="135"/>
      <c r="EZ416" s="135"/>
      <c r="FA416" s="135" t="str">
        <f t="array" ref="FA416">IFERROR(INDEX(TABLACONSOLIDADA[Buff Act],MATCH("AGROINSUMOSVERONICALEDESMA"&amp;Tabla_Buffers_Agroinsumos[[#This Row],[CODIGO ]],TABLACONSOLIDADA[Bodega]&amp;TABLACONSOLIDADA[Codigo],0)),"")</f>
        <v/>
      </c>
      <c r="FB416" s="111" t="str">
        <f t="array" ref="FB416">IFERROR(INDEX(TABLACONSOLIDADA[Inv Fís Act],MATCH("AGROINSUMOSVERONICALEDESMA"&amp;Tabla_Buffers_Agroinsumos[[#This Row],[CODIGO ]],TABLACONSOLIDADA[Bodega]&amp;TABLACONSOLIDADA[Codigo],0)),"")</f>
        <v/>
      </c>
      <c r="FC416" s="161" t="str">
        <f t="array" ref="FC41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16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16" s="135">
        <f>IFERROR(SUM(Tabla_Buffers_Agroinsumos[[#This Row],[VL-MP]:[VL-LF]]),"")</f>
        <v>0</v>
      </c>
      <c r="FF416" s="154" t="str">
        <f>IFERROR(Tabla_Buffers_Agroinsumos[[#This Row],[INV FIS VL]]-Tabla_Buffers_Agroinsumos[[#This Row],[BUFFER VL]],"")</f>
        <v/>
      </c>
      <c r="FG416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16" s="135"/>
      <c r="FI416" s="135"/>
      <c r="FJ416" s="135"/>
      <c r="FK416" s="135"/>
      <c r="FL416" s="135"/>
      <c r="FM416" s="135"/>
      <c r="FN416" s="135"/>
      <c r="FO416" s="135"/>
      <c r="FP416" s="135"/>
    </row>
    <row r="417" spans="1:172">
      <c r="A417" s="20" t="s">
        <v>1316</v>
      </c>
      <c r="B417" s="20" t="s">
        <v>1315</v>
      </c>
      <c r="C417" s="20" t="s">
        <v>1318</v>
      </c>
      <c r="D417" s="20" t="s">
        <v>1319</v>
      </c>
      <c r="E417" s="20" t="s">
        <v>975</v>
      </c>
      <c r="F417" s="111"/>
      <c r="G417" s="111"/>
      <c r="H417" s="111" t="e">
        <f>VLOOKUP(Tabla_Buffers_Agroinsumos[[#This Row],[CODIGO ]],TABLACONSOLIDADA[[Codigo]:[PV]],6,0)</f>
        <v>#N/A</v>
      </c>
      <c r="I417" s="111" t="e">
        <f>VLOOKUP(Tabla_Buffers_Agroinsumos[[#This Row],[CODIGO ]],TABLACONSOLIDADA[[Codigo]:[PV]],5,0)</f>
        <v>#N/A</v>
      </c>
      <c r="J417" s="111"/>
      <c r="K417" s="111"/>
      <c r="L417" s="111">
        <f>IFERROR(Tabla_Buffers_Agroinsumos[[#This Row],[BUFFER CENTRAL]]/((Tabla_Buffers_Agroinsumos[[#This Row],[TIEMPO REPOSICION ]]/Tabla_Buffers_Agroinsumos[[#This Row],[FRECUENCIA]])+1),0)</f>
        <v>0</v>
      </c>
      <c r="M417" s="111"/>
      <c r="N417" s="111" t="str">
        <f t="array" ref="N417">IFERROR(INDEX(TABLACONSOLIDADA[Inv Fís Act],MATCH("AGROINSUMOSMATERIAPRIMA"&amp;Tabla_Buffers_Agroinsumos[[#This Row],[CODIGO ]],TABLACONSOLIDADA[Bodega]&amp;TABLACONSOLIDADA[Codigo],0)),"")</f>
        <v/>
      </c>
      <c r="O417" s="161" t="str">
        <f t="array" ref="O41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17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17" s="111">
        <f>IFERROR(SUM(Tabla_Buffers_Agroinsumos[[#This Row],[MP-C]:[MP-VL]]),"")</f>
        <v>0</v>
      </c>
      <c r="R417" s="154" t="str">
        <f>IFERROR(Tabla_Buffers_Agroinsumos[[#This Row],[INV FIS MATERIA PRIMA]]-Tabla_Buffers_Agroinsumos[[#This Row],[BUFFER MATERIA PRIMA]],"")</f>
        <v/>
      </c>
      <c r="S417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17" s="111"/>
      <c r="U417" s="111"/>
      <c r="V417" s="111"/>
      <c r="W417" s="111"/>
      <c r="X417" s="111"/>
      <c r="Y417" s="111"/>
      <c r="Z417" s="111"/>
      <c r="AA417" s="111"/>
      <c r="AB417" s="111"/>
      <c r="AC417" s="135">
        <v>400</v>
      </c>
      <c r="AD417" s="111" t="str">
        <f t="array" ref="AD417">IFERROR(INDEX(TABLACONSOLIDADA[Inv Fís Act],MATCH("AGROINSUMOSCENTRAL"&amp;Tabla_Buffers_Agroinsumos[[#This Row],[CODIGO ]],TABLACONSOLIDADA[Bodega]&amp;TABLACONSOLIDADA[Codigo],0)),"")</f>
        <v/>
      </c>
      <c r="AE417" s="161" t="str">
        <f t="array" ref="AE41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17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17" s="153">
        <f>IFERROR(SUM(Tabla_Buffers_Agroinsumos[[#This Row],[C-MP]:[C-VL]]),"")</f>
        <v>0</v>
      </c>
      <c r="AH417" s="154" t="str">
        <f>IFERROR(Tabla_Buffers_Agroinsumos[[#This Row],[INV FIS CENTRAL]]-Tabla_Buffers_Agroinsumos[[#This Row],[BUFFER CENTRAL]],"")</f>
        <v/>
      </c>
      <c r="AI417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17" s="135"/>
      <c r="AK417" s="135"/>
      <c r="AL417" s="135"/>
      <c r="AM417" s="135"/>
      <c r="AN417" s="135"/>
      <c r="AO417" s="135"/>
      <c r="AP417" s="135"/>
      <c r="AQ417" s="135"/>
      <c r="AR417" s="135"/>
      <c r="AS417" s="135" t="str">
        <f t="array" ref="AS417">IFERROR(INDEX(TABLACONSOLIDADA[Buff Act],MATCH("AGROINSUMOScentralPROPIA"&amp;Tabla_Buffers_Agroinsumos[[#This Row],[CODIGO ]],TABLACONSOLIDADA[Bodega]&amp;TABLACONSOLIDADA[Codigo],0)),"")</f>
        <v/>
      </c>
      <c r="AT417" s="111" t="str">
        <f t="array" ref="AT417">IFERROR(INDEX(TABLACONSOLIDADA[Inv Fís Act],MATCH("AGROINSUMOScentralPROPIA"&amp;Tabla_Buffers_Agroinsumos[[#This Row],[CODIGO ]],TABLACONSOLIDADA[Bodega]&amp;TABLACONSOLIDADA[Codigo],0)),"")</f>
        <v/>
      </c>
      <c r="AU417" s="161" t="str">
        <f t="array" ref="AU41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17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17" s="135">
        <f>IFERROR(SUM(Tabla_Buffers_Agroinsumos[[#This Row],[P-MP]:[P-VL]]),"")</f>
        <v>0</v>
      </c>
      <c r="AX417" s="154" t="str">
        <f>IFERROR(Tabla_Buffers_Agroinsumos[[#This Row],[INV FIS PROPIA]]-Tabla_Buffers_Agroinsumos[[#This Row],[BUFFER PROPIA]],"")</f>
        <v/>
      </c>
      <c r="AY417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17" s="135"/>
      <c r="BA417" s="135"/>
      <c r="BB417" s="135"/>
      <c r="BC417" s="135"/>
      <c r="BD417" s="135"/>
      <c r="BE417" s="135"/>
      <c r="BF417" s="135"/>
      <c r="BG417" s="135"/>
      <c r="BH417" s="135"/>
      <c r="BI417" s="153" t="str">
        <f t="array" ref="BI417">IFERROR(INDEX(TABLACONSOLIDADA[Buff Act],MATCH("AGROINSUMOSSTODOMINGO"&amp;Tabla_Buffers_Agroinsumos[[#This Row],[CODIGO ]],TABLACONSOLIDADA[Bodega]&amp;TABLACONSOLIDADA[Codigo],0)),"")</f>
        <v/>
      </c>
      <c r="BJ417" s="111" t="str">
        <f t="array" ref="BJ417">IFERROR(INDEX(TABLACONSOLIDADA[Inv Fís Act],MATCH("AGROINSUMOSSTODOMINGO"&amp;Tabla_Buffers_Agroinsumos[[#This Row],[CODIGO ]],TABLACONSOLIDADA[Bodega]&amp;TABLACONSOLIDADA[Codigo],0)),"")</f>
        <v/>
      </c>
      <c r="BK417" s="161" t="str">
        <f t="array" ref="BK41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17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17" s="153">
        <f>IFERROR(SUM(Tabla_Buffers_Agroinsumos[[#This Row],[SD-MP]:[SD-VL]]),"")</f>
        <v>0</v>
      </c>
      <c r="BN417" s="154"/>
      <c r="BO417" s="154"/>
      <c r="BP417" s="135"/>
      <c r="BQ417" s="135"/>
      <c r="BR417" s="135"/>
      <c r="BS417" s="135"/>
      <c r="BT417" s="135"/>
      <c r="BU417" s="135"/>
      <c r="BV417" s="135"/>
      <c r="BW417" s="135"/>
      <c r="BX417" s="135"/>
      <c r="BY417" s="135" t="str">
        <f t="array" ref="BY417">IFERROR(INDEX(TABLACONSOLIDADA[Buff Act],MATCH("AGROINSUMOSMONCAYOLOPEZ"&amp;Tabla_Buffers_Agroinsumos[[#This Row],[CODIGO ]],TABLACONSOLIDADA[Bodega]&amp;TABLACONSOLIDADA[Codigo],0)),"")</f>
        <v/>
      </c>
      <c r="BZ417" s="111" t="str">
        <f t="array" ref="BZ417">IFERROR(INDEX(TABLACONSOLIDADA[Inv Fís Act],MATCH("AGROINSUMOSMONCAYOLOPEZ"&amp;Tabla_Buffers_Agroinsumos[[#This Row],[CODIGO ]],TABLACONSOLIDADA[Bodega]&amp;TABLACONSOLIDADA[Codigo],0)),"")</f>
        <v/>
      </c>
      <c r="CA417" s="161" t="str">
        <f t="array" ref="CA41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17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17" s="135">
        <f>IFERROR(SUM(Tabla_Buffers_Agroinsumos[[#This Row],[ML-MP]:[ML-VL]]),"")</f>
        <v>0</v>
      </c>
      <c r="CD417" s="154" t="str">
        <f>IFERROR(Tabla_Buffers_Agroinsumos[[#This Row],[INV FIS ML]]-Tabla_Buffers_Agroinsumos[[#This Row],[BUFFER ML]],"")</f>
        <v/>
      </c>
      <c r="CE417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17" s="135"/>
      <c r="CG417" s="135"/>
      <c r="CH417" s="135"/>
      <c r="CI417" s="135"/>
      <c r="CJ417" s="135"/>
      <c r="CK417" s="135"/>
      <c r="CL417" s="135"/>
      <c r="CM417" s="135"/>
      <c r="CN417" s="135"/>
      <c r="CO417" s="135" t="str">
        <f t="array" ref="CO417">IFERROR(INDEX(TABLACONSOLIDADA[Buff Act],MATCH("AGROINSUMOSAGROHERMANOSLEON"&amp;Tabla_Buffers_Agroinsumos[[#This Row],[CODIGO ]],TABLACONSOLIDADA[Bodega]&amp;TABLACONSOLIDADA[Codigo],0)),"")</f>
        <v/>
      </c>
      <c r="CP417" s="111" t="str">
        <f t="array" ref="CP417">IFERROR(INDEX(TABLACONSOLIDADA[Inv Fís Act],MATCH("AGROINSUMOSAGROHERMANOSLEON"&amp;Tabla_Buffers_Agroinsumos[[#This Row],[CODIGO ]],TABLACONSOLIDADA[Bodega]&amp;TABLACONSOLIDADA[Codigo],0)),"")</f>
        <v/>
      </c>
      <c r="CQ417" s="161" t="str">
        <f t="array" ref="CQ41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17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17" s="135">
        <f>IFERROR(SUM(Tabla_Buffers_Agroinsumos[[#This Row],[AL-MP]:[AL-VL]]),"")</f>
        <v>0</v>
      </c>
      <c r="CT417" s="154" t="str">
        <f>IFERROR(Tabla_Buffers_Agroinsumos[[#This Row],[INV FIS AL]]-Tabla_Buffers_Agroinsumos[[#This Row],[BUFFER AL]],"")</f>
        <v/>
      </c>
      <c r="CU417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17" s="135"/>
      <c r="CW417" s="135"/>
      <c r="CX417" s="135"/>
      <c r="CY417" s="135"/>
      <c r="CZ417" s="135"/>
      <c r="DA417" s="135"/>
      <c r="DB417" s="135"/>
      <c r="DC417" s="135"/>
      <c r="DD417" s="135"/>
      <c r="DE417" s="135" t="str">
        <f t="array" ref="DE417">IFERROR(INDEX(TABLACONSOLIDADA[Buff Act],MATCH("AGROINSUMOSAGRONUEVO"&amp;Tabla_Buffers_Agroinsumos[[#This Row],[CODIGO ]],TABLACONSOLIDADA[Bodega]&amp;TABLACONSOLIDADA[Codigo],0)),"")</f>
        <v/>
      </c>
      <c r="DF417" s="111" t="str">
        <f t="array" ref="DF417">IFERROR(INDEX(TABLACONSOLIDADA[Inv Fís Act],MATCH("AGROINSUMOSAGRONUEVO"&amp;Tabla_Buffers_Agroinsumos[[#This Row],[CODIGO ]],TABLACONSOLIDADA[Bodega]&amp;TABLACONSOLIDADA[Codigo],0)),"")</f>
        <v/>
      </c>
      <c r="DG417" s="161" t="str">
        <f t="array" ref="DG41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17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17" s="135">
        <f>IFERROR(SUM(Tabla_Buffers_Agroinsumos[[#This Row],[AN-MP]:[AN-VL]]),"")</f>
        <v>0</v>
      </c>
      <c r="DJ417" s="154" t="str">
        <f>IFERROR(Tabla_Buffers_Agroinsumos[[#This Row],[INV FIS AN]]-Tabla_Buffers_Agroinsumos[[#This Row],[BUFFER AN]],"")</f>
        <v/>
      </c>
      <c r="DK417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17" s="135"/>
      <c r="DM417" s="135"/>
      <c r="DN417" s="135"/>
      <c r="DO417" s="135"/>
      <c r="DP417" s="135"/>
      <c r="DQ417" s="135"/>
      <c r="DR417" s="135"/>
      <c r="DS417" s="135"/>
      <c r="DT417" s="135"/>
      <c r="DU417" s="135" t="str">
        <f t="array" ref="DU417">IFERROR(INDEX(TABLACONSOLIDADA[Buff Act],MATCH("AGROINSUMOSAGROQUIMICOSSUR"&amp;Tabla_Buffers_Agroinsumos[[#This Row],[CODIGO ]],TABLACONSOLIDADA[Bodega]&amp;TABLACONSOLIDADA[Codigo],0)),"")</f>
        <v/>
      </c>
      <c r="DV417" s="111" t="str">
        <f t="array" ref="DV417">IFERROR(INDEX(TABLACONSOLIDADA[Inv Fís Act],MATCH("AGROINSUMOSAGROQUIMICOSSUR"&amp;Tabla_Buffers_Agroinsumos[[#This Row],[CODIGO ]],TABLACONSOLIDADA[Bodega]&amp;TABLACONSOLIDADA[Codigo],0)),"")</f>
        <v/>
      </c>
      <c r="DW417" s="161" t="str">
        <f t="array" ref="DW41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17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17" s="135">
        <f>IFERROR(SUM(Tabla_Buffers_Agroinsumos[[#This Row],[AS-MP]:[AS-VL]]),"")</f>
        <v>0</v>
      </c>
      <c r="DZ417" s="154" t="str">
        <f>IFERROR(Tabla_Buffers_Agroinsumos[[#This Row],[INV FIS AS]]-Tabla_Buffers_Agroinsumos[[#This Row],[BUFFER AS]],"")</f>
        <v/>
      </c>
      <c r="EA417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17" s="135"/>
      <c r="EC417" s="135"/>
      <c r="ED417" s="135"/>
      <c r="EE417" s="135"/>
      <c r="EF417" s="135"/>
      <c r="EG417" s="135"/>
      <c r="EH417" s="135"/>
      <c r="EI417" s="135"/>
      <c r="EJ417" s="135"/>
      <c r="EK417" s="135" t="str">
        <f t="array" ref="EK417">IFERROR(INDEX(TABLACONSOLIDADA[Buff Act],MATCH("AGROINSUMOSLAFINCA"&amp;Tabla_Buffers_Agroinsumos[[#This Row],[CODIGO ]],TABLACONSOLIDADA[Bodega]&amp;TABLACONSOLIDADA[Codigo],0)),"")</f>
        <v/>
      </c>
      <c r="EL417" s="111" t="str">
        <f t="array" ref="EL417">IFERROR(INDEX(TABLACONSOLIDADA[Inv Fís Act],MATCH("AGROINSUMOSLAFINCA"&amp;Tabla_Buffers_Agroinsumos[[#This Row],[CODIGO ]],TABLACONSOLIDADA[Bodega]&amp;TABLACONSOLIDADA[Codigo],0)),"")</f>
        <v/>
      </c>
      <c r="EM417" s="161" t="str">
        <f t="array" ref="EM41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17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17" s="135">
        <f>IFERROR(SUM(Tabla_Buffers_Agroinsumos[[#This Row],[LF-MP]:[LF-VL]]),"")</f>
        <v>0</v>
      </c>
      <c r="EP417" s="154" t="str">
        <f>IFERROR(Tabla_Buffers_Agroinsumos[[#This Row],[INV FIS LF]]-Tabla_Buffers_Agroinsumos[[#This Row],[BUFFER LF]],"")</f>
        <v/>
      </c>
      <c r="EQ417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17" s="135"/>
      <c r="ES417" s="135"/>
      <c r="ET417" s="135"/>
      <c r="EU417" s="135"/>
      <c r="EV417" s="135"/>
      <c r="EW417" s="135"/>
      <c r="EX417" s="135"/>
      <c r="EY417" s="135"/>
      <c r="EZ417" s="135"/>
      <c r="FA417" s="135" t="str">
        <f t="array" ref="FA417">IFERROR(INDEX(TABLACONSOLIDADA[Buff Act],MATCH("AGROINSUMOSVERONICALEDESMA"&amp;Tabla_Buffers_Agroinsumos[[#This Row],[CODIGO ]],TABLACONSOLIDADA[Bodega]&amp;TABLACONSOLIDADA[Codigo],0)),"")</f>
        <v/>
      </c>
      <c r="FB417" s="111" t="str">
        <f t="array" ref="FB417">IFERROR(INDEX(TABLACONSOLIDADA[Inv Fís Act],MATCH("AGROINSUMOSVERONICALEDESMA"&amp;Tabla_Buffers_Agroinsumos[[#This Row],[CODIGO ]],TABLACONSOLIDADA[Bodega]&amp;TABLACONSOLIDADA[Codigo],0)),"")</f>
        <v/>
      </c>
      <c r="FC417" s="161" t="str">
        <f t="array" ref="FC41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17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17" s="135">
        <f>IFERROR(SUM(Tabla_Buffers_Agroinsumos[[#This Row],[VL-MP]:[VL-LF]]),"")</f>
        <v>0</v>
      </c>
      <c r="FF417" s="154" t="str">
        <f>IFERROR(Tabla_Buffers_Agroinsumos[[#This Row],[INV FIS VL]]-Tabla_Buffers_Agroinsumos[[#This Row],[BUFFER VL]],"")</f>
        <v/>
      </c>
      <c r="FG417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17" s="135"/>
      <c r="FI417" s="135"/>
      <c r="FJ417" s="135"/>
      <c r="FK417" s="135"/>
      <c r="FL417" s="135"/>
      <c r="FM417" s="135"/>
      <c r="FN417" s="135"/>
      <c r="FO417" s="135"/>
      <c r="FP417" s="135"/>
    </row>
    <row r="418" spans="1:172">
      <c r="A418" s="20" t="s">
        <v>1317</v>
      </c>
      <c r="B418" s="20" t="s">
        <v>1314</v>
      </c>
      <c r="C418" s="20" t="s">
        <v>1318</v>
      </c>
      <c r="D418" s="20" t="s">
        <v>1319</v>
      </c>
      <c r="E418" s="20" t="s">
        <v>975</v>
      </c>
      <c r="F418" s="111"/>
      <c r="G418" s="111"/>
      <c r="H418" s="111" t="e">
        <f>VLOOKUP(Tabla_Buffers_Agroinsumos[[#This Row],[CODIGO ]],TABLACONSOLIDADA[[Codigo]:[PV]],6,0)</f>
        <v>#N/A</v>
      </c>
      <c r="I418" s="111" t="e">
        <f>VLOOKUP(Tabla_Buffers_Agroinsumos[[#This Row],[CODIGO ]],TABLACONSOLIDADA[[Codigo]:[PV]],5,0)</f>
        <v>#N/A</v>
      </c>
      <c r="J418" s="111"/>
      <c r="K418" s="111"/>
      <c r="L418" s="111">
        <f>IFERROR(Tabla_Buffers_Agroinsumos[[#This Row],[BUFFER CENTRAL]]/((Tabla_Buffers_Agroinsumos[[#This Row],[TIEMPO REPOSICION ]]/Tabla_Buffers_Agroinsumos[[#This Row],[FRECUENCIA]])+1),0)</f>
        <v>0</v>
      </c>
      <c r="M418" s="111"/>
      <c r="N418" s="111" t="str">
        <f t="array" ref="N418">IFERROR(INDEX(TABLACONSOLIDADA[Inv Fís Act],MATCH("AGROINSUMOSMATERIAPRIMA"&amp;Tabla_Buffers_Agroinsumos[[#This Row],[CODIGO ]],TABLACONSOLIDADA[Bodega]&amp;TABLACONSOLIDADA[Codigo],0)),"")</f>
        <v/>
      </c>
      <c r="O418" s="161" t="str">
        <f t="array" ref="O41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18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18" s="111">
        <f>IFERROR(SUM(Tabla_Buffers_Agroinsumos[[#This Row],[MP-C]:[MP-VL]]),"")</f>
        <v>0</v>
      </c>
      <c r="R418" s="154" t="str">
        <f>IFERROR(Tabla_Buffers_Agroinsumos[[#This Row],[INV FIS MATERIA PRIMA]]-Tabla_Buffers_Agroinsumos[[#This Row],[BUFFER MATERIA PRIMA]],"")</f>
        <v/>
      </c>
      <c r="S418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18" s="111"/>
      <c r="U418" s="111"/>
      <c r="V418" s="111"/>
      <c r="W418" s="111"/>
      <c r="X418" s="111"/>
      <c r="Y418" s="111"/>
      <c r="Z418" s="111"/>
      <c r="AA418" s="111"/>
      <c r="AB418" s="111"/>
      <c r="AC418" s="135">
        <v>200</v>
      </c>
      <c r="AD418" s="111" t="str">
        <f t="array" ref="AD418">IFERROR(INDEX(TABLACONSOLIDADA[Inv Fís Act],MATCH("AGROINSUMOSCENTRAL"&amp;Tabla_Buffers_Agroinsumos[[#This Row],[CODIGO ]],TABLACONSOLIDADA[Bodega]&amp;TABLACONSOLIDADA[Codigo],0)),"")</f>
        <v/>
      </c>
      <c r="AE418" s="161" t="str">
        <f t="array" ref="AE41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18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18" s="153">
        <f>IFERROR(SUM(Tabla_Buffers_Agroinsumos[[#This Row],[C-MP]:[C-VL]]),"")</f>
        <v>0</v>
      </c>
      <c r="AH418" s="154" t="str">
        <f>IFERROR(Tabla_Buffers_Agroinsumos[[#This Row],[INV FIS CENTRAL]]-Tabla_Buffers_Agroinsumos[[#This Row],[BUFFER CENTRAL]],"")</f>
        <v/>
      </c>
      <c r="AI418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18" s="135"/>
      <c r="AK418" s="135"/>
      <c r="AL418" s="135"/>
      <c r="AM418" s="135"/>
      <c r="AN418" s="135"/>
      <c r="AO418" s="135"/>
      <c r="AP418" s="135"/>
      <c r="AQ418" s="135"/>
      <c r="AR418" s="135"/>
      <c r="AS418" s="135" t="str">
        <f t="array" ref="AS418">IFERROR(INDEX(TABLACONSOLIDADA[Buff Act],MATCH("AGROINSUMOScentralPROPIA"&amp;Tabla_Buffers_Agroinsumos[[#This Row],[CODIGO ]],TABLACONSOLIDADA[Bodega]&amp;TABLACONSOLIDADA[Codigo],0)),"")</f>
        <v/>
      </c>
      <c r="AT418" s="111" t="str">
        <f t="array" ref="AT418">IFERROR(INDEX(TABLACONSOLIDADA[Inv Fís Act],MATCH("AGROINSUMOScentralPROPIA"&amp;Tabla_Buffers_Agroinsumos[[#This Row],[CODIGO ]],TABLACONSOLIDADA[Bodega]&amp;TABLACONSOLIDADA[Codigo],0)),"")</f>
        <v/>
      </c>
      <c r="AU418" s="161" t="str">
        <f t="array" ref="AU41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18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18" s="135">
        <f>IFERROR(SUM(Tabla_Buffers_Agroinsumos[[#This Row],[P-MP]:[P-VL]]),"")</f>
        <v>0</v>
      </c>
      <c r="AX418" s="154" t="str">
        <f>IFERROR(Tabla_Buffers_Agroinsumos[[#This Row],[INV FIS PROPIA]]-Tabla_Buffers_Agroinsumos[[#This Row],[BUFFER PROPIA]],"")</f>
        <v/>
      </c>
      <c r="AY418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18" s="135"/>
      <c r="BA418" s="135"/>
      <c r="BB418" s="135"/>
      <c r="BC418" s="135"/>
      <c r="BD418" s="135"/>
      <c r="BE418" s="135"/>
      <c r="BF418" s="135"/>
      <c r="BG418" s="135"/>
      <c r="BH418" s="135"/>
      <c r="BI418" s="153" t="str">
        <f t="array" ref="BI418">IFERROR(INDEX(TABLACONSOLIDADA[Buff Act],MATCH("AGROINSUMOSSTODOMINGO"&amp;Tabla_Buffers_Agroinsumos[[#This Row],[CODIGO ]],TABLACONSOLIDADA[Bodega]&amp;TABLACONSOLIDADA[Codigo],0)),"")</f>
        <v/>
      </c>
      <c r="BJ418" s="111" t="str">
        <f t="array" ref="BJ418">IFERROR(INDEX(TABLACONSOLIDADA[Inv Fís Act],MATCH("AGROINSUMOSSTODOMINGO"&amp;Tabla_Buffers_Agroinsumos[[#This Row],[CODIGO ]],TABLACONSOLIDADA[Bodega]&amp;TABLACONSOLIDADA[Codigo],0)),"")</f>
        <v/>
      </c>
      <c r="BK418" s="161" t="str">
        <f t="array" ref="BK41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18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18" s="153">
        <f>IFERROR(SUM(Tabla_Buffers_Agroinsumos[[#This Row],[SD-MP]:[SD-VL]]),"")</f>
        <v>0</v>
      </c>
      <c r="BN418" s="154"/>
      <c r="BO418" s="154"/>
      <c r="BP418" s="135"/>
      <c r="BQ418" s="135"/>
      <c r="BR418" s="135"/>
      <c r="BS418" s="135"/>
      <c r="BT418" s="135"/>
      <c r="BU418" s="135"/>
      <c r="BV418" s="135"/>
      <c r="BW418" s="135"/>
      <c r="BX418" s="135"/>
      <c r="BY418" s="135" t="str">
        <f t="array" ref="BY418">IFERROR(INDEX(TABLACONSOLIDADA[Buff Act],MATCH("AGROINSUMOSMONCAYOLOPEZ"&amp;Tabla_Buffers_Agroinsumos[[#This Row],[CODIGO ]],TABLACONSOLIDADA[Bodega]&amp;TABLACONSOLIDADA[Codigo],0)),"")</f>
        <v/>
      </c>
      <c r="BZ418" s="111" t="str">
        <f t="array" ref="BZ418">IFERROR(INDEX(TABLACONSOLIDADA[Inv Fís Act],MATCH("AGROINSUMOSMONCAYOLOPEZ"&amp;Tabla_Buffers_Agroinsumos[[#This Row],[CODIGO ]],TABLACONSOLIDADA[Bodega]&amp;TABLACONSOLIDADA[Codigo],0)),"")</f>
        <v/>
      </c>
      <c r="CA418" s="161" t="str">
        <f t="array" ref="CA41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18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18" s="135">
        <f>IFERROR(SUM(Tabla_Buffers_Agroinsumos[[#This Row],[ML-MP]:[ML-VL]]),"")</f>
        <v>0</v>
      </c>
      <c r="CD418" s="154" t="str">
        <f>IFERROR(Tabla_Buffers_Agroinsumos[[#This Row],[INV FIS ML]]-Tabla_Buffers_Agroinsumos[[#This Row],[BUFFER ML]],"")</f>
        <v/>
      </c>
      <c r="CE418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18" s="135"/>
      <c r="CG418" s="135"/>
      <c r="CH418" s="135"/>
      <c r="CI418" s="135"/>
      <c r="CJ418" s="135"/>
      <c r="CK418" s="135"/>
      <c r="CL418" s="135"/>
      <c r="CM418" s="135"/>
      <c r="CN418" s="135"/>
      <c r="CO418" s="135" t="str">
        <f t="array" ref="CO418">IFERROR(INDEX(TABLACONSOLIDADA[Buff Act],MATCH("AGROINSUMOSAGROHERMANOSLEON"&amp;Tabla_Buffers_Agroinsumos[[#This Row],[CODIGO ]],TABLACONSOLIDADA[Bodega]&amp;TABLACONSOLIDADA[Codigo],0)),"")</f>
        <v/>
      </c>
      <c r="CP418" s="111" t="str">
        <f t="array" ref="CP418">IFERROR(INDEX(TABLACONSOLIDADA[Inv Fís Act],MATCH("AGROINSUMOSAGROHERMANOSLEON"&amp;Tabla_Buffers_Agroinsumos[[#This Row],[CODIGO ]],TABLACONSOLIDADA[Bodega]&amp;TABLACONSOLIDADA[Codigo],0)),"")</f>
        <v/>
      </c>
      <c r="CQ418" s="161" t="str">
        <f t="array" ref="CQ41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18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18" s="135">
        <f>IFERROR(SUM(Tabla_Buffers_Agroinsumos[[#This Row],[AL-MP]:[AL-VL]]),"")</f>
        <v>0</v>
      </c>
      <c r="CT418" s="154" t="str">
        <f>IFERROR(Tabla_Buffers_Agroinsumos[[#This Row],[INV FIS AL]]-Tabla_Buffers_Agroinsumos[[#This Row],[BUFFER AL]],"")</f>
        <v/>
      </c>
      <c r="CU418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18" s="135"/>
      <c r="CW418" s="135"/>
      <c r="CX418" s="135"/>
      <c r="CY418" s="135"/>
      <c r="CZ418" s="135"/>
      <c r="DA418" s="135"/>
      <c r="DB418" s="135"/>
      <c r="DC418" s="135"/>
      <c r="DD418" s="135"/>
      <c r="DE418" s="135" t="str">
        <f t="array" ref="DE418">IFERROR(INDEX(TABLACONSOLIDADA[Buff Act],MATCH("AGROINSUMOSAGRONUEVO"&amp;Tabla_Buffers_Agroinsumos[[#This Row],[CODIGO ]],TABLACONSOLIDADA[Bodega]&amp;TABLACONSOLIDADA[Codigo],0)),"")</f>
        <v/>
      </c>
      <c r="DF418" s="111" t="str">
        <f t="array" ref="DF418">IFERROR(INDEX(TABLACONSOLIDADA[Inv Fís Act],MATCH("AGROINSUMOSAGRONUEVO"&amp;Tabla_Buffers_Agroinsumos[[#This Row],[CODIGO ]],TABLACONSOLIDADA[Bodega]&amp;TABLACONSOLIDADA[Codigo],0)),"")</f>
        <v/>
      </c>
      <c r="DG418" s="161" t="str">
        <f t="array" ref="DG41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18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18" s="135">
        <f>IFERROR(SUM(Tabla_Buffers_Agroinsumos[[#This Row],[AN-MP]:[AN-VL]]),"")</f>
        <v>0</v>
      </c>
      <c r="DJ418" s="154" t="str">
        <f>IFERROR(Tabla_Buffers_Agroinsumos[[#This Row],[INV FIS AN]]-Tabla_Buffers_Agroinsumos[[#This Row],[BUFFER AN]],"")</f>
        <v/>
      </c>
      <c r="DK418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18" s="135"/>
      <c r="DM418" s="135"/>
      <c r="DN418" s="135"/>
      <c r="DO418" s="135"/>
      <c r="DP418" s="135"/>
      <c r="DQ418" s="135"/>
      <c r="DR418" s="135"/>
      <c r="DS418" s="135"/>
      <c r="DT418" s="135"/>
      <c r="DU418" s="135" t="str">
        <f t="array" ref="DU418">IFERROR(INDEX(TABLACONSOLIDADA[Buff Act],MATCH("AGROINSUMOSAGROQUIMICOSSUR"&amp;Tabla_Buffers_Agroinsumos[[#This Row],[CODIGO ]],TABLACONSOLIDADA[Bodega]&amp;TABLACONSOLIDADA[Codigo],0)),"")</f>
        <v/>
      </c>
      <c r="DV418" s="111" t="str">
        <f t="array" ref="DV418">IFERROR(INDEX(TABLACONSOLIDADA[Inv Fís Act],MATCH("AGROINSUMOSAGROQUIMICOSSUR"&amp;Tabla_Buffers_Agroinsumos[[#This Row],[CODIGO ]],TABLACONSOLIDADA[Bodega]&amp;TABLACONSOLIDADA[Codigo],0)),"")</f>
        <v/>
      </c>
      <c r="DW418" s="161" t="str">
        <f t="array" ref="DW41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18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18" s="135">
        <f>IFERROR(SUM(Tabla_Buffers_Agroinsumos[[#This Row],[AS-MP]:[AS-VL]]),"")</f>
        <v>0</v>
      </c>
      <c r="DZ418" s="154" t="str">
        <f>IFERROR(Tabla_Buffers_Agroinsumos[[#This Row],[INV FIS AS]]-Tabla_Buffers_Agroinsumos[[#This Row],[BUFFER AS]],"")</f>
        <v/>
      </c>
      <c r="EA418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18" s="135"/>
      <c r="EC418" s="135"/>
      <c r="ED418" s="135"/>
      <c r="EE418" s="135"/>
      <c r="EF418" s="135"/>
      <c r="EG418" s="135"/>
      <c r="EH418" s="135"/>
      <c r="EI418" s="135"/>
      <c r="EJ418" s="135"/>
      <c r="EK418" s="135" t="str">
        <f t="array" ref="EK418">IFERROR(INDEX(TABLACONSOLIDADA[Buff Act],MATCH("AGROINSUMOSLAFINCA"&amp;Tabla_Buffers_Agroinsumos[[#This Row],[CODIGO ]],TABLACONSOLIDADA[Bodega]&amp;TABLACONSOLIDADA[Codigo],0)),"")</f>
        <v/>
      </c>
      <c r="EL418" s="111" t="str">
        <f t="array" ref="EL418">IFERROR(INDEX(TABLACONSOLIDADA[Inv Fís Act],MATCH("AGROINSUMOSLAFINCA"&amp;Tabla_Buffers_Agroinsumos[[#This Row],[CODIGO ]],TABLACONSOLIDADA[Bodega]&amp;TABLACONSOLIDADA[Codigo],0)),"")</f>
        <v/>
      </c>
      <c r="EM418" s="161" t="str">
        <f t="array" ref="EM41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18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18" s="135">
        <f>IFERROR(SUM(Tabla_Buffers_Agroinsumos[[#This Row],[LF-MP]:[LF-VL]]),"")</f>
        <v>0</v>
      </c>
      <c r="EP418" s="154" t="str">
        <f>IFERROR(Tabla_Buffers_Agroinsumos[[#This Row],[INV FIS LF]]-Tabla_Buffers_Agroinsumos[[#This Row],[BUFFER LF]],"")</f>
        <v/>
      </c>
      <c r="EQ418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18" s="135"/>
      <c r="ES418" s="135"/>
      <c r="ET418" s="135"/>
      <c r="EU418" s="135"/>
      <c r="EV418" s="135"/>
      <c r="EW418" s="135"/>
      <c r="EX418" s="135"/>
      <c r="EY418" s="135"/>
      <c r="EZ418" s="135"/>
      <c r="FA418" s="135" t="str">
        <f t="array" ref="FA418">IFERROR(INDEX(TABLACONSOLIDADA[Buff Act],MATCH("AGROINSUMOSVERONICALEDESMA"&amp;Tabla_Buffers_Agroinsumos[[#This Row],[CODIGO ]],TABLACONSOLIDADA[Bodega]&amp;TABLACONSOLIDADA[Codigo],0)),"")</f>
        <v/>
      </c>
      <c r="FB418" s="111" t="str">
        <f t="array" ref="FB418">IFERROR(INDEX(TABLACONSOLIDADA[Inv Fís Act],MATCH("AGROINSUMOSVERONICALEDESMA"&amp;Tabla_Buffers_Agroinsumos[[#This Row],[CODIGO ]],TABLACONSOLIDADA[Bodega]&amp;TABLACONSOLIDADA[Codigo],0)),"")</f>
        <v/>
      </c>
      <c r="FC418" s="161" t="str">
        <f t="array" ref="FC41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18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18" s="135">
        <f>IFERROR(SUM(Tabla_Buffers_Agroinsumos[[#This Row],[VL-MP]:[VL-LF]]),"")</f>
        <v>0</v>
      </c>
      <c r="FF418" s="154" t="str">
        <f>IFERROR(Tabla_Buffers_Agroinsumos[[#This Row],[INV FIS VL]]-Tabla_Buffers_Agroinsumos[[#This Row],[BUFFER VL]],"")</f>
        <v/>
      </c>
      <c r="FG418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18" s="135"/>
      <c r="FI418" s="135"/>
      <c r="FJ418" s="135"/>
      <c r="FK418" s="135"/>
      <c r="FL418" s="135"/>
      <c r="FM418" s="135"/>
      <c r="FN418" s="135"/>
      <c r="FO418" s="135"/>
      <c r="FP418" s="135"/>
    </row>
    <row r="419" spans="1:172">
      <c r="A419" s="20" t="s">
        <v>1321</v>
      </c>
      <c r="B419" s="20" t="s">
        <v>1322</v>
      </c>
      <c r="C419" s="20" t="s">
        <v>787</v>
      </c>
      <c r="D419" s="20" t="s">
        <v>718</v>
      </c>
      <c r="E419" s="20" t="s">
        <v>863</v>
      </c>
      <c r="F419" s="111" t="s">
        <v>1099</v>
      </c>
      <c r="G419" s="111" t="s">
        <v>802</v>
      </c>
      <c r="H419" s="111" t="e">
        <f>VLOOKUP(Tabla_Buffers_Agroinsumos[[#This Row],[CODIGO ]],TABLACONSOLIDADA[[Codigo]:[PV]],6,0)</f>
        <v>#N/A</v>
      </c>
      <c r="I419" s="111" t="e">
        <f>VLOOKUP(Tabla_Buffers_Agroinsumos[[#This Row],[CODIGO ]],TABLACONSOLIDADA[[Codigo]:[PV]],5,0)</f>
        <v>#N/A</v>
      </c>
      <c r="J419" s="111"/>
      <c r="K419" s="111"/>
      <c r="L419" s="111">
        <f>IFERROR(Tabla_Buffers_Agroinsumos[[#This Row],[BUFFER CENTRAL]]/((Tabla_Buffers_Agroinsumos[[#This Row],[TIEMPO REPOSICION ]]/Tabla_Buffers_Agroinsumos[[#This Row],[FRECUENCIA]])+1),0)</f>
        <v>0</v>
      </c>
      <c r="M419" s="111">
        <v>500</v>
      </c>
      <c r="N419" s="111" t="str">
        <f t="array" ref="N419">IFERROR(INDEX(TABLACONSOLIDADA[Inv Fís Act],MATCH("AGROINSUMOSMATERIAPRIMA"&amp;Tabla_Buffers_Agroinsumos[[#This Row],[CODIGO ]],TABLACONSOLIDADA[Bodega]&amp;TABLACONSOLIDADA[Codigo],0)),"")</f>
        <v/>
      </c>
      <c r="O419" s="161" t="str">
        <f t="array" ref="O41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19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19" s="111">
        <f>IFERROR(SUM(Tabla_Buffers_Agroinsumos[[#This Row],[MP-C]:[MP-VL]]),"")</f>
        <v>0</v>
      </c>
      <c r="R419" s="154" t="str">
        <f>IFERROR(Tabla_Buffers_Agroinsumos[[#This Row],[INV FIS MATERIA PRIMA]]-Tabla_Buffers_Agroinsumos[[#This Row],[BUFFER MATERIA PRIMA]],"")</f>
        <v/>
      </c>
      <c r="S419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19" s="111"/>
      <c r="U419" s="111"/>
      <c r="V419" s="111"/>
      <c r="W419" s="111"/>
      <c r="X419" s="111"/>
      <c r="Y419" s="111"/>
      <c r="Z419" s="111"/>
      <c r="AA419" s="111"/>
      <c r="AB419" s="111"/>
      <c r="AC419" s="135"/>
      <c r="AD419" s="111" t="str">
        <f t="array" ref="AD419">IFERROR(INDEX(TABLACONSOLIDADA[Inv Fís Act],MATCH("AGROINSUMOSCENTRAL"&amp;Tabla_Buffers_Agroinsumos[[#This Row],[CODIGO ]],TABLACONSOLIDADA[Bodega]&amp;TABLACONSOLIDADA[Codigo],0)),"")</f>
        <v/>
      </c>
      <c r="AE419" s="161" t="str">
        <f t="array" ref="AE41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19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19" s="153">
        <f>IFERROR(SUM(Tabla_Buffers_Agroinsumos[[#This Row],[C-MP]:[C-VL]]),"")</f>
        <v>0</v>
      </c>
      <c r="AH419" s="154" t="str">
        <f>IFERROR(Tabla_Buffers_Agroinsumos[[#This Row],[INV FIS CENTRAL]]-Tabla_Buffers_Agroinsumos[[#This Row],[BUFFER CENTRAL]],"")</f>
        <v/>
      </c>
      <c r="AI419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19" s="135"/>
      <c r="AK419" s="135"/>
      <c r="AL419" s="135"/>
      <c r="AM419" s="135"/>
      <c r="AN419" s="135"/>
      <c r="AO419" s="135"/>
      <c r="AP419" s="135"/>
      <c r="AQ419" s="135"/>
      <c r="AR419" s="135"/>
      <c r="AS419" s="135" t="str">
        <f t="array" ref="AS419">IFERROR(INDEX(TABLACONSOLIDADA[Buff Act],MATCH("AGROINSUMOScentralPROPIA"&amp;Tabla_Buffers_Agroinsumos[[#This Row],[CODIGO ]],TABLACONSOLIDADA[Bodega]&amp;TABLACONSOLIDADA[Codigo],0)),"")</f>
        <v/>
      </c>
      <c r="AT419" s="111" t="str">
        <f t="array" ref="AT419">IFERROR(INDEX(TABLACONSOLIDADA[Inv Fís Act],MATCH("AGROINSUMOScentralPROPIA"&amp;Tabla_Buffers_Agroinsumos[[#This Row],[CODIGO ]],TABLACONSOLIDADA[Bodega]&amp;TABLACONSOLIDADA[Codigo],0)),"")</f>
        <v/>
      </c>
      <c r="AU419" s="161" t="str">
        <f t="array" ref="AU41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19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19" s="135">
        <f>IFERROR(SUM(Tabla_Buffers_Agroinsumos[[#This Row],[P-MP]:[P-VL]]),"")</f>
        <v>0</v>
      </c>
      <c r="AX419" s="154" t="str">
        <f>IFERROR(Tabla_Buffers_Agroinsumos[[#This Row],[INV FIS PROPIA]]-Tabla_Buffers_Agroinsumos[[#This Row],[BUFFER PROPIA]],"")</f>
        <v/>
      </c>
      <c r="AY419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19" s="135"/>
      <c r="BA419" s="135"/>
      <c r="BB419" s="135"/>
      <c r="BC419" s="135"/>
      <c r="BD419" s="135"/>
      <c r="BE419" s="135"/>
      <c r="BF419" s="135"/>
      <c r="BG419" s="135"/>
      <c r="BH419" s="135"/>
      <c r="BI419" s="153" t="str">
        <f t="array" ref="BI419">IFERROR(INDEX(TABLACONSOLIDADA[Buff Act],MATCH("AGROINSUMOSSTODOMINGO"&amp;Tabla_Buffers_Agroinsumos[[#This Row],[CODIGO ]],TABLACONSOLIDADA[Bodega]&amp;TABLACONSOLIDADA[Codigo],0)),"")</f>
        <v/>
      </c>
      <c r="BJ419" s="111" t="str">
        <f t="array" ref="BJ419">IFERROR(INDEX(TABLACONSOLIDADA[Inv Fís Act],MATCH("AGROINSUMOSSTODOMINGO"&amp;Tabla_Buffers_Agroinsumos[[#This Row],[CODIGO ]],TABLACONSOLIDADA[Bodega]&amp;TABLACONSOLIDADA[Codigo],0)),"")</f>
        <v/>
      </c>
      <c r="BK419" s="161" t="str">
        <f t="array" ref="BK41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19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19" s="153">
        <f>IFERROR(SUM(Tabla_Buffers_Agroinsumos[[#This Row],[SD-MP]:[SD-VL]]),"")</f>
        <v>0</v>
      </c>
      <c r="BN419" s="154"/>
      <c r="BO419" s="154"/>
      <c r="BP419" s="135"/>
      <c r="BQ419" s="135"/>
      <c r="BR419" s="135"/>
      <c r="BS419" s="135"/>
      <c r="BT419" s="135"/>
      <c r="BU419" s="135"/>
      <c r="BV419" s="135"/>
      <c r="BW419" s="135"/>
      <c r="BX419" s="135"/>
      <c r="BY419" s="135" t="str">
        <f t="array" ref="BY419">IFERROR(INDEX(TABLACONSOLIDADA[Buff Act],MATCH("AGROINSUMOSMONCAYOLOPEZ"&amp;Tabla_Buffers_Agroinsumos[[#This Row],[CODIGO ]],TABLACONSOLIDADA[Bodega]&amp;TABLACONSOLIDADA[Codigo],0)),"")</f>
        <v/>
      </c>
      <c r="BZ419" s="111" t="str">
        <f t="array" ref="BZ419">IFERROR(INDEX(TABLACONSOLIDADA[Inv Fís Act],MATCH("AGROINSUMOSMONCAYOLOPEZ"&amp;Tabla_Buffers_Agroinsumos[[#This Row],[CODIGO ]],TABLACONSOLIDADA[Bodega]&amp;TABLACONSOLIDADA[Codigo],0)),"")</f>
        <v/>
      </c>
      <c r="CA419" s="161" t="str">
        <f t="array" ref="CA41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19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19" s="135">
        <f>IFERROR(SUM(Tabla_Buffers_Agroinsumos[[#This Row],[ML-MP]:[ML-VL]]),"")</f>
        <v>0</v>
      </c>
      <c r="CD419" s="154" t="str">
        <f>IFERROR(Tabla_Buffers_Agroinsumos[[#This Row],[INV FIS ML]]-Tabla_Buffers_Agroinsumos[[#This Row],[BUFFER ML]],"")</f>
        <v/>
      </c>
      <c r="CE419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19" s="135"/>
      <c r="CG419" s="135"/>
      <c r="CH419" s="135"/>
      <c r="CI419" s="135"/>
      <c r="CJ419" s="135"/>
      <c r="CK419" s="135"/>
      <c r="CL419" s="135"/>
      <c r="CM419" s="135"/>
      <c r="CN419" s="135"/>
      <c r="CO419" s="135" t="str">
        <f t="array" ref="CO419">IFERROR(INDEX(TABLACONSOLIDADA[Buff Act],MATCH("AGROINSUMOSAGROHERMANOSLEON"&amp;Tabla_Buffers_Agroinsumos[[#This Row],[CODIGO ]],TABLACONSOLIDADA[Bodega]&amp;TABLACONSOLIDADA[Codigo],0)),"")</f>
        <v/>
      </c>
      <c r="CP419" s="111" t="str">
        <f t="array" ref="CP419">IFERROR(INDEX(TABLACONSOLIDADA[Inv Fís Act],MATCH("AGROINSUMOSAGROHERMANOSLEON"&amp;Tabla_Buffers_Agroinsumos[[#This Row],[CODIGO ]],TABLACONSOLIDADA[Bodega]&amp;TABLACONSOLIDADA[Codigo],0)),"")</f>
        <v/>
      </c>
      <c r="CQ419" s="161" t="str">
        <f t="array" ref="CQ41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19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19" s="135">
        <f>IFERROR(SUM(Tabla_Buffers_Agroinsumos[[#This Row],[AL-MP]:[AL-VL]]),"")</f>
        <v>0</v>
      </c>
      <c r="CT419" s="154" t="str">
        <f>IFERROR(Tabla_Buffers_Agroinsumos[[#This Row],[INV FIS AL]]-Tabla_Buffers_Agroinsumos[[#This Row],[BUFFER AL]],"")</f>
        <v/>
      </c>
      <c r="CU419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19" s="135"/>
      <c r="CW419" s="135"/>
      <c r="CX419" s="135"/>
      <c r="CY419" s="135"/>
      <c r="CZ419" s="135"/>
      <c r="DA419" s="135"/>
      <c r="DB419" s="135"/>
      <c r="DC419" s="135"/>
      <c r="DD419" s="135"/>
      <c r="DE419" s="135" t="str">
        <f t="array" ref="DE419">IFERROR(INDEX(TABLACONSOLIDADA[Buff Act],MATCH("AGROINSUMOSAGRONUEVO"&amp;Tabla_Buffers_Agroinsumos[[#This Row],[CODIGO ]],TABLACONSOLIDADA[Bodega]&amp;TABLACONSOLIDADA[Codigo],0)),"")</f>
        <v/>
      </c>
      <c r="DF419" s="111" t="str">
        <f t="array" ref="DF419">IFERROR(INDEX(TABLACONSOLIDADA[Inv Fís Act],MATCH("AGROINSUMOSAGRONUEVO"&amp;Tabla_Buffers_Agroinsumos[[#This Row],[CODIGO ]],TABLACONSOLIDADA[Bodega]&amp;TABLACONSOLIDADA[Codigo],0)),"")</f>
        <v/>
      </c>
      <c r="DG419" s="161" t="str">
        <f t="array" ref="DG41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19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19" s="135">
        <f>IFERROR(SUM(Tabla_Buffers_Agroinsumos[[#This Row],[AN-MP]:[AN-VL]]),"")</f>
        <v>0</v>
      </c>
      <c r="DJ419" s="154" t="str">
        <f>IFERROR(Tabla_Buffers_Agroinsumos[[#This Row],[INV FIS AN]]-Tabla_Buffers_Agroinsumos[[#This Row],[BUFFER AN]],"")</f>
        <v/>
      </c>
      <c r="DK419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19" s="135"/>
      <c r="DM419" s="135"/>
      <c r="DN419" s="135"/>
      <c r="DO419" s="135"/>
      <c r="DP419" s="135"/>
      <c r="DQ419" s="135"/>
      <c r="DR419" s="135"/>
      <c r="DS419" s="135"/>
      <c r="DT419" s="135"/>
      <c r="DU419" s="135" t="str">
        <f t="array" ref="DU419">IFERROR(INDEX(TABLACONSOLIDADA[Buff Act],MATCH("AGROINSUMOSAGROQUIMICOSSUR"&amp;Tabla_Buffers_Agroinsumos[[#This Row],[CODIGO ]],TABLACONSOLIDADA[Bodega]&amp;TABLACONSOLIDADA[Codigo],0)),"")</f>
        <v/>
      </c>
      <c r="DV419" s="111" t="str">
        <f t="array" ref="DV419">IFERROR(INDEX(TABLACONSOLIDADA[Inv Fís Act],MATCH("AGROINSUMOSAGROQUIMICOSSUR"&amp;Tabla_Buffers_Agroinsumos[[#This Row],[CODIGO ]],TABLACONSOLIDADA[Bodega]&amp;TABLACONSOLIDADA[Codigo],0)),"")</f>
        <v/>
      </c>
      <c r="DW419" s="161" t="str">
        <f t="array" ref="DW41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19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19" s="135">
        <f>IFERROR(SUM(Tabla_Buffers_Agroinsumos[[#This Row],[AS-MP]:[AS-VL]]),"")</f>
        <v>0</v>
      </c>
      <c r="DZ419" s="154" t="str">
        <f>IFERROR(Tabla_Buffers_Agroinsumos[[#This Row],[INV FIS AS]]-Tabla_Buffers_Agroinsumos[[#This Row],[BUFFER AS]],"")</f>
        <v/>
      </c>
      <c r="EA419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19" s="135"/>
      <c r="EC419" s="135"/>
      <c r="ED419" s="135"/>
      <c r="EE419" s="135"/>
      <c r="EF419" s="135"/>
      <c r="EG419" s="135"/>
      <c r="EH419" s="135"/>
      <c r="EI419" s="135"/>
      <c r="EJ419" s="135"/>
      <c r="EK419" s="135" t="str">
        <f t="array" ref="EK419">IFERROR(INDEX(TABLACONSOLIDADA[Buff Act],MATCH("AGROINSUMOSLAFINCA"&amp;Tabla_Buffers_Agroinsumos[[#This Row],[CODIGO ]],TABLACONSOLIDADA[Bodega]&amp;TABLACONSOLIDADA[Codigo],0)),"")</f>
        <v/>
      </c>
      <c r="EL419" s="111" t="str">
        <f t="array" ref="EL419">IFERROR(INDEX(TABLACONSOLIDADA[Inv Fís Act],MATCH("AGROINSUMOSLAFINCA"&amp;Tabla_Buffers_Agroinsumos[[#This Row],[CODIGO ]],TABLACONSOLIDADA[Bodega]&amp;TABLACONSOLIDADA[Codigo],0)),"")</f>
        <v/>
      </c>
      <c r="EM419" s="161" t="str">
        <f t="array" ref="EM41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19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19" s="135">
        <f>IFERROR(SUM(Tabla_Buffers_Agroinsumos[[#This Row],[LF-MP]:[LF-VL]]),"")</f>
        <v>0</v>
      </c>
      <c r="EP419" s="154" t="str">
        <f>IFERROR(Tabla_Buffers_Agroinsumos[[#This Row],[INV FIS LF]]-Tabla_Buffers_Agroinsumos[[#This Row],[BUFFER LF]],"")</f>
        <v/>
      </c>
      <c r="EQ419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19" s="135"/>
      <c r="ES419" s="135"/>
      <c r="ET419" s="135"/>
      <c r="EU419" s="135"/>
      <c r="EV419" s="135"/>
      <c r="EW419" s="135"/>
      <c r="EX419" s="135"/>
      <c r="EY419" s="135"/>
      <c r="EZ419" s="135"/>
      <c r="FA419" s="135" t="str">
        <f t="array" ref="FA419">IFERROR(INDEX(TABLACONSOLIDADA[Buff Act],MATCH("AGROINSUMOSVERONICALEDESMA"&amp;Tabla_Buffers_Agroinsumos[[#This Row],[CODIGO ]],TABLACONSOLIDADA[Bodega]&amp;TABLACONSOLIDADA[Codigo],0)),"")</f>
        <v/>
      </c>
      <c r="FB419" s="111" t="str">
        <f t="array" ref="FB419">IFERROR(INDEX(TABLACONSOLIDADA[Inv Fís Act],MATCH("AGROINSUMOSVERONICALEDESMA"&amp;Tabla_Buffers_Agroinsumos[[#This Row],[CODIGO ]],TABLACONSOLIDADA[Bodega]&amp;TABLACONSOLIDADA[Codigo],0)),"")</f>
        <v/>
      </c>
      <c r="FC419" s="161" t="str">
        <f t="array" ref="FC41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19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19" s="135">
        <f>IFERROR(SUM(Tabla_Buffers_Agroinsumos[[#This Row],[VL-MP]:[VL-LF]]),"")</f>
        <v>0</v>
      </c>
      <c r="FF419" s="154" t="str">
        <f>IFERROR(Tabla_Buffers_Agroinsumos[[#This Row],[INV FIS VL]]-Tabla_Buffers_Agroinsumos[[#This Row],[BUFFER VL]],"")</f>
        <v/>
      </c>
      <c r="FG419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19" s="135"/>
      <c r="FI419" s="135"/>
      <c r="FJ419" s="135"/>
      <c r="FK419" s="135"/>
      <c r="FL419" s="135"/>
      <c r="FM419" s="135"/>
      <c r="FN419" s="135"/>
      <c r="FO419" s="135"/>
      <c r="FP419" s="135"/>
    </row>
    <row r="420" spans="1:172">
      <c r="A420" s="20" t="s">
        <v>1323</v>
      </c>
      <c r="B420" s="20" t="s">
        <v>1324</v>
      </c>
      <c r="C420" s="20" t="s">
        <v>1318</v>
      </c>
      <c r="D420" s="20" t="s">
        <v>1319</v>
      </c>
      <c r="E420" s="20" t="s">
        <v>975</v>
      </c>
      <c r="F420" s="111"/>
      <c r="G420" s="111"/>
      <c r="H420" s="111" t="e">
        <f>VLOOKUP(Tabla_Buffers_Agroinsumos[[#This Row],[CODIGO ]],TABLACONSOLIDADA[[Codigo]:[PV]],6,0)</f>
        <v>#N/A</v>
      </c>
      <c r="I420" s="111" t="e">
        <f>VLOOKUP(Tabla_Buffers_Agroinsumos[[#This Row],[CODIGO ]],TABLACONSOLIDADA[[Codigo]:[PV]],5,0)</f>
        <v>#N/A</v>
      </c>
      <c r="J420" s="111"/>
      <c r="K420" s="111"/>
      <c r="L420" s="111">
        <f>IFERROR(Tabla_Buffers_Agroinsumos[[#This Row],[BUFFER CENTRAL]]/((Tabla_Buffers_Agroinsumos[[#This Row],[TIEMPO REPOSICION ]]/Tabla_Buffers_Agroinsumos[[#This Row],[FRECUENCIA]])+1),0)</f>
        <v>0</v>
      </c>
      <c r="M420" s="111">
        <v>100</v>
      </c>
      <c r="N420" s="111" t="str">
        <f t="array" ref="N420">IFERROR(INDEX(TABLACONSOLIDADA[Inv Fís Act],MATCH("AGROINSUMOSMATERIAPRIMA"&amp;Tabla_Buffers_Agroinsumos[[#This Row],[CODIGO ]],TABLACONSOLIDADA[Bodega]&amp;TABLACONSOLIDADA[Codigo],0)),"")</f>
        <v/>
      </c>
      <c r="O420" s="161" t="str">
        <f t="array" ref="O42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20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20" s="111">
        <f>IFERROR(SUM(Tabla_Buffers_Agroinsumos[[#This Row],[MP-C]:[MP-VL]]),"")</f>
        <v>0</v>
      </c>
      <c r="R420" s="154" t="str">
        <f>IFERROR(Tabla_Buffers_Agroinsumos[[#This Row],[INV FIS MATERIA PRIMA]]-Tabla_Buffers_Agroinsumos[[#This Row],[BUFFER MATERIA PRIMA]],"")</f>
        <v/>
      </c>
      <c r="S420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20" s="111"/>
      <c r="U420" s="111"/>
      <c r="V420" s="111"/>
      <c r="W420" s="111"/>
      <c r="X420" s="111"/>
      <c r="Y420" s="111"/>
      <c r="Z420" s="111"/>
      <c r="AA420" s="111"/>
      <c r="AB420" s="111"/>
      <c r="AC420" s="135" t="str">
        <f t="array" ref="AC420">IFERROR(INDEX(TABLACONSOLIDADA[Buff Act],MATCH("AGROINSUMOSCENTRAL"&amp;Tabla_Buffers_Agroinsumos[[#This Row],[CODIGO ]],TABLACONSOLIDADA[Bodega]&amp;TABLACONSOLIDADA[Codigo],0)),"")</f>
        <v/>
      </c>
      <c r="AD420" s="111" t="str">
        <f t="array" ref="AD420">IFERROR(INDEX(TABLACONSOLIDADA[Inv Fís Act],MATCH("AGROINSUMOSCENTRAL"&amp;Tabla_Buffers_Agroinsumos[[#This Row],[CODIGO ]],TABLACONSOLIDADA[Bodega]&amp;TABLACONSOLIDADA[Codigo],0)),"")</f>
        <v/>
      </c>
      <c r="AE420" s="161" t="str">
        <f t="array" ref="AE42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20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20" s="153">
        <f>IFERROR(SUM(Tabla_Buffers_Agroinsumos[[#This Row],[C-MP]:[C-VL]]),"")</f>
        <v>0</v>
      </c>
      <c r="AH420" s="154" t="str">
        <f>IFERROR(Tabla_Buffers_Agroinsumos[[#This Row],[INV FIS CENTRAL]]-Tabla_Buffers_Agroinsumos[[#This Row],[BUFFER CENTRAL]],"")</f>
        <v/>
      </c>
      <c r="AI420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20" s="135"/>
      <c r="AK420" s="135"/>
      <c r="AL420" s="135"/>
      <c r="AM420" s="135"/>
      <c r="AN420" s="135"/>
      <c r="AO420" s="135"/>
      <c r="AP420" s="135"/>
      <c r="AQ420" s="135"/>
      <c r="AR420" s="135"/>
      <c r="AS420" s="135" t="str">
        <f t="array" ref="AS420">IFERROR(INDEX(TABLACONSOLIDADA[Buff Act],MATCH("AGROINSUMOScentralPROPIA"&amp;Tabla_Buffers_Agroinsumos[[#This Row],[CODIGO ]],TABLACONSOLIDADA[Bodega]&amp;TABLACONSOLIDADA[Codigo],0)),"")</f>
        <v/>
      </c>
      <c r="AT420" s="111" t="str">
        <f t="array" ref="AT420">IFERROR(INDEX(TABLACONSOLIDADA[Inv Fís Act],MATCH("AGROINSUMOScentralPROPIA"&amp;Tabla_Buffers_Agroinsumos[[#This Row],[CODIGO ]],TABLACONSOLIDADA[Bodega]&amp;TABLACONSOLIDADA[Codigo],0)),"")</f>
        <v/>
      </c>
      <c r="AU420" s="161" t="str">
        <f t="array" ref="AU42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20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20" s="135">
        <f>IFERROR(SUM(Tabla_Buffers_Agroinsumos[[#This Row],[P-MP]:[P-VL]]),"")</f>
        <v>0</v>
      </c>
      <c r="AX420" s="154" t="str">
        <f>IFERROR(Tabla_Buffers_Agroinsumos[[#This Row],[INV FIS PROPIA]]-Tabla_Buffers_Agroinsumos[[#This Row],[BUFFER PROPIA]],"")</f>
        <v/>
      </c>
      <c r="AY420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20" s="135"/>
      <c r="BA420" s="135"/>
      <c r="BB420" s="135"/>
      <c r="BC420" s="135"/>
      <c r="BD420" s="135"/>
      <c r="BE420" s="135"/>
      <c r="BF420" s="135"/>
      <c r="BG420" s="135"/>
      <c r="BH420" s="135"/>
      <c r="BI420" s="153" t="str">
        <f t="array" ref="BI420">IFERROR(INDEX(TABLACONSOLIDADA[Buff Act],MATCH("AGROINSUMOSSTODOMINGO"&amp;Tabla_Buffers_Agroinsumos[[#This Row],[CODIGO ]],TABLACONSOLIDADA[Bodega]&amp;TABLACONSOLIDADA[Codigo],0)),"")</f>
        <v/>
      </c>
      <c r="BJ420" s="111" t="str">
        <f t="array" ref="BJ420">IFERROR(INDEX(TABLACONSOLIDADA[Inv Fís Act],MATCH("AGROINSUMOSSTODOMINGO"&amp;Tabla_Buffers_Agroinsumos[[#This Row],[CODIGO ]],TABLACONSOLIDADA[Bodega]&amp;TABLACONSOLIDADA[Codigo],0)),"")</f>
        <v/>
      </c>
      <c r="BK420" s="161" t="str">
        <f t="array" ref="BK42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20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20" s="153">
        <f>IFERROR(SUM(Tabla_Buffers_Agroinsumos[[#This Row],[SD-MP]:[SD-VL]]),"")</f>
        <v>0</v>
      </c>
      <c r="BN420" s="154"/>
      <c r="BO420" s="154"/>
      <c r="BP420" s="135"/>
      <c r="BQ420" s="135"/>
      <c r="BR420" s="135"/>
      <c r="BS420" s="135"/>
      <c r="BT420" s="135"/>
      <c r="BU420" s="135"/>
      <c r="BV420" s="135"/>
      <c r="BW420" s="135"/>
      <c r="BX420" s="135"/>
      <c r="BY420" s="135" t="str">
        <f t="array" ref="BY420">IFERROR(INDEX(TABLACONSOLIDADA[Buff Act],MATCH("AGROINSUMOSMONCAYOLOPEZ"&amp;Tabla_Buffers_Agroinsumos[[#This Row],[CODIGO ]],TABLACONSOLIDADA[Bodega]&amp;TABLACONSOLIDADA[Codigo],0)),"")</f>
        <v/>
      </c>
      <c r="BZ420" s="111" t="str">
        <f t="array" ref="BZ420">IFERROR(INDEX(TABLACONSOLIDADA[Inv Fís Act],MATCH("AGROINSUMOSMONCAYOLOPEZ"&amp;Tabla_Buffers_Agroinsumos[[#This Row],[CODIGO ]],TABLACONSOLIDADA[Bodega]&amp;TABLACONSOLIDADA[Codigo],0)),"")</f>
        <v/>
      </c>
      <c r="CA420" s="161" t="str">
        <f t="array" ref="CA42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20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20" s="135">
        <f>IFERROR(SUM(Tabla_Buffers_Agroinsumos[[#This Row],[ML-MP]:[ML-VL]]),"")</f>
        <v>0</v>
      </c>
      <c r="CD420" s="154" t="str">
        <f>IFERROR(Tabla_Buffers_Agroinsumos[[#This Row],[INV FIS ML]]-Tabla_Buffers_Agroinsumos[[#This Row],[BUFFER ML]],"")</f>
        <v/>
      </c>
      <c r="CE420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20" s="135"/>
      <c r="CG420" s="135"/>
      <c r="CH420" s="135"/>
      <c r="CI420" s="135"/>
      <c r="CJ420" s="135"/>
      <c r="CK420" s="135"/>
      <c r="CL420" s="135"/>
      <c r="CM420" s="135"/>
      <c r="CN420" s="135"/>
      <c r="CO420" s="135" t="str">
        <f t="array" ref="CO420">IFERROR(INDEX(TABLACONSOLIDADA[Buff Act],MATCH("AGROINSUMOSAGROHERMANOSLEON"&amp;Tabla_Buffers_Agroinsumos[[#This Row],[CODIGO ]],TABLACONSOLIDADA[Bodega]&amp;TABLACONSOLIDADA[Codigo],0)),"")</f>
        <v/>
      </c>
      <c r="CP420" s="111" t="str">
        <f t="array" ref="CP420">IFERROR(INDEX(TABLACONSOLIDADA[Inv Fís Act],MATCH("AGROINSUMOSAGROHERMANOSLEON"&amp;Tabla_Buffers_Agroinsumos[[#This Row],[CODIGO ]],TABLACONSOLIDADA[Bodega]&amp;TABLACONSOLIDADA[Codigo],0)),"")</f>
        <v/>
      </c>
      <c r="CQ420" s="161" t="str">
        <f t="array" ref="CQ42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20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20" s="135">
        <f>IFERROR(SUM(Tabla_Buffers_Agroinsumos[[#This Row],[AL-MP]:[AL-VL]]),"")</f>
        <v>0</v>
      </c>
      <c r="CT420" s="154" t="str">
        <f>IFERROR(Tabla_Buffers_Agroinsumos[[#This Row],[INV FIS AL]]-Tabla_Buffers_Agroinsumos[[#This Row],[BUFFER AL]],"")</f>
        <v/>
      </c>
      <c r="CU420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20" s="135"/>
      <c r="CW420" s="135"/>
      <c r="CX420" s="135"/>
      <c r="CY420" s="135"/>
      <c r="CZ420" s="135"/>
      <c r="DA420" s="135"/>
      <c r="DB420" s="135"/>
      <c r="DC420" s="135"/>
      <c r="DD420" s="135"/>
      <c r="DE420" s="135" t="str">
        <f t="array" ref="DE420">IFERROR(INDEX(TABLACONSOLIDADA[Buff Act],MATCH("AGROINSUMOSAGRONUEVO"&amp;Tabla_Buffers_Agroinsumos[[#This Row],[CODIGO ]],TABLACONSOLIDADA[Bodega]&amp;TABLACONSOLIDADA[Codigo],0)),"")</f>
        <v/>
      </c>
      <c r="DF420" s="111" t="str">
        <f t="array" ref="DF420">IFERROR(INDEX(TABLACONSOLIDADA[Inv Fís Act],MATCH("AGROINSUMOSAGRONUEVO"&amp;Tabla_Buffers_Agroinsumos[[#This Row],[CODIGO ]],TABLACONSOLIDADA[Bodega]&amp;TABLACONSOLIDADA[Codigo],0)),"")</f>
        <v/>
      </c>
      <c r="DG420" s="161" t="str">
        <f t="array" ref="DG42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20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20" s="135">
        <f>IFERROR(SUM(Tabla_Buffers_Agroinsumos[[#This Row],[AN-MP]:[AN-VL]]),"")</f>
        <v>0</v>
      </c>
      <c r="DJ420" s="154" t="str">
        <f>IFERROR(Tabla_Buffers_Agroinsumos[[#This Row],[INV FIS AN]]-Tabla_Buffers_Agroinsumos[[#This Row],[BUFFER AN]],"")</f>
        <v/>
      </c>
      <c r="DK420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20" s="135"/>
      <c r="DM420" s="135"/>
      <c r="DN420" s="135"/>
      <c r="DO420" s="135"/>
      <c r="DP420" s="135"/>
      <c r="DQ420" s="135"/>
      <c r="DR420" s="135"/>
      <c r="DS420" s="135"/>
      <c r="DT420" s="135"/>
      <c r="DU420" s="135" t="str">
        <f t="array" ref="DU420">IFERROR(INDEX(TABLACONSOLIDADA[Buff Act],MATCH("AGROINSUMOSAGROQUIMICOSSUR"&amp;Tabla_Buffers_Agroinsumos[[#This Row],[CODIGO ]],TABLACONSOLIDADA[Bodega]&amp;TABLACONSOLIDADA[Codigo],0)),"")</f>
        <v/>
      </c>
      <c r="DV420" s="111" t="str">
        <f t="array" ref="DV420">IFERROR(INDEX(TABLACONSOLIDADA[Inv Fís Act],MATCH("AGROINSUMOSAGROQUIMICOSSUR"&amp;Tabla_Buffers_Agroinsumos[[#This Row],[CODIGO ]],TABLACONSOLIDADA[Bodega]&amp;TABLACONSOLIDADA[Codigo],0)),"")</f>
        <v/>
      </c>
      <c r="DW420" s="161" t="str">
        <f t="array" ref="DW42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20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20" s="135">
        <f>IFERROR(SUM(Tabla_Buffers_Agroinsumos[[#This Row],[AS-MP]:[AS-VL]]),"")</f>
        <v>0</v>
      </c>
      <c r="DZ420" s="154" t="str">
        <f>IFERROR(Tabla_Buffers_Agroinsumos[[#This Row],[INV FIS AS]]-Tabla_Buffers_Agroinsumos[[#This Row],[BUFFER AS]],"")</f>
        <v/>
      </c>
      <c r="EA420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20" s="135"/>
      <c r="EC420" s="135"/>
      <c r="ED420" s="135"/>
      <c r="EE420" s="135"/>
      <c r="EF420" s="135"/>
      <c r="EG420" s="135"/>
      <c r="EH420" s="135"/>
      <c r="EI420" s="135"/>
      <c r="EJ420" s="135"/>
      <c r="EK420" s="135" t="str">
        <f t="array" ref="EK420">IFERROR(INDEX(TABLACONSOLIDADA[Buff Act],MATCH("AGROINSUMOSLAFINCA"&amp;Tabla_Buffers_Agroinsumos[[#This Row],[CODIGO ]],TABLACONSOLIDADA[Bodega]&amp;TABLACONSOLIDADA[Codigo],0)),"")</f>
        <v/>
      </c>
      <c r="EL420" s="111" t="str">
        <f t="array" ref="EL420">IFERROR(INDEX(TABLACONSOLIDADA[Inv Fís Act],MATCH("AGROINSUMOSLAFINCA"&amp;Tabla_Buffers_Agroinsumos[[#This Row],[CODIGO ]],TABLACONSOLIDADA[Bodega]&amp;TABLACONSOLIDADA[Codigo],0)),"")</f>
        <v/>
      </c>
      <c r="EM420" s="161" t="str">
        <f t="array" ref="EM42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20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20" s="135">
        <f>IFERROR(SUM(Tabla_Buffers_Agroinsumos[[#This Row],[LF-MP]:[LF-VL]]),"")</f>
        <v>0</v>
      </c>
      <c r="EP420" s="154" t="str">
        <f>IFERROR(Tabla_Buffers_Agroinsumos[[#This Row],[INV FIS LF]]-Tabla_Buffers_Agroinsumos[[#This Row],[BUFFER LF]],"")</f>
        <v/>
      </c>
      <c r="EQ420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20" s="135"/>
      <c r="ES420" s="135"/>
      <c r="ET420" s="135"/>
      <c r="EU420" s="135"/>
      <c r="EV420" s="135"/>
      <c r="EW420" s="135"/>
      <c r="EX420" s="135"/>
      <c r="EY420" s="135"/>
      <c r="EZ420" s="135"/>
      <c r="FA420" s="135" t="str">
        <f t="array" ref="FA420">IFERROR(INDEX(TABLACONSOLIDADA[Buff Act],MATCH("AGROINSUMOSVERONICALEDESMA"&amp;Tabla_Buffers_Agroinsumos[[#This Row],[CODIGO ]],TABLACONSOLIDADA[Bodega]&amp;TABLACONSOLIDADA[Codigo],0)),"")</f>
        <v/>
      </c>
      <c r="FB420" s="111" t="str">
        <f t="array" ref="FB420">IFERROR(INDEX(TABLACONSOLIDADA[Inv Fís Act],MATCH("AGROINSUMOSVERONICALEDESMA"&amp;Tabla_Buffers_Agroinsumos[[#This Row],[CODIGO ]],TABLACONSOLIDADA[Bodega]&amp;TABLACONSOLIDADA[Codigo],0)),"")</f>
        <v/>
      </c>
      <c r="FC420" s="161" t="str">
        <f t="array" ref="FC42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20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20" s="135">
        <f>IFERROR(SUM(Tabla_Buffers_Agroinsumos[[#This Row],[VL-MP]:[VL-LF]]),"")</f>
        <v>0</v>
      </c>
      <c r="FF420" s="154" t="str">
        <f>IFERROR(Tabla_Buffers_Agroinsumos[[#This Row],[INV FIS VL]]-Tabla_Buffers_Agroinsumos[[#This Row],[BUFFER VL]],"")</f>
        <v/>
      </c>
      <c r="FG420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20" s="135"/>
      <c r="FI420" s="135"/>
      <c r="FJ420" s="135"/>
      <c r="FK420" s="135"/>
      <c r="FL420" s="135"/>
      <c r="FM420" s="135"/>
      <c r="FN420" s="135"/>
      <c r="FO420" s="135"/>
      <c r="FP420" s="135"/>
    </row>
    <row r="421" spans="1:172">
      <c r="A421" s="20" t="s">
        <v>1325</v>
      </c>
      <c r="B421" s="7" t="s">
        <v>1326</v>
      </c>
      <c r="C421" s="7" t="s">
        <v>707</v>
      </c>
      <c r="D421" s="7" t="s">
        <v>717</v>
      </c>
      <c r="E421" s="7" t="s">
        <v>863</v>
      </c>
      <c r="F421" s="19" t="s">
        <v>1313</v>
      </c>
      <c r="G421" s="19" t="s">
        <v>802</v>
      </c>
      <c r="H421" s="111" t="e">
        <f>VLOOKUP(Tabla_Buffers_Agroinsumos[[#This Row],[CODIGO ]],TABLACONSOLIDADA[[Codigo]:[PV]],6,0)</f>
        <v>#N/A</v>
      </c>
      <c r="I421" s="111" t="e">
        <f>VLOOKUP(Tabla_Buffers_Agroinsumos[[#This Row],[CODIGO ]],TABLACONSOLIDADA[[Codigo]:[PV]],5,0)</f>
        <v>#N/A</v>
      </c>
      <c r="J421" s="111"/>
      <c r="K421" s="111"/>
      <c r="L421" s="111">
        <f>IFERROR(Tabla_Buffers_Agroinsumos[[#This Row],[BUFFER CENTRAL]]/((Tabla_Buffers_Agroinsumos[[#This Row],[TIEMPO REPOSICION ]]/Tabla_Buffers_Agroinsumos[[#This Row],[FRECUENCIA]])+1),0)</f>
        <v>0</v>
      </c>
      <c r="M421" s="111">
        <v>100</v>
      </c>
      <c r="N421" s="111" t="str">
        <f t="array" ref="N421">IFERROR(INDEX(TABLACONSOLIDADA[Inv Fís Act],MATCH("AGROINSUMOSMATERIAPRIMA"&amp;Tabla_Buffers_Agroinsumos[[#This Row],[CODIGO ]],TABLACONSOLIDADA[Bodega]&amp;TABLACONSOLIDADA[Codigo],0)),"")</f>
        <v/>
      </c>
      <c r="O421" s="187" t="str">
        <f t="array" ref="O42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21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21" s="111">
        <f>IFERROR(SUM(Tabla_Buffers_Agroinsumos[[#This Row],[MP-C]:[MP-VL]]),"")</f>
        <v>0</v>
      </c>
      <c r="R421" s="154" t="str">
        <f>IFERROR(Tabla_Buffers_Agroinsumos[[#This Row],[INV FIS MATERIA PRIMA]]-Tabla_Buffers_Agroinsumos[[#This Row],[BUFFER MATERIA PRIMA]],"")</f>
        <v/>
      </c>
      <c r="S421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21" s="111"/>
      <c r="U421" s="111"/>
      <c r="V421" s="111"/>
      <c r="W421" s="111"/>
      <c r="X421" s="111"/>
      <c r="Y421" s="111"/>
      <c r="Z421" s="111"/>
      <c r="AA421" s="111"/>
      <c r="AB421" s="111"/>
      <c r="AC421" s="135" t="str">
        <f t="array" ref="AC421">IFERROR(INDEX(TABLACONSOLIDADA[Buff Act],MATCH("AGROINSUMOSCENTRAL"&amp;Tabla_Buffers_Agroinsumos[[#This Row],[CODIGO ]],TABLACONSOLIDADA[Bodega]&amp;TABLACONSOLIDADA[Codigo],0)),"")</f>
        <v/>
      </c>
      <c r="AD421" s="111" t="str">
        <f t="array" ref="AD421">IFERROR(INDEX(TABLACONSOLIDADA[Inv Fís Act],MATCH("AGROINSUMOSCENTRAL"&amp;Tabla_Buffers_Agroinsumos[[#This Row],[CODIGO ]],TABLACONSOLIDADA[Bodega]&amp;TABLACONSOLIDADA[Codigo],0)),"")</f>
        <v/>
      </c>
      <c r="AE421" s="187" t="str">
        <f t="array" ref="AE42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21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21" s="153">
        <f>IFERROR(SUM(Tabla_Buffers_Agroinsumos[[#This Row],[C-MP]:[C-VL]]),"")</f>
        <v>0</v>
      </c>
      <c r="AH421" s="154" t="str">
        <f>IFERROR(Tabla_Buffers_Agroinsumos[[#This Row],[INV FIS CENTRAL]]-Tabla_Buffers_Agroinsumos[[#This Row],[BUFFER CENTRAL]],"")</f>
        <v/>
      </c>
      <c r="AI421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21" s="135"/>
      <c r="AK421" s="135"/>
      <c r="AL421" s="135"/>
      <c r="AM421" s="135"/>
      <c r="AN421" s="135"/>
      <c r="AO421" s="135"/>
      <c r="AP421" s="135"/>
      <c r="AQ421" s="135"/>
      <c r="AR421" s="135"/>
      <c r="AS421" s="135" t="str">
        <f t="array" ref="AS421">IFERROR(INDEX(TABLACONSOLIDADA[Buff Act],MATCH("AGROINSUMOScentralPROPIA"&amp;Tabla_Buffers_Agroinsumos[[#This Row],[CODIGO ]],TABLACONSOLIDADA[Bodega]&amp;TABLACONSOLIDADA[Codigo],0)),"")</f>
        <v/>
      </c>
      <c r="AT421" s="111" t="str">
        <f t="array" ref="AT421">IFERROR(INDEX(TABLACONSOLIDADA[Inv Fís Act],MATCH("AGROINSUMOScentralPROPIA"&amp;Tabla_Buffers_Agroinsumos[[#This Row],[CODIGO ]],TABLACONSOLIDADA[Bodega]&amp;TABLACONSOLIDADA[Codigo],0)),"")</f>
        <v/>
      </c>
      <c r="AU421" s="187" t="str">
        <f t="array" ref="AU42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21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21" s="135">
        <f>IFERROR(SUM(Tabla_Buffers_Agroinsumos[[#This Row],[P-MP]:[P-VL]]),"")</f>
        <v>0</v>
      </c>
      <c r="AX421" s="154" t="str">
        <f>IFERROR(Tabla_Buffers_Agroinsumos[[#This Row],[INV FIS PROPIA]]-Tabla_Buffers_Agroinsumos[[#This Row],[BUFFER PROPIA]],"")</f>
        <v/>
      </c>
      <c r="AY421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21" s="135"/>
      <c r="BA421" s="135"/>
      <c r="BB421" s="135"/>
      <c r="BC421" s="135"/>
      <c r="BD421" s="135"/>
      <c r="BE421" s="135"/>
      <c r="BF421" s="135"/>
      <c r="BG421" s="135"/>
      <c r="BH421" s="135"/>
      <c r="BI421" s="153" t="str">
        <f t="array" ref="BI421">IFERROR(INDEX(TABLACONSOLIDADA[Buff Act],MATCH("AGROINSUMOSSTODOMINGO"&amp;Tabla_Buffers_Agroinsumos[[#This Row],[CODIGO ]],TABLACONSOLIDADA[Bodega]&amp;TABLACONSOLIDADA[Codigo],0)),"")</f>
        <v/>
      </c>
      <c r="BJ421" s="111" t="str">
        <f t="array" ref="BJ421">IFERROR(INDEX(TABLACONSOLIDADA[Inv Fís Act],MATCH("AGROINSUMOSSTODOMINGO"&amp;Tabla_Buffers_Agroinsumos[[#This Row],[CODIGO ]],TABLACONSOLIDADA[Bodega]&amp;TABLACONSOLIDADA[Codigo],0)),"")</f>
        <v/>
      </c>
      <c r="BK421" s="187" t="str">
        <f t="array" ref="BK42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21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21" s="153">
        <f>IFERROR(SUM(Tabla_Buffers_Agroinsumos[[#This Row],[SD-MP]:[SD-VL]]),"")</f>
        <v>0</v>
      </c>
      <c r="BN421" s="154"/>
      <c r="BO421" s="154"/>
      <c r="BP421" s="135"/>
      <c r="BQ421" s="135"/>
      <c r="BR421" s="135"/>
      <c r="BS421" s="135"/>
      <c r="BT421" s="135"/>
      <c r="BU421" s="135"/>
      <c r="BV421" s="135"/>
      <c r="BW421" s="135"/>
      <c r="BX421" s="135"/>
      <c r="BY421" s="135" t="str">
        <f t="array" ref="BY421">IFERROR(INDEX(TABLACONSOLIDADA[Buff Act],MATCH("AGROINSUMOSMONCAYOLOPEZ"&amp;Tabla_Buffers_Agroinsumos[[#This Row],[CODIGO ]],TABLACONSOLIDADA[Bodega]&amp;TABLACONSOLIDADA[Codigo],0)),"")</f>
        <v/>
      </c>
      <c r="BZ421" s="111" t="str">
        <f t="array" ref="BZ421">IFERROR(INDEX(TABLACONSOLIDADA[Inv Fís Act],MATCH("AGROINSUMOSMONCAYOLOPEZ"&amp;Tabla_Buffers_Agroinsumos[[#This Row],[CODIGO ]],TABLACONSOLIDADA[Bodega]&amp;TABLACONSOLIDADA[Codigo],0)),"")</f>
        <v/>
      </c>
      <c r="CA421" s="187" t="str">
        <f t="array" ref="CA42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21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21" s="135">
        <f>IFERROR(SUM(Tabla_Buffers_Agroinsumos[[#This Row],[ML-MP]:[ML-VL]]),"")</f>
        <v>0</v>
      </c>
      <c r="CD421" s="154" t="str">
        <f>IFERROR(Tabla_Buffers_Agroinsumos[[#This Row],[INV FIS ML]]-Tabla_Buffers_Agroinsumos[[#This Row],[BUFFER ML]],"")</f>
        <v/>
      </c>
      <c r="CE421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21" s="135"/>
      <c r="CG421" s="135"/>
      <c r="CH421" s="135"/>
      <c r="CI421" s="135"/>
      <c r="CJ421" s="135"/>
      <c r="CK421" s="135"/>
      <c r="CL421" s="135"/>
      <c r="CM421" s="135"/>
      <c r="CN421" s="135"/>
      <c r="CO421" s="135" t="str">
        <f t="array" ref="CO421">IFERROR(INDEX(TABLACONSOLIDADA[Buff Act],MATCH("AGROINSUMOSAGROHERMANOSLEON"&amp;Tabla_Buffers_Agroinsumos[[#This Row],[CODIGO ]],TABLACONSOLIDADA[Bodega]&amp;TABLACONSOLIDADA[Codigo],0)),"")</f>
        <v/>
      </c>
      <c r="CP421" s="111" t="str">
        <f t="array" ref="CP421">IFERROR(INDEX(TABLACONSOLIDADA[Inv Fís Act],MATCH("AGROINSUMOSAGROHERMANOSLEON"&amp;Tabla_Buffers_Agroinsumos[[#This Row],[CODIGO ]],TABLACONSOLIDADA[Bodega]&amp;TABLACONSOLIDADA[Codigo],0)),"")</f>
        <v/>
      </c>
      <c r="CQ421" s="187" t="str">
        <f t="array" ref="CQ42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21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21" s="135">
        <f>IFERROR(SUM(Tabla_Buffers_Agroinsumos[[#This Row],[AL-MP]:[AL-VL]]),"")</f>
        <v>0</v>
      </c>
      <c r="CT421" s="154" t="str">
        <f>IFERROR(Tabla_Buffers_Agroinsumos[[#This Row],[INV FIS AL]]-Tabla_Buffers_Agroinsumos[[#This Row],[BUFFER AL]],"")</f>
        <v/>
      </c>
      <c r="CU421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21" s="135"/>
      <c r="CW421" s="135"/>
      <c r="CX421" s="135"/>
      <c r="CY421" s="135"/>
      <c r="CZ421" s="135"/>
      <c r="DA421" s="135"/>
      <c r="DB421" s="135"/>
      <c r="DC421" s="135"/>
      <c r="DD421" s="135"/>
      <c r="DE421" s="135" t="str">
        <f t="array" ref="DE421">IFERROR(INDEX(TABLACONSOLIDADA[Buff Act],MATCH("AGROINSUMOSAGRONUEVO"&amp;Tabla_Buffers_Agroinsumos[[#This Row],[CODIGO ]],TABLACONSOLIDADA[Bodega]&amp;TABLACONSOLIDADA[Codigo],0)),"")</f>
        <v/>
      </c>
      <c r="DF421" s="111" t="str">
        <f t="array" ref="DF421">IFERROR(INDEX(TABLACONSOLIDADA[Inv Fís Act],MATCH("AGROINSUMOSAGRONUEVO"&amp;Tabla_Buffers_Agroinsumos[[#This Row],[CODIGO ]],TABLACONSOLIDADA[Bodega]&amp;TABLACONSOLIDADA[Codigo],0)),"")</f>
        <v/>
      </c>
      <c r="DG421" s="187" t="str">
        <f t="array" ref="DG42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21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21" s="135">
        <f>IFERROR(SUM(Tabla_Buffers_Agroinsumos[[#This Row],[AN-MP]:[AN-VL]]),"")</f>
        <v>0</v>
      </c>
      <c r="DJ421" s="154" t="str">
        <f>IFERROR(Tabla_Buffers_Agroinsumos[[#This Row],[INV FIS AN]]-Tabla_Buffers_Agroinsumos[[#This Row],[BUFFER AN]],"")</f>
        <v/>
      </c>
      <c r="DK421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21" s="135"/>
      <c r="DM421" s="135"/>
      <c r="DN421" s="135"/>
      <c r="DO421" s="135"/>
      <c r="DP421" s="135"/>
      <c r="DQ421" s="135"/>
      <c r="DR421" s="135"/>
      <c r="DS421" s="135"/>
      <c r="DT421" s="135"/>
      <c r="DU421" s="135" t="str">
        <f t="array" ref="DU421">IFERROR(INDEX(TABLACONSOLIDADA[Buff Act],MATCH("AGROINSUMOSAGROQUIMICOSSUR"&amp;Tabla_Buffers_Agroinsumos[[#This Row],[CODIGO ]],TABLACONSOLIDADA[Bodega]&amp;TABLACONSOLIDADA[Codigo],0)),"")</f>
        <v/>
      </c>
      <c r="DV421" s="111" t="str">
        <f t="array" ref="DV421">IFERROR(INDEX(TABLACONSOLIDADA[Inv Fís Act],MATCH("AGROINSUMOSAGROQUIMICOSSUR"&amp;Tabla_Buffers_Agroinsumos[[#This Row],[CODIGO ]],TABLACONSOLIDADA[Bodega]&amp;TABLACONSOLIDADA[Codigo],0)),"")</f>
        <v/>
      </c>
      <c r="DW421" s="187" t="str">
        <f t="array" ref="DW42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21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21" s="135">
        <f>IFERROR(SUM(Tabla_Buffers_Agroinsumos[[#This Row],[AS-MP]:[AS-VL]]),"")</f>
        <v>0</v>
      </c>
      <c r="DZ421" s="154" t="str">
        <f>IFERROR(Tabla_Buffers_Agroinsumos[[#This Row],[INV FIS AS]]-Tabla_Buffers_Agroinsumos[[#This Row],[BUFFER AS]],"")</f>
        <v/>
      </c>
      <c r="EA421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21" s="135"/>
      <c r="EC421" s="135"/>
      <c r="ED421" s="135"/>
      <c r="EE421" s="135"/>
      <c r="EF421" s="135"/>
      <c r="EG421" s="135"/>
      <c r="EH421" s="135"/>
      <c r="EI421" s="135"/>
      <c r="EJ421" s="135"/>
      <c r="EK421" s="135" t="str">
        <f t="array" ref="EK421">IFERROR(INDEX(TABLACONSOLIDADA[Buff Act],MATCH("AGROINSUMOSLAFINCA"&amp;Tabla_Buffers_Agroinsumos[[#This Row],[CODIGO ]],TABLACONSOLIDADA[Bodega]&amp;TABLACONSOLIDADA[Codigo],0)),"")</f>
        <v/>
      </c>
      <c r="EL421" s="111" t="str">
        <f t="array" ref="EL421">IFERROR(INDEX(TABLACONSOLIDADA[Inv Fís Act],MATCH("AGROINSUMOSLAFINCA"&amp;Tabla_Buffers_Agroinsumos[[#This Row],[CODIGO ]],TABLACONSOLIDADA[Bodega]&amp;TABLACONSOLIDADA[Codigo],0)),"")</f>
        <v/>
      </c>
      <c r="EM421" s="187" t="str">
        <f t="array" ref="EM42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21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21" s="135">
        <f>IFERROR(SUM(Tabla_Buffers_Agroinsumos[[#This Row],[LF-MP]:[LF-VL]]),"")</f>
        <v>0</v>
      </c>
      <c r="EP421" s="154" t="str">
        <f>IFERROR(Tabla_Buffers_Agroinsumos[[#This Row],[INV FIS LF]]-Tabla_Buffers_Agroinsumos[[#This Row],[BUFFER LF]],"")</f>
        <v/>
      </c>
      <c r="EQ421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21" s="135"/>
      <c r="ES421" s="135"/>
      <c r="ET421" s="135"/>
      <c r="EU421" s="135"/>
      <c r="EV421" s="135"/>
      <c r="EW421" s="135"/>
      <c r="EX421" s="135"/>
      <c r="EY421" s="135"/>
      <c r="EZ421" s="135"/>
      <c r="FA421" s="135" t="str">
        <f t="array" ref="FA421">IFERROR(INDEX(TABLACONSOLIDADA[Buff Act],MATCH("AGROINSUMOSVERONICALEDESMA"&amp;Tabla_Buffers_Agroinsumos[[#This Row],[CODIGO ]],TABLACONSOLIDADA[Bodega]&amp;TABLACONSOLIDADA[Codigo],0)),"")</f>
        <v/>
      </c>
      <c r="FB421" s="111" t="str">
        <f t="array" ref="FB421">IFERROR(INDEX(TABLACONSOLIDADA[Inv Fís Act],MATCH("AGROINSUMOSVERONICALEDESMA"&amp;Tabla_Buffers_Agroinsumos[[#This Row],[CODIGO ]],TABLACONSOLIDADA[Bodega]&amp;TABLACONSOLIDADA[Codigo],0)),"")</f>
        <v/>
      </c>
      <c r="FC421" s="187" t="str">
        <f t="array" ref="FC42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21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21" s="135">
        <f>IFERROR(SUM(Tabla_Buffers_Agroinsumos[[#This Row],[VL-MP]:[VL-LF]]),"")</f>
        <v>0</v>
      </c>
      <c r="FF421" s="154" t="str">
        <f>IFERROR(Tabla_Buffers_Agroinsumos[[#This Row],[INV FIS VL]]-Tabla_Buffers_Agroinsumos[[#This Row],[BUFFER VL]],"")</f>
        <v/>
      </c>
      <c r="FG421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21" s="135"/>
      <c r="FI421" s="135"/>
      <c r="FJ421" s="135"/>
      <c r="FK421" s="135"/>
      <c r="FL421" s="135"/>
      <c r="FM421" s="135"/>
      <c r="FN421" s="135"/>
      <c r="FO421" s="135"/>
      <c r="FP421" s="135"/>
    </row>
    <row r="422" spans="1:172">
      <c r="A422" s="20" t="s">
        <v>1327</v>
      </c>
      <c r="B422" s="20" t="s">
        <v>1328</v>
      </c>
      <c r="C422" s="20" t="s">
        <v>716</v>
      </c>
      <c r="D422" s="20" t="s">
        <v>718</v>
      </c>
      <c r="E422" s="20" t="s">
        <v>863</v>
      </c>
      <c r="F422" s="111" t="s">
        <v>808</v>
      </c>
      <c r="G422" s="111" t="s">
        <v>802</v>
      </c>
      <c r="H422" s="111" t="e">
        <f>VLOOKUP(Tabla_Buffers_Agroinsumos[[#This Row],[CODIGO ]],TABLACONSOLIDADA[[Codigo]:[PV]],6,0)</f>
        <v>#N/A</v>
      </c>
      <c r="I422" s="111" t="e">
        <f>VLOOKUP(Tabla_Buffers_Agroinsumos[[#This Row],[CODIGO ]],TABLACONSOLIDADA[[Codigo]:[PV]],5,0)</f>
        <v>#N/A</v>
      </c>
      <c r="J422" s="111"/>
      <c r="K422" s="111"/>
      <c r="L422" s="111">
        <f>IFERROR(Tabla_Buffers_Agroinsumos[[#This Row],[BUFFER CENTRAL]]/((Tabla_Buffers_Agroinsumos[[#This Row],[TIEMPO REPOSICION ]]/Tabla_Buffers_Agroinsumos[[#This Row],[FRECUENCIA]])+1),0)</f>
        <v>0</v>
      </c>
      <c r="M422" s="111">
        <v>500</v>
      </c>
      <c r="N422" s="111" t="str">
        <f t="array" ref="N422">IFERROR(INDEX(TABLACONSOLIDADA[Inv Fís Act],MATCH("AGROINSUMOSMATERIAPRIMA"&amp;Tabla_Buffers_Agroinsumos[[#This Row],[CODIGO ]],TABLACONSOLIDADA[Bodega]&amp;TABLACONSOLIDADA[Codigo],0)),"")</f>
        <v/>
      </c>
      <c r="O422" s="161" t="str">
        <f t="array" ref="O42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22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22" s="111">
        <f>IFERROR(SUM(Tabla_Buffers_Agroinsumos[[#This Row],[MP-C]:[MP-VL]]),"")</f>
        <v>0</v>
      </c>
      <c r="R422" s="154" t="str">
        <f>IFERROR(Tabla_Buffers_Agroinsumos[[#This Row],[INV FIS MATERIA PRIMA]]-Tabla_Buffers_Agroinsumos[[#This Row],[BUFFER MATERIA PRIMA]],"")</f>
        <v/>
      </c>
      <c r="S422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22" s="111"/>
      <c r="U422" s="111"/>
      <c r="V422" s="111"/>
      <c r="W422" s="111"/>
      <c r="X422" s="111"/>
      <c r="Y422" s="111"/>
      <c r="Z422" s="111"/>
      <c r="AA422" s="111"/>
      <c r="AB422" s="111"/>
      <c r="AC422" s="135" t="str">
        <f t="array" ref="AC422">IFERROR(INDEX(TABLACONSOLIDADA[Buff Act],MATCH("AGROINSUMOSCENTRAL"&amp;Tabla_Buffers_Agroinsumos[[#This Row],[CODIGO ]],TABLACONSOLIDADA[Bodega]&amp;TABLACONSOLIDADA[Codigo],0)),"")</f>
        <v/>
      </c>
      <c r="AD422" s="111" t="str">
        <f t="array" ref="AD422">IFERROR(INDEX(TABLACONSOLIDADA[Inv Fís Act],MATCH("AGROINSUMOSCENTRAL"&amp;Tabla_Buffers_Agroinsumos[[#This Row],[CODIGO ]],TABLACONSOLIDADA[Bodega]&amp;TABLACONSOLIDADA[Codigo],0)),"")</f>
        <v/>
      </c>
      <c r="AE422" s="161" t="str">
        <f t="array" ref="AE42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22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22" s="153">
        <f>IFERROR(SUM(Tabla_Buffers_Agroinsumos[[#This Row],[C-MP]:[C-VL]]),"")</f>
        <v>0</v>
      </c>
      <c r="AH422" s="154" t="str">
        <f>IFERROR(Tabla_Buffers_Agroinsumos[[#This Row],[INV FIS CENTRAL]]-Tabla_Buffers_Agroinsumos[[#This Row],[BUFFER CENTRAL]],"")</f>
        <v/>
      </c>
      <c r="AI422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22" s="135"/>
      <c r="AK422" s="135"/>
      <c r="AL422" s="135"/>
      <c r="AM422" s="135"/>
      <c r="AN422" s="135"/>
      <c r="AO422" s="135"/>
      <c r="AP422" s="135"/>
      <c r="AQ422" s="135"/>
      <c r="AR422" s="135"/>
      <c r="AS422" s="135" t="str">
        <f t="array" ref="AS422">IFERROR(INDEX(TABLACONSOLIDADA[Buff Act],MATCH("AGROINSUMOScentralPROPIA"&amp;Tabla_Buffers_Agroinsumos[[#This Row],[CODIGO ]],TABLACONSOLIDADA[Bodega]&amp;TABLACONSOLIDADA[Codigo],0)),"")</f>
        <v/>
      </c>
      <c r="AT422" s="111" t="str">
        <f t="array" ref="AT422">IFERROR(INDEX(TABLACONSOLIDADA[Inv Fís Act],MATCH("AGROINSUMOScentralPROPIA"&amp;Tabla_Buffers_Agroinsumos[[#This Row],[CODIGO ]],TABLACONSOLIDADA[Bodega]&amp;TABLACONSOLIDADA[Codigo],0)),"")</f>
        <v/>
      </c>
      <c r="AU422" s="161" t="str">
        <f t="array" ref="AU42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22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22" s="135">
        <f>IFERROR(SUM(Tabla_Buffers_Agroinsumos[[#This Row],[P-MP]:[P-VL]]),"")</f>
        <v>0</v>
      </c>
      <c r="AX422" s="154" t="str">
        <f>IFERROR(Tabla_Buffers_Agroinsumos[[#This Row],[INV FIS PROPIA]]-Tabla_Buffers_Agroinsumos[[#This Row],[BUFFER PROPIA]],"")</f>
        <v/>
      </c>
      <c r="AY422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22" s="135"/>
      <c r="BA422" s="135"/>
      <c r="BB422" s="135"/>
      <c r="BC422" s="135"/>
      <c r="BD422" s="135"/>
      <c r="BE422" s="135"/>
      <c r="BF422" s="135"/>
      <c r="BG422" s="135"/>
      <c r="BH422" s="135"/>
      <c r="BI422" s="153" t="str">
        <f t="array" ref="BI422">IFERROR(INDEX(TABLACONSOLIDADA[Buff Act],MATCH("AGROINSUMOSSTODOMINGO"&amp;Tabla_Buffers_Agroinsumos[[#This Row],[CODIGO ]],TABLACONSOLIDADA[Bodega]&amp;TABLACONSOLIDADA[Codigo],0)),"")</f>
        <v/>
      </c>
      <c r="BJ422" s="111" t="str">
        <f t="array" ref="BJ422">IFERROR(INDEX(TABLACONSOLIDADA[Inv Fís Act],MATCH("AGROINSUMOSSTODOMINGO"&amp;Tabla_Buffers_Agroinsumos[[#This Row],[CODIGO ]],TABLACONSOLIDADA[Bodega]&amp;TABLACONSOLIDADA[Codigo],0)),"")</f>
        <v/>
      </c>
      <c r="BK422" s="161" t="str">
        <f t="array" ref="BK42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22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22" s="153">
        <f>IFERROR(SUM(Tabla_Buffers_Agroinsumos[[#This Row],[SD-MP]:[SD-VL]]),"")</f>
        <v>0</v>
      </c>
      <c r="BN422" s="154"/>
      <c r="BO422" s="154"/>
      <c r="BP422" s="135"/>
      <c r="BQ422" s="135"/>
      <c r="BR422" s="135"/>
      <c r="BS422" s="135"/>
      <c r="BT422" s="135"/>
      <c r="BU422" s="135"/>
      <c r="BV422" s="135"/>
      <c r="BW422" s="135"/>
      <c r="BX422" s="135"/>
      <c r="BY422" s="135" t="str">
        <f t="array" ref="BY422">IFERROR(INDEX(TABLACONSOLIDADA[Buff Act],MATCH("AGROINSUMOSMONCAYOLOPEZ"&amp;Tabla_Buffers_Agroinsumos[[#This Row],[CODIGO ]],TABLACONSOLIDADA[Bodega]&amp;TABLACONSOLIDADA[Codigo],0)),"")</f>
        <v/>
      </c>
      <c r="BZ422" s="111" t="str">
        <f t="array" ref="BZ422">IFERROR(INDEX(TABLACONSOLIDADA[Inv Fís Act],MATCH("AGROINSUMOSMONCAYOLOPEZ"&amp;Tabla_Buffers_Agroinsumos[[#This Row],[CODIGO ]],TABLACONSOLIDADA[Bodega]&amp;TABLACONSOLIDADA[Codigo],0)),"")</f>
        <v/>
      </c>
      <c r="CA422" s="161" t="str">
        <f t="array" ref="CA42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22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22" s="135">
        <f>IFERROR(SUM(Tabla_Buffers_Agroinsumos[[#This Row],[ML-MP]:[ML-VL]]),"")</f>
        <v>0</v>
      </c>
      <c r="CD422" s="154" t="str">
        <f>IFERROR(Tabla_Buffers_Agroinsumos[[#This Row],[INV FIS ML]]-Tabla_Buffers_Agroinsumos[[#This Row],[BUFFER ML]],"")</f>
        <v/>
      </c>
      <c r="CE422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22" s="135"/>
      <c r="CG422" s="135"/>
      <c r="CH422" s="135"/>
      <c r="CI422" s="135"/>
      <c r="CJ422" s="135"/>
      <c r="CK422" s="135"/>
      <c r="CL422" s="135"/>
      <c r="CM422" s="135"/>
      <c r="CN422" s="135"/>
      <c r="CO422" s="135" t="str">
        <f t="array" ref="CO422">IFERROR(INDEX(TABLACONSOLIDADA[Buff Act],MATCH("AGROINSUMOSAGROHERMANOSLEON"&amp;Tabla_Buffers_Agroinsumos[[#This Row],[CODIGO ]],TABLACONSOLIDADA[Bodega]&amp;TABLACONSOLIDADA[Codigo],0)),"")</f>
        <v/>
      </c>
      <c r="CP422" s="111" t="str">
        <f t="array" ref="CP422">IFERROR(INDEX(TABLACONSOLIDADA[Inv Fís Act],MATCH("AGROINSUMOSAGROHERMANOSLEON"&amp;Tabla_Buffers_Agroinsumos[[#This Row],[CODIGO ]],TABLACONSOLIDADA[Bodega]&amp;TABLACONSOLIDADA[Codigo],0)),"")</f>
        <v/>
      </c>
      <c r="CQ422" s="161" t="str">
        <f t="array" ref="CQ42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22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22" s="135">
        <f>IFERROR(SUM(Tabla_Buffers_Agroinsumos[[#This Row],[AL-MP]:[AL-VL]]),"")</f>
        <v>0</v>
      </c>
      <c r="CT422" s="154" t="str">
        <f>IFERROR(Tabla_Buffers_Agroinsumos[[#This Row],[INV FIS AL]]-Tabla_Buffers_Agroinsumos[[#This Row],[BUFFER AL]],"")</f>
        <v/>
      </c>
      <c r="CU422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22" s="135"/>
      <c r="CW422" s="135"/>
      <c r="CX422" s="135"/>
      <c r="CY422" s="135"/>
      <c r="CZ422" s="135"/>
      <c r="DA422" s="135"/>
      <c r="DB422" s="135"/>
      <c r="DC422" s="135"/>
      <c r="DD422" s="135"/>
      <c r="DE422" s="135" t="str">
        <f t="array" ref="DE422">IFERROR(INDEX(TABLACONSOLIDADA[Buff Act],MATCH("AGROINSUMOSAGRONUEVO"&amp;Tabla_Buffers_Agroinsumos[[#This Row],[CODIGO ]],TABLACONSOLIDADA[Bodega]&amp;TABLACONSOLIDADA[Codigo],0)),"")</f>
        <v/>
      </c>
      <c r="DF422" s="111" t="str">
        <f t="array" ref="DF422">IFERROR(INDEX(TABLACONSOLIDADA[Inv Fís Act],MATCH("AGROINSUMOSAGRONUEVO"&amp;Tabla_Buffers_Agroinsumos[[#This Row],[CODIGO ]],TABLACONSOLIDADA[Bodega]&amp;TABLACONSOLIDADA[Codigo],0)),"")</f>
        <v/>
      </c>
      <c r="DG422" s="161" t="str">
        <f t="array" ref="DG42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22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22" s="135">
        <f>IFERROR(SUM(Tabla_Buffers_Agroinsumos[[#This Row],[AN-MP]:[AN-VL]]),"")</f>
        <v>0</v>
      </c>
      <c r="DJ422" s="154" t="str">
        <f>IFERROR(Tabla_Buffers_Agroinsumos[[#This Row],[INV FIS AN]]-Tabla_Buffers_Agroinsumos[[#This Row],[BUFFER AN]],"")</f>
        <v/>
      </c>
      <c r="DK422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22" s="135"/>
      <c r="DM422" s="135"/>
      <c r="DN422" s="135"/>
      <c r="DO422" s="135"/>
      <c r="DP422" s="135"/>
      <c r="DQ422" s="135"/>
      <c r="DR422" s="135"/>
      <c r="DS422" s="135"/>
      <c r="DT422" s="135"/>
      <c r="DU422" s="135" t="str">
        <f t="array" ref="DU422">IFERROR(INDEX(TABLACONSOLIDADA[Buff Act],MATCH("AGROINSUMOSAGROQUIMICOSSUR"&amp;Tabla_Buffers_Agroinsumos[[#This Row],[CODIGO ]],TABLACONSOLIDADA[Bodega]&amp;TABLACONSOLIDADA[Codigo],0)),"")</f>
        <v/>
      </c>
      <c r="DV422" s="111" t="str">
        <f t="array" ref="DV422">IFERROR(INDEX(TABLACONSOLIDADA[Inv Fís Act],MATCH("AGROINSUMOSAGROQUIMICOSSUR"&amp;Tabla_Buffers_Agroinsumos[[#This Row],[CODIGO ]],TABLACONSOLIDADA[Bodega]&amp;TABLACONSOLIDADA[Codigo],0)),"")</f>
        <v/>
      </c>
      <c r="DW422" s="161" t="str">
        <f t="array" ref="DW42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22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22" s="135">
        <f>IFERROR(SUM(Tabla_Buffers_Agroinsumos[[#This Row],[AS-MP]:[AS-VL]]),"")</f>
        <v>0</v>
      </c>
      <c r="DZ422" s="154" t="str">
        <f>IFERROR(Tabla_Buffers_Agroinsumos[[#This Row],[INV FIS AS]]-Tabla_Buffers_Agroinsumos[[#This Row],[BUFFER AS]],"")</f>
        <v/>
      </c>
      <c r="EA422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22" s="135"/>
      <c r="EC422" s="135"/>
      <c r="ED422" s="135"/>
      <c r="EE422" s="135"/>
      <c r="EF422" s="135"/>
      <c r="EG422" s="135"/>
      <c r="EH422" s="135"/>
      <c r="EI422" s="135"/>
      <c r="EJ422" s="135"/>
      <c r="EK422" s="135" t="str">
        <f t="array" ref="EK422">IFERROR(INDEX(TABLACONSOLIDADA[Buff Act],MATCH("AGROINSUMOSLAFINCA"&amp;Tabla_Buffers_Agroinsumos[[#This Row],[CODIGO ]],TABLACONSOLIDADA[Bodega]&amp;TABLACONSOLIDADA[Codigo],0)),"")</f>
        <v/>
      </c>
      <c r="EL422" s="111" t="str">
        <f t="array" ref="EL422">IFERROR(INDEX(TABLACONSOLIDADA[Inv Fís Act],MATCH("AGROINSUMOSLAFINCA"&amp;Tabla_Buffers_Agroinsumos[[#This Row],[CODIGO ]],TABLACONSOLIDADA[Bodega]&amp;TABLACONSOLIDADA[Codigo],0)),"")</f>
        <v/>
      </c>
      <c r="EM422" s="161" t="str">
        <f t="array" ref="EM42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22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22" s="135">
        <f>IFERROR(SUM(Tabla_Buffers_Agroinsumos[[#This Row],[LF-MP]:[LF-VL]]),"")</f>
        <v>0</v>
      </c>
      <c r="EP422" s="154" t="str">
        <f>IFERROR(Tabla_Buffers_Agroinsumos[[#This Row],[INV FIS LF]]-Tabla_Buffers_Agroinsumos[[#This Row],[BUFFER LF]],"")</f>
        <v/>
      </c>
      <c r="EQ422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22" s="135"/>
      <c r="ES422" s="135"/>
      <c r="ET422" s="135"/>
      <c r="EU422" s="135"/>
      <c r="EV422" s="135"/>
      <c r="EW422" s="135"/>
      <c r="EX422" s="135"/>
      <c r="EY422" s="135"/>
      <c r="EZ422" s="135"/>
      <c r="FA422" s="135" t="str">
        <f t="array" ref="FA422">IFERROR(INDEX(TABLACONSOLIDADA[Buff Act],MATCH("AGROINSUMOSVERONICALEDESMA"&amp;Tabla_Buffers_Agroinsumos[[#This Row],[CODIGO ]],TABLACONSOLIDADA[Bodega]&amp;TABLACONSOLIDADA[Codigo],0)),"")</f>
        <v/>
      </c>
      <c r="FB422" s="111" t="str">
        <f t="array" ref="FB422">IFERROR(INDEX(TABLACONSOLIDADA[Inv Fís Act],MATCH("AGROINSUMOSVERONICALEDESMA"&amp;Tabla_Buffers_Agroinsumos[[#This Row],[CODIGO ]],TABLACONSOLIDADA[Bodega]&amp;TABLACONSOLIDADA[Codigo],0)),"")</f>
        <v/>
      </c>
      <c r="FC422" s="161" t="str">
        <f t="array" ref="FC42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22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22" s="135">
        <f>IFERROR(SUM(Tabla_Buffers_Agroinsumos[[#This Row],[VL-MP]:[VL-LF]]),"")</f>
        <v>0</v>
      </c>
      <c r="FF422" s="154" t="str">
        <f>IFERROR(Tabla_Buffers_Agroinsumos[[#This Row],[INV FIS VL]]-Tabla_Buffers_Agroinsumos[[#This Row],[BUFFER VL]],"")</f>
        <v/>
      </c>
      <c r="FG422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22" s="135"/>
      <c r="FI422" s="135"/>
      <c r="FJ422" s="135"/>
      <c r="FK422" s="135"/>
      <c r="FL422" s="135"/>
      <c r="FM422" s="135"/>
      <c r="FN422" s="135"/>
      <c r="FO422" s="135"/>
      <c r="FP422" s="135"/>
    </row>
    <row r="423" spans="1:172">
      <c r="A423" s="20" t="s">
        <v>1330</v>
      </c>
      <c r="B423" s="20" t="s">
        <v>1331</v>
      </c>
      <c r="C423" s="7" t="s">
        <v>174</v>
      </c>
      <c r="D423" s="7" t="s">
        <v>718</v>
      </c>
      <c r="E423" s="7" t="s">
        <v>863</v>
      </c>
      <c r="F423" s="111" t="s">
        <v>1332</v>
      </c>
      <c r="G423" s="111" t="s">
        <v>802</v>
      </c>
      <c r="H423" s="111" t="e">
        <f>VLOOKUP(Tabla_Buffers_Agroinsumos[[#This Row],[CODIGO ]],TABLACONSOLIDADA[[Codigo]:[PV]],6,0)</f>
        <v>#N/A</v>
      </c>
      <c r="I423" s="111" t="e">
        <f>VLOOKUP(Tabla_Buffers_Agroinsumos[[#This Row],[CODIGO ]],TABLACONSOLIDADA[[Codigo]:[PV]],5,0)</f>
        <v>#N/A</v>
      </c>
      <c r="J423" s="111"/>
      <c r="K423" s="111"/>
      <c r="L423" s="111">
        <f>IFERROR(Tabla_Buffers_Agroinsumos[[#This Row],[BUFFER CENTRAL]]/((Tabla_Buffers_Agroinsumos[[#This Row],[TIEMPO REPOSICION ]]/Tabla_Buffers_Agroinsumos[[#This Row],[FRECUENCIA]])+1),0)</f>
        <v>0</v>
      </c>
      <c r="M423" s="111">
        <v>100</v>
      </c>
      <c r="N423" s="111" t="str">
        <f t="array" ref="N423">IFERROR(INDEX(TABLACONSOLIDADA[Inv Fís Act],MATCH("AGROINSUMOSMATERIAPRIMA"&amp;Tabla_Buffers_Agroinsumos[[#This Row],[CODIGO ]],TABLACONSOLIDADA[Bodega]&amp;TABLACONSOLIDADA[Codigo],0)),"")</f>
        <v/>
      </c>
      <c r="O423" s="161" t="str">
        <f t="array" ref="O42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23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23" s="111">
        <f>IFERROR(SUM(Tabla_Buffers_Agroinsumos[[#This Row],[MP-C]:[MP-VL]]),"")</f>
        <v>0</v>
      </c>
      <c r="R423" s="154" t="str">
        <f>IFERROR(Tabla_Buffers_Agroinsumos[[#This Row],[INV FIS MATERIA PRIMA]]-Tabla_Buffers_Agroinsumos[[#This Row],[BUFFER MATERIA PRIMA]],"")</f>
        <v/>
      </c>
      <c r="S423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23" s="111"/>
      <c r="U423" s="111"/>
      <c r="V423" s="111"/>
      <c r="W423" s="111"/>
      <c r="X423" s="111"/>
      <c r="Y423" s="111"/>
      <c r="Z423" s="111"/>
      <c r="AA423" s="111"/>
      <c r="AB423" s="111"/>
      <c r="AC423" s="135" t="str">
        <f t="array" ref="AC423">IFERROR(INDEX(TABLACONSOLIDADA[Buff Act],MATCH("AGROINSUMOSCENTRAL"&amp;Tabla_Buffers_Agroinsumos[[#This Row],[CODIGO ]],TABLACONSOLIDADA[Bodega]&amp;TABLACONSOLIDADA[Codigo],0)),"")</f>
        <v/>
      </c>
      <c r="AD423" s="111" t="str">
        <f t="array" ref="AD423">IFERROR(INDEX(TABLACONSOLIDADA[Inv Fís Act],MATCH("AGROINSUMOSCENTRAL"&amp;Tabla_Buffers_Agroinsumos[[#This Row],[CODIGO ]],TABLACONSOLIDADA[Bodega]&amp;TABLACONSOLIDADA[Codigo],0)),"")</f>
        <v/>
      </c>
      <c r="AE423" s="161" t="str">
        <f t="array" ref="AE42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23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23" s="153">
        <f>IFERROR(SUM(Tabla_Buffers_Agroinsumos[[#This Row],[C-MP]:[C-VL]]),"")</f>
        <v>0</v>
      </c>
      <c r="AH423" s="154" t="str">
        <f>IFERROR(Tabla_Buffers_Agroinsumos[[#This Row],[INV FIS CENTRAL]]-Tabla_Buffers_Agroinsumos[[#This Row],[BUFFER CENTRAL]],"")</f>
        <v/>
      </c>
      <c r="AI423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23" s="135"/>
      <c r="AK423" s="135"/>
      <c r="AL423" s="135"/>
      <c r="AM423" s="135"/>
      <c r="AN423" s="135"/>
      <c r="AO423" s="135"/>
      <c r="AP423" s="135"/>
      <c r="AQ423" s="135"/>
      <c r="AR423" s="135"/>
      <c r="AS423" s="135" t="str">
        <f t="array" ref="AS423">IFERROR(INDEX(TABLACONSOLIDADA[Buff Act],MATCH("AGROINSUMOScentralPROPIA"&amp;Tabla_Buffers_Agroinsumos[[#This Row],[CODIGO ]],TABLACONSOLIDADA[Bodega]&amp;TABLACONSOLIDADA[Codigo],0)),"")</f>
        <v/>
      </c>
      <c r="AT423" s="111" t="str">
        <f t="array" ref="AT423">IFERROR(INDEX(TABLACONSOLIDADA[Inv Fís Act],MATCH("AGROINSUMOScentralPROPIA"&amp;Tabla_Buffers_Agroinsumos[[#This Row],[CODIGO ]],TABLACONSOLIDADA[Bodega]&amp;TABLACONSOLIDADA[Codigo],0)),"")</f>
        <v/>
      </c>
      <c r="AU423" s="161" t="str">
        <f t="array" ref="AU42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23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23" s="135">
        <f>IFERROR(SUM(Tabla_Buffers_Agroinsumos[[#This Row],[P-MP]:[P-VL]]),"")</f>
        <v>0</v>
      </c>
      <c r="AX423" s="154" t="str">
        <f>IFERROR(Tabla_Buffers_Agroinsumos[[#This Row],[INV FIS PROPIA]]-Tabla_Buffers_Agroinsumos[[#This Row],[BUFFER PROPIA]],"")</f>
        <v/>
      </c>
      <c r="AY423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23" s="135"/>
      <c r="BA423" s="135"/>
      <c r="BB423" s="135"/>
      <c r="BC423" s="135"/>
      <c r="BD423" s="135"/>
      <c r="BE423" s="135"/>
      <c r="BF423" s="135"/>
      <c r="BG423" s="135"/>
      <c r="BH423" s="135"/>
      <c r="BI423" s="153" t="str">
        <f t="array" ref="BI423">IFERROR(INDEX(TABLACONSOLIDADA[Buff Act],MATCH("AGROINSUMOSSTODOMINGO"&amp;Tabla_Buffers_Agroinsumos[[#This Row],[CODIGO ]],TABLACONSOLIDADA[Bodega]&amp;TABLACONSOLIDADA[Codigo],0)),"")</f>
        <v/>
      </c>
      <c r="BJ423" s="111" t="str">
        <f t="array" ref="BJ423">IFERROR(INDEX(TABLACONSOLIDADA[Inv Fís Act],MATCH("AGROINSUMOSSTODOMINGO"&amp;Tabla_Buffers_Agroinsumos[[#This Row],[CODIGO ]],TABLACONSOLIDADA[Bodega]&amp;TABLACONSOLIDADA[Codigo],0)),"")</f>
        <v/>
      </c>
      <c r="BK423" s="161" t="str">
        <f t="array" ref="BK42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23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23" s="153">
        <f>IFERROR(SUM(Tabla_Buffers_Agroinsumos[[#This Row],[SD-MP]:[SD-VL]]),"")</f>
        <v>0</v>
      </c>
      <c r="BN423" s="154"/>
      <c r="BO423" s="154"/>
      <c r="BP423" s="135"/>
      <c r="BQ423" s="135"/>
      <c r="BR423" s="135"/>
      <c r="BS423" s="135"/>
      <c r="BT423" s="135"/>
      <c r="BU423" s="135"/>
      <c r="BV423" s="135"/>
      <c r="BW423" s="135"/>
      <c r="BX423" s="135"/>
      <c r="BY423" s="135" t="str">
        <f t="array" ref="BY423">IFERROR(INDEX(TABLACONSOLIDADA[Buff Act],MATCH("AGROINSUMOSMONCAYOLOPEZ"&amp;Tabla_Buffers_Agroinsumos[[#This Row],[CODIGO ]],TABLACONSOLIDADA[Bodega]&amp;TABLACONSOLIDADA[Codigo],0)),"")</f>
        <v/>
      </c>
      <c r="BZ423" s="111" t="str">
        <f t="array" ref="BZ423">IFERROR(INDEX(TABLACONSOLIDADA[Inv Fís Act],MATCH("AGROINSUMOSMONCAYOLOPEZ"&amp;Tabla_Buffers_Agroinsumos[[#This Row],[CODIGO ]],TABLACONSOLIDADA[Bodega]&amp;TABLACONSOLIDADA[Codigo],0)),"")</f>
        <v/>
      </c>
      <c r="CA423" s="161" t="str">
        <f t="array" ref="CA42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23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23" s="135">
        <f>IFERROR(SUM(Tabla_Buffers_Agroinsumos[[#This Row],[ML-MP]:[ML-VL]]),"")</f>
        <v>0</v>
      </c>
      <c r="CD423" s="154" t="str">
        <f>IFERROR(Tabla_Buffers_Agroinsumos[[#This Row],[INV FIS ML]]-Tabla_Buffers_Agroinsumos[[#This Row],[BUFFER ML]],"")</f>
        <v/>
      </c>
      <c r="CE423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23" s="135"/>
      <c r="CG423" s="135"/>
      <c r="CH423" s="135"/>
      <c r="CI423" s="135"/>
      <c r="CJ423" s="135"/>
      <c r="CK423" s="135"/>
      <c r="CL423" s="135"/>
      <c r="CM423" s="135"/>
      <c r="CN423" s="135"/>
      <c r="CO423" s="135" t="str">
        <f t="array" ref="CO423">IFERROR(INDEX(TABLACONSOLIDADA[Buff Act],MATCH("AGROINSUMOSAGROHERMANOSLEON"&amp;Tabla_Buffers_Agroinsumos[[#This Row],[CODIGO ]],TABLACONSOLIDADA[Bodega]&amp;TABLACONSOLIDADA[Codigo],0)),"")</f>
        <v/>
      </c>
      <c r="CP423" s="111" t="str">
        <f t="array" ref="CP423">IFERROR(INDEX(TABLACONSOLIDADA[Inv Fís Act],MATCH("AGROINSUMOSAGROHERMANOSLEON"&amp;Tabla_Buffers_Agroinsumos[[#This Row],[CODIGO ]],TABLACONSOLIDADA[Bodega]&amp;TABLACONSOLIDADA[Codigo],0)),"")</f>
        <v/>
      </c>
      <c r="CQ423" s="161" t="str">
        <f t="array" ref="CQ42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23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23" s="135">
        <f>IFERROR(SUM(Tabla_Buffers_Agroinsumos[[#This Row],[AL-MP]:[AL-VL]]),"")</f>
        <v>0</v>
      </c>
      <c r="CT423" s="154" t="str">
        <f>IFERROR(Tabla_Buffers_Agroinsumos[[#This Row],[INV FIS AL]]-Tabla_Buffers_Agroinsumos[[#This Row],[BUFFER AL]],"")</f>
        <v/>
      </c>
      <c r="CU423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23" s="135"/>
      <c r="CW423" s="135"/>
      <c r="CX423" s="135"/>
      <c r="CY423" s="135"/>
      <c r="CZ423" s="135"/>
      <c r="DA423" s="135"/>
      <c r="DB423" s="135"/>
      <c r="DC423" s="135"/>
      <c r="DD423" s="135"/>
      <c r="DE423" s="135" t="str">
        <f t="array" ref="DE423">IFERROR(INDEX(TABLACONSOLIDADA[Buff Act],MATCH("AGROINSUMOSAGRONUEVO"&amp;Tabla_Buffers_Agroinsumos[[#This Row],[CODIGO ]],TABLACONSOLIDADA[Bodega]&amp;TABLACONSOLIDADA[Codigo],0)),"")</f>
        <v/>
      </c>
      <c r="DF423" s="111" t="str">
        <f t="array" ref="DF423">IFERROR(INDEX(TABLACONSOLIDADA[Inv Fís Act],MATCH("AGROINSUMOSAGRONUEVO"&amp;Tabla_Buffers_Agroinsumos[[#This Row],[CODIGO ]],TABLACONSOLIDADA[Bodega]&amp;TABLACONSOLIDADA[Codigo],0)),"")</f>
        <v/>
      </c>
      <c r="DG423" s="161" t="str">
        <f t="array" ref="DG42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23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23" s="135">
        <f>IFERROR(SUM(Tabla_Buffers_Agroinsumos[[#This Row],[AN-MP]:[AN-VL]]),"")</f>
        <v>0</v>
      </c>
      <c r="DJ423" s="154" t="str">
        <f>IFERROR(Tabla_Buffers_Agroinsumos[[#This Row],[INV FIS AN]]-Tabla_Buffers_Agroinsumos[[#This Row],[BUFFER AN]],"")</f>
        <v/>
      </c>
      <c r="DK423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23" s="135"/>
      <c r="DM423" s="135"/>
      <c r="DN423" s="135"/>
      <c r="DO423" s="135"/>
      <c r="DP423" s="135"/>
      <c r="DQ423" s="135"/>
      <c r="DR423" s="135"/>
      <c r="DS423" s="135"/>
      <c r="DT423" s="135"/>
      <c r="DU423" s="135" t="str">
        <f t="array" ref="DU423">IFERROR(INDEX(TABLACONSOLIDADA[Buff Act],MATCH("AGROINSUMOSAGROQUIMICOSSUR"&amp;Tabla_Buffers_Agroinsumos[[#This Row],[CODIGO ]],TABLACONSOLIDADA[Bodega]&amp;TABLACONSOLIDADA[Codigo],0)),"")</f>
        <v/>
      </c>
      <c r="DV423" s="111" t="str">
        <f t="array" ref="DV423">IFERROR(INDEX(TABLACONSOLIDADA[Inv Fís Act],MATCH("AGROINSUMOSAGROQUIMICOSSUR"&amp;Tabla_Buffers_Agroinsumos[[#This Row],[CODIGO ]],TABLACONSOLIDADA[Bodega]&amp;TABLACONSOLIDADA[Codigo],0)),"")</f>
        <v/>
      </c>
      <c r="DW423" s="161" t="str">
        <f t="array" ref="DW42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23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23" s="135">
        <f>IFERROR(SUM(Tabla_Buffers_Agroinsumos[[#This Row],[AS-MP]:[AS-VL]]),"")</f>
        <v>0</v>
      </c>
      <c r="DZ423" s="154" t="str">
        <f>IFERROR(Tabla_Buffers_Agroinsumos[[#This Row],[INV FIS AS]]-Tabla_Buffers_Agroinsumos[[#This Row],[BUFFER AS]],"")</f>
        <v/>
      </c>
      <c r="EA423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23" s="135"/>
      <c r="EC423" s="135"/>
      <c r="ED423" s="135"/>
      <c r="EE423" s="135"/>
      <c r="EF423" s="135"/>
      <c r="EG423" s="135"/>
      <c r="EH423" s="135"/>
      <c r="EI423" s="135"/>
      <c r="EJ423" s="135"/>
      <c r="EK423" s="135" t="str">
        <f t="array" ref="EK423">IFERROR(INDEX(TABLACONSOLIDADA[Buff Act],MATCH("AGROINSUMOSLAFINCA"&amp;Tabla_Buffers_Agroinsumos[[#This Row],[CODIGO ]],TABLACONSOLIDADA[Bodega]&amp;TABLACONSOLIDADA[Codigo],0)),"")</f>
        <v/>
      </c>
      <c r="EL423" s="111" t="str">
        <f t="array" ref="EL423">IFERROR(INDEX(TABLACONSOLIDADA[Inv Fís Act],MATCH("AGROINSUMOSLAFINCA"&amp;Tabla_Buffers_Agroinsumos[[#This Row],[CODIGO ]],TABLACONSOLIDADA[Bodega]&amp;TABLACONSOLIDADA[Codigo],0)),"")</f>
        <v/>
      </c>
      <c r="EM423" s="161" t="str">
        <f t="array" ref="EM42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23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23" s="135">
        <f>IFERROR(SUM(Tabla_Buffers_Agroinsumos[[#This Row],[LF-MP]:[LF-VL]]),"")</f>
        <v>0</v>
      </c>
      <c r="EP423" s="154" t="str">
        <f>IFERROR(Tabla_Buffers_Agroinsumos[[#This Row],[INV FIS LF]]-Tabla_Buffers_Agroinsumos[[#This Row],[BUFFER LF]],"")</f>
        <v/>
      </c>
      <c r="EQ423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23" s="135"/>
      <c r="ES423" s="135"/>
      <c r="ET423" s="135"/>
      <c r="EU423" s="135"/>
      <c r="EV423" s="135"/>
      <c r="EW423" s="135"/>
      <c r="EX423" s="135"/>
      <c r="EY423" s="135"/>
      <c r="EZ423" s="135"/>
      <c r="FA423" s="135" t="str">
        <f t="array" ref="FA423">IFERROR(INDEX(TABLACONSOLIDADA[Buff Act],MATCH("AGROINSUMOSVERONICALEDESMA"&amp;Tabla_Buffers_Agroinsumos[[#This Row],[CODIGO ]],TABLACONSOLIDADA[Bodega]&amp;TABLACONSOLIDADA[Codigo],0)),"")</f>
        <v/>
      </c>
      <c r="FB423" s="111" t="str">
        <f t="array" ref="FB423">IFERROR(INDEX(TABLACONSOLIDADA[Inv Fís Act],MATCH("AGROINSUMOSVERONICALEDESMA"&amp;Tabla_Buffers_Agroinsumos[[#This Row],[CODIGO ]],TABLACONSOLIDADA[Bodega]&amp;TABLACONSOLIDADA[Codigo],0)),"")</f>
        <v/>
      </c>
      <c r="FC423" s="161" t="str">
        <f t="array" ref="FC42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23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23" s="135">
        <f>IFERROR(SUM(Tabla_Buffers_Agroinsumos[[#This Row],[VL-MP]:[VL-LF]]),"")</f>
        <v>0</v>
      </c>
      <c r="FF423" s="154" t="str">
        <f>IFERROR(Tabla_Buffers_Agroinsumos[[#This Row],[INV FIS VL]]-Tabla_Buffers_Agroinsumos[[#This Row],[BUFFER VL]],"")</f>
        <v/>
      </c>
      <c r="FG423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23" s="135"/>
      <c r="FI423" s="135"/>
      <c r="FJ423" s="135"/>
      <c r="FK423" s="135"/>
      <c r="FL423" s="135"/>
      <c r="FM423" s="135"/>
      <c r="FN423" s="135"/>
      <c r="FO423" s="135"/>
      <c r="FP423" s="135"/>
    </row>
    <row r="424" spans="1:172">
      <c r="A424" s="20" t="s">
        <v>1333</v>
      </c>
      <c r="B424" s="20" t="s">
        <v>1335</v>
      </c>
      <c r="C424" s="20" t="s">
        <v>716</v>
      </c>
      <c r="D424" s="20" t="s">
        <v>718</v>
      </c>
      <c r="E424" s="20" t="s">
        <v>863</v>
      </c>
      <c r="F424" s="111" t="s">
        <v>808</v>
      </c>
      <c r="G424" s="111" t="s">
        <v>802</v>
      </c>
      <c r="H424" s="111" t="e">
        <f>VLOOKUP(Tabla_Buffers_Agroinsumos[[#This Row],[CODIGO ]],TABLACONSOLIDADA[[Codigo]:[PV]],6,0)</f>
        <v>#N/A</v>
      </c>
      <c r="I424" s="111" t="e">
        <f>VLOOKUP(Tabla_Buffers_Agroinsumos[[#This Row],[CODIGO ]],TABLACONSOLIDADA[[Codigo]:[PV]],5,0)</f>
        <v>#N/A</v>
      </c>
      <c r="J424" s="111"/>
      <c r="K424" s="111"/>
      <c r="L424" s="111">
        <f>IFERROR(Tabla_Buffers_Agroinsumos[[#This Row],[BUFFER CENTRAL]]/((Tabla_Buffers_Agroinsumos[[#This Row],[TIEMPO REPOSICION ]]/Tabla_Buffers_Agroinsumos[[#This Row],[FRECUENCIA]])+1),0)</f>
        <v>0</v>
      </c>
      <c r="M424" s="111">
        <v>500</v>
      </c>
      <c r="N424" s="111" t="str">
        <f t="array" ref="N424">IFERROR(INDEX(TABLACONSOLIDADA[Inv Fís Act],MATCH("AGROINSUMOSMATERIAPRIMA"&amp;Tabla_Buffers_Agroinsumos[[#This Row],[CODIGO ]],TABLACONSOLIDADA[Bodega]&amp;TABLACONSOLIDADA[Codigo],0)),"")</f>
        <v/>
      </c>
      <c r="O424" s="161" t="str">
        <f t="array" ref="O42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24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24" s="111">
        <f>IFERROR(SUM(Tabla_Buffers_Agroinsumos[[#This Row],[MP-C]:[MP-VL]]),"")</f>
        <v>0</v>
      </c>
      <c r="R424" s="154" t="str">
        <f>IFERROR(Tabla_Buffers_Agroinsumos[[#This Row],[INV FIS MATERIA PRIMA]]-Tabla_Buffers_Agroinsumos[[#This Row],[BUFFER MATERIA PRIMA]],"")</f>
        <v/>
      </c>
      <c r="S424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24" s="111"/>
      <c r="U424" s="111"/>
      <c r="V424" s="111"/>
      <c r="W424" s="111"/>
      <c r="X424" s="111"/>
      <c r="Y424" s="111"/>
      <c r="Z424" s="111"/>
      <c r="AA424" s="111"/>
      <c r="AB424" s="111"/>
      <c r="AC424" s="135" t="str">
        <f t="array" ref="AC424">IFERROR(INDEX(TABLACONSOLIDADA[Buff Act],MATCH("AGROINSUMOSCENTRAL"&amp;Tabla_Buffers_Agroinsumos[[#This Row],[CODIGO ]],TABLACONSOLIDADA[Bodega]&amp;TABLACONSOLIDADA[Codigo],0)),"")</f>
        <v/>
      </c>
      <c r="AD424" s="111" t="str">
        <f t="array" ref="AD424">IFERROR(INDEX(TABLACONSOLIDADA[Inv Fís Act],MATCH("AGROINSUMOSCENTRAL"&amp;Tabla_Buffers_Agroinsumos[[#This Row],[CODIGO ]],TABLACONSOLIDADA[Bodega]&amp;TABLACONSOLIDADA[Codigo],0)),"")</f>
        <v/>
      </c>
      <c r="AE424" s="161" t="str">
        <f t="array" ref="AE42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24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24" s="153">
        <f>IFERROR(SUM(Tabla_Buffers_Agroinsumos[[#This Row],[C-MP]:[C-VL]]),"")</f>
        <v>0</v>
      </c>
      <c r="AH424" s="154" t="str">
        <f>IFERROR(Tabla_Buffers_Agroinsumos[[#This Row],[INV FIS CENTRAL]]-Tabla_Buffers_Agroinsumos[[#This Row],[BUFFER CENTRAL]],"")</f>
        <v/>
      </c>
      <c r="AI424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24" s="135"/>
      <c r="AK424" s="135"/>
      <c r="AL424" s="135"/>
      <c r="AM424" s="135"/>
      <c r="AN424" s="135"/>
      <c r="AO424" s="135"/>
      <c r="AP424" s="135"/>
      <c r="AQ424" s="135"/>
      <c r="AR424" s="135"/>
      <c r="AS424" s="135" t="str">
        <f t="array" ref="AS424">IFERROR(INDEX(TABLACONSOLIDADA[Buff Act],MATCH("AGROINSUMOScentralPROPIA"&amp;Tabla_Buffers_Agroinsumos[[#This Row],[CODIGO ]],TABLACONSOLIDADA[Bodega]&amp;TABLACONSOLIDADA[Codigo],0)),"")</f>
        <v/>
      </c>
      <c r="AT424" s="111" t="str">
        <f t="array" ref="AT424">IFERROR(INDEX(TABLACONSOLIDADA[Inv Fís Act],MATCH("AGROINSUMOScentralPROPIA"&amp;Tabla_Buffers_Agroinsumos[[#This Row],[CODIGO ]],TABLACONSOLIDADA[Bodega]&amp;TABLACONSOLIDADA[Codigo],0)),"")</f>
        <v/>
      </c>
      <c r="AU424" s="161" t="str">
        <f t="array" ref="AU42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24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24" s="135">
        <f>IFERROR(SUM(Tabla_Buffers_Agroinsumos[[#This Row],[P-MP]:[P-VL]]),"")</f>
        <v>0</v>
      </c>
      <c r="AX424" s="154" t="str">
        <f>IFERROR(Tabla_Buffers_Agroinsumos[[#This Row],[INV FIS PROPIA]]-Tabla_Buffers_Agroinsumos[[#This Row],[BUFFER PROPIA]],"")</f>
        <v/>
      </c>
      <c r="AY424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24" s="135"/>
      <c r="BA424" s="135"/>
      <c r="BB424" s="135"/>
      <c r="BC424" s="135"/>
      <c r="BD424" s="135"/>
      <c r="BE424" s="135"/>
      <c r="BF424" s="135"/>
      <c r="BG424" s="135"/>
      <c r="BH424" s="135"/>
      <c r="BI424" s="153" t="str">
        <f t="array" ref="BI424">IFERROR(INDEX(TABLACONSOLIDADA[Buff Act],MATCH("AGROINSUMOSSTODOMINGO"&amp;Tabla_Buffers_Agroinsumos[[#This Row],[CODIGO ]],TABLACONSOLIDADA[Bodega]&amp;TABLACONSOLIDADA[Codigo],0)),"")</f>
        <v/>
      </c>
      <c r="BJ424" s="111" t="str">
        <f t="array" ref="BJ424">IFERROR(INDEX(TABLACONSOLIDADA[Inv Fís Act],MATCH("AGROINSUMOSSTODOMINGO"&amp;Tabla_Buffers_Agroinsumos[[#This Row],[CODIGO ]],TABLACONSOLIDADA[Bodega]&amp;TABLACONSOLIDADA[Codigo],0)),"")</f>
        <v/>
      </c>
      <c r="BK424" s="161" t="str">
        <f t="array" ref="BK42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24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24" s="153">
        <f>IFERROR(SUM(Tabla_Buffers_Agroinsumos[[#This Row],[SD-MP]:[SD-VL]]),"")</f>
        <v>0</v>
      </c>
      <c r="BN424" s="154"/>
      <c r="BO424" s="154"/>
      <c r="BP424" s="135"/>
      <c r="BQ424" s="135"/>
      <c r="BR424" s="135"/>
      <c r="BS424" s="135"/>
      <c r="BT424" s="135"/>
      <c r="BU424" s="135"/>
      <c r="BV424" s="135"/>
      <c r="BW424" s="135"/>
      <c r="BX424" s="135"/>
      <c r="BY424" s="135" t="str">
        <f t="array" ref="BY424">IFERROR(INDEX(TABLACONSOLIDADA[Buff Act],MATCH("AGROINSUMOSMONCAYOLOPEZ"&amp;Tabla_Buffers_Agroinsumos[[#This Row],[CODIGO ]],TABLACONSOLIDADA[Bodega]&amp;TABLACONSOLIDADA[Codigo],0)),"")</f>
        <v/>
      </c>
      <c r="BZ424" s="111" t="str">
        <f t="array" ref="BZ424">IFERROR(INDEX(TABLACONSOLIDADA[Inv Fís Act],MATCH("AGROINSUMOSMONCAYOLOPEZ"&amp;Tabla_Buffers_Agroinsumos[[#This Row],[CODIGO ]],TABLACONSOLIDADA[Bodega]&amp;TABLACONSOLIDADA[Codigo],0)),"")</f>
        <v/>
      </c>
      <c r="CA424" s="161" t="str">
        <f t="array" ref="CA42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24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24" s="135">
        <f>IFERROR(SUM(Tabla_Buffers_Agroinsumos[[#This Row],[ML-MP]:[ML-VL]]),"")</f>
        <v>0</v>
      </c>
      <c r="CD424" s="154" t="str">
        <f>IFERROR(Tabla_Buffers_Agroinsumos[[#This Row],[INV FIS ML]]-Tabla_Buffers_Agroinsumos[[#This Row],[BUFFER ML]],"")</f>
        <v/>
      </c>
      <c r="CE424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24" s="135"/>
      <c r="CG424" s="135"/>
      <c r="CH424" s="135"/>
      <c r="CI424" s="135"/>
      <c r="CJ424" s="135"/>
      <c r="CK424" s="135"/>
      <c r="CL424" s="135"/>
      <c r="CM424" s="135"/>
      <c r="CN424" s="135"/>
      <c r="CO424" s="135" t="str">
        <f t="array" ref="CO424">IFERROR(INDEX(TABLACONSOLIDADA[Buff Act],MATCH("AGROINSUMOSAGROHERMANOSLEON"&amp;Tabla_Buffers_Agroinsumos[[#This Row],[CODIGO ]],TABLACONSOLIDADA[Bodega]&amp;TABLACONSOLIDADA[Codigo],0)),"")</f>
        <v/>
      </c>
      <c r="CP424" s="111" t="str">
        <f t="array" ref="CP424">IFERROR(INDEX(TABLACONSOLIDADA[Inv Fís Act],MATCH("AGROINSUMOSAGROHERMANOSLEON"&amp;Tabla_Buffers_Agroinsumos[[#This Row],[CODIGO ]],TABLACONSOLIDADA[Bodega]&amp;TABLACONSOLIDADA[Codigo],0)),"")</f>
        <v/>
      </c>
      <c r="CQ424" s="161" t="str">
        <f t="array" ref="CQ42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24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24" s="135">
        <f>IFERROR(SUM(Tabla_Buffers_Agroinsumos[[#This Row],[AL-MP]:[AL-VL]]),"")</f>
        <v>0</v>
      </c>
      <c r="CT424" s="154" t="str">
        <f>IFERROR(Tabla_Buffers_Agroinsumos[[#This Row],[INV FIS AL]]-Tabla_Buffers_Agroinsumos[[#This Row],[BUFFER AL]],"")</f>
        <v/>
      </c>
      <c r="CU424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24" s="135"/>
      <c r="CW424" s="135"/>
      <c r="CX424" s="135"/>
      <c r="CY424" s="135"/>
      <c r="CZ424" s="135"/>
      <c r="DA424" s="135"/>
      <c r="DB424" s="135"/>
      <c r="DC424" s="135"/>
      <c r="DD424" s="135"/>
      <c r="DE424" s="135" t="str">
        <f t="array" ref="DE424">IFERROR(INDEX(TABLACONSOLIDADA[Buff Act],MATCH("AGROINSUMOSAGRONUEVO"&amp;Tabla_Buffers_Agroinsumos[[#This Row],[CODIGO ]],TABLACONSOLIDADA[Bodega]&amp;TABLACONSOLIDADA[Codigo],0)),"")</f>
        <v/>
      </c>
      <c r="DF424" s="111" t="str">
        <f t="array" ref="DF424">IFERROR(INDEX(TABLACONSOLIDADA[Inv Fís Act],MATCH("AGROINSUMOSAGRONUEVO"&amp;Tabla_Buffers_Agroinsumos[[#This Row],[CODIGO ]],TABLACONSOLIDADA[Bodega]&amp;TABLACONSOLIDADA[Codigo],0)),"")</f>
        <v/>
      </c>
      <c r="DG424" s="161" t="str">
        <f t="array" ref="DG42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24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24" s="135">
        <f>IFERROR(SUM(Tabla_Buffers_Agroinsumos[[#This Row],[AN-MP]:[AN-VL]]),"")</f>
        <v>0</v>
      </c>
      <c r="DJ424" s="154" t="str">
        <f>IFERROR(Tabla_Buffers_Agroinsumos[[#This Row],[INV FIS AN]]-Tabla_Buffers_Agroinsumos[[#This Row],[BUFFER AN]],"")</f>
        <v/>
      </c>
      <c r="DK424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24" s="135"/>
      <c r="DM424" s="135"/>
      <c r="DN424" s="135"/>
      <c r="DO424" s="135"/>
      <c r="DP424" s="135"/>
      <c r="DQ424" s="135"/>
      <c r="DR424" s="135"/>
      <c r="DS424" s="135"/>
      <c r="DT424" s="135"/>
      <c r="DU424" s="135" t="str">
        <f t="array" ref="DU424">IFERROR(INDEX(TABLACONSOLIDADA[Buff Act],MATCH("AGROINSUMOSAGROQUIMICOSSUR"&amp;Tabla_Buffers_Agroinsumos[[#This Row],[CODIGO ]],TABLACONSOLIDADA[Bodega]&amp;TABLACONSOLIDADA[Codigo],0)),"")</f>
        <v/>
      </c>
      <c r="DV424" s="111" t="str">
        <f t="array" ref="DV424">IFERROR(INDEX(TABLACONSOLIDADA[Inv Fís Act],MATCH("AGROINSUMOSAGROQUIMICOSSUR"&amp;Tabla_Buffers_Agroinsumos[[#This Row],[CODIGO ]],TABLACONSOLIDADA[Bodega]&amp;TABLACONSOLIDADA[Codigo],0)),"")</f>
        <v/>
      </c>
      <c r="DW424" s="161" t="str">
        <f t="array" ref="DW42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24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24" s="135">
        <f>IFERROR(SUM(Tabla_Buffers_Agroinsumos[[#This Row],[AS-MP]:[AS-VL]]),"")</f>
        <v>0</v>
      </c>
      <c r="DZ424" s="154" t="str">
        <f>IFERROR(Tabla_Buffers_Agroinsumos[[#This Row],[INV FIS AS]]-Tabla_Buffers_Agroinsumos[[#This Row],[BUFFER AS]],"")</f>
        <v/>
      </c>
      <c r="EA424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24" s="135"/>
      <c r="EC424" s="135"/>
      <c r="ED424" s="135"/>
      <c r="EE424" s="135"/>
      <c r="EF424" s="135"/>
      <c r="EG424" s="135"/>
      <c r="EH424" s="135"/>
      <c r="EI424" s="135"/>
      <c r="EJ424" s="135"/>
      <c r="EK424" s="135" t="str">
        <f t="array" ref="EK424">IFERROR(INDEX(TABLACONSOLIDADA[Buff Act],MATCH("AGROINSUMOSLAFINCA"&amp;Tabla_Buffers_Agroinsumos[[#This Row],[CODIGO ]],TABLACONSOLIDADA[Bodega]&amp;TABLACONSOLIDADA[Codigo],0)),"")</f>
        <v/>
      </c>
      <c r="EL424" s="111" t="str">
        <f t="array" ref="EL424">IFERROR(INDEX(TABLACONSOLIDADA[Inv Fís Act],MATCH("AGROINSUMOSLAFINCA"&amp;Tabla_Buffers_Agroinsumos[[#This Row],[CODIGO ]],TABLACONSOLIDADA[Bodega]&amp;TABLACONSOLIDADA[Codigo],0)),"")</f>
        <v/>
      </c>
      <c r="EM424" s="161" t="str">
        <f t="array" ref="EM42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24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24" s="135">
        <f>IFERROR(SUM(Tabla_Buffers_Agroinsumos[[#This Row],[LF-MP]:[LF-VL]]),"")</f>
        <v>0</v>
      </c>
      <c r="EP424" s="154" t="str">
        <f>IFERROR(Tabla_Buffers_Agroinsumos[[#This Row],[INV FIS LF]]-Tabla_Buffers_Agroinsumos[[#This Row],[BUFFER LF]],"")</f>
        <v/>
      </c>
      <c r="EQ424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24" s="135"/>
      <c r="ES424" s="135"/>
      <c r="ET424" s="135"/>
      <c r="EU424" s="135"/>
      <c r="EV424" s="135"/>
      <c r="EW424" s="135"/>
      <c r="EX424" s="135"/>
      <c r="EY424" s="135"/>
      <c r="EZ424" s="135"/>
      <c r="FA424" s="135" t="str">
        <f t="array" ref="FA424">IFERROR(INDEX(TABLACONSOLIDADA[Buff Act],MATCH("AGROINSUMOSVERONICALEDESMA"&amp;Tabla_Buffers_Agroinsumos[[#This Row],[CODIGO ]],TABLACONSOLIDADA[Bodega]&amp;TABLACONSOLIDADA[Codigo],0)),"")</f>
        <v/>
      </c>
      <c r="FB424" s="111" t="str">
        <f t="array" ref="FB424">IFERROR(INDEX(TABLACONSOLIDADA[Inv Fís Act],MATCH("AGROINSUMOSVERONICALEDESMA"&amp;Tabla_Buffers_Agroinsumos[[#This Row],[CODIGO ]],TABLACONSOLIDADA[Bodega]&amp;TABLACONSOLIDADA[Codigo],0)),"")</f>
        <v/>
      </c>
      <c r="FC424" s="161" t="str">
        <f t="array" ref="FC42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24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24" s="135">
        <f>IFERROR(SUM(Tabla_Buffers_Agroinsumos[[#This Row],[VL-MP]:[VL-LF]]),"")</f>
        <v>0</v>
      </c>
      <c r="FF424" s="154" t="str">
        <f>IFERROR(Tabla_Buffers_Agroinsumos[[#This Row],[INV FIS VL]]-Tabla_Buffers_Agroinsumos[[#This Row],[BUFFER VL]],"")</f>
        <v/>
      </c>
      <c r="FG424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24" s="135"/>
      <c r="FI424" s="135"/>
      <c r="FJ424" s="135"/>
      <c r="FK424" s="135"/>
      <c r="FL424" s="135"/>
      <c r="FM424" s="135"/>
      <c r="FN424" s="135"/>
      <c r="FO424" s="135"/>
      <c r="FP424" s="135"/>
    </row>
    <row r="425" spans="1:172">
      <c r="A425" s="20" t="s">
        <v>1334</v>
      </c>
      <c r="B425" s="20" t="s">
        <v>1336</v>
      </c>
      <c r="C425" s="20" t="s">
        <v>716</v>
      </c>
      <c r="D425" s="20" t="s">
        <v>718</v>
      </c>
      <c r="E425" s="20" t="s">
        <v>863</v>
      </c>
      <c r="F425" s="111" t="s">
        <v>808</v>
      </c>
      <c r="G425" s="111" t="s">
        <v>802</v>
      </c>
      <c r="H425" s="111" t="e">
        <f>VLOOKUP(Tabla_Buffers_Agroinsumos[[#This Row],[CODIGO ]],TABLACONSOLIDADA[[Codigo]:[PV]],6,0)</f>
        <v>#N/A</v>
      </c>
      <c r="I425" s="111" t="e">
        <f>VLOOKUP(Tabla_Buffers_Agroinsumos[[#This Row],[CODIGO ]],TABLACONSOLIDADA[[Codigo]:[PV]],5,0)</f>
        <v>#N/A</v>
      </c>
      <c r="J425" s="111"/>
      <c r="K425" s="111"/>
      <c r="L425" s="111">
        <f>IFERROR(Tabla_Buffers_Agroinsumos[[#This Row],[BUFFER CENTRAL]]/((Tabla_Buffers_Agroinsumos[[#This Row],[TIEMPO REPOSICION ]]/Tabla_Buffers_Agroinsumos[[#This Row],[FRECUENCIA]])+1),0)</f>
        <v>0</v>
      </c>
      <c r="M425" s="111">
        <v>500</v>
      </c>
      <c r="N425" s="111" t="str">
        <f t="array" ref="N425">IFERROR(INDEX(TABLACONSOLIDADA[Inv Fís Act],MATCH("AGROINSUMOSMATERIAPRIMA"&amp;Tabla_Buffers_Agroinsumos[[#This Row],[CODIGO ]],TABLACONSOLIDADA[Bodega]&amp;TABLACONSOLIDADA[Codigo],0)),"")</f>
        <v/>
      </c>
      <c r="O425" s="161" t="str">
        <f t="array" ref="O42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25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25" s="111">
        <f>IFERROR(SUM(Tabla_Buffers_Agroinsumos[[#This Row],[MP-C]:[MP-VL]]),"")</f>
        <v>0</v>
      </c>
      <c r="R425" s="154" t="str">
        <f>IFERROR(Tabla_Buffers_Agroinsumos[[#This Row],[INV FIS MATERIA PRIMA]]-Tabla_Buffers_Agroinsumos[[#This Row],[BUFFER MATERIA PRIMA]],"")</f>
        <v/>
      </c>
      <c r="S425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25" s="111"/>
      <c r="U425" s="111"/>
      <c r="V425" s="111"/>
      <c r="W425" s="111"/>
      <c r="X425" s="111"/>
      <c r="Y425" s="111"/>
      <c r="Z425" s="111"/>
      <c r="AA425" s="111"/>
      <c r="AB425" s="111"/>
      <c r="AC425" s="135" t="str">
        <f t="array" ref="AC425">IFERROR(INDEX(TABLACONSOLIDADA[Buff Act],MATCH("AGROINSUMOSCENTRAL"&amp;Tabla_Buffers_Agroinsumos[[#This Row],[CODIGO ]],TABLACONSOLIDADA[Bodega]&amp;TABLACONSOLIDADA[Codigo],0)),"")</f>
        <v/>
      </c>
      <c r="AD425" s="111" t="str">
        <f t="array" ref="AD425">IFERROR(INDEX(TABLACONSOLIDADA[Inv Fís Act],MATCH("AGROINSUMOSCENTRAL"&amp;Tabla_Buffers_Agroinsumos[[#This Row],[CODIGO ]],TABLACONSOLIDADA[Bodega]&amp;TABLACONSOLIDADA[Codigo],0)),"")</f>
        <v/>
      </c>
      <c r="AE425" s="161" t="str">
        <f t="array" ref="AE42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25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25" s="153">
        <f>IFERROR(SUM(Tabla_Buffers_Agroinsumos[[#This Row],[C-MP]:[C-VL]]),"")</f>
        <v>0</v>
      </c>
      <c r="AH425" s="154" t="str">
        <f>IFERROR(Tabla_Buffers_Agroinsumos[[#This Row],[INV FIS CENTRAL]]-Tabla_Buffers_Agroinsumos[[#This Row],[BUFFER CENTRAL]],"")</f>
        <v/>
      </c>
      <c r="AI425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25" s="135"/>
      <c r="AK425" s="135"/>
      <c r="AL425" s="135"/>
      <c r="AM425" s="135"/>
      <c r="AN425" s="135"/>
      <c r="AO425" s="135"/>
      <c r="AP425" s="135"/>
      <c r="AQ425" s="135"/>
      <c r="AR425" s="135"/>
      <c r="AS425" s="135" t="str">
        <f t="array" ref="AS425">IFERROR(INDEX(TABLACONSOLIDADA[Buff Act],MATCH("AGROINSUMOScentralPROPIA"&amp;Tabla_Buffers_Agroinsumos[[#This Row],[CODIGO ]],TABLACONSOLIDADA[Bodega]&amp;TABLACONSOLIDADA[Codigo],0)),"")</f>
        <v/>
      </c>
      <c r="AT425" s="111" t="str">
        <f t="array" ref="AT425">IFERROR(INDEX(TABLACONSOLIDADA[Inv Fís Act],MATCH("AGROINSUMOScentralPROPIA"&amp;Tabla_Buffers_Agroinsumos[[#This Row],[CODIGO ]],TABLACONSOLIDADA[Bodega]&amp;TABLACONSOLIDADA[Codigo],0)),"")</f>
        <v/>
      </c>
      <c r="AU425" s="161" t="str">
        <f t="array" ref="AU42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25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25" s="135">
        <f>IFERROR(SUM(Tabla_Buffers_Agroinsumos[[#This Row],[P-MP]:[P-VL]]),"")</f>
        <v>0</v>
      </c>
      <c r="AX425" s="154" t="str">
        <f>IFERROR(Tabla_Buffers_Agroinsumos[[#This Row],[INV FIS PROPIA]]-Tabla_Buffers_Agroinsumos[[#This Row],[BUFFER PROPIA]],"")</f>
        <v/>
      </c>
      <c r="AY425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25" s="135"/>
      <c r="BA425" s="135"/>
      <c r="BB425" s="135"/>
      <c r="BC425" s="135"/>
      <c r="BD425" s="135"/>
      <c r="BE425" s="135"/>
      <c r="BF425" s="135"/>
      <c r="BG425" s="135"/>
      <c r="BH425" s="135"/>
      <c r="BI425" s="153" t="str">
        <f t="array" ref="BI425">IFERROR(INDEX(TABLACONSOLIDADA[Buff Act],MATCH("AGROINSUMOSSTODOMINGO"&amp;Tabla_Buffers_Agroinsumos[[#This Row],[CODIGO ]],TABLACONSOLIDADA[Bodega]&amp;TABLACONSOLIDADA[Codigo],0)),"")</f>
        <v/>
      </c>
      <c r="BJ425" s="111" t="str">
        <f t="array" ref="BJ425">IFERROR(INDEX(TABLACONSOLIDADA[Inv Fís Act],MATCH("AGROINSUMOSSTODOMINGO"&amp;Tabla_Buffers_Agroinsumos[[#This Row],[CODIGO ]],TABLACONSOLIDADA[Bodega]&amp;TABLACONSOLIDADA[Codigo],0)),"")</f>
        <v/>
      </c>
      <c r="BK425" s="161" t="str">
        <f t="array" ref="BK42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25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25" s="153">
        <f>IFERROR(SUM(Tabla_Buffers_Agroinsumos[[#This Row],[SD-MP]:[SD-VL]]),"")</f>
        <v>0</v>
      </c>
      <c r="BN425" s="154"/>
      <c r="BO425" s="154"/>
      <c r="BP425" s="135"/>
      <c r="BQ425" s="135"/>
      <c r="BR425" s="135"/>
      <c r="BS425" s="135"/>
      <c r="BT425" s="135"/>
      <c r="BU425" s="135"/>
      <c r="BV425" s="135"/>
      <c r="BW425" s="135"/>
      <c r="BX425" s="135"/>
      <c r="BY425" s="135" t="str">
        <f t="array" ref="BY425">IFERROR(INDEX(TABLACONSOLIDADA[Buff Act],MATCH("AGROINSUMOSMONCAYOLOPEZ"&amp;Tabla_Buffers_Agroinsumos[[#This Row],[CODIGO ]],TABLACONSOLIDADA[Bodega]&amp;TABLACONSOLIDADA[Codigo],0)),"")</f>
        <v/>
      </c>
      <c r="BZ425" s="111" t="str">
        <f t="array" ref="BZ425">IFERROR(INDEX(TABLACONSOLIDADA[Inv Fís Act],MATCH("AGROINSUMOSMONCAYOLOPEZ"&amp;Tabla_Buffers_Agroinsumos[[#This Row],[CODIGO ]],TABLACONSOLIDADA[Bodega]&amp;TABLACONSOLIDADA[Codigo],0)),"")</f>
        <v/>
      </c>
      <c r="CA425" s="161" t="str">
        <f t="array" ref="CA42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25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25" s="135">
        <f>IFERROR(SUM(Tabla_Buffers_Agroinsumos[[#This Row],[ML-MP]:[ML-VL]]),"")</f>
        <v>0</v>
      </c>
      <c r="CD425" s="154" t="str">
        <f>IFERROR(Tabla_Buffers_Agroinsumos[[#This Row],[INV FIS ML]]-Tabla_Buffers_Agroinsumos[[#This Row],[BUFFER ML]],"")</f>
        <v/>
      </c>
      <c r="CE425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25" s="135"/>
      <c r="CG425" s="135"/>
      <c r="CH425" s="135"/>
      <c r="CI425" s="135"/>
      <c r="CJ425" s="135"/>
      <c r="CK425" s="135"/>
      <c r="CL425" s="135"/>
      <c r="CM425" s="135"/>
      <c r="CN425" s="135"/>
      <c r="CO425" s="135" t="str">
        <f t="array" ref="CO425">IFERROR(INDEX(TABLACONSOLIDADA[Buff Act],MATCH("AGROINSUMOSAGROHERMANOSLEON"&amp;Tabla_Buffers_Agroinsumos[[#This Row],[CODIGO ]],TABLACONSOLIDADA[Bodega]&amp;TABLACONSOLIDADA[Codigo],0)),"")</f>
        <v/>
      </c>
      <c r="CP425" s="111" t="str">
        <f t="array" ref="CP425">IFERROR(INDEX(TABLACONSOLIDADA[Inv Fís Act],MATCH("AGROINSUMOSAGROHERMANOSLEON"&amp;Tabla_Buffers_Agroinsumos[[#This Row],[CODIGO ]],TABLACONSOLIDADA[Bodega]&amp;TABLACONSOLIDADA[Codigo],0)),"")</f>
        <v/>
      </c>
      <c r="CQ425" s="161" t="str">
        <f t="array" ref="CQ42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25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25" s="135">
        <f>IFERROR(SUM(Tabla_Buffers_Agroinsumos[[#This Row],[AL-MP]:[AL-VL]]),"")</f>
        <v>0</v>
      </c>
      <c r="CT425" s="154" t="str">
        <f>IFERROR(Tabla_Buffers_Agroinsumos[[#This Row],[INV FIS AL]]-Tabla_Buffers_Agroinsumos[[#This Row],[BUFFER AL]],"")</f>
        <v/>
      </c>
      <c r="CU425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25" s="135"/>
      <c r="CW425" s="135"/>
      <c r="CX425" s="135"/>
      <c r="CY425" s="135"/>
      <c r="CZ425" s="135"/>
      <c r="DA425" s="135"/>
      <c r="DB425" s="135"/>
      <c r="DC425" s="135"/>
      <c r="DD425" s="135"/>
      <c r="DE425" s="135" t="str">
        <f t="array" ref="DE425">IFERROR(INDEX(TABLACONSOLIDADA[Buff Act],MATCH("AGROINSUMOSAGRONUEVO"&amp;Tabla_Buffers_Agroinsumos[[#This Row],[CODIGO ]],TABLACONSOLIDADA[Bodega]&amp;TABLACONSOLIDADA[Codigo],0)),"")</f>
        <v/>
      </c>
      <c r="DF425" s="111" t="str">
        <f t="array" ref="DF425">IFERROR(INDEX(TABLACONSOLIDADA[Inv Fís Act],MATCH("AGROINSUMOSAGRONUEVO"&amp;Tabla_Buffers_Agroinsumos[[#This Row],[CODIGO ]],TABLACONSOLIDADA[Bodega]&amp;TABLACONSOLIDADA[Codigo],0)),"")</f>
        <v/>
      </c>
      <c r="DG425" s="161" t="str">
        <f t="array" ref="DG42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25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25" s="135">
        <f>IFERROR(SUM(Tabla_Buffers_Agroinsumos[[#This Row],[AN-MP]:[AN-VL]]),"")</f>
        <v>0</v>
      </c>
      <c r="DJ425" s="154" t="str">
        <f>IFERROR(Tabla_Buffers_Agroinsumos[[#This Row],[INV FIS AN]]-Tabla_Buffers_Agroinsumos[[#This Row],[BUFFER AN]],"")</f>
        <v/>
      </c>
      <c r="DK425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25" s="135"/>
      <c r="DM425" s="135"/>
      <c r="DN425" s="135"/>
      <c r="DO425" s="135"/>
      <c r="DP425" s="135"/>
      <c r="DQ425" s="135"/>
      <c r="DR425" s="135"/>
      <c r="DS425" s="135"/>
      <c r="DT425" s="135"/>
      <c r="DU425" s="135" t="str">
        <f t="array" ref="DU425">IFERROR(INDEX(TABLACONSOLIDADA[Buff Act],MATCH("AGROINSUMOSAGROQUIMICOSSUR"&amp;Tabla_Buffers_Agroinsumos[[#This Row],[CODIGO ]],TABLACONSOLIDADA[Bodega]&amp;TABLACONSOLIDADA[Codigo],0)),"")</f>
        <v/>
      </c>
      <c r="DV425" s="111" t="str">
        <f t="array" ref="DV425">IFERROR(INDEX(TABLACONSOLIDADA[Inv Fís Act],MATCH("AGROINSUMOSAGROQUIMICOSSUR"&amp;Tabla_Buffers_Agroinsumos[[#This Row],[CODIGO ]],TABLACONSOLIDADA[Bodega]&amp;TABLACONSOLIDADA[Codigo],0)),"")</f>
        <v/>
      </c>
      <c r="DW425" s="161" t="str">
        <f t="array" ref="DW42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25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25" s="135">
        <f>IFERROR(SUM(Tabla_Buffers_Agroinsumos[[#This Row],[AS-MP]:[AS-VL]]),"")</f>
        <v>0</v>
      </c>
      <c r="DZ425" s="154" t="str">
        <f>IFERROR(Tabla_Buffers_Agroinsumos[[#This Row],[INV FIS AS]]-Tabla_Buffers_Agroinsumos[[#This Row],[BUFFER AS]],"")</f>
        <v/>
      </c>
      <c r="EA425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25" s="135"/>
      <c r="EC425" s="135"/>
      <c r="ED425" s="135"/>
      <c r="EE425" s="135"/>
      <c r="EF425" s="135"/>
      <c r="EG425" s="135"/>
      <c r="EH425" s="135"/>
      <c r="EI425" s="135"/>
      <c r="EJ425" s="135"/>
      <c r="EK425" s="135" t="str">
        <f t="array" ref="EK425">IFERROR(INDEX(TABLACONSOLIDADA[Buff Act],MATCH("AGROINSUMOSLAFINCA"&amp;Tabla_Buffers_Agroinsumos[[#This Row],[CODIGO ]],TABLACONSOLIDADA[Bodega]&amp;TABLACONSOLIDADA[Codigo],0)),"")</f>
        <v/>
      </c>
      <c r="EL425" s="111" t="str">
        <f t="array" ref="EL425">IFERROR(INDEX(TABLACONSOLIDADA[Inv Fís Act],MATCH("AGROINSUMOSLAFINCA"&amp;Tabla_Buffers_Agroinsumos[[#This Row],[CODIGO ]],TABLACONSOLIDADA[Bodega]&amp;TABLACONSOLIDADA[Codigo],0)),"")</f>
        <v/>
      </c>
      <c r="EM425" s="161" t="str">
        <f t="array" ref="EM42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25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25" s="135">
        <f>IFERROR(SUM(Tabla_Buffers_Agroinsumos[[#This Row],[LF-MP]:[LF-VL]]),"")</f>
        <v>0</v>
      </c>
      <c r="EP425" s="154" t="str">
        <f>IFERROR(Tabla_Buffers_Agroinsumos[[#This Row],[INV FIS LF]]-Tabla_Buffers_Agroinsumos[[#This Row],[BUFFER LF]],"")</f>
        <v/>
      </c>
      <c r="EQ425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25" s="135"/>
      <c r="ES425" s="135"/>
      <c r="ET425" s="135"/>
      <c r="EU425" s="135"/>
      <c r="EV425" s="135"/>
      <c r="EW425" s="135"/>
      <c r="EX425" s="135"/>
      <c r="EY425" s="135"/>
      <c r="EZ425" s="135"/>
      <c r="FA425" s="135" t="str">
        <f t="array" ref="FA425">IFERROR(INDEX(TABLACONSOLIDADA[Buff Act],MATCH("AGROINSUMOSVERONICALEDESMA"&amp;Tabla_Buffers_Agroinsumos[[#This Row],[CODIGO ]],TABLACONSOLIDADA[Bodega]&amp;TABLACONSOLIDADA[Codigo],0)),"")</f>
        <v/>
      </c>
      <c r="FB425" s="111" t="str">
        <f t="array" ref="FB425">IFERROR(INDEX(TABLACONSOLIDADA[Inv Fís Act],MATCH("AGROINSUMOSVERONICALEDESMA"&amp;Tabla_Buffers_Agroinsumos[[#This Row],[CODIGO ]],TABLACONSOLIDADA[Bodega]&amp;TABLACONSOLIDADA[Codigo],0)),"")</f>
        <v/>
      </c>
      <c r="FC425" s="161" t="str">
        <f t="array" ref="FC42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25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25" s="135">
        <f>IFERROR(SUM(Tabla_Buffers_Agroinsumos[[#This Row],[VL-MP]:[VL-LF]]),"")</f>
        <v>0</v>
      </c>
      <c r="FF425" s="154" t="str">
        <f>IFERROR(Tabla_Buffers_Agroinsumos[[#This Row],[INV FIS VL]]-Tabla_Buffers_Agroinsumos[[#This Row],[BUFFER VL]],"")</f>
        <v/>
      </c>
      <c r="FG425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25" s="135"/>
      <c r="FI425" s="135"/>
      <c r="FJ425" s="135"/>
      <c r="FK425" s="135"/>
      <c r="FL425" s="135"/>
      <c r="FM425" s="135"/>
      <c r="FN425" s="135"/>
      <c r="FO425" s="135"/>
      <c r="FP425" s="135"/>
    </row>
    <row r="426" spans="1:172">
      <c r="A426" s="20" t="s">
        <v>1337</v>
      </c>
      <c r="B426" s="20" t="s">
        <v>1338</v>
      </c>
      <c r="C426" s="20" t="s">
        <v>716</v>
      </c>
      <c r="D426" s="20" t="s">
        <v>718</v>
      </c>
      <c r="E426" s="20" t="s">
        <v>863</v>
      </c>
      <c r="F426" s="111" t="s">
        <v>808</v>
      </c>
      <c r="G426" s="111" t="s">
        <v>802</v>
      </c>
      <c r="H426" s="111" t="e">
        <f>VLOOKUP(Tabla_Buffers_Agroinsumos[[#This Row],[CODIGO ]],TABLACONSOLIDADA[[Codigo]:[PV]],6,0)</f>
        <v>#N/A</v>
      </c>
      <c r="I426" s="111" t="e">
        <f>VLOOKUP(Tabla_Buffers_Agroinsumos[[#This Row],[CODIGO ]],TABLACONSOLIDADA[[Codigo]:[PV]],5,0)</f>
        <v>#N/A</v>
      </c>
      <c r="J426" s="111"/>
      <c r="K426" s="111"/>
      <c r="L426" s="111">
        <f>IFERROR(Tabla_Buffers_Agroinsumos[[#This Row],[BUFFER CENTRAL]]/((Tabla_Buffers_Agroinsumos[[#This Row],[TIEMPO REPOSICION ]]/Tabla_Buffers_Agroinsumos[[#This Row],[FRECUENCIA]])+1),0)</f>
        <v>0</v>
      </c>
      <c r="M426" s="111">
        <v>500</v>
      </c>
      <c r="N426" s="111" t="str">
        <f t="array" ref="N426">IFERROR(INDEX(TABLACONSOLIDADA[Inv Fís Act],MATCH("AGROINSUMOSMATERIAPRIMA"&amp;Tabla_Buffers_Agroinsumos[[#This Row],[CODIGO ]],TABLACONSOLIDADA[Bodega]&amp;TABLACONSOLIDADA[Codigo],0)),"")</f>
        <v/>
      </c>
      <c r="O426" s="188" t="str">
        <f t="array" ref="O42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26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26" s="111">
        <f>IFERROR(SUM(Tabla_Buffers_Agroinsumos[[#This Row],[MP-C]:[MP-VL]]),"")</f>
        <v>0</v>
      </c>
      <c r="R426" s="154" t="str">
        <f>IFERROR(Tabla_Buffers_Agroinsumos[[#This Row],[INV FIS MATERIA PRIMA]]-Tabla_Buffers_Agroinsumos[[#This Row],[BUFFER MATERIA PRIMA]],"")</f>
        <v/>
      </c>
      <c r="S426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26" s="111"/>
      <c r="U426" s="111"/>
      <c r="V426" s="111"/>
      <c r="W426" s="111"/>
      <c r="X426" s="111"/>
      <c r="Y426" s="111"/>
      <c r="Z426" s="111"/>
      <c r="AA426" s="111"/>
      <c r="AB426" s="111"/>
      <c r="AC426" s="135" t="str">
        <f t="array" ref="AC426">IFERROR(INDEX(TABLACONSOLIDADA[Buff Act],MATCH("AGROINSUMOSCENTRAL"&amp;Tabla_Buffers_Agroinsumos[[#This Row],[CODIGO ]],TABLACONSOLIDADA[Bodega]&amp;TABLACONSOLIDADA[Codigo],0)),"")</f>
        <v/>
      </c>
      <c r="AD426" s="111" t="str">
        <f t="array" ref="AD426">IFERROR(INDEX(TABLACONSOLIDADA[Inv Fís Act],MATCH("AGROINSUMOSCENTRAL"&amp;Tabla_Buffers_Agroinsumos[[#This Row],[CODIGO ]],TABLACONSOLIDADA[Bodega]&amp;TABLACONSOLIDADA[Codigo],0)),"")</f>
        <v/>
      </c>
      <c r="AE426" s="188" t="str">
        <f t="array" ref="AE42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26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26" s="153">
        <f>IFERROR(SUM(Tabla_Buffers_Agroinsumos[[#This Row],[C-MP]:[C-VL]]),"")</f>
        <v>0</v>
      </c>
      <c r="AH426" s="154" t="str">
        <f>IFERROR(Tabla_Buffers_Agroinsumos[[#This Row],[INV FIS CENTRAL]]-Tabla_Buffers_Agroinsumos[[#This Row],[BUFFER CENTRAL]],"")</f>
        <v/>
      </c>
      <c r="AI426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26" s="135"/>
      <c r="AK426" s="135"/>
      <c r="AL426" s="135"/>
      <c r="AM426" s="135"/>
      <c r="AN426" s="135"/>
      <c r="AO426" s="135"/>
      <c r="AP426" s="135"/>
      <c r="AQ426" s="135"/>
      <c r="AR426" s="135"/>
      <c r="AS426" s="135" t="str">
        <f t="array" ref="AS426">IFERROR(INDEX(TABLACONSOLIDADA[Buff Act],MATCH("AGROINSUMOScentralPROPIA"&amp;Tabla_Buffers_Agroinsumos[[#This Row],[CODIGO ]],TABLACONSOLIDADA[Bodega]&amp;TABLACONSOLIDADA[Codigo],0)),"")</f>
        <v/>
      </c>
      <c r="AT426" s="111" t="str">
        <f t="array" ref="AT426">IFERROR(INDEX(TABLACONSOLIDADA[Inv Fís Act],MATCH("AGROINSUMOScentralPROPIA"&amp;Tabla_Buffers_Agroinsumos[[#This Row],[CODIGO ]],TABLACONSOLIDADA[Bodega]&amp;TABLACONSOLIDADA[Codigo],0)),"")</f>
        <v/>
      </c>
      <c r="AU426" s="188" t="str">
        <f t="array" ref="AU42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26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26" s="135">
        <f>IFERROR(SUM(Tabla_Buffers_Agroinsumos[[#This Row],[P-MP]:[P-VL]]),"")</f>
        <v>0</v>
      </c>
      <c r="AX426" s="154" t="str">
        <f>IFERROR(Tabla_Buffers_Agroinsumos[[#This Row],[INV FIS PROPIA]]-Tabla_Buffers_Agroinsumos[[#This Row],[BUFFER PROPIA]],"")</f>
        <v/>
      </c>
      <c r="AY426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26" s="135"/>
      <c r="BA426" s="135"/>
      <c r="BB426" s="135"/>
      <c r="BC426" s="135"/>
      <c r="BD426" s="135"/>
      <c r="BE426" s="135"/>
      <c r="BF426" s="135"/>
      <c r="BG426" s="135"/>
      <c r="BH426" s="135"/>
      <c r="BI426" s="153" t="str">
        <f t="array" ref="BI426">IFERROR(INDEX(TABLACONSOLIDADA[Buff Act],MATCH("AGROINSUMOSSTODOMINGO"&amp;Tabla_Buffers_Agroinsumos[[#This Row],[CODIGO ]],TABLACONSOLIDADA[Bodega]&amp;TABLACONSOLIDADA[Codigo],0)),"")</f>
        <v/>
      </c>
      <c r="BJ426" s="111" t="str">
        <f t="array" ref="BJ426">IFERROR(INDEX(TABLACONSOLIDADA[Inv Fís Act],MATCH("AGROINSUMOSSTODOMINGO"&amp;Tabla_Buffers_Agroinsumos[[#This Row],[CODIGO ]],TABLACONSOLIDADA[Bodega]&amp;TABLACONSOLIDADA[Codigo],0)),"")</f>
        <v/>
      </c>
      <c r="BK426" s="188" t="str">
        <f t="array" ref="BK42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26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26" s="153">
        <f>IFERROR(SUM(Tabla_Buffers_Agroinsumos[[#This Row],[SD-MP]:[SD-VL]]),"")</f>
        <v>0</v>
      </c>
      <c r="BN426" s="154"/>
      <c r="BO426" s="154"/>
      <c r="BP426" s="135"/>
      <c r="BQ426" s="135"/>
      <c r="BR426" s="135"/>
      <c r="BS426" s="135"/>
      <c r="BT426" s="135"/>
      <c r="BU426" s="135"/>
      <c r="BV426" s="135"/>
      <c r="BW426" s="135"/>
      <c r="BX426" s="135"/>
      <c r="BY426" s="135" t="str">
        <f t="array" ref="BY426">IFERROR(INDEX(TABLACONSOLIDADA[Buff Act],MATCH("AGROINSUMOSMONCAYOLOPEZ"&amp;Tabla_Buffers_Agroinsumos[[#This Row],[CODIGO ]],TABLACONSOLIDADA[Bodega]&amp;TABLACONSOLIDADA[Codigo],0)),"")</f>
        <v/>
      </c>
      <c r="BZ426" s="111" t="str">
        <f t="array" ref="BZ426">IFERROR(INDEX(TABLACONSOLIDADA[Inv Fís Act],MATCH("AGROINSUMOSMONCAYOLOPEZ"&amp;Tabla_Buffers_Agroinsumos[[#This Row],[CODIGO ]],TABLACONSOLIDADA[Bodega]&amp;TABLACONSOLIDADA[Codigo],0)),"")</f>
        <v/>
      </c>
      <c r="CA426" s="188" t="str">
        <f t="array" ref="CA42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26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26" s="135">
        <f>IFERROR(SUM(Tabla_Buffers_Agroinsumos[[#This Row],[ML-MP]:[ML-VL]]),"")</f>
        <v>0</v>
      </c>
      <c r="CD426" s="154" t="str">
        <f>IFERROR(Tabla_Buffers_Agroinsumos[[#This Row],[INV FIS ML]]-Tabla_Buffers_Agroinsumos[[#This Row],[BUFFER ML]],"")</f>
        <v/>
      </c>
      <c r="CE426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26" s="135"/>
      <c r="CG426" s="135"/>
      <c r="CH426" s="135"/>
      <c r="CI426" s="135"/>
      <c r="CJ426" s="135"/>
      <c r="CK426" s="135"/>
      <c r="CL426" s="135"/>
      <c r="CM426" s="135"/>
      <c r="CN426" s="135"/>
      <c r="CO426" s="135" t="str">
        <f t="array" ref="CO426">IFERROR(INDEX(TABLACONSOLIDADA[Buff Act],MATCH("AGROINSUMOSAGROHERMANOSLEON"&amp;Tabla_Buffers_Agroinsumos[[#This Row],[CODIGO ]],TABLACONSOLIDADA[Bodega]&amp;TABLACONSOLIDADA[Codigo],0)),"")</f>
        <v/>
      </c>
      <c r="CP426" s="111" t="str">
        <f t="array" ref="CP426">IFERROR(INDEX(TABLACONSOLIDADA[Inv Fís Act],MATCH("AGROINSUMOSAGROHERMANOSLEON"&amp;Tabla_Buffers_Agroinsumos[[#This Row],[CODIGO ]],TABLACONSOLIDADA[Bodega]&amp;TABLACONSOLIDADA[Codigo],0)),"")</f>
        <v/>
      </c>
      <c r="CQ426" s="188" t="str">
        <f t="array" ref="CQ42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26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26" s="135">
        <f>IFERROR(SUM(Tabla_Buffers_Agroinsumos[[#This Row],[AL-MP]:[AL-VL]]),"")</f>
        <v>0</v>
      </c>
      <c r="CT426" s="154" t="str">
        <f>IFERROR(Tabla_Buffers_Agroinsumos[[#This Row],[INV FIS AL]]-Tabla_Buffers_Agroinsumos[[#This Row],[BUFFER AL]],"")</f>
        <v/>
      </c>
      <c r="CU426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26" s="135"/>
      <c r="CW426" s="135"/>
      <c r="CX426" s="135"/>
      <c r="CY426" s="135"/>
      <c r="CZ426" s="135"/>
      <c r="DA426" s="135"/>
      <c r="DB426" s="135"/>
      <c r="DC426" s="135"/>
      <c r="DD426" s="135"/>
      <c r="DE426" s="135" t="str">
        <f t="array" ref="DE426">IFERROR(INDEX(TABLACONSOLIDADA[Buff Act],MATCH("AGROINSUMOSAGRONUEVO"&amp;Tabla_Buffers_Agroinsumos[[#This Row],[CODIGO ]],TABLACONSOLIDADA[Bodega]&amp;TABLACONSOLIDADA[Codigo],0)),"")</f>
        <v/>
      </c>
      <c r="DF426" s="111" t="str">
        <f t="array" ref="DF426">IFERROR(INDEX(TABLACONSOLIDADA[Inv Fís Act],MATCH("AGROINSUMOSAGRONUEVO"&amp;Tabla_Buffers_Agroinsumos[[#This Row],[CODIGO ]],TABLACONSOLIDADA[Bodega]&amp;TABLACONSOLIDADA[Codigo],0)),"")</f>
        <v/>
      </c>
      <c r="DG426" s="188" t="str">
        <f t="array" ref="DG42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26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26" s="135">
        <f>IFERROR(SUM(Tabla_Buffers_Agroinsumos[[#This Row],[AN-MP]:[AN-VL]]),"")</f>
        <v>0</v>
      </c>
      <c r="DJ426" s="154" t="str">
        <f>IFERROR(Tabla_Buffers_Agroinsumos[[#This Row],[INV FIS AN]]-Tabla_Buffers_Agroinsumos[[#This Row],[BUFFER AN]],"")</f>
        <v/>
      </c>
      <c r="DK426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26" s="135"/>
      <c r="DM426" s="135"/>
      <c r="DN426" s="135"/>
      <c r="DO426" s="135"/>
      <c r="DP426" s="135"/>
      <c r="DQ426" s="135"/>
      <c r="DR426" s="135"/>
      <c r="DS426" s="135"/>
      <c r="DT426" s="135"/>
      <c r="DU426" s="135" t="str">
        <f t="array" ref="DU426">IFERROR(INDEX(TABLACONSOLIDADA[Buff Act],MATCH("AGROINSUMOSAGROQUIMICOSSUR"&amp;Tabla_Buffers_Agroinsumos[[#This Row],[CODIGO ]],TABLACONSOLIDADA[Bodega]&amp;TABLACONSOLIDADA[Codigo],0)),"")</f>
        <v/>
      </c>
      <c r="DV426" s="111" t="str">
        <f t="array" ref="DV426">IFERROR(INDEX(TABLACONSOLIDADA[Inv Fís Act],MATCH("AGROINSUMOSAGROQUIMICOSSUR"&amp;Tabla_Buffers_Agroinsumos[[#This Row],[CODIGO ]],TABLACONSOLIDADA[Bodega]&amp;TABLACONSOLIDADA[Codigo],0)),"")</f>
        <v/>
      </c>
      <c r="DW426" s="188" t="str">
        <f t="array" ref="DW42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26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26" s="135">
        <f>IFERROR(SUM(Tabla_Buffers_Agroinsumos[[#This Row],[AS-MP]:[AS-VL]]),"")</f>
        <v>0</v>
      </c>
      <c r="DZ426" s="154" t="str">
        <f>IFERROR(Tabla_Buffers_Agroinsumos[[#This Row],[INV FIS AS]]-Tabla_Buffers_Agroinsumos[[#This Row],[BUFFER AS]],"")</f>
        <v/>
      </c>
      <c r="EA426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26" s="135"/>
      <c r="EC426" s="135"/>
      <c r="ED426" s="135"/>
      <c r="EE426" s="135"/>
      <c r="EF426" s="135"/>
      <c r="EG426" s="135"/>
      <c r="EH426" s="135"/>
      <c r="EI426" s="135"/>
      <c r="EJ426" s="135"/>
      <c r="EK426" s="135" t="str">
        <f t="array" ref="EK426">IFERROR(INDEX(TABLACONSOLIDADA[Buff Act],MATCH("AGROINSUMOSLAFINCA"&amp;Tabla_Buffers_Agroinsumos[[#This Row],[CODIGO ]],TABLACONSOLIDADA[Bodega]&amp;TABLACONSOLIDADA[Codigo],0)),"")</f>
        <v/>
      </c>
      <c r="EL426" s="111" t="str">
        <f t="array" ref="EL426">IFERROR(INDEX(TABLACONSOLIDADA[Inv Fís Act],MATCH("AGROINSUMOSLAFINCA"&amp;Tabla_Buffers_Agroinsumos[[#This Row],[CODIGO ]],TABLACONSOLIDADA[Bodega]&amp;TABLACONSOLIDADA[Codigo],0)),"")</f>
        <v/>
      </c>
      <c r="EM426" s="188" t="str">
        <f t="array" ref="EM42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26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26" s="135">
        <f>IFERROR(SUM(Tabla_Buffers_Agroinsumos[[#This Row],[LF-MP]:[LF-VL]]),"")</f>
        <v>0</v>
      </c>
      <c r="EP426" s="154" t="str">
        <f>IFERROR(Tabla_Buffers_Agroinsumos[[#This Row],[INV FIS LF]]-Tabla_Buffers_Agroinsumos[[#This Row],[BUFFER LF]],"")</f>
        <v/>
      </c>
      <c r="EQ426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26" s="135"/>
      <c r="ES426" s="135"/>
      <c r="ET426" s="135"/>
      <c r="EU426" s="135"/>
      <c r="EV426" s="135"/>
      <c r="EW426" s="135"/>
      <c r="EX426" s="135"/>
      <c r="EY426" s="135"/>
      <c r="EZ426" s="135"/>
      <c r="FA426" s="135" t="str">
        <f t="array" ref="FA426">IFERROR(INDEX(TABLACONSOLIDADA[Buff Act],MATCH("AGROINSUMOSVERONICALEDESMA"&amp;Tabla_Buffers_Agroinsumos[[#This Row],[CODIGO ]],TABLACONSOLIDADA[Bodega]&amp;TABLACONSOLIDADA[Codigo],0)),"")</f>
        <v/>
      </c>
      <c r="FB426" s="111" t="str">
        <f t="array" ref="FB426">IFERROR(INDEX(TABLACONSOLIDADA[Inv Fís Act],MATCH("AGROINSUMOSVERONICALEDESMA"&amp;Tabla_Buffers_Agroinsumos[[#This Row],[CODIGO ]],TABLACONSOLIDADA[Bodega]&amp;TABLACONSOLIDADA[Codigo],0)),"")</f>
        <v/>
      </c>
      <c r="FC426" s="188" t="str">
        <f t="array" ref="FC42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26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26" s="135">
        <f>IFERROR(SUM(Tabla_Buffers_Agroinsumos[[#This Row],[VL-MP]:[VL-LF]]),"")</f>
        <v>0</v>
      </c>
      <c r="FF426" s="154" t="str">
        <f>IFERROR(Tabla_Buffers_Agroinsumos[[#This Row],[INV FIS VL]]-Tabla_Buffers_Agroinsumos[[#This Row],[BUFFER VL]],"")</f>
        <v/>
      </c>
      <c r="FG426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26" s="135"/>
      <c r="FI426" s="135"/>
      <c r="FJ426" s="135"/>
      <c r="FK426" s="135"/>
      <c r="FL426" s="135"/>
      <c r="FM426" s="135"/>
      <c r="FN426" s="135"/>
      <c r="FO426" s="135"/>
      <c r="FP426" s="135"/>
    </row>
    <row r="427" spans="1:172">
      <c r="A427" s="20" t="s">
        <v>1339</v>
      </c>
      <c r="B427" s="20" t="s">
        <v>1340</v>
      </c>
      <c r="C427" s="7" t="s">
        <v>707</v>
      </c>
      <c r="D427" s="20" t="s">
        <v>1292</v>
      </c>
      <c r="E427" s="20" t="s">
        <v>975</v>
      </c>
      <c r="F427" s="111" t="s">
        <v>1313</v>
      </c>
      <c r="G427" s="111" t="s">
        <v>802</v>
      </c>
      <c r="H427" s="111" t="e">
        <f>VLOOKUP(Tabla_Buffers_Agroinsumos[[#This Row],[CODIGO ]],TABLACONSOLIDADA[[Codigo]:[PV]],6,0)</f>
        <v>#N/A</v>
      </c>
      <c r="I427" s="111" t="e">
        <f>VLOOKUP(Tabla_Buffers_Agroinsumos[[#This Row],[CODIGO ]],TABLACONSOLIDADA[[Codigo]:[PV]],5,0)</f>
        <v>#N/A</v>
      </c>
      <c r="J427" s="111"/>
      <c r="K427" s="111"/>
      <c r="L427" s="111">
        <f>IFERROR(Tabla_Buffers_Agroinsumos[[#This Row],[BUFFER CENTRAL]]/((Tabla_Buffers_Agroinsumos[[#This Row],[TIEMPO REPOSICION ]]/Tabla_Buffers_Agroinsumos[[#This Row],[FRECUENCIA]])+1),0)</f>
        <v>0</v>
      </c>
      <c r="M427" s="111"/>
      <c r="N427" s="111" t="str">
        <f t="array" ref="N427">IFERROR(INDEX(TABLACONSOLIDADA[Inv Fís Act],MATCH("AGROINSUMOSMATERIAPRIMA"&amp;Tabla_Buffers_Agroinsumos[[#This Row],[CODIGO ]],TABLACONSOLIDADA[Bodega]&amp;TABLACONSOLIDADA[Codigo],0)),"")</f>
        <v/>
      </c>
      <c r="O427" s="188" t="str">
        <f t="array" ref="O42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27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27" s="111">
        <f>IFERROR(SUM(Tabla_Buffers_Agroinsumos[[#This Row],[MP-C]:[MP-VL]]),"")</f>
        <v>0</v>
      </c>
      <c r="R427" s="154" t="str">
        <f>IFERROR(Tabla_Buffers_Agroinsumos[[#This Row],[INV FIS MATERIA PRIMA]]-Tabla_Buffers_Agroinsumos[[#This Row],[BUFFER MATERIA PRIMA]],"")</f>
        <v/>
      </c>
      <c r="S427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27" s="111"/>
      <c r="U427" s="111"/>
      <c r="V427" s="111"/>
      <c r="W427" s="111"/>
      <c r="X427" s="111"/>
      <c r="Y427" s="111"/>
      <c r="Z427" s="111"/>
      <c r="AA427" s="111"/>
      <c r="AB427" s="111"/>
      <c r="AC427" s="135">
        <v>50</v>
      </c>
      <c r="AD427" s="111" t="str">
        <f t="array" ref="AD427">IFERROR(INDEX(TABLACONSOLIDADA[Inv Fís Act],MATCH("AGROINSUMOSCENTRAL"&amp;Tabla_Buffers_Agroinsumos[[#This Row],[CODIGO ]],TABLACONSOLIDADA[Bodega]&amp;TABLACONSOLIDADA[Codigo],0)),"")</f>
        <v/>
      </c>
      <c r="AE427" s="188" t="str">
        <f t="array" ref="AE42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27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27" s="153">
        <f>IFERROR(SUM(Tabla_Buffers_Agroinsumos[[#This Row],[C-MP]:[C-VL]]),"")</f>
        <v>0</v>
      </c>
      <c r="AH427" s="154" t="str">
        <f>IFERROR(Tabla_Buffers_Agroinsumos[[#This Row],[INV FIS CENTRAL]]-Tabla_Buffers_Agroinsumos[[#This Row],[BUFFER CENTRAL]],"")</f>
        <v/>
      </c>
      <c r="AI427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27" s="135"/>
      <c r="AK427" s="135"/>
      <c r="AL427" s="135"/>
      <c r="AM427" s="135"/>
      <c r="AN427" s="135"/>
      <c r="AO427" s="135"/>
      <c r="AP427" s="135"/>
      <c r="AQ427" s="135"/>
      <c r="AR427" s="135"/>
      <c r="AS427" s="135" t="str">
        <f t="array" ref="AS427">IFERROR(INDEX(TABLACONSOLIDADA[Buff Act],MATCH("AGROINSUMOScentralPROPIA"&amp;Tabla_Buffers_Agroinsumos[[#This Row],[CODIGO ]],TABLACONSOLIDADA[Bodega]&amp;TABLACONSOLIDADA[Codigo],0)),"")</f>
        <v/>
      </c>
      <c r="AT427" s="111" t="str">
        <f t="array" ref="AT427">IFERROR(INDEX(TABLACONSOLIDADA[Inv Fís Act],MATCH("AGROINSUMOScentralPROPIA"&amp;Tabla_Buffers_Agroinsumos[[#This Row],[CODIGO ]],TABLACONSOLIDADA[Bodega]&amp;TABLACONSOLIDADA[Codigo],0)),"")</f>
        <v/>
      </c>
      <c r="AU427" s="188" t="str">
        <f t="array" ref="AU42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27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27" s="135">
        <f>IFERROR(SUM(Tabla_Buffers_Agroinsumos[[#This Row],[P-MP]:[P-VL]]),"")</f>
        <v>0</v>
      </c>
      <c r="AX427" s="154" t="str">
        <f>IFERROR(Tabla_Buffers_Agroinsumos[[#This Row],[INV FIS PROPIA]]-Tabla_Buffers_Agroinsumos[[#This Row],[BUFFER PROPIA]],"")</f>
        <v/>
      </c>
      <c r="AY427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27" s="135"/>
      <c r="BA427" s="135"/>
      <c r="BB427" s="135"/>
      <c r="BC427" s="135"/>
      <c r="BD427" s="135"/>
      <c r="BE427" s="135"/>
      <c r="BF427" s="135"/>
      <c r="BG427" s="135"/>
      <c r="BH427" s="135"/>
      <c r="BI427" s="153" t="str">
        <f t="array" ref="BI427">IFERROR(INDEX(TABLACONSOLIDADA[Buff Act],MATCH("AGROINSUMOSSTODOMINGO"&amp;Tabla_Buffers_Agroinsumos[[#This Row],[CODIGO ]],TABLACONSOLIDADA[Bodega]&amp;TABLACONSOLIDADA[Codigo],0)),"")</f>
        <v/>
      </c>
      <c r="BJ427" s="111" t="str">
        <f t="array" ref="BJ427">IFERROR(INDEX(TABLACONSOLIDADA[Inv Fís Act],MATCH("AGROINSUMOSSTODOMINGO"&amp;Tabla_Buffers_Agroinsumos[[#This Row],[CODIGO ]],TABLACONSOLIDADA[Bodega]&amp;TABLACONSOLIDADA[Codigo],0)),"")</f>
        <v/>
      </c>
      <c r="BK427" s="188" t="str">
        <f t="array" ref="BK42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27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27" s="153">
        <f>IFERROR(SUM(Tabla_Buffers_Agroinsumos[[#This Row],[SD-MP]:[SD-VL]]),"")</f>
        <v>0</v>
      </c>
      <c r="BN427" s="154"/>
      <c r="BO427" s="154"/>
      <c r="BP427" s="135"/>
      <c r="BQ427" s="135"/>
      <c r="BR427" s="135"/>
      <c r="BS427" s="135"/>
      <c r="BT427" s="135"/>
      <c r="BU427" s="135"/>
      <c r="BV427" s="135"/>
      <c r="BW427" s="135"/>
      <c r="BX427" s="135"/>
      <c r="BY427" s="135" t="str">
        <f t="array" ref="BY427">IFERROR(INDEX(TABLACONSOLIDADA[Buff Act],MATCH("AGROINSUMOSMONCAYOLOPEZ"&amp;Tabla_Buffers_Agroinsumos[[#This Row],[CODIGO ]],TABLACONSOLIDADA[Bodega]&amp;TABLACONSOLIDADA[Codigo],0)),"")</f>
        <v/>
      </c>
      <c r="BZ427" s="111" t="str">
        <f t="array" ref="BZ427">IFERROR(INDEX(TABLACONSOLIDADA[Inv Fís Act],MATCH("AGROINSUMOSMONCAYOLOPEZ"&amp;Tabla_Buffers_Agroinsumos[[#This Row],[CODIGO ]],TABLACONSOLIDADA[Bodega]&amp;TABLACONSOLIDADA[Codigo],0)),"")</f>
        <v/>
      </c>
      <c r="CA427" s="188" t="str">
        <f t="array" ref="CA42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27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27" s="135">
        <f>IFERROR(SUM(Tabla_Buffers_Agroinsumos[[#This Row],[ML-MP]:[ML-VL]]),"")</f>
        <v>0</v>
      </c>
      <c r="CD427" s="154" t="str">
        <f>IFERROR(Tabla_Buffers_Agroinsumos[[#This Row],[INV FIS ML]]-Tabla_Buffers_Agroinsumos[[#This Row],[BUFFER ML]],"")</f>
        <v/>
      </c>
      <c r="CE427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27" s="135"/>
      <c r="CG427" s="135"/>
      <c r="CH427" s="135"/>
      <c r="CI427" s="135"/>
      <c r="CJ427" s="135"/>
      <c r="CK427" s="135"/>
      <c r="CL427" s="135"/>
      <c r="CM427" s="135"/>
      <c r="CN427" s="135"/>
      <c r="CO427" s="135" t="str">
        <f t="array" ref="CO427">IFERROR(INDEX(TABLACONSOLIDADA[Buff Act],MATCH("AGROINSUMOSAGROHERMANOSLEON"&amp;Tabla_Buffers_Agroinsumos[[#This Row],[CODIGO ]],TABLACONSOLIDADA[Bodega]&amp;TABLACONSOLIDADA[Codigo],0)),"")</f>
        <v/>
      </c>
      <c r="CP427" s="111" t="str">
        <f t="array" ref="CP427">IFERROR(INDEX(TABLACONSOLIDADA[Inv Fís Act],MATCH("AGROINSUMOSAGROHERMANOSLEON"&amp;Tabla_Buffers_Agroinsumos[[#This Row],[CODIGO ]],TABLACONSOLIDADA[Bodega]&amp;TABLACONSOLIDADA[Codigo],0)),"")</f>
        <v/>
      </c>
      <c r="CQ427" s="188" t="str">
        <f t="array" ref="CQ42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27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27" s="135">
        <f>IFERROR(SUM(Tabla_Buffers_Agroinsumos[[#This Row],[AL-MP]:[AL-VL]]),"")</f>
        <v>0</v>
      </c>
      <c r="CT427" s="154" t="str">
        <f>IFERROR(Tabla_Buffers_Agroinsumos[[#This Row],[INV FIS AL]]-Tabla_Buffers_Agroinsumos[[#This Row],[BUFFER AL]],"")</f>
        <v/>
      </c>
      <c r="CU427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27" s="135"/>
      <c r="CW427" s="135"/>
      <c r="CX427" s="135"/>
      <c r="CY427" s="135"/>
      <c r="CZ427" s="135"/>
      <c r="DA427" s="135"/>
      <c r="DB427" s="135"/>
      <c r="DC427" s="135"/>
      <c r="DD427" s="135"/>
      <c r="DE427" s="135" t="str">
        <f t="array" ref="DE427">IFERROR(INDEX(TABLACONSOLIDADA[Buff Act],MATCH("AGROINSUMOSAGRONUEVO"&amp;Tabla_Buffers_Agroinsumos[[#This Row],[CODIGO ]],TABLACONSOLIDADA[Bodega]&amp;TABLACONSOLIDADA[Codigo],0)),"")</f>
        <v/>
      </c>
      <c r="DF427" s="111" t="str">
        <f t="array" ref="DF427">IFERROR(INDEX(TABLACONSOLIDADA[Inv Fís Act],MATCH("AGROINSUMOSAGRONUEVO"&amp;Tabla_Buffers_Agroinsumos[[#This Row],[CODIGO ]],TABLACONSOLIDADA[Bodega]&amp;TABLACONSOLIDADA[Codigo],0)),"")</f>
        <v/>
      </c>
      <c r="DG427" s="188" t="str">
        <f t="array" ref="DG42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27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27" s="135">
        <f>IFERROR(SUM(Tabla_Buffers_Agroinsumos[[#This Row],[AN-MP]:[AN-VL]]),"")</f>
        <v>0</v>
      </c>
      <c r="DJ427" s="154" t="str">
        <f>IFERROR(Tabla_Buffers_Agroinsumos[[#This Row],[INV FIS AN]]-Tabla_Buffers_Agroinsumos[[#This Row],[BUFFER AN]],"")</f>
        <v/>
      </c>
      <c r="DK427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27" s="135"/>
      <c r="DM427" s="135"/>
      <c r="DN427" s="135"/>
      <c r="DO427" s="135"/>
      <c r="DP427" s="135"/>
      <c r="DQ427" s="135"/>
      <c r="DR427" s="135"/>
      <c r="DS427" s="135"/>
      <c r="DT427" s="135"/>
      <c r="DU427" s="135" t="str">
        <f t="array" ref="DU427">IFERROR(INDEX(TABLACONSOLIDADA[Buff Act],MATCH("AGROINSUMOSAGROQUIMICOSSUR"&amp;Tabla_Buffers_Agroinsumos[[#This Row],[CODIGO ]],TABLACONSOLIDADA[Bodega]&amp;TABLACONSOLIDADA[Codigo],0)),"")</f>
        <v/>
      </c>
      <c r="DV427" s="111" t="str">
        <f t="array" ref="DV427">IFERROR(INDEX(TABLACONSOLIDADA[Inv Fís Act],MATCH("AGROINSUMOSAGROQUIMICOSSUR"&amp;Tabla_Buffers_Agroinsumos[[#This Row],[CODIGO ]],TABLACONSOLIDADA[Bodega]&amp;TABLACONSOLIDADA[Codigo],0)),"")</f>
        <v/>
      </c>
      <c r="DW427" s="188" t="str">
        <f t="array" ref="DW42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27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27" s="135">
        <f>IFERROR(SUM(Tabla_Buffers_Agroinsumos[[#This Row],[AS-MP]:[AS-VL]]),"")</f>
        <v>0</v>
      </c>
      <c r="DZ427" s="154" t="str">
        <f>IFERROR(Tabla_Buffers_Agroinsumos[[#This Row],[INV FIS AS]]-Tabla_Buffers_Agroinsumos[[#This Row],[BUFFER AS]],"")</f>
        <v/>
      </c>
      <c r="EA427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27" s="135"/>
      <c r="EC427" s="135"/>
      <c r="ED427" s="135"/>
      <c r="EE427" s="135"/>
      <c r="EF427" s="135"/>
      <c r="EG427" s="135"/>
      <c r="EH427" s="135"/>
      <c r="EI427" s="135"/>
      <c r="EJ427" s="135"/>
      <c r="EK427" s="135" t="str">
        <f t="array" ref="EK427">IFERROR(INDEX(TABLACONSOLIDADA[Buff Act],MATCH("AGROINSUMOSLAFINCA"&amp;Tabla_Buffers_Agroinsumos[[#This Row],[CODIGO ]],TABLACONSOLIDADA[Bodega]&amp;TABLACONSOLIDADA[Codigo],0)),"")</f>
        <v/>
      </c>
      <c r="EL427" s="111" t="str">
        <f t="array" ref="EL427">IFERROR(INDEX(TABLACONSOLIDADA[Inv Fís Act],MATCH("AGROINSUMOSLAFINCA"&amp;Tabla_Buffers_Agroinsumos[[#This Row],[CODIGO ]],TABLACONSOLIDADA[Bodega]&amp;TABLACONSOLIDADA[Codigo],0)),"")</f>
        <v/>
      </c>
      <c r="EM427" s="188" t="str">
        <f t="array" ref="EM42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27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27" s="135">
        <f>IFERROR(SUM(Tabla_Buffers_Agroinsumos[[#This Row],[LF-MP]:[LF-VL]]),"")</f>
        <v>0</v>
      </c>
      <c r="EP427" s="154" t="str">
        <f>IFERROR(Tabla_Buffers_Agroinsumos[[#This Row],[INV FIS LF]]-Tabla_Buffers_Agroinsumos[[#This Row],[BUFFER LF]],"")</f>
        <v/>
      </c>
      <c r="EQ427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27" s="135"/>
      <c r="ES427" s="135"/>
      <c r="ET427" s="135"/>
      <c r="EU427" s="135"/>
      <c r="EV427" s="135"/>
      <c r="EW427" s="135"/>
      <c r="EX427" s="135"/>
      <c r="EY427" s="135"/>
      <c r="EZ427" s="135"/>
      <c r="FA427" s="135" t="str">
        <f t="array" ref="FA427">IFERROR(INDEX(TABLACONSOLIDADA[Buff Act],MATCH("AGROINSUMOSVERONICALEDESMA"&amp;Tabla_Buffers_Agroinsumos[[#This Row],[CODIGO ]],TABLACONSOLIDADA[Bodega]&amp;TABLACONSOLIDADA[Codigo],0)),"")</f>
        <v/>
      </c>
      <c r="FB427" s="111" t="str">
        <f t="array" ref="FB427">IFERROR(INDEX(TABLACONSOLIDADA[Inv Fís Act],MATCH("AGROINSUMOSVERONICALEDESMA"&amp;Tabla_Buffers_Agroinsumos[[#This Row],[CODIGO ]],TABLACONSOLIDADA[Bodega]&amp;TABLACONSOLIDADA[Codigo],0)),"")</f>
        <v/>
      </c>
      <c r="FC427" s="188" t="str">
        <f t="array" ref="FC42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27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27" s="135">
        <f>IFERROR(SUM(Tabla_Buffers_Agroinsumos[[#This Row],[VL-MP]:[VL-LF]]),"")</f>
        <v>0</v>
      </c>
      <c r="FF427" s="154" t="str">
        <f>IFERROR(Tabla_Buffers_Agroinsumos[[#This Row],[INV FIS VL]]-Tabla_Buffers_Agroinsumos[[#This Row],[BUFFER VL]],"")</f>
        <v/>
      </c>
      <c r="FG427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27" s="135"/>
      <c r="FI427" s="135"/>
      <c r="FJ427" s="135"/>
      <c r="FK427" s="135"/>
      <c r="FL427" s="135"/>
      <c r="FM427" s="135"/>
      <c r="FN427" s="135"/>
      <c r="FO427" s="135"/>
      <c r="FP427" s="135"/>
    </row>
    <row r="428" spans="1:172">
      <c r="A428" s="20" t="s">
        <v>1341</v>
      </c>
      <c r="B428" s="20" t="s">
        <v>1342</v>
      </c>
      <c r="C428" s="7" t="s">
        <v>707</v>
      </c>
      <c r="D428" s="20" t="s">
        <v>1292</v>
      </c>
      <c r="E428" s="20" t="s">
        <v>975</v>
      </c>
      <c r="F428" s="111" t="s">
        <v>1313</v>
      </c>
      <c r="G428" s="111" t="s">
        <v>802</v>
      </c>
      <c r="H428" s="111" t="e">
        <f>VLOOKUP(Tabla_Buffers_Agroinsumos[[#This Row],[CODIGO ]],TABLACONSOLIDADA[[Codigo]:[PV]],6,0)</f>
        <v>#N/A</v>
      </c>
      <c r="I428" s="111" t="e">
        <f>VLOOKUP(Tabla_Buffers_Agroinsumos[[#This Row],[CODIGO ]],TABLACONSOLIDADA[[Codigo]:[PV]],5,0)</f>
        <v>#N/A</v>
      </c>
      <c r="J428" s="111"/>
      <c r="K428" s="111"/>
      <c r="L428" s="111">
        <f>IFERROR(Tabla_Buffers_Agroinsumos[[#This Row],[BUFFER CENTRAL]]/((Tabla_Buffers_Agroinsumos[[#This Row],[TIEMPO REPOSICION ]]/Tabla_Buffers_Agroinsumos[[#This Row],[FRECUENCIA]])+1),0)</f>
        <v>0</v>
      </c>
      <c r="M428" s="111" t="str">
        <f t="array" ref="M428">IFERROR(INDEX(TABLACONSOLIDADA[Buff Act],MATCH("AGROINSUMOSMATERIAPRIMA"&amp;Tabla_Buffers_Agroinsumos[[#This Row],[CODIGO ]],TABLACONSOLIDADA[Bodega]&amp;TABLACONSOLIDADA[Codigo],0)),"")</f>
        <v/>
      </c>
      <c r="N428" s="111" t="str">
        <f t="array" ref="N428">IFERROR(INDEX(TABLACONSOLIDADA[Inv Fís Act],MATCH("AGROINSUMOSMATERIAPRIMA"&amp;Tabla_Buffers_Agroinsumos[[#This Row],[CODIGO ]],TABLACONSOLIDADA[Bodega]&amp;TABLACONSOLIDADA[Codigo],0)),"")</f>
        <v/>
      </c>
      <c r="O428" s="188" t="str">
        <f t="array" ref="O42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28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28" s="111">
        <f>IFERROR(SUM(Tabla_Buffers_Agroinsumos[[#This Row],[MP-C]:[MP-VL]]),"")</f>
        <v>0</v>
      </c>
      <c r="R428" s="154" t="str">
        <f>IFERROR(Tabla_Buffers_Agroinsumos[[#This Row],[INV FIS MATERIA PRIMA]]-Tabla_Buffers_Agroinsumos[[#This Row],[BUFFER MATERIA PRIMA]],"")</f>
        <v/>
      </c>
      <c r="S428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28" s="111"/>
      <c r="U428" s="111"/>
      <c r="V428" s="111"/>
      <c r="W428" s="111"/>
      <c r="X428" s="111"/>
      <c r="Y428" s="111"/>
      <c r="Z428" s="111"/>
      <c r="AA428" s="111"/>
      <c r="AB428" s="111"/>
      <c r="AC428" s="135">
        <v>100</v>
      </c>
      <c r="AD428" s="111" t="str">
        <f t="array" ref="AD428">IFERROR(INDEX(TABLACONSOLIDADA[Inv Fís Act],MATCH("AGROINSUMOSCENTRAL"&amp;Tabla_Buffers_Agroinsumos[[#This Row],[CODIGO ]],TABLACONSOLIDADA[Bodega]&amp;TABLACONSOLIDADA[Codigo],0)),"")</f>
        <v/>
      </c>
      <c r="AE428" s="188" t="str">
        <f t="array" ref="AE42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28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28" s="153">
        <f>IFERROR(SUM(Tabla_Buffers_Agroinsumos[[#This Row],[C-MP]:[C-VL]]),"")</f>
        <v>0</v>
      </c>
      <c r="AH428" s="154" t="str">
        <f>IFERROR(Tabla_Buffers_Agroinsumos[[#This Row],[INV FIS CENTRAL]]-Tabla_Buffers_Agroinsumos[[#This Row],[BUFFER CENTRAL]],"")</f>
        <v/>
      </c>
      <c r="AI428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28" s="135"/>
      <c r="AK428" s="135"/>
      <c r="AL428" s="135"/>
      <c r="AM428" s="135"/>
      <c r="AN428" s="135"/>
      <c r="AO428" s="135"/>
      <c r="AP428" s="135"/>
      <c r="AQ428" s="135"/>
      <c r="AR428" s="135"/>
      <c r="AS428" s="135" t="str">
        <f t="array" ref="AS428">IFERROR(INDEX(TABLACONSOLIDADA[Buff Act],MATCH("AGROINSUMOScentralPROPIA"&amp;Tabla_Buffers_Agroinsumos[[#This Row],[CODIGO ]],TABLACONSOLIDADA[Bodega]&amp;TABLACONSOLIDADA[Codigo],0)),"")</f>
        <v/>
      </c>
      <c r="AT428" s="111" t="str">
        <f t="array" ref="AT428">IFERROR(INDEX(TABLACONSOLIDADA[Inv Fís Act],MATCH("AGROINSUMOScentralPROPIA"&amp;Tabla_Buffers_Agroinsumos[[#This Row],[CODIGO ]],TABLACONSOLIDADA[Bodega]&amp;TABLACONSOLIDADA[Codigo],0)),"")</f>
        <v/>
      </c>
      <c r="AU428" s="188" t="str">
        <f t="array" ref="AU42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28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28" s="135">
        <f>IFERROR(SUM(Tabla_Buffers_Agroinsumos[[#This Row],[P-MP]:[P-VL]]),"")</f>
        <v>0</v>
      </c>
      <c r="AX428" s="154" t="str">
        <f>IFERROR(Tabla_Buffers_Agroinsumos[[#This Row],[INV FIS PROPIA]]-Tabla_Buffers_Agroinsumos[[#This Row],[BUFFER PROPIA]],"")</f>
        <v/>
      </c>
      <c r="AY428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28" s="135"/>
      <c r="BA428" s="135"/>
      <c r="BB428" s="135"/>
      <c r="BC428" s="135"/>
      <c r="BD428" s="135"/>
      <c r="BE428" s="135"/>
      <c r="BF428" s="135"/>
      <c r="BG428" s="135"/>
      <c r="BH428" s="135"/>
      <c r="BI428" s="153" t="str">
        <f t="array" ref="BI428">IFERROR(INDEX(TABLACONSOLIDADA[Buff Act],MATCH("AGROINSUMOSSTODOMINGO"&amp;Tabla_Buffers_Agroinsumos[[#This Row],[CODIGO ]],TABLACONSOLIDADA[Bodega]&amp;TABLACONSOLIDADA[Codigo],0)),"")</f>
        <v/>
      </c>
      <c r="BJ428" s="111" t="str">
        <f t="array" ref="BJ428">IFERROR(INDEX(TABLACONSOLIDADA[Inv Fís Act],MATCH("AGROINSUMOSSTODOMINGO"&amp;Tabla_Buffers_Agroinsumos[[#This Row],[CODIGO ]],TABLACONSOLIDADA[Bodega]&amp;TABLACONSOLIDADA[Codigo],0)),"")</f>
        <v/>
      </c>
      <c r="BK428" s="188" t="str">
        <f t="array" ref="BK42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28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28" s="153">
        <f>IFERROR(SUM(Tabla_Buffers_Agroinsumos[[#This Row],[SD-MP]:[SD-VL]]),"")</f>
        <v>0</v>
      </c>
      <c r="BN428" s="154"/>
      <c r="BO428" s="154"/>
      <c r="BP428" s="135"/>
      <c r="BQ428" s="135"/>
      <c r="BR428" s="135"/>
      <c r="BS428" s="135"/>
      <c r="BT428" s="135"/>
      <c r="BU428" s="135"/>
      <c r="BV428" s="135"/>
      <c r="BW428" s="135"/>
      <c r="BX428" s="135"/>
      <c r="BY428" s="135" t="str">
        <f t="array" ref="BY428">IFERROR(INDEX(TABLACONSOLIDADA[Buff Act],MATCH("AGROINSUMOSMONCAYOLOPEZ"&amp;Tabla_Buffers_Agroinsumos[[#This Row],[CODIGO ]],TABLACONSOLIDADA[Bodega]&amp;TABLACONSOLIDADA[Codigo],0)),"")</f>
        <v/>
      </c>
      <c r="BZ428" s="111" t="str">
        <f t="array" ref="BZ428">IFERROR(INDEX(TABLACONSOLIDADA[Inv Fís Act],MATCH("AGROINSUMOSMONCAYOLOPEZ"&amp;Tabla_Buffers_Agroinsumos[[#This Row],[CODIGO ]],TABLACONSOLIDADA[Bodega]&amp;TABLACONSOLIDADA[Codigo],0)),"")</f>
        <v/>
      </c>
      <c r="CA428" s="188" t="str">
        <f t="array" ref="CA42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28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28" s="135">
        <f>IFERROR(SUM(Tabla_Buffers_Agroinsumos[[#This Row],[ML-MP]:[ML-VL]]),"")</f>
        <v>0</v>
      </c>
      <c r="CD428" s="154" t="str">
        <f>IFERROR(Tabla_Buffers_Agroinsumos[[#This Row],[INV FIS ML]]-Tabla_Buffers_Agroinsumos[[#This Row],[BUFFER ML]],"")</f>
        <v/>
      </c>
      <c r="CE428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28" s="135"/>
      <c r="CG428" s="135"/>
      <c r="CH428" s="135"/>
      <c r="CI428" s="135"/>
      <c r="CJ428" s="135"/>
      <c r="CK428" s="135"/>
      <c r="CL428" s="135"/>
      <c r="CM428" s="135"/>
      <c r="CN428" s="135"/>
      <c r="CO428" s="135" t="str">
        <f t="array" ref="CO428">IFERROR(INDEX(TABLACONSOLIDADA[Buff Act],MATCH("AGROINSUMOSAGROHERMANOSLEON"&amp;Tabla_Buffers_Agroinsumos[[#This Row],[CODIGO ]],TABLACONSOLIDADA[Bodega]&amp;TABLACONSOLIDADA[Codigo],0)),"")</f>
        <v/>
      </c>
      <c r="CP428" s="111" t="str">
        <f t="array" ref="CP428">IFERROR(INDEX(TABLACONSOLIDADA[Inv Fís Act],MATCH("AGROINSUMOSAGROHERMANOSLEON"&amp;Tabla_Buffers_Agroinsumos[[#This Row],[CODIGO ]],TABLACONSOLIDADA[Bodega]&amp;TABLACONSOLIDADA[Codigo],0)),"")</f>
        <v/>
      </c>
      <c r="CQ428" s="188" t="str">
        <f t="array" ref="CQ42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28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28" s="135">
        <f>IFERROR(SUM(Tabla_Buffers_Agroinsumos[[#This Row],[AL-MP]:[AL-VL]]),"")</f>
        <v>0</v>
      </c>
      <c r="CT428" s="154" t="str">
        <f>IFERROR(Tabla_Buffers_Agroinsumos[[#This Row],[INV FIS AL]]-Tabla_Buffers_Agroinsumos[[#This Row],[BUFFER AL]],"")</f>
        <v/>
      </c>
      <c r="CU428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28" s="135"/>
      <c r="CW428" s="135"/>
      <c r="CX428" s="135"/>
      <c r="CY428" s="135"/>
      <c r="CZ428" s="135"/>
      <c r="DA428" s="135"/>
      <c r="DB428" s="135"/>
      <c r="DC428" s="135"/>
      <c r="DD428" s="135"/>
      <c r="DE428" s="135" t="str">
        <f t="array" ref="DE428">IFERROR(INDEX(TABLACONSOLIDADA[Buff Act],MATCH("AGROINSUMOSAGRONUEVO"&amp;Tabla_Buffers_Agroinsumos[[#This Row],[CODIGO ]],TABLACONSOLIDADA[Bodega]&amp;TABLACONSOLIDADA[Codigo],0)),"")</f>
        <v/>
      </c>
      <c r="DF428" s="111" t="str">
        <f t="array" ref="DF428">IFERROR(INDEX(TABLACONSOLIDADA[Inv Fís Act],MATCH("AGROINSUMOSAGRONUEVO"&amp;Tabla_Buffers_Agroinsumos[[#This Row],[CODIGO ]],TABLACONSOLIDADA[Bodega]&amp;TABLACONSOLIDADA[Codigo],0)),"")</f>
        <v/>
      </c>
      <c r="DG428" s="188" t="str">
        <f t="array" ref="DG42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28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28" s="135">
        <f>IFERROR(SUM(Tabla_Buffers_Agroinsumos[[#This Row],[AN-MP]:[AN-VL]]),"")</f>
        <v>0</v>
      </c>
      <c r="DJ428" s="154" t="str">
        <f>IFERROR(Tabla_Buffers_Agroinsumos[[#This Row],[INV FIS AN]]-Tabla_Buffers_Agroinsumos[[#This Row],[BUFFER AN]],"")</f>
        <v/>
      </c>
      <c r="DK428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28" s="135"/>
      <c r="DM428" s="135"/>
      <c r="DN428" s="135"/>
      <c r="DO428" s="135"/>
      <c r="DP428" s="135"/>
      <c r="DQ428" s="135"/>
      <c r="DR428" s="135"/>
      <c r="DS428" s="135"/>
      <c r="DT428" s="135"/>
      <c r="DU428" s="135" t="str">
        <f t="array" ref="DU428">IFERROR(INDEX(TABLACONSOLIDADA[Buff Act],MATCH("AGROINSUMOSAGROQUIMICOSSUR"&amp;Tabla_Buffers_Agroinsumos[[#This Row],[CODIGO ]],TABLACONSOLIDADA[Bodega]&amp;TABLACONSOLIDADA[Codigo],0)),"")</f>
        <v/>
      </c>
      <c r="DV428" s="111" t="str">
        <f t="array" ref="DV428">IFERROR(INDEX(TABLACONSOLIDADA[Inv Fís Act],MATCH("AGROINSUMOSAGROQUIMICOSSUR"&amp;Tabla_Buffers_Agroinsumos[[#This Row],[CODIGO ]],TABLACONSOLIDADA[Bodega]&amp;TABLACONSOLIDADA[Codigo],0)),"")</f>
        <v/>
      </c>
      <c r="DW428" s="188" t="str">
        <f t="array" ref="DW42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28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28" s="135">
        <f>IFERROR(SUM(Tabla_Buffers_Agroinsumos[[#This Row],[AS-MP]:[AS-VL]]),"")</f>
        <v>0</v>
      </c>
      <c r="DZ428" s="154" t="str">
        <f>IFERROR(Tabla_Buffers_Agroinsumos[[#This Row],[INV FIS AS]]-Tabla_Buffers_Agroinsumos[[#This Row],[BUFFER AS]],"")</f>
        <v/>
      </c>
      <c r="EA428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28" s="135"/>
      <c r="EC428" s="135"/>
      <c r="ED428" s="135"/>
      <c r="EE428" s="135"/>
      <c r="EF428" s="135"/>
      <c r="EG428" s="135"/>
      <c r="EH428" s="135"/>
      <c r="EI428" s="135"/>
      <c r="EJ428" s="135"/>
      <c r="EK428" s="135" t="str">
        <f t="array" ref="EK428">IFERROR(INDEX(TABLACONSOLIDADA[Buff Act],MATCH("AGROINSUMOSLAFINCA"&amp;Tabla_Buffers_Agroinsumos[[#This Row],[CODIGO ]],TABLACONSOLIDADA[Bodega]&amp;TABLACONSOLIDADA[Codigo],0)),"")</f>
        <v/>
      </c>
      <c r="EL428" s="111" t="str">
        <f t="array" ref="EL428">IFERROR(INDEX(TABLACONSOLIDADA[Inv Fís Act],MATCH("AGROINSUMOSLAFINCA"&amp;Tabla_Buffers_Agroinsumos[[#This Row],[CODIGO ]],TABLACONSOLIDADA[Bodega]&amp;TABLACONSOLIDADA[Codigo],0)),"")</f>
        <v/>
      </c>
      <c r="EM428" s="188" t="str">
        <f t="array" ref="EM42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28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28" s="135">
        <f>IFERROR(SUM(Tabla_Buffers_Agroinsumos[[#This Row],[LF-MP]:[LF-VL]]),"")</f>
        <v>0</v>
      </c>
      <c r="EP428" s="154" t="str">
        <f>IFERROR(Tabla_Buffers_Agroinsumos[[#This Row],[INV FIS LF]]-Tabla_Buffers_Agroinsumos[[#This Row],[BUFFER LF]],"")</f>
        <v/>
      </c>
      <c r="EQ428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28" s="135"/>
      <c r="ES428" s="135"/>
      <c r="ET428" s="135"/>
      <c r="EU428" s="135"/>
      <c r="EV428" s="135"/>
      <c r="EW428" s="135"/>
      <c r="EX428" s="135"/>
      <c r="EY428" s="135"/>
      <c r="EZ428" s="135"/>
      <c r="FA428" s="135" t="str">
        <f t="array" ref="FA428">IFERROR(INDEX(TABLACONSOLIDADA[Buff Act],MATCH("AGROINSUMOSVERONICALEDESMA"&amp;Tabla_Buffers_Agroinsumos[[#This Row],[CODIGO ]],TABLACONSOLIDADA[Bodega]&amp;TABLACONSOLIDADA[Codigo],0)),"")</f>
        <v/>
      </c>
      <c r="FB428" s="111" t="str">
        <f t="array" ref="FB428">IFERROR(INDEX(TABLACONSOLIDADA[Inv Fís Act],MATCH("AGROINSUMOSVERONICALEDESMA"&amp;Tabla_Buffers_Agroinsumos[[#This Row],[CODIGO ]],TABLACONSOLIDADA[Bodega]&amp;TABLACONSOLIDADA[Codigo],0)),"")</f>
        <v/>
      </c>
      <c r="FC428" s="188" t="str">
        <f t="array" ref="FC42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28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28" s="135">
        <f>IFERROR(SUM(Tabla_Buffers_Agroinsumos[[#This Row],[VL-MP]:[VL-LF]]),"")</f>
        <v>0</v>
      </c>
      <c r="FF428" s="154" t="str">
        <f>IFERROR(Tabla_Buffers_Agroinsumos[[#This Row],[INV FIS VL]]-Tabla_Buffers_Agroinsumos[[#This Row],[BUFFER VL]],"")</f>
        <v/>
      </c>
      <c r="FG428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28" s="135"/>
      <c r="FI428" s="135"/>
      <c r="FJ428" s="135"/>
      <c r="FK428" s="135"/>
      <c r="FL428" s="135"/>
      <c r="FM428" s="135"/>
      <c r="FN428" s="135"/>
      <c r="FO428" s="135"/>
      <c r="FP428" s="135"/>
    </row>
    <row r="429" spans="1:172">
      <c r="A429" s="20" t="s">
        <v>1343</v>
      </c>
      <c r="B429" s="20" t="s">
        <v>1344</v>
      </c>
      <c r="C429" s="20" t="s">
        <v>707</v>
      </c>
      <c r="D429" s="20" t="s">
        <v>718</v>
      </c>
      <c r="E429" s="20" t="s">
        <v>863</v>
      </c>
      <c r="F429" s="111" t="s">
        <v>1313</v>
      </c>
      <c r="G429" s="111" t="s">
        <v>802</v>
      </c>
      <c r="H429" s="111" t="e">
        <f>VLOOKUP(Tabla_Buffers_Agroinsumos[[#This Row],[CODIGO ]],TABLACONSOLIDADA[[Codigo]:[PV]],6,0)</f>
        <v>#N/A</v>
      </c>
      <c r="I429" s="111" t="e">
        <f>VLOOKUP(Tabla_Buffers_Agroinsumos[[#This Row],[CODIGO ]],TABLACONSOLIDADA[[Codigo]:[PV]],5,0)</f>
        <v>#N/A</v>
      </c>
      <c r="J429" s="111"/>
      <c r="K429" s="111"/>
      <c r="L429" s="111">
        <f>IFERROR(Tabla_Buffers_Agroinsumos[[#This Row],[BUFFER CENTRAL]]/((Tabla_Buffers_Agroinsumos[[#This Row],[TIEMPO REPOSICION ]]/Tabla_Buffers_Agroinsumos[[#This Row],[FRECUENCIA]])+1),0)</f>
        <v>0</v>
      </c>
      <c r="M429" s="111">
        <v>300</v>
      </c>
      <c r="N429" s="111" t="str">
        <f t="array" ref="N429">IFERROR(INDEX(TABLACONSOLIDADA[Inv Fís Act],MATCH("AGROINSUMOSMATERIAPRIMA"&amp;Tabla_Buffers_Agroinsumos[[#This Row],[CODIGO ]],TABLACONSOLIDADA[Bodega]&amp;TABLACONSOLIDADA[Codigo],0)),"")</f>
        <v/>
      </c>
      <c r="O429" s="188" t="str">
        <f t="array" ref="O42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29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29" s="111">
        <f>IFERROR(SUM(Tabla_Buffers_Agroinsumos[[#This Row],[MP-C]:[MP-VL]]),"")</f>
        <v>0</v>
      </c>
      <c r="R429" s="154" t="str">
        <f>IFERROR(Tabla_Buffers_Agroinsumos[[#This Row],[INV FIS MATERIA PRIMA]]-Tabla_Buffers_Agroinsumos[[#This Row],[BUFFER MATERIA PRIMA]],"")</f>
        <v/>
      </c>
      <c r="S429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29" s="111"/>
      <c r="U429" s="111"/>
      <c r="V429" s="111"/>
      <c r="W429" s="111"/>
      <c r="X429" s="111"/>
      <c r="Y429" s="111"/>
      <c r="Z429" s="111"/>
      <c r="AA429" s="111"/>
      <c r="AB429" s="111"/>
      <c r="AC429" s="135" t="str">
        <f t="array" ref="AC429">IFERROR(INDEX(TABLACONSOLIDADA[Buff Act],MATCH("AGROINSUMOSCENTRAL"&amp;Tabla_Buffers_Agroinsumos[[#This Row],[CODIGO ]],TABLACONSOLIDADA[Bodega]&amp;TABLACONSOLIDADA[Codigo],0)),"")</f>
        <v/>
      </c>
      <c r="AD429" s="111" t="str">
        <f t="array" ref="AD429">IFERROR(INDEX(TABLACONSOLIDADA[Inv Fís Act],MATCH("AGROINSUMOSCENTRAL"&amp;Tabla_Buffers_Agroinsumos[[#This Row],[CODIGO ]],TABLACONSOLIDADA[Bodega]&amp;TABLACONSOLIDADA[Codigo],0)),"")</f>
        <v/>
      </c>
      <c r="AE429" s="188" t="str">
        <f t="array" ref="AE42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29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29" s="153">
        <f>IFERROR(SUM(Tabla_Buffers_Agroinsumos[[#This Row],[C-MP]:[C-VL]]),"")</f>
        <v>0</v>
      </c>
      <c r="AH429" s="154" t="str">
        <f>IFERROR(Tabla_Buffers_Agroinsumos[[#This Row],[INV FIS CENTRAL]]-Tabla_Buffers_Agroinsumos[[#This Row],[BUFFER CENTRAL]],"")</f>
        <v/>
      </c>
      <c r="AI429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29" s="135"/>
      <c r="AK429" s="135"/>
      <c r="AL429" s="135"/>
      <c r="AM429" s="135"/>
      <c r="AN429" s="135"/>
      <c r="AO429" s="135"/>
      <c r="AP429" s="135"/>
      <c r="AQ429" s="135"/>
      <c r="AR429" s="135"/>
      <c r="AS429" s="135" t="str">
        <f t="array" ref="AS429">IFERROR(INDEX(TABLACONSOLIDADA[Buff Act],MATCH("AGROINSUMOScentralPROPIA"&amp;Tabla_Buffers_Agroinsumos[[#This Row],[CODIGO ]],TABLACONSOLIDADA[Bodega]&amp;TABLACONSOLIDADA[Codigo],0)),"")</f>
        <v/>
      </c>
      <c r="AT429" s="111" t="str">
        <f t="array" ref="AT429">IFERROR(INDEX(TABLACONSOLIDADA[Inv Fís Act],MATCH("AGROINSUMOScentralPROPIA"&amp;Tabla_Buffers_Agroinsumos[[#This Row],[CODIGO ]],TABLACONSOLIDADA[Bodega]&amp;TABLACONSOLIDADA[Codigo],0)),"")</f>
        <v/>
      </c>
      <c r="AU429" s="188" t="str">
        <f t="array" ref="AU42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29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29" s="135">
        <f>IFERROR(SUM(Tabla_Buffers_Agroinsumos[[#This Row],[P-MP]:[P-VL]]),"")</f>
        <v>0</v>
      </c>
      <c r="AX429" s="154" t="str">
        <f>IFERROR(Tabla_Buffers_Agroinsumos[[#This Row],[INV FIS PROPIA]]-Tabla_Buffers_Agroinsumos[[#This Row],[BUFFER PROPIA]],"")</f>
        <v/>
      </c>
      <c r="AY429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29" s="135"/>
      <c r="BA429" s="135"/>
      <c r="BB429" s="135"/>
      <c r="BC429" s="135"/>
      <c r="BD429" s="135"/>
      <c r="BE429" s="135"/>
      <c r="BF429" s="135"/>
      <c r="BG429" s="135"/>
      <c r="BH429" s="135"/>
      <c r="BI429" s="153" t="str">
        <f t="array" ref="BI429">IFERROR(INDEX(TABLACONSOLIDADA[Buff Act],MATCH("AGROINSUMOSSTODOMINGO"&amp;Tabla_Buffers_Agroinsumos[[#This Row],[CODIGO ]],TABLACONSOLIDADA[Bodega]&amp;TABLACONSOLIDADA[Codigo],0)),"")</f>
        <v/>
      </c>
      <c r="BJ429" s="111" t="str">
        <f t="array" ref="BJ429">IFERROR(INDEX(TABLACONSOLIDADA[Inv Fís Act],MATCH("AGROINSUMOSSTODOMINGO"&amp;Tabla_Buffers_Agroinsumos[[#This Row],[CODIGO ]],TABLACONSOLIDADA[Bodega]&amp;TABLACONSOLIDADA[Codigo],0)),"")</f>
        <v/>
      </c>
      <c r="BK429" s="188" t="str">
        <f t="array" ref="BK42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29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29" s="153">
        <f>IFERROR(SUM(Tabla_Buffers_Agroinsumos[[#This Row],[SD-MP]:[SD-VL]]),"")</f>
        <v>0</v>
      </c>
      <c r="BN429" s="154"/>
      <c r="BO429" s="154"/>
      <c r="BP429" s="135"/>
      <c r="BQ429" s="135"/>
      <c r="BR429" s="135"/>
      <c r="BS429" s="135"/>
      <c r="BT429" s="135"/>
      <c r="BU429" s="135"/>
      <c r="BV429" s="135"/>
      <c r="BW429" s="135"/>
      <c r="BX429" s="135"/>
      <c r="BY429" s="135" t="str">
        <f t="array" ref="BY429">IFERROR(INDEX(TABLACONSOLIDADA[Buff Act],MATCH("AGROINSUMOSMONCAYOLOPEZ"&amp;Tabla_Buffers_Agroinsumos[[#This Row],[CODIGO ]],TABLACONSOLIDADA[Bodega]&amp;TABLACONSOLIDADA[Codigo],0)),"")</f>
        <v/>
      </c>
      <c r="BZ429" s="111" t="str">
        <f t="array" ref="BZ429">IFERROR(INDEX(TABLACONSOLIDADA[Inv Fís Act],MATCH("AGROINSUMOSMONCAYOLOPEZ"&amp;Tabla_Buffers_Agroinsumos[[#This Row],[CODIGO ]],TABLACONSOLIDADA[Bodega]&amp;TABLACONSOLIDADA[Codigo],0)),"")</f>
        <v/>
      </c>
      <c r="CA429" s="188" t="str">
        <f t="array" ref="CA42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29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29" s="135">
        <f>IFERROR(SUM(Tabla_Buffers_Agroinsumos[[#This Row],[ML-MP]:[ML-VL]]),"")</f>
        <v>0</v>
      </c>
      <c r="CD429" s="154" t="str">
        <f>IFERROR(Tabla_Buffers_Agroinsumos[[#This Row],[INV FIS ML]]-Tabla_Buffers_Agroinsumos[[#This Row],[BUFFER ML]],"")</f>
        <v/>
      </c>
      <c r="CE429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29" s="135"/>
      <c r="CG429" s="135"/>
      <c r="CH429" s="135"/>
      <c r="CI429" s="135"/>
      <c r="CJ429" s="135"/>
      <c r="CK429" s="135"/>
      <c r="CL429" s="135"/>
      <c r="CM429" s="135"/>
      <c r="CN429" s="135"/>
      <c r="CO429" s="135" t="str">
        <f t="array" ref="CO429">IFERROR(INDEX(TABLACONSOLIDADA[Buff Act],MATCH("AGROINSUMOSAGROHERMANOSLEON"&amp;Tabla_Buffers_Agroinsumos[[#This Row],[CODIGO ]],TABLACONSOLIDADA[Bodega]&amp;TABLACONSOLIDADA[Codigo],0)),"")</f>
        <v/>
      </c>
      <c r="CP429" s="111" t="str">
        <f t="array" ref="CP429">IFERROR(INDEX(TABLACONSOLIDADA[Inv Fís Act],MATCH("AGROINSUMOSAGROHERMANOSLEON"&amp;Tabla_Buffers_Agroinsumos[[#This Row],[CODIGO ]],TABLACONSOLIDADA[Bodega]&amp;TABLACONSOLIDADA[Codigo],0)),"")</f>
        <v/>
      </c>
      <c r="CQ429" s="188" t="str">
        <f t="array" ref="CQ42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29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29" s="135">
        <f>IFERROR(SUM(Tabla_Buffers_Agroinsumos[[#This Row],[AL-MP]:[AL-VL]]),"")</f>
        <v>0</v>
      </c>
      <c r="CT429" s="154" t="str">
        <f>IFERROR(Tabla_Buffers_Agroinsumos[[#This Row],[INV FIS AL]]-Tabla_Buffers_Agroinsumos[[#This Row],[BUFFER AL]],"")</f>
        <v/>
      </c>
      <c r="CU429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29" s="135"/>
      <c r="CW429" s="135"/>
      <c r="CX429" s="135"/>
      <c r="CY429" s="135"/>
      <c r="CZ429" s="135"/>
      <c r="DA429" s="135"/>
      <c r="DB429" s="135"/>
      <c r="DC429" s="135"/>
      <c r="DD429" s="135"/>
      <c r="DE429" s="135" t="str">
        <f t="array" ref="DE429">IFERROR(INDEX(TABLACONSOLIDADA[Buff Act],MATCH("AGROINSUMOSAGRONUEVO"&amp;Tabla_Buffers_Agroinsumos[[#This Row],[CODIGO ]],TABLACONSOLIDADA[Bodega]&amp;TABLACONSOLIDADA[Codigo],0)),"")</f>
        <v/>
      </c>
      <c r="DF429" s="111" t="str">
        <f t="array" ref="DF429">IFERROR(INDEX(TABLACONSOLIDADA[Inv Fís Act],MATCH("AGROINSUMOSAGRONUEVO"&amp;Tabla_Buffers_Agroinsumos[[#This Row],[CODIGO ]],TABLACONSOLIDADA[Bodega]&amp;TABLACONSOLIDADA[Codigo],0)),"")</f>
        <v/>
      </c>
      <c r="DG429" s="188" t="str">
        <f t="array" ref="DG42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29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29" s="135">
        <f>IFERROR(SUM(Tabla_Buffers_Agroinsumos[[#This Row],[AN-MP]:[AN-VL]]),"")</f>
        <v>0</v>
      </c>
      <c r="DJ429" s="154" t="str">
        <f>IFERROR(Tabla_Buffers_Agroinsumos[[#This Row],[INV FIS AN]]-Tabla_Buffers_Agroinsumos[[#This Row],[BUFFER AN]],"")</f>
        <v/>
      </c>
      <c r="DK429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29" s="135"/>
      <c r="DM429" s="135"/>
      <c r="DN429" s="135"/>
      <c r="DO429" s="135"/>
      <c r="DP429" s="135"/>
      <c r="DQ429" s="135"/>
      <c r="DR429" s="135"/>
      <c r="DS429" s="135"/>
      <c r="DT429" s="135"/>
      <c r="DU429" s="135" t="str">
        <f t="array" ref="DU429">IFERROR(INDEX(TABLACONSOLIDADA[Buff Act],MATCH("AGROINSUMOSAGROQUIMICOSSUR"&amp;Tabla_Buffers_Agroinsumos[[#This Row],[CODIGO ]],TABLACONSOLIDADA[Bodega]&amp;TABLACONSOLIDADA[Codigo],0)),"")</f>
        <v/>
      </c>
      <c r="DV429" s="111" t="str">
        <f t="array" ref="DV429">IFERROR(INDEX(TABLACONSOLIDADA[Inv Fís Act],MATCH("AGROINSUMOSAGROQUIMICOSSUR"&amp;Tabla_Buffers_Agroinsumos[[#This Row],[CODIGO ]],TABLACONSOLIDADA[Bodega]&amp;TABLACONSOLIDADA[Codigo],0)),"")</f>
        <v/>
      </c>
      <c r="DW429" s="188" t="str">
        <f t="array" ref="DW42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29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29" s="135">
        <f>IFERROR(SUM(Tabla_Buffers_Agroinsumos[[#This Row],[AS-MP]:[AS-VL]]),"")</f>
        <v>0</v>
      </c>
      <c r="DZ429" s="154" t="str">
        <f>IFERROR(Tabla_Buffers_Agroinsumos[[#This Row],[INV FIS AS]]-Tabla_Buffers_Agroinsumos[[#This Row],[BUFFER AS]],"")</f>
        <v/>
      </c>
      <c r="EA429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29" s="135"/>
      <c r="EC429" s="135"/>
      <c r="ED429" s="135"/>
      <c r="EE429" s="135"/>
      <c r="EF429" s="135"/>
      <c r="EG429" s="135"/>
      <c r="EH429" s="135"/>
      <c r="EI429" s="135"/>
      <c r="EJ429" s="135"/>
      <c r="EK429" s="135" t="str">
        <f t="array" ref="EK429">IFERROR(INDEX(TABLACONSOLIDADA[Buff Act],MATCH("AGROINSUMOSLAFINCA"&amp;Tabla_Buffers_Agroinsumos[[#This Row],[CODIGO ]],TABLACONSOLIDADA[Bodega]&amp;TABLACONSOLIDADA[Codigo],0)),"")</f>
        <v/>
      </c>
      <c r="EL429" s="111" t="str">
        <f t="array" ref="EL429">IFERROR(INDEX(TABLACONSOLIDADA[Inv Fís Act],MATCH("AGROINSUMOSLAFINCA"&amp;Tabla_Buffers_Agroinsumos[[#This Row],[CODIGO ]],TABLACONSOLIDADA[Bodega]&amp;TABLACONSOLIDADA[Codigo],0)),"")</f>
        <v/>
      </c>
      <c r="EM429" s="188" t="str">
        <f t="array" ref="EM42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29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29" s="135">
        <f>IFERROR(SUM(Tabla_Buffers_Agroinsumos[[#This Row],[LF-MP]:[LF-VL]]),"")</f>
        <v>0</v>
      </c>
      <c r="EP429" s="154" t="str">
        <f>IFERROR(Tabla_Buffers_Agroinsumos[[#This Row],[INV FIS LF]]-Tabla_Buffers_Agroinsumos[[#This Row],[BUFFER LF]],"")</f>
        <v/>
      </c>
      <c r="EQ429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29" s="135"/>
      <c r="ES429" s="135"/>
      <c r="ET429" s="135"/>
      <c r="EU429" s="135"/>
      <c r="EV429" s="135"/>
      <c r="EW429" s="135"/>
      <c r="EX429" s="135"/>
      <c r="EY429" s="135"/>
      <c r="EZ429" s="135"/>
      <c r="FA429" s="135" t="str">
        <f t="array" ref="FA429">IFERROR(INDEX(TABLACONSOLIDADA[Buff Act],MATCH("AGROINSUMOSVERONICALEDESMA"&amp;Tabla_Buffers_Agroinsumos[[#This Row],[CODIGO ]],TABLACONSOLIDADA[Bodega]&amp;TABLACONSOLIDADA[Codigo],0)),"")</f>
        <v/>
      </c>
      <c r="FB429" s="111" t="str">
        <f t="array" ref="FB429">IFERROR(INDEX(TABLACONSOLIDADA[Inv Fís Act],MATCH("AGROINSUMOSVERONICALEDESMA"&amp;Tabla_Buffers_Agroinsumos[[#This Row],[CODIGO ]],TABLACONSOLIDADA[Bodega]&amp;TABLACONSOLIDADA[Codigo],0)),"")</f>
        <v/>
      </c>
      <c r="FC429" s="188" t="str">
        <f t="array" ref="FC42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29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29" s="135">
        <f>IFERROR(SUM(Tabla_Buffers_Agroinsumos[[#This Row],[VL-MP]:[VL-LF]]),"")</f>
        <v>0</v>
      </c>
      <c r="FF429" s="154" t="str">
        <f>IFERROR(Tabla_Buffers_Agroinsumos[[#This Row],[INV FIS VL]]-Tabla_Buffers_Agroinsumos[[#This Row],[BUFFER VL]],"")</f>
        <v/>
      </c>
      <c r="FG429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29" s="135"/>
      <c r="FI429" s="135"/>
      <c r="FJ429" s="135"/>
      <c r="FK429" s="135"/>
      <c r="FL429" s="135"/>
      <c r="FM429" s="135"/>
      <c r="FN429" s="135"/>
      <c r="FO429" s="135"/>
      <c r="FP429" s="135"/>
    </row>
    <row r="430" spans="1:172">
      <c r="A430" s="20" t="s">
        <v>1345</v>
      </c>
      <c r="B430" s="20" t="s">
        <v>1346</v>
      </c>
      <c r="C430" s="20" t="s">
        <v>1347</v>
      </c>
      <c r="D430" s="20" t="s">
        <v>718</v>
      </c>
      <c r="E430" s="20" t="s">
        <v>863</v>
      </c>
      <c r="F430" s="111" t="s">
        <v>1348</v>
      </c>
      <c r="G430" s="111" t="s">
        <v>802</v>
      </c>
      <c r="H430" s="111" t="e">
        <f>VLOOKUP(Tabla_Buffers_Agroinsumos[[#This Row],[CODIGO ]],TABLACONSOLIDADA[[Codigo]:[PV]],6,0)</f>
        <v>#N/A</v>
      </c>
      <c r="I430" s="111" t="e">
        <f>VLOOKUP(Tabla_Buffers_Agroinsumos[[#This Row],[CODIGO ]],TABLACONSOLIDADA[[Codigo]:[PV]],5,0)</f>
        <v>#N/A</v>
      </c>
      <c r="J430" s="111"/>
      <c r="K430" s="111"/>
      <c r="L430" s="111">
        <f>IFERROR(Tabla_Buffers_Agroinsumos[[#This Row],[BUFFER CENTRAL]]/((Tabla_Buffers_Agroinsumos[[#This Row],[TIEMPO REPOSICION ]]/Tabla_Buffers_Agroinsumos[[#This Row],[FRECUENCIA]])+1),0)</f>
        <v>0</v>
      </c>
      <c r="M430" s="111">
        <v>1500</v>
      </c>
      <c r="N430" s="111" t="str">
        <f t="array" ref="N430">IFERROR(INDEX(TABLACONSOLIDADA[Inv Fís Act],MATCH("AGROINSUMOSMATERIAPRIMA"&amp;Tabla_Buffers_Agroinsumos[[#This Row],[CODIGO ]],TABLACONSOLIDADA[Bodega]&amp;TABLACONSOLIDADA[Codigo],0)),"")</f>
        <v/>
      </c>
      <c r="O430" s="188" t="str">
        <f t="array" ref="O43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30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30" s="111">
        <f>IFERROR(SUM(Tabla_Buffers_Agroinsumos[[#This Row],[MP-C]:[MP-VL]]),"")</f>
        <v>0</v>
      </c>
      <c r="R430" s="154" t="str">
        <f>IFERROR(Tabla_Buffers_Agroinsumos[[#This Row],[INV FIS MATERIA PRIMA]]-Tabla_Buffers_Agroinsumos[[#This Row],[BUFFER MATERIA PRIMA]],"")</f>
        <v/>
      </c>
      <c r="S430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30" s="111"/>
      <c r="U430" s="111"/>
      <c r="V430" s="111"/>
      <c r="W430" s="111"/>
      <c r="X430" s="111"/>
      <c r="Y430" s="111"/>
      <c r="Z430" s="111"/>
      <c r="AA430" s="111"/>
      <c r="AB430" s="111"/>
      <c r="AC430" s="135" t="str">
        <f t="array" ref="AC430">IFERROR(INDEX(TABLACONSOLIDADA[Buff Act],MATCH("AGROINSUMOSCENTRAL"&amp;Tabla_Buffers_Agroinsumos[[#This Row],[CODIGO ]],TABLACONSOLIDADA[Bodega]&amp;TABLACONSOLIDADA[Codigo],0)),"")</f>
        <v/>
      </c>
      <c r="AD430" s="111" t="str">
        <f t="array" ref="AD430">IFERROR(INDEX(TABLACONSOLIDADA[Inv Fís Act],MATCH("AGROINSUMOSCENTRAL"&amp;Tabla_Buffers_Agroinsumos[[#This Row],[CODIGO ]],TABLACONSOLIDADA[Bodega]&amp;TABLACONSOLIDADA[Codigo],0)),"")</f>
        <v/>
      </c>
      <c r="AE430" s="188" t="str">
        <f t="array" ref="AE43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30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30" s="153">
        <f>IFERROR(SUM(Tabla_Buffers_Agroinsumos[[#This Row],[C-MP]:[C-VL]]),"")</f>
        <v>0</v>
      </c>
      <c r="AH430" s="154" t="str">
        <f>IFERROR(Tabla_Buffers_Agroinsumos[[#This Row],[INV FIS CENTRAL]]-Tabla_Buffers_Agroinsumos[[#This Row],[BUFFER CENTRAL]],"")</f>
        <v/>
      </c>
      <c r="AI430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30" s="135"/>
      <c r="AK430" s="135"/>
      <c r="AL430" s="135"/>
      <c r="AM430" s="135"/>
      <c r="AN430" s="135"/>
      <c r="AO430" s="135"/>
      <c r="AP430" s="135"/>
      <c r="AQ430" s="135"/>
      <c r="AR430" s="135"/>
      <c r="AS430" s="135" t="str">
        <f t="array" ref="AS430">IFERROR(INDEX(TABLACONSOLIDADA[Buff Act],MATCH("AGROINSUMOScentralPROPIA"&amp;Tabla_Buffers_Agroinsumos[[#This Row],[CODIGO ]],TABLACONSOLIDADA[Bodega]&amp;TABLACONSOLIDADA[Codigo],0)),"")</f>
        <v/>
      </c>
      <c r="AT430" s="111" t="str">
        <f t="array" ref="AT430">IFERROR(INDEX(TABLACONSOLIDADA[Inv Fís Act],MATCH("AGROINSUMOScentralPROPIA"&amp;Tabla_Buffers_Agroinsumos[[#This Row],[CODIGO ]],TABLACONSOLIDADA[Bodega]&amp;TABLACONSOLIDADA[Codigo],0)),"")</f>
        <v/>
      </c>
      <c r="AU430" s="188" t="str">
        <f t="array" ref="AU43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30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30" s="135">
        <f>IFERROR(SUM(Tabla_Buffers_Agroinsumos[[#This Row],[P-MP]:[P-VL]]),"")</f>
        <v>0</v>
      </c>
      <c r="AX430" s="154" t="str">
        <f>IFERROR(Tabla_Buffers_Agroinsumos[[#This Row],[INV FIS PROPIA]]-Tabla_Buffers_Agroinsumos[[#This Row],[BUFFER PROPIA]],"")</f>
        <v/>
      </c>
      <c r="AY430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30" s="135"/>
      <c r="BA430" s="135"/>
      <c r="BB430" s="135"/>
      <c r="BC430" s="135"/>
      <c r="BD430" s="135"/>
      <c r="BE430" s="135"/>
      <c r="BF430" s="135"/>
      <c r="BG430" s="135"/>
      <c r="BH430" s="135"/>
      <c r="BI430" s="153" t="str">
        <f t="array" ref="BI430">IFERROR(INDEX(TABLACONSOLIDADA[Buff Act],MATCH("AGROINSUMOSSTODOMINGO"&amp;Tabla_Buffers_Agroinsumos[[#This Row],[CODIGO ]],TABLACONSOLIDADA[Bodega]&amp;TABLACONSOLIDADA[Codigo],0)),"")</f>
        <v/>
      </c>
      <c r="BJ430" s="111" t="str">
        <f t="array" ref="BJ430">IFERROR(INDEX(TABLACONSOLIDADA[Inv Fís Act],MATCH("AGROINSUMOSSTODOMINGO"&amp;Tabla_Buffers_Agroinsumos[[#This Row],[CODIGO ]],TABLACONSOLIDADA[Bodega]&amp;TABLACONSOLIDADA[Codigo],0)),"")</f>
        <v/>
      </c>
      <c r="BK430" s="188" t="str">
        <f t="array" ref="BK43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30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30" s="153">
        <f>IFERROR(SUM(Tabla_Buffers_Agroinsumos[[#This Row],[SD-MP]:[SD-VL]]),"")</f>
        <v>0</v>
      </c>
      <c r="BN430" s="154"/>
      <c r="BO430" s="154"/>
      <c r="BP430" s="135"/>
      <c r="BQ430" s="135"/>
      <c r="BR430" s="135"/>
      <c r="BS430" s="135"/>
      <c r="BT430" s="135"/>
      <c r="BU430" s="135"/>
      <c r="BV430" s="135"/>
      <c r="BW430" s="135"/>
      <c r="BX430" s="135"/>
      <c r="BY430" s="135" t="str">
        <f t="array" ref="BY430">IFERROR(INDEX(TABLACONSOLIDADA[Buff Act],MATCH("AGROINSUMOSMONCAYOLOPEZ"&amp;Tabla_Buffers_Agroinsumos[[#This Row],[CODIGO ]],TABLACONSOLIDADA[Bodega]&amp;TABLACONSOLIDADA[Codigo],0)),"")</f>
        <v/>
      </c>
      <c r="BZ430" s="111" t="str">
        <f t="array" ref="BZ430">IFERROR(INDEX(TABLACONSOLIDADA[Inv Fís Act],MATCH("AGROINSUMOSMONCAYOLOPEZ"&amp;Tabla_Buffers_Agroinsumos[[#This Row],[CODIGO ]],TABLACONSOLIDADA[Bodega]&amp;TABLACONSOLIDADA[Codigo],0)),"")</f>
        <v/>
      </c>
      <c r="CA430" s="188" t="str">
        <f t="array" ref="CA43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30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30" s="135">
        <f>IFERROR(SUM(Tabla_Buffers_Agroinsumos[[#This Row],[ML-MP]:[ML-VL]]),"")</f>
        <v>0</v>
      </c>
      <c r="CD430" s="154" t="str">
        <f>IFERROR(Tabla_Buffers_Agroinsumos[[#This Row],[INV FIS ML]]-Tabla_Buffers_Agroinsumos[[#This Row],[BUFFER ML]],"")</f>
        <v/>
      </c>
      <c r="CE430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30" s="135"/>
      <c r="CG430" s="135"/>
      <c r="CH430" s="135"/>
      <c r="CI430" s="135"/>
      <c r="CJ430" s="135"/>
      <c r="CK430" s="135"/>
      <c r="CL430" s="135"/>
      <c r="CM430" s="135"/>
      <c r="CN430" s="135"/>
      <c r="CO430" s="135" t="str">
        <f t="array" ref="CO430">IFERROR(INDEX(TABLACONSOLIDADA[Buff Act],MATCH("AGROINSUMOSAGROHERMANOSLEON"&amp;Tabla_Buffers_Agroinsumos[[#This Row],[CODIGO ]],TABLACONSOLIDADA[Bodega]&amp;TABLACONSOLIDADA[Codigo],0)),"")</f>
        <v/>
      </c>
      <c r="CP430" s="111" t="str">
        <f t="array" ref="CP430">IFERROR(INDEX(TABLACONSOLIDADA[Inv Fís Act],MATCH("AGROINSUMOSAGROHERMANOSLEON"&amp;Tabla_Buffers_Agroinsumos[[#This Row],[CODIGO ]],TABLACONSOLIDADA[Bodega]&amp;TABLACONSOLIDADA[Codigo],0)),"")</f>
        <v/>
      </c>
      <c r="CQ430" s="188" t="str">
        <f t="array" ref="CQ43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30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30" s="135">
        <f>IFERROR(SUM(Tabla_Buffers_Agroinsumos[[#This Row],[AL-MP]:[AL-VL]]),"")</f>
        <v>0</v>
      </c>
      <c r="CT430" s="154" t="str">
        <f>IFERROR(Tabla_Buffers_Agroinsumos[[#This Row],[INV FIS AL]]-Tabla_Buffers_Agroinsumos[[#This Row],[BUFFER AL]],"")</f>
        <v/>
      </c>
      <c r="CU430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30" s="135"/>
      <c r="CW430" s="135"/>
      <c r="CX430" s="135"/>
      <c r="CY430" s="135"/>
      <c r="CZ430" s="135"/>
      <c r="DA430" s="135"/>
      <c r="DB430" s="135"/>
      <c r="DC430" s="135"/>
      <c r="DD430" s="135"/>
      <c r="DE430" s="135" t="str">
        <f t="array" ref="DE430">IFERROR(INDEX(TABLACONSOLIDADA[Buff Act],MATCH("AGROINSUMOSAGRONUEVO"&amp;Tabla_Buffers_Agroinsumos[[#This Row],[CODIGO ]],TABLACONSOLIDADA[Bodega]&amp;TABLACONSOLIDADA[Codigo],0)),"")</f>
        <v/>
      </c>
      <c r="DF430" s="111" t="str">
        <f t="array" ref="DF430">IFERROR(INDEX(TABLACONSOLIDADA[Inv Fís Act],MATCH("AGROINSUMOSAGRONUEVO"&amp;Tabla_Buffers_Agroinsumos[[#This Row],[CODIGO ]],TABLACONSOLIDADA[Bodega]&amp;TABLACONSOLIDADA[Codigo],0)),"")</f>
        <v/>
      </c>
      <c r="DG430" s="188" t="str">
        <f t="array" ref="DG43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30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30" s="135">
        <f>IFERROR(SUM(Tabla_Buffers_Agroinsumos[[#This Row],[AN-MP]:[AN-VL]]),"")</f>
        <v>0</v>
      </c>
      <c r="DJ430" s="154" t="str">
        <f>IFERROR(Tabla_Buffers_Agroinsumos[[#This Row],[INV FIS AN]]-Tabla_Buffers_Agroinsumos[[#This Row],[BUFFER AN]],"")</f>
        <v/>
      </c>
      <c r="DK430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30" s="135"/>
      <c r="DM430" s="135"/>
      <c r="DN430" s="135"/>
      <c r="DO430" s="135"/>
      <c r="DP430" s="135"/>
      <c r="DQ430" s="135"/>
      <c r="DR430" s="135"/>
      <c r="DS430" s="135"/>
      <c r="DT430" s="135"/>
      <c r="DU430" s="135" t="str">
        <f t="array" ref="DU430">IFERROR(INDEX(TABLACONSOLIDADA[Buff Act],MATCH("AGROINSUMOSAGROQUIMICOSSUR"&amp;Tabla_Buffers_Agroinsumos[[#This Row],[CODIGO ]],TABLACONSOLIDADA[Bodega]&amp;TABLACONSOLIDADA[Codigo],0)),"")</f>
        <v/>
      </c>
      <c r="DV430" s="111" t="str">
        <f t="array" ref="DV430">IFERROR(INDEX(TABLACONSOLIDADA[Inv Fís Act],MATCH("AGROINSUMOSAGROQUIMICOSSUR"&amp;Tabla_Buffers_Agroinsumos[[#This Row],[CODIGO ]],TABLACONSOLIDADA[Bodega]&amp;TABLACONSOLIDADA[Codigo],0)),"")</f>
        <v/>
      </c>
      <c r="DW430" s="188" t="str">
        <f t="array" ref="DW43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30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30" s="135">
        <f>IFERROR(SUM(Tabla_Buffers_Agroinsumos[[#This Row],[AS-MP]:[AS-VL]]),"")</f>
        <v>0</v>
      </c>
      <c r="DZ430" s="154" t="str">
        <f>IFERROR(Tabla_Buffers_Agroinsumos[[#This Row],[INV FIS AS]]-Tabla_Buffers_Agroinsumos[[#This Row],[BUFFER AS]],"")</f>
        <v/>
      </c>
      <c r="EA430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30" s="135"/>
      <c r="EC430" s="135"/>
      <c r="ED430" s="135"/>
      <c r="EE430" s="135"/>
      <c r="EF430" s="135"/>
      <c r="EG430" s="135"/>
      <c r="EH430" s="135"/>
      <c r="EI430" s="135"/>
      <c r="EJ430" s="135"/>
      <c r="EK430" s="135" t="str">
        <f t="array" ref="EK430">IFERROR(INDEX(TABLACONSOLIDADA[Buff Act],MATCH("AGROINSUMOSLAFINCA"&amp;Tabla_Buffers_Agroinsumos[[#This Row],[CODIGO ]],TABLACONSOLIDADA[Bodega]&amp;TABLACONSOLIDADA[Codigo],0)),"")</f>
        <v/>
      </c>
      <c r="EL430" s="111" t="str">
        <f t="array" ref="EL430">IFERROR(INDEX(TABLACONSOLIDADA[Inv Fís Act],MATCH("AGROINSUMOSLAFINCA"&amp;Tabla_Buffers_Agroinsumos[[#This Row],[CODIGO ]],TABLACONSOLIDADA[Bodega]&amp;TABLACONSOLIDADA[Codigo],0)),"")</f>
        <v/>
      </c>
      <c r="EM430" s="188" t="str">
        <f t="array" ref="EM43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30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30" s="135">
        <f>IFERROR(SUM(Tabla_Buffers_Agroinsumos[[#This Row],[LF-MP]:[LF-VL]]),"")</f>
        <v>0</v>
      </c>
      <c r="EP430" s="154" t="str">
        <f>IFERROR(Tabla_Buffers_Agroinsumos[[#This Row],[INV FIS LF]]-Tabla_Buffers_Agroinsumos[[#This Row],[BUFFER LF]],"")</f>
        <v/>
      </c>
      <c r="EQ430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30" s="135"/>
      <c r="ES430" s="135"/>
      <c r="ET430" s="135"/>
      <c r="EU430" s="135"/>
      <c r="EV430" s="135"/>
      <c r="EW430" s="135"/>
      <c r="EX430" s="135"/>
      <c r="EY430" s="135"/>
      <c r="EZ430" s="135"/>
      <c r="FA430" s="135" t="str">
        <f t="array" ref="FA430">IFERROR(INDEX(TABLACONSOLIDADA[Buff Act],MATCH("AGROINSUMOSVERONICALEDESMA"&amp;Tabla_Buffers_Agroinsumos[[#This Row],[CODIGO ]],TABLACONSOLIDADA[Bodega]&amp;TABLACONSOLIDADA[Codigo],0)),"")</f>
        <v/>
      </c>
      <c r="FB430" s="111" t="str">
        <f t="array" ref="FB430">IFERROR(INDEX(TABLACONSOLIDADA[Inv Fís Act],MATCH("AGROINSUMOSVERONICALEDESMA"&amp;Tabla_Buffers_Agroinsumos[[#This Row],[CODIGO ]],TABLACONSOLIDADA[Bodega]&amp;TABLACONSOLIDADA[Codigo],0)),"")</f>
        <v/>
      </c>
      <c r="FC430" s="188" t="str">
        <f t="array" ref="FC43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30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30" s="135">
        <f>IFERROR(SUM(Tabla_Buffers_Agroinsumos[[#This Row],[VL-MP]:[VL-LF]]),"")</f>
        <v>0</v>
      </c>
      <c r="FF430" s="154" t="str">
        <f>IFERROR(Tabla_Buffers_Agroinsumos[[#This Row],[INV FIS VL]]-Tabla_Buffers_Agroinsumos[[#This Row],[BUFFER VL]],"")</f>
        <v/>
      </c>
      <c r="FG430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30" s="135"/>
      <c r="FI430" s="135"/>
      <c r="FJ430" s="135"/>
      <c r="FK430" s="135"/>
      <c r="FL430" s="135"/>
      <c r="FM430" s="135"/>
      <c r="FN430" s="135"/>
      <c r="FO430" s="135"/>
      <c r="FP430" s="135"/>
    </row>
    <row r="431" spans="1:172">
      <c r="A431" s="20" t="s">
        <v>1349</v>
      </c>
      <c r="B431" s="20" t="s">
        <v>1350</v>
      </c>
      <c r="C431" s="20" t="s">
        <v>1347</v>
      </c>
      <c r="D431" s="20" t="s">
        <v>1319</v>
      </c>
      <c r="E431" s="20" t="s">
        <v>975</v>
      </c>
      <c r="F431" s="111" t="s">
        <v>1348</v>
      </c>
      <c r="G431" s="111" t="s">
        <v>802</v>
      </c>
      <c r="H431" s="111" t="e">
        <f>VLOOKUP(Tabla_Buffers_Agroinsumos[[#This Row],[CODIGO ]],TABLACONSOLIDADA[[Codigo]:[PV]],6,0)</f>
        <v>#N/A</v>
      </c>
      <c r="I431" s="111" t="e">
        <f>VLOOKUP(Tabla_Buffers_Agroinsumos[[#This Row],[CODIGO ]],TABLACONSOLIDADA[[Codigo]:[PV]],5,0)</f>
        <v>#N/A</v>
      </c>
      <c r="J431" s="111"/>
      <c r="K431" s="111"/>
      <c r="L431" s="111">
        <f>IFERROR(Tabla_Buffers_Agroinsumos[[#This Row],[BUFFER CENTRAL]]/((Tabla_Buffers_Agroinsumos[[#This Row],[TIEMPO REPOSICION ]]/Tabla_Buffers_Agroinsumos[[#This Row],[FRECUENCIA]])+1),0)</f>
        <v>0</v>
      </c>
      <c r="M431" s="111" t="str">
        <f t="array" ref="M431">IFERROR(INDEX(TABLACONSOLIDADA[Buff Act],MATCH("AGROINSUMOSMATERIAPRIMA"&amp;Tabla_Buffers_Agroinsumos[[#This Row],[CODIGO ]],TABLACONSOLIDADA[Bodega]&amp;TABLACONSOLIDADA[Codigo],0)),"")</f>
        <v/>
      </c>
      <c r="N431" s="111" t="str">
        <f t="array" ref="N431">IFERROR(INDEX(TABLACONSOLIDADA[Inv Fís Act],MATCH("AGROINSUMOSMATERIAPRIMA"&amp;Tabla_Buffers_Agroinsumos[[#This Row],[CODIGO ]],TABLACONSOLIDADA[Bodega]&amp;TABLACONSOLIDADA[Codigo],0)),"")</f>
        <v/>
      </c>
      <c r="O431" s="188" t="str">
        <f t="array" ref="O43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31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31" s="111">
        <f>IFERROR(SUM(Tabla_Buffers_Agroinsumos[[#This Row],[MP-C]:[MP-VL]]),"")</f>
        <v>0</v>
      </c>
      <c r="R431" s="154" t="str">
        <f>IFERROR(Tabla_Buffers_Agroinsumos[[#This Row],[INV FIS MATERIA PRIMA]]-Tabla_Buffers_Agroinsumos[[#This Row],[BUFFER MATERIA PRIMA]],"")</f>
        <v/>
      </c>
      <c r="S431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31" s="111"/>
      <c r="U431" s="111"/>
      <c r="V431" s="111"/>
      <c r="W431" s="111"/>
      <c r="X431" s="111"/>
      <c r="Y431" s="111"/>
      <c r="Z431" s="111"/>
      <c r="AA431" s="111"/>
      <c r="AB431" s="111"/>
      <c r="AC431" s="135">
        <v>1000</v>
      </c>
      <c r="AD431" s="111" t="str">
        <f t="array" ref="AD431">IFERROR(INDEX(TABLACONSOLIDADA[Inv Fís Act],MATCH("AGROINSUMOSCENTRAL"&amp;Tabla_Buffers_Agroinsumos[[#This Row],[CODIGO ]],TABLACONSOLIDADA[Bodega]&amp;TABLACONSOLIDADA[Codigo],0)),"")</f>
        <v/>
      </c>
      <c r="AE431" s="188" t="str">
        <f t="array" ref="AE43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31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31" s="153">
        <f>IFERROR(SUM(Tabla_Buffers_Agroinsumos[[#This Row],[C-MP]:[C-VL]]),"")</f>
        <v>0</v>
      </c>
      <c r="AH431" s="154" t="str">
        <f>IFERROR(Tabla_Buffers_Agroinsumos[[#This Row],[INV FIS CENTRAL]]-Tabla_Buffers_Agroinsumos[[#This Row],[BUFFER CENTRAL]],"")</f>
        <v/>
      </c>
      <c r="AI431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31" s="135"/>
      <c r="AK431" s="135"/>
      <c r="AL431" s="135"/>
      <c r="AM431" s="135"/>
      <c r="AN431" s="135"/>
      <c r="AO431" s="135"/>
      <c r="AP431" s="135"/>
      <c r="AQ431" s="135"/>
      <c r="AR431" s="135"/>
      <c r="AS431" s="135" t="str">
        <f t="array" ref="AS431">IFERROR(INDEX(TABLACONSOLIDADA[Buff Act],MATCH("AGROINSUMOScentralPROPIA"&amp;Tabla_Buffers_Agroinsumos[[#This Row],[CODIGO ]],TABLACONSOLIDADA[Bodega]&amp;TABLACONSOLIDADA[Codigo],0)),"")</f>
        <v/>
      </c>
      <c r="AT431" s="111" t="str">
        <f t="array" ref="AT431">IFERROR(INDEX(TABLACONSOLIDADA[Inv Fís Act],MATCH("AGROINSUMOScentralPROPIA"&amp;Tabla_Buffers_Agroinsumos[[#This Row],[CODIGO ]],TABLACONSOLIDADA[Bodega]&amp;TABLACONSOLIDADA[Codigo],0)),"")</f>
        <v/>
      </c>
      <c r="AU431" s="188" t="str">
        <f t="array" ref="AU43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31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31" s="135">
        <f>IFERROR(SUM(Tabla_Buffers_Agroinsumos[[#This Row],[P-MP]:[P-VL]]),"")</f>
        <v>0</v>
      </c>
      <c r="AX431" s="154" t="str">
        <f>IFERROR(Tabla_Buffers_Agroinsumos[[#This Row],[INV FIS PROPIA]]-Tabla_Buffers_Agroinsumos[[#This Row],[BUFFER PROPIA]],"")</f>
        <v/>
      </c>
      <c r="AY431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31" s="135"/>
      <c r="BA431" s="135"/>
      <c r="BB431" s="135"/>
      <c r="BC431" s="135"/>
      <c r="BD431" s="135"/>
      <c r="BE431" s="135"/>
      <c r="BF431" s="135"/>
      <c r="BG431" s="135"/>
      <c r="BH431" s="135"/>
      <c r="BI431" s="153" t="str">
        <f t="array" ref="BI431">IFERROR(INDEX(TABLACONSOLIDADA[Buff Act],MATCH("AGROINSUMOSSTODOMINGO"&amp;Tabla_Buffers_Agroinsumos[[#This Row],[CODIGO ]],TABLACONSOLIDADA[Bodega]&amp;TABLACONSOLIDADA[Codigo],0)),"")</f>
        <v/>
      </c>
      <c r="BJ431" s="111" t="str">
        <f t="array" ref="BJ431">IFERROR(INDEX(TABLACONSOLIDADA[Inv Fís Act],MATCH("AGROINSUMOSSTODOMINGO"&amp;Tabla_Buffers_Agroinsumos[[#This Row],[CODIGO ]],TABLACONSOLIDADA[Bodega]&amp;TABLACONSOLIDADA[Codigo],0)),"")</f>
        <v/>
      </c>
      <c r="BK431" s="188" t="str">
        <f t="array" ref="BK43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31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31" s="153">
        <f>IFERROR(SUM(Tabla_Buffers_Agroinsumos[[#This Row],[SD-MP]:[SD-VL]]),"")</f>
        <v>0</v>
      </c>
      <c r="BN431" s="154"/>
      <c r="BO431" s="154"/>
      <c r="BP431" s="135"/>
      <c r="BQ431" s="135"/>
      <c r="BR431" s="135"/>
      <c r="BS431" s="135"/>
      <c r="BT431" s="135"/>
      <c r="BU431" s="135"/>
      <c r="BV431" s="135"/>
      <c r="BW431" s="135"/>
      <c r="BX431" s="135"/>
      <c r="BY431" s="135" t="str">
        <f t="array" ref="BY431">IFERROR(INDEX(TABLACONSOLIDADA[Buff Act],MATCH("AGROINSUMOSMONCAYOLOPEZ"&amp;Tabla_Buffers_Agroinsumos[[#This Row],[CODIGO ]],TABLACONSOLIDADA[Bodega]&amp;TABLACONSOLIDADA[Codigo],0)),"")</f>
        <v/>
      </c>
      <c r="BZ431" s="111" t="str">
        <f t="array" ref="BZ431">IFERROR(INDEX(TABLACONSOLIDADA[Inv Fís Act],MATCH("AGROINSUMOSMONCAYOLOPEZ"&amp;Tabla_Buffers_Agroinsumos[[#This Row],[CODIGO ]],TABLACONSOLIDADA[Bodega]&amp;TABLACONSOLIDADA[Codigo],0)),"")</f>
        <v/>
      </c>
      <c r="CA431" s="188" t="str">
        <f t="array" ref="CA43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31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31" s="135">
        <f>IFERROR(SUM(Tabla_Buffers_Agroinsumos[[#This Row],[ML-MP]:[ML-VL]]),"")</f>
        <v>0</v>
      </c>
      <c r="CD431" s="154" t="str">
        <f>IFERROR(Tabla_Buffers_Agroinsumos[[#This Row],[INV FIS ML]]-Tabla_Buffers_Agroinsumos[[#This Row],[BUFFER ML]],"")</f>
        <v/>
      </c>
      <c r="CE431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31" s="135"/>
      <c r="CG431" s="135"/>
      <c r="CH431" s="135"/>
      <c r="CI431" s="135"/>
      <c r="CJ431" s="135"/>
      <c r="CK431" s="135"/>
      <c r="CL431" s="135"/>
      <c r="CM431" s="135"/>
      <c r="CN431" s="135"/>
      <c r="CO431" s="135" t="str">
        <f t="array" ref="CO431">IFERROR(INDEX(TABLACONSOLIDADA[Buff Act],MATCH("AGROINSUMOSAGROHERMANOSLEON"&amp;Tabla_Buffers_Agroinsumos[[#This Row],[CODIGO ]],TABLACONSOLIDADA[Bodega]&amp;TABLACONSOLIDADA[Codigo],0)),"")</f>
        <v/>
      </c>
      <c r="CP431" s="111" t="str">
        <f t="array" ref="CP431">IFERROR(INDEX(TABLACONSOLIDADA[Inv Fís Act],MATCH("AGROINSUMOSAGROHERMANOSLEON"&amp;Tabla_Buffers_Agroinsumos[[#This Row],[CODIGO ]],TABLACONSOLIDADA[Bodega]&amp;TABLACONSOLIDADA[Codigo],0)),"")</f>
        <v/>
      </c>
      <c r="CQ431" s="188" t="str">
        <f t="array" ref="CQ43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31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31" s="135">
        <f>IFERROR(SUM(Tabla_Buffers_Agroinsumos[[#This Row],[AL-MP]:[AL-VL]]),"")</f>
        <v>0</v>
      </c>
      <c r="CT431" s="154" t="str">
        <f>IFERROR(Tabla_Buffers_Agroinsumos[[#This Row],[INV FIS AL]]-Tabla_Buffers_Agroinsumos[[#This Row],[BUFFER AL]],"")</f>
        <v/>
      </c>
      <c r="CU431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31" s="135"/>
      <c r="CW431" s="135"/>
      <c r="CX431" s="135"/>
      <c r="CY431" s="135"/>
      <c r="CZ431" s="135"/>
      <c r="DA431" s="135"/>
      <c r="DB431" s="135"/>
      <c r="DC431" s="135"/>
      <c r="DD431" s="135"/>
      <c r="DE431" s="135" t="str">
        <f t="array" ref="DE431">IFERROR(INDEX(TABLACONSOLIDADA[Buff Act],MATCH("AGROINSUMOSAGRONUEVO"&amp;Tabla_Buffers_Agroinsumos[[#This Row],[CODIGO ]],TABLACONSOLIDADA[Bodega]&amp;TABLACONSOLIDADA[Codigo],0)),"")</f>
        <v/>
      </c>
      <c r="DF431" s="111" t="str">
        <f t="array" ref="DF431">IFERROR(INDEX(TABLACONSOLIDADA[Inv Fís Act],MATCH("AGROINSUMOSAGRONUEVO"&amp;Tabla_Buffers_Agroinsumos[[#This Row],[CODIGO ]],TABLACONSOLIDADA[Bodega]&amp;TABLACONSOLIDADA[Codigo],0)),"")</f>
        <v/>
      </c>
      <c r="DG431" s="188" t="str">
        <f t="array" ref="DG43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31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31" s="135">
        <f>IFERROR(SUM(Tabla_Buffers_Agroinsumos[[#This Row],[AN-MP]:[AN-VL]]),"")</f>
        <v>0</v>
      </c>
      <c r="DJ431" s="154" t="str">
        <f>IFERROR(Tabla_Buffers_Agroinsumos[[#This Row],[INV FIS AN]]-Tabla_Buffers_Agroinsumos[[#This Row],[BUFFER AN]],"")</f>
        <v/>
      </c>
      <c r="DK431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31" s="135"/>
      <c r="DM431" s="135"/>
      <c r="DN431" s="135"/>
      <c r="DO431" s="135"/>
      <c r="DP431" s="135"/>
      <c r="DQ431" s="135"/>
      <c r="DR431" s="135"/>
      <c r="DS431" s="135"/>
      <c r="DT431" s="135"/>
      <c r="DU431" s="135" t="str">
        <f t="array" ref="DU431">IFERROR(INDEX(TABLACONSOLIDADA[Buff Act],MATCH("AGROINSUMOSAGROQUIMICOSSUR"&amp;Tabla_Buffers_Agroinsumos[[#This Row],[CODIGO ]],TABLACONSOLIDADA[Bodega]&amp;TABLACONSOLIDADA[Codigo],0)),"")</f>
        <v/>
      </c>
      <c r="DV431" s="111" t="str">
        <f t="array" ref="DV431">IFERROR(INDEX(TABLACONSOLIDADA[Inv Fís Act],MATCH("AGROINSUMOSAGROQUIMICOSSUR"&amp;Tabla_Buffers_Agroinsumos[[#This Row],[CODIGO ]],TABLACONSOLIDADA[Bodega]&amp;TABLACONSOLIDADA[Codigo],0)),"")</f>
        <v/>
      </c>
      <c r="DW431" s="188" t="str">
        <f t="array" ref="DW43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31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31" s="135">
        <f>IFERROR(SUM(Tabla_Buffers_Agroinsumos[[#This Row],[AS-MP]:[AS-VL]]),"")</f>
        <v>0</v>
      </c>
      <c r="DZ431" s="154" t="str">
        <f>IFERROR(Tabla_Buffers_Agroinsumos[[#This Row],[INV FIS AS]]-Tabla_Buffers_Agroinsumos[[#This Row],[BUFFER AS]],"")</f>
        <v/>
      </c>
      <c r="EA431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31" s="135"/>
      <c r="EC431" s="135"/>
      <c r="ED431" s="135"/>
      <c r="EE431" s="135"/>
      <c r="EF431" s="135"/>
      <c r="EG431" s="135"/>
      <c r="EH431" s="135"/>
      <c r="EI431" s="135"/>
      <c r="EJ431" s="135"/>
      <c r="EK431" s="135" t="str">
        <f t="array" ref="EK431">IFERROR(INDEX(TABLACONSOLIDADA[Buff Act],MATCH("AGROINSUMOSLAFINCA"&amp;Tabla_Buffers_Agroinsumos[[#This Row],[CODIGO ]],TABLACONSOLIDADA[Bodega]&amp;TABLACONSOLIDADA[Codigo],0)),"")</f>
        <v/>
      </c>
      <c r="EL431" s="111" t="str">
        <f t="array" ref="EL431">IFERROR(INDEX(TABLACONSOLIDADA[Inv Fís Act],MATCH("AGROINSUMOSLAFINCA"&amp;Tabla_Buffers_Agroinsumos[[#This Row],[CODIGO ]],TABLACONSOLIDADA[Bodega]&amp;TABLACONSOLIDADA[Codigo],0)),"")</f>
        <v/>
      </c>
      <c r="EM431" s="188" t="str">
        <f t="array" ref="EM43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31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31" s="135">
        <f>IFERROR(SUM(Tabla_Buffers_Agroinsumos[[#This Row],[LF-MP]:[LF-VL]]),"")</f>
        <v>0</v>
      </c>
      <c r="EP431" s="154" t="str">
        <f>IFERROR(Tabla_Buffers_Agroinsumos[[#This Row],[INV FIS LF]]-Tabla_Buffers_Agroinsumos[[#This Row],[BUFFER LF]],"")</f>
        <v/>
      </c>
      <c r="EQ431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31" s="135"/>
      <c r="ES431" s="135"/>
      <c r="ET431" s="135"/>
      <c r="EU431" s="135"/>
      <c r="EV431" s="135"/>
      <c r="EW431" s="135"/>
      <c r="EX431" s="135"/>
      <c r="EY431" s="135"/>
      <c r="EZ431" s="135"/>
      <c r="FA431" s="135" t="str">
        <f t="array" ref="FA431">IFERROR(INDEX(TABLACONSOLIDADA[Buff Act],MATCH("AGROINSUMOSVERONICALEDESMA"&amp;Tabla_Buffers_Agroinsumos[[#This Row],[CODIGO ]],TABLACONSOLIDADA[Bodega]&amp;TABLACONSOLIDADA[Codigo],0)),"")</f>
        <v/>
      </c>
      <c r="FB431" s="111" t="str">
        <f t="array" ref="FB431">IFERROR(INDEX(TABLACONSOLIDADA[Inv Fís Act],MATCH("AGROINSUMOSVERONICALEDESMA"&amp;Tabla_Buffers_Agroinsumos[[#This Row],[CODIGO ]],TABLACONSOLIDADA[Bodega]&amp;TABLACONSOLIDADA[Codigo],0)),"")</f>
        <v/>
      </c>
      <c r="FC431" s="188" t="str">
        <f t="array" ref="FC43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31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31" s="135">
        <f>IFERROR(SUM(Tabla_Buffers_Agroinsumos[[#This Row],[VL-MP]:[VL-LF]]),"")</f>
        <v>0</v>
      </c>
      <c r="FF431" s="154" t="str">
        <f>IFERROR(Tabla_Buffers_Agroinsumos[[#This Row],[INV FIS VL]]-Tabla_Buffers_Agroinsumos[[#This Row],[BUFFER VL]],"")</f>
        <v/>
      </c>
      <c r="FG431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31" s="135"/>
      <c r="FI431" s="135"/>
      <c r="FJ431" s="135"/>
      <c r="FK431" s="135"/>
      <c r="FL431" s="135"/>
      <c r="FM431" s="135"/>
      <c r="FN431" s="135"/>
      <c r="FO431" s="135"/>
      <c r="FP431" s="135"/>
    </row>
    <row r="432" spans="1:172">
      <c r="A432" s="7" t="s">
        <v>1351</v>
      </c>
      <c r="B432" s="7" t="s">
        <v>1353</v>
      </c>
      <c r="C432" s="20" t="s">
        <v>716</v>
      </c>
      <c r="D432" s="20" t="s">
        <v>718</v>
      </c>
      <c r="E432" s="7" t="s">
        <v>863</v>
      </c>
      <c r="F432" s="19" t="s">
        <v>1332</v>
      </c>
      <c r="G432" s="19" t="s">
        <v>802</v>
      </c>
      <c r="H432" s="19" t="e">
        <f>VLOOKUP(Tabla_Buffers_Agroinsumos[[#This Row],[CODIGO ]],TABLACONSOLIDADA[[Codigo]:[PV]],6,0)</f>
        <v>#N/A</v>
      </c>
      <c r="I432" s="19" t="e">
        <f>VLOOKUP(Tabla_Buffers_Agroinsumos[[#This Row],[CODIGO ]],TABLACONSOLIDADA[[Codigo]:[PV]],5,0)</f>
        <v>#N/A</v>
      </c>
      <c r="J432" s="19"/>
      <c r="K432" s="19"/>
      <c r="L432" s="19">
        <f>IFERROR(Tabla_Buffers_Agroinsumos[[#This Row],[BUFFER CENTRAL]]/((Tabla_Buffers_Agroinsumos[[#This Row],[TIEMPO REPOSICION ]]/Tabla_Buffers_Agroinsumos[[#This Row],[FRECUENCIA]])+1),0)</f>
        <v>0</v>
      </c>
      <c r="M432" s="19" t="str">
        <f t="array" ref="M432">IFERROR(INDEX(TABLACONSOLIDADA[Buff Act],MATCH("AGROINSUMOSMATERIAPRIMA"&amp;Tabla_Buffers_Agroinsumos[[#This Row],[CODIGO ]],TABLACONSOLIDADA[Bodega]&amp;TABLACONSOLIDADA[Codigo],0)),"")</f>
        <v/>
      </c>
      <c r="N432" s="19" t="str">
        <f t="array" ref="N432">IFERROR(INDEX(TABLACONSOLIDADA[Inv Fís Act],MATCH("AGROINSUMOSMATERIAPRIMA"&amp;Tabla_Buffers_Agroinsumos[[#This Row],[CODIGO ]],TABLACONSOLIDADA[Bodega]&amp;TABLACONSOLIDADA[Codigo],0)),"")</f>
        <v/>
      </c>
      <c r="O432" s="160" t="str">
        <f t="array" ref="O43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3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32" s="19">
        <f>IFERROR(SUM(Tabla_Buffers_Agroinsumos[[#This Row],[MP-C]:[MP-VL]]),"")</f>
        <v>0</v>
      </c>
      <c r="R432" s="92" t="str">
        <f>IFERROR(Tabla_Buffers_Agroinsumos[[#This Row],[INV FIS MATERIA PRIMA]]-Tabla_Buffers_Agroinsumos[[#This Row],[BUFFER MATERIA PRIMA]],"")</f>
        <v/>
      </c>
      <c r="S432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32" s="19"/>
      <c r="U432" s="19"/>
      <c r="V432" s="19"/>
      <c r="W432" s="19"/>
      <c r="X432" s="19"/>
      <c r="Y432" s="19"/>
      <c r="Z432" s="19"/>
      <c r="AA432" s="19"/>
      <c r="AB432" s="19"/>
      <c r="AC432" s="152" t="str">
        <f t="array" ref="AC432">IFERROR(INDEX(TABLACONSOLIDADA[Buff Act],MATCH("AGROINSUMOSCENTRAL"&amp;Tabla_Buffers_Agroinsumos[[#This Row],[CODIGO ]],TABLACONSOLIDADA[Bodega]&amp;TABLACONSOLIDADA[Codigo],0)),"")</f>
        <v/>
      </c>
      <c r="AD432" s="19" t="str">
        <f t="array" ref="AD432">IFERROR(INDEX(TABLACONSOLIDADA[Inv Fís Act],MATCH("AGROINSUMOSCENTRAL"&amp;Tabla_Buffers_Agroinsumos[[#This Row],[CODIGO ]],TABLACONSOLIDADA[Bodega]&amp;TABLACONSOLIDADA[Codigo],0)),"")</f>
        <v/>
      </c>
      <c r="AE432" s="160" t="str">
        <f t="array" ref="AE43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3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32" s="91">
        <f>IFERROR(SUM(Tabla_Buffers_Agroinsumos[[#This Row],[C-MP]:[C-VL]]),"")</f>
        <v>0</v>
      </c>
      <c r="AH432" s="92" t="str">
        <f>IFERROR(Tabla_Buffers_Agroinsumos[[#This Row],[INV FIS CENTRAL]]-Tabla_Buffers_Agroinsumos[[#This Row],[BUFFER CENTRAL]],"")</f>
        <v/>
      </c>
      <c r="AI43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32" s="134"/>
      <c r="AK432" s="134"/>
      <c r="AL432" s="134"/>
      <c r="AM432" s="134"/>
      <c r="AN432" s="134"/>
      <c r="AO432" s="134"/>
      <c r="AP432" s="134"/>
      <c r="AQ432" s="134"/>
      <c r="AR432" s="134"/>
      <c r="AS432" s="134" t="str">
        <f t="array" ref="AS432">IFERROR(INDEX(TABLACONSOLIDADA[Buff Act],MATCH("AGROINSUMOScentralPROPIA"&amp;Tabla_Buffers_Agroinsumos[[#This Row],[CODIGO ]],TABLACONSOLIDADA[Bodega]&amp;TABLACONSOLIDADA[Codigo],0)),"")</f>
        <v/>
      </c>
      <c r="AT432" s="19" t="str">
        <f t="array" ref="AT432">IFERROR(INDEX(TABLACONSOLIDADA[Inv Fís Act],MATCH("AGROINSUMOScentralPROPIA"&amp;Tabla_Buffers_Agroinsumos[[#This Row],[CODIGO ]],TABLACONSOLIDADA[Bodega]&amp;TABLACONSOLIDADA[Codigo],0)),"")</f>
        <v/>
      </c>
      <c r="AU432" s="160" t="str">
        <f t="array" ref="AU43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3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32" s="134">
        <f>IFERROR(SUM(Tabla_Buffers_Agroinsumos[[#This Row],[P-MP]:[P-VL]]),"")</f>
        <v>0</v>
      </c>
      <c r="AX432" s="92" t="str">
        <f>IFERROR(Tabla_Buffers_Agroinsumos[[#This Row],[INV FIS PROPIA]]-Tabla_Buffers_Agroinsumos[[#This Row],[BUFFER PROPIA]],"")</f>
        <v/>
      </c>
      <c r="AY43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32" s="134"/>
      <c r="BA432" s="134"/>
      <c r="BB432" s="134"/>
      <c r="BC432" s="134"/>
      <c r="BD432" s="134"/>
      <c r="BE432" s="134"/>
      <c r="BF432" s="134"/>
      <c r="BG432" s="134"/>
      <c r="BH432" s="134"/>
      <c r="BI432" s="91" t="str">
        <f t="array" ref="BI432">IFERROR(INDEX(TABLACONSOLIDADA[Buff Act],MATCH("AGROINSUMOSSTODOMINGO"&amp;Tabla_Buffers_Agroinsumos[[#This Row],[CODIGO ]],TABLACONSOLIDADA[Bodega]&amp;TABLACONSOLIDADA[Codigo],0)),"")</f>
        <v/>
      </c>
      <c r="BJ432" s="19" t="str">
        <f t="array" ref="BJ432">IFERROR(INDEX(TABLACONSOLIDADA[Inv Fís Act],MATCH("AGROINSUMOSSTODOMINGO"&amp;Tabla_Buffers_Agroinsumos[[#This Row],[CODIGO ]],TABLACONSOLIDADA[Bodega]&amp;TABLACONSOLIDADA[Codigo],0)),"")</f>
        <v/>
      </c>
      <c r="BK432" s="160" t="str">
        <f t="array" ref="BK43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3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32" s="91">
        <f>IFERROR(SUM(Tabla_Buffers_Agroinsumos[[#This Row],[SD-MP]:[SD-VL]]),"")</f>
        <v>0</v>
      </c>
      <c r="BN432" s="92"/>
      <c r="BO432" s="92"/>
      <c r="BP432" s="134"/>
      <c r="BQ432" s="134"/>
      <c r="BR432" s="134"/>
      <c r="BS432" s="134"/>
      <c r="BT432" s="134"/>
      <c r="BU432" s="134"/>
      <c r="BV432" s="134"/>
      <c r="BW432" s="134"/>
      <c r="BX432" s="134"/>
      <c r="BY432" s="134" t="str">
        <f t="array" ref="BY432">IFERROR(INDEX(TABLACONSOLIDADA[Buff Act],MATCH("AGROINSUMOSMONCAYOLOPEZ"&amp;Tabla_Buffers_Agroinsumos[[#This Row],[CODIGO ]],TABLACONSOLIDADA[Bodega]&amp;TABLACONSOLIDADA[Codigo],0)),"")</f>
        <v/>
      </c>
      <c r="BZ432" s="19" t="str">
        <f t="array" ref="BZ432">IFERROR(INDEX(TABLACONSOLIDADA[Inv Fís Act],MATCH("AGROINSUMOSMONCAYOLOPEZ"&amp;Tabla_Buffers_Agroinsumos[[#This Row],[CODIGO ]],TABLACONSOLIDADA[Bodega]&amp;TABLACONSOLIDADA[Codigo],0)),"")</f>
        <v/>
      </c>
      <c r="CA432" s="160" t="str">
        <f t="array" ref="CA43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3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32" s="134">
        <f>IFERROR(SUM(Tabla_Buffers_Agroinsumos[[#This Row],[ML-MP]:[ML-VL]]),"")</f>
        <v>0</v>
      </c>
      <c r="CD432" s="92" t="str">
        <f>IFERROR(Tabla_Buffers_Agroinsumos[[#This Row],[INV FIS ML]]-Tabla_Buffers_Agroinsumos[[#This Row],[BUFFER ML]],"")</f>
        <v/>
      </c>
      <c r="CE43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32" s="134"/>
      <c r="CG432" s="134"/>
      <c r="CH432" s="134"/>
      <c r="CI432" s="134"/>
      <c r="CJ432" s="134"/>
      <c r="CK432" s="134"/>
      <c r="CL432" s="134"/>
      <c r="CM432" s="134"/>
      <c r="CN432" s="134"/>
      <c r="CO432" s="134" t="str">
        <f t="array" ref="CO432">IFERROR(INDEX(TABLACONSOLIDADA[Buff Act],MATCH("AGROINSUMOSAGROHERMANOSLEON"&amp;Tabla_Buffers_Agroinsumos[[#This Row],[CODIGO ]],TABLACONSOLIDADA[Bodega]&amp;TABLACONSOLIDADA[Codigo],0)),"")</f>
        <v/>
      </c>
      <c r="CP432" s="19" t="str">
        <f t="array" ref="CP432">IFERROR(INDEX(TABLACONSOLIDADA[Inv Fís Act],MATCH("AGROINSUMOSAGROHERMANOSLEON"&amp;Tabla_Buffers_Agroinsumos[[#This Row],[CODIGO ]],TABLACONSOLIDADA[Bodega]&amp;TABLACONSOLIDADA[Codigo],0)),"")</f>
        <v/>
      </c>
      <c r="CQ432" s="160" t="str">
        <f t="array" ref="CQ43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3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32" s="134">
        <f>IFERROR(SUM(Tabla_Buffers_Agroinsumos[[#This Row],[AL-MP]:[AL-VL]]),"")</f>
        <v>0</v>
      </c>
      <c r="CT432" s="92" t="str">
        <f>IFERROR(Tabla_Buffers_Agroinsumos[[#This Row],[INV FIS AL]]-Tabla_Buffers_Agroinsumos[[#This Row],[BUFFER AL]],"")</f>
        <v/>
      </c>
      <c r="CU43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32" s="134"/>
      <c r="CW432" s="134"/>
      <c r="CX432" s="134"/>
      <c r="CY432" s="134"/>
      <c r="CZ432" s="134"/>
      <c r="DA432" s="134"/>
      <c r="DB432" s="134"/>
      <c r="DC432" s="134"/>
      <c r="DD432" s="134"/>
      <c r="DE432" s="134" t="str">
        <f t="array" ref="DE432">IFERROR(INDEX(TABLACONSOLIDADA[Buff Act],MATCH("AGROINSUMOSAGRONUEVO"&amp;Tabla_Buffers_Agroinsumos[[#This Row],[CODIGO ]],TABLACONSOLIDADA[Bodega]&amp;TABLACONSOLIDADA[Codigo],0)),"")</f>
        <v/>
      </c>
      <c r="DF432" s="19" t="str">
        <f t="array" ref="DF432">IFERROR(INDEX(TABLACONSOLIDADA[Inv Fís Act],MATCH("AGROINSUMOSAGRONUEVO"&amp;Tabla_Buffers_Agroinsumos[[#This Row],[CODIGO ]],TABLACONSOLIDADA[Bodega]&amp;TABLACONSOLIDADA[Codigo],0)),"")</f>
        <v/>
      </c>
      <c r="DG432" s="160" t="str">
        <f t="array" ref="DG43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3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32" s="134">
        <f>IFERROR(SUM(Tabla_Buffers_Agroinsumos[[#This Row],[AN-MP]:[AN-VL]]),"")</f>
        <v>0</v>
      </c>
      <c r="DJ432" s="92" t="str">
        <f>IFERROR(Tabla_Buffers_Agroinsumos[[#This Row],[INV FIS AN]]-Tabla_Buffers_Agroinsumos[[#This Row],[BUFFER AN]],"")</f>
        <v/>
      </c>
      <c r="DK43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32" s="134"/>
      <c r="DM432" s="134"/>
      <c r="DN432" s="134"/>
      <c r="DO432" s="134"/>
      <c r="DP432" s="134"/>
      <c r="DQ432" s="134"/>
      <c r="DR432" s="134"/>
      <c r="DS432" s="134"/>
      <c r="DT432" s="134"/>
      <c r="DU432" s="134" t="str">
        <f t="array" ref="DU432">IFERROR(INDEX(TABLACONSOLIDADA[Buff Act],MATCH("AGROINSUMOSAGROQUIMICOSSUR"&amp;Tabla_Buffers_Agroinsumos[[#This Row],[CODIGO ]],TABLACONSOLIDADA[Bodega]&amp;TABLACONSOLIDADA[Codigo],0)),"")</f>
        <v/>
      </c>
      <c r="DV432" s="19" t="str">
        <f t="array" ref="DV432">IFERROR(INDEX(TABLACONSOLIDADA[Inv Fís Act],MATCH("AGROINSUMOSAGROQUIMICOSSUR"&amp;Tabla_Buffers_Agroinsumos[[#This Row],[CODIGO ]],TABLACONSOLIDADA[Bodega]&amp;TABLACONSOLIDADA[Codigo],0)),"")</f>
        <v/>
      </c>
      <c r="DW432" s="160" t="str">
        <f t="array" ref="DW43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3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32" s="134">
        <f>IFERROR(SUM(Tabla_Buffers_Agroinsumos[[#This Row],[AS-MP]:[AS-VL]]),"")</f>
        <v>0</v>
      </c>
      <c r="DZ432" s="92" t="str">
        <f>IFERROR(Tabla_Buffers_Agroinsumos[[#This Row],[INV FIS AS]]-Tabla_Buffers_Agroinsumos[[#This Row],[BUFFER AS]],"")</f>
        <v/>
      </c>
      <c r="EA43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32" s="134"/>
      <c r="EC432" s="134"/>
      <c r="ED432" s="134"/>
      <c r="EE432" s="134"/>
      <c r="EF432" s="134"/>
      <c r="EG432" s="134"/>
      <c r="EH432" s="134"/>
      <c r="EI432" s="134"/>
      <c r="EJ432" s="134"/>
      <c r="EK432" s="134" t="str">
        <f t="array" ref="EK432">IFERROR(INDEX(TABLACONSOLIDADA[Buff Act],MATCH("AGROINSUMOSLAFINCA"&amp;Tabla_Buffers_Agroinsumos[[#This Row],[CODIGO ]],TABLACONSOLIDADA[Bodega]&amp;TABLACONSOLIDADA[Codigo],0)),"")</f>
        <v/>
      </c>
      <c r="EL432" s="19" t="str">
        <f t="array" ref="EL432">IFERROR(INDEX(TABLACONSOLIDADA[Inv Fís Act],MATCH("AGROINSUMOSLAFINCA"&amp;Tabla_Buffers_Agroinsumos[[#This Row],[CODIGO ]],TABLACONSOLIDADA[Bodega]&amp;TABLACONSOLIDADA[Codigo],0)),"")</f>
        <v/>
      </c>
      <c r="EM432" s="160" t="str">
        <f t="array" ref="EM43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3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32" s="134">
        <f>IFERROR(SUM(Tabla_Buffers_Agroinsumos[[#This Row],[LF-MP]:[LF-VL]]),"")</f>
        <v>0</v>
      </c>
      <c r="EP432" s="92" t="str">
        <f>IFERROR(Tabla_Buffers_Agroinsumos[[#This Row],[INV FIS LF]]-Tabla_Buffers_Agroinsumos[[#This Row],[BUFFER LF]],"")</f>
        <v/>
      </c>
      <c r="EQ43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32" s="134"/>
      <c r="ES432" s="134"/>
      <c r="ET432" s="134"/>
      <c r="EU432" s="134"/>
      <c r="EV432" s="134"/>
      <c r="EW432" s="134"/>
      <c r="EX432" s="134"/>
      <c r="EY432" s="134"/>
      <c r="EZ432" s="134"/>
      <c r="FA432" s="134" t="str">
        <f t="array" ref="FA432">IFERROR(INDEX(TABLACONSOLIDADA[Buff Act],MATCH("AGROINSUMOSVERONICALEDESMA"&amp;Tabla_Buffers_Agroinsumos[[#This Row],[CODIGO ]],TABLACONSOLIDADA[Bodega]&amp;TABLACONSOLIDADA[Codigo],0)),"")</f>
        <v/>
      </c>
      <c r="FB432" s="19" t="str">
        <f t="array" ref="FB432">IFERROR(INDEX(TABLACONSOLIDADA[Inv Fís Act],MATCH("AGROINSUMOSVERONICALEDESMA"&amp;Tabla_Buffers_Agroinsumos[[#This Row],[CODIGO ]],TABLACONSOLIDADA[Bodega]&amp;TABLACONSOLIDADA[Codigo],0)),"")</f>
        <v/>
      </c>
      <c r="FC432" s="160" t="str">
        <f t="array" ref="FC43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3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32" s="134">
        <f>IFERROR(SUM(Tabla_Buffers_Agroinsumos[[#This Row],[VL-MP]:[VL-LF]]),"")</f>
        <v>0</v>
      </c>
      <c r="FF432" s="92" t="str">
        <f>IFERROR(Tabla_Buffers_Agroinsumos[[#This Row],[INV FIS VL]]-Tabla_Buffers_Agroinsumos[[#This Row],[BUFFER VL]],"")</f>
        <v/>
      </c>
      <c r="FG43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32" s="134"/>
      <c r="FI432" s="134"/>
      <c r="FJ432" s="134"/>
      <c r="FK432" s="134"/>
      <c r="FL432" s="134"/>
      <c r="FM432" s="134"/>
      <c r="FN432" s="134"/>
      <c r="FO432" s="134"/>
      <c r="FP432" s="134"/>
    </row>
    <row r="433" spans="1:172">
      <c r="A433" s="20" t="s">
        <v>1352</v>
      </c>
      <c r="B433" s="20" t="s">
        <v>1354</v>
      </c>
      <c r="C433" s="20" t="s">
        <v>716</v>
      </c>
      <c r="D433" s="20" t="s">
        <v>718</v>
      </c>
      <c r="E433" s="20" t="s">
        <v>863</v>
      </c>
      <c r="F433" s="111" t="s">
        <v>1332</v>
      </c>
      <c r="G433" s="111" t="s">
        <v>802</v>
      </c>
      <c r="H433" s="111" t="e">
        <f>VLOOKUP(Tabla_Buffers_Agroinsumos[[#This Row],[CODIGO ]],TABLACONSOLIDADA[[Codigo]:[PV]],6,0)</f>
        <v>#N/A</v>
      </c>
      <c r="I433" s="111" t="e">
        <f>VLOOKUP(Tabla_Buffers_Agroinsumos[[#This Row],[CODIGO ]],TABLACONSOLIDADA[[Codigo]:[PV]],5,0)</f>
        <v>#N/A</v>
      </c>
      <c r="J433" s="111"/>
      <c r="K433" s="111"/>
      <c r="L433" s="111">
        <f>IFERROR(Tabla_Buffers_Agroinsumos[[#This Row],[BUFFER CENTRAL]]/((Tabla_Buffers_Agroinsumos[[#This Row],[TIEMPO REPOSICION ]]/Tabla_Buffers_Agroinsumos[[#This Row],[FRECUENCIA]])+1),0)</f>
        <v>0</v>
      </c>
      <c r="M433" s="111" t="str">
        <f t="array" ref="M433">IFERROR(INDEX(TABLACONSOLIDADA[Buff Act],MATCH("AGROINSUMOSMATERIAPRIMA"&amp;Tabla_Buffers_Agroinsumos[[#This Row],[CODIGO ]],TABLACONSOLIDADA[Bodega]&amp;TABLACONSOLIDADA[Codigo],0)),"")</f>
        <v/>
      </c>
      <c r="N433" s="111" t="str">
        <f t="array" ref="N433">IFERROR(INDEX(TABLACONSOLIDADA[Inv Fís Act],MATCH("AGROINSUMOSMATERIAPRIMA"&amp;Tabla_Buffers_Agroinsumos[[#This Row],[CODIGO ]],TABLACONSOLIDADA[Bodega]&amp;TABLACONSOLIDADA[Codigo],0)),"")</f>
        <v/>
      </c>
      <c r="O433" s="161" t="str">
        <f t="array" ref="O43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33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33" s="111">
        <f>IFERROR(SUM(Tabla_Buffers_Agroinsumos[[#This Row],[MP-C]:[MP-VL]]),"")</f>
        <v>0</v>
      </c>
      <c r="R433" s="154" t="str">
        <f>IFERROR(Tabla_Buffers_Agroinsumos[[#This Row],[INV FIS MATERIA PRIMA]]-Tabla_Buffers_Agroinsumos[[#This Row],[BUFFER MATERIA PRIMA]],"")</f>
        <v/>
      </c>
      <c r="S433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33" s="111"/>
      <c r="U433" s="111"/>
      <c r="V433" s="111"/>
      <c r="W433" s="111"/>
      <c r="X433" s="111"/>
      <c r="Y433" s="111"/>
      <c r="Z433" s="111"/>
      <c r="AA433" s="111"/>
      <c r="AB433" s="111"/>
      <c r="AC433" s="135" t="str">
        <f t="array" ref="AC433">IFERROR(INDEX(TABLACONSOLIDADA[Buff Act],MATCH("AGROINSUMOSCENTRAL"&amp;Tabla_Buffers_Agroinsumos[[#This Row],[CODIGO ]],TABLACONSOLIDADA[Bodega]&amp;TABLACONSOLIDADA[Codigo],0)),"")</f>
        <v/>
      </c>
      <c r="AD433" s="111" t="str">
        <f t="array" ref="AD433">IFERROR(INDEX(TABLACONSOLIDADA[Inv Fís Act],MATCH("AGROINSUMOSCENTRAL"&amp;Tabla_Buffers_Agroinsumos[[#This Row],[CODIGO ]],TABLACONSOLIDADA[Bodega]&amp;TABLACONSOLIDADA[Codigo],0)),"")</f>
        <v/>
      </c>
      <c r="AE433" s="161" t="str">
        <f t="array" ref="AE43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33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33" s="153">
        <f>IFERROR(SUM(Tabla_Buffers_Agroinsumos[[#This Row],[C-MP]:[C-VL]]),"")</f>
        <v>0</v>
      </c>
      <c r="AH433" s="154" t="str">
        <f>IFERROR(Tabla_Buffers_Agroinsumos[[#This Row],[INV FIS CENTRAL]]-Tabla_Buffers_Agroinsumos[[#This Row],[BUFFER CENTRAL]],"")</f>
        <v/>
      </c>
      <c r="AI433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33" s="135"/>
      <c r="AK433" s="135"/>
      <c r="AL433" s="135"/>
      <c r="AM433" s="135"/>
      <c r="AN433" s="135"/>
      <c r="AO433" s="135"/>
      <c r="AP433" s="135"/>
      <c r="AQ433" s="135"/>
      <c r="AR433" s="135"/>
      <c r="AS433" s="135" t="str">
        <f t="array" ref="AS433">IFERROR(INDEX(TABLACONSOLIDADA[Buff Act],MATCH("AGROINSUMOScentralPROPIA"&amp;Tabla_Buffers_Agroinsumos[[#This Row],[CODIGO ]],TABLACONSOLIDADA[Bodega]&amp;TABLACONSOLIDADA[Codigo],0)),"")</f>
        <v/>
      </c>
      <c r="AT433" s="111" t="str">
        <f t="array" ref="AT433">IFERROR(INDEX(TABLACONSOLIDADA[Inv Fís Act],MATCH("AGROINSUMOScentralPROPIA"&amp;Tabla_Buffers_Agroinsumos[[#This Row],[CODIGO ]],TABLACONSOLIDADA[Bodega]&amp;TABLACONSOLIDADA[Codigo],0)),"")</f>
        <v/>
      </c>
      <c r="AU433" s="161" t="str">
        <f t="array" ref="AU43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33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33" s="135">
        <f>IFERROR(SUM(Tabla_Buffers_Agroinsumos[[#This Row],[P-MP]:[P-VL]]),"")</f>
        <v>0</v>
      </c>
      <c r="AX433" s="154" t="str">
        <f>IFERROR(Tabla_Buffers_Agroinsumos[[#This Row],[INV FIS PROPIA]]-Tabla_Buffers_Agroinsumos[[#This Row],[BUFFER PROPIA]],"")</f>
        <v/>
      </c>
      <c r="AY433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33" s="135"/>
      <c r="BA433" s="135"/>
      <c r="BB433" s="135"/>
      <c r="BC433" s="135"/>
      <c r="BD433" s="135"/>
      <c r="BE433" s="135"/>
      <c r="BF433" s="135"/>
      <c r="BG433" s="135"/>
      <c r="BH433" s="135"/>
      <c r="BI433" s="153" t="str">
        <f t="array" ref="BI433">IFERROR(INDEX(TABLACONSOLIDADA[Buff Act],MATCH("AGROINSUMOSSTODOMINGO"&amp;Tabla_Buffers_Agroinsumos[[#This Row],[CODIGO ]],TABLACONSOLIDADA[Bodega]&amp;TABLACONSOLIDADA[Codigo],0)),"")</f>
        <v/>
      </c>
      <c r="BJ433" s="111" t="str">
        <f t="array" ref="BJ433">IFERROR(INDEX(TABLACONSOLIDADA[Inv Fís Act],MATCH("AGROINSUMOSSTODOMINGO"&amp;Tabla_Buffers_Agroinsumos[[#This Row],[CODIGO ]],TABLACONSOLIDADA[Bodega]&amp;TABLACONSOLIDADA[Codigo],0)),"")</f>
        <v/>
      </c>
      <c r="BK433" s="161" t="str">
        <f t="array" ref="BK43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33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33" s="153">
        <f>IFERROR(SUM(Tabla_Buffers_Agroinsumos[[#This Row],[SD-MP]:[SD-VL]]),"")</f>
        <v>0</v>
      </c>
      <c r="BN433" s="154"/>
      <c r="BO433" s="154"/>
      <c r="BP433" s="135"/>
      <c r="BQ433" s="135"/>
      <c r="BR433" s="135"/>
      <c r="BS433" s="135"/>
      <c r="BT433" s="135"/>
      <c r="BU433" s="135"/>
      <c r="BV433" s="135"/>
      <c r="BW433" s="135"/>
      <c r="BX433" s="135"/>
      <c r="BY433" s="135" t="str">
        <f t="array" ref="BY433">IFERROR(INDEX(TABLACONSOLIDADA[Buff Act],MATCH("AGROINSUMOSMONCAYOLOPEZ"&amp;Tabla_Buffers_Agroinsumos[[#This Row],[CODIGO ]],TABLACONSOLIDADA[Bodega]&amp;TABLACONSOLIDADA[Codigo],0)),"")</f>
        <v/>
      </c>
      <c r="BZ433" s="111" t="str">
        <f t="array" ref="BZ433">IFERROR(INDEX(TABLACONSOLIDADA[Inv Fís Act],MATCH("AGROINSUMOSMONCAYOLOPEZ"&amp;Tabla_Buffers_Agroinsumos[[#This Row],[CODIGO ]],TABLACONSOLIDADA[Bodega]&amp;TABLACONSOLIDADA[Codigo],0)),"")</f>
        <v/>
      </c>
      <c r="CA433" s="161" t="str">
        <f t="array" ref="CA43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33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33" s="135">
        <f>IFERROR(SUM(Tabla_Buffers_Agroinsumos[[#This Row],[ML-MP]:[ML-VL]]),"")</f>
        <v>0</v>
      </c>
      <c r="CD433" s="154" t="str">
        <f>IFERROR(Tabla_Buffers_Agroinsumos[[#This Row],[INV FIS ML]]-Tabla_Buffers_Agroinsumos[[#This Row],[BUFFER ML]],"")</f>
        <v/>
      </c>
      <c r="CE433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33" s="135"/>
      <c r="CG433" s="135"/>
      <c r="CH433" s="135"/>
      <c r="CI433" s="135"/>
      <c r="CJ433" s="135"/>
      <c r="CK433" s="135"/>
      <c r="CL433" s="135"/>
      <c r="CM433" s="135"/>
      <c r="CN433" s="135"/>
      <c r="CO433" s="135" t="str">
        <f t="array" ref="CO433">IFERROR(INDEX(TABLACONSOLIDADA[Buff Act],MATCH("AGROINSUMOSAGROHERMANOSLEON"&amp;Tabla_Buffers_Agroinsumos[[#This Row],[CODIGO ]],TABLACONSOLIDADA[Bodega]&amp;TABLACONSOLIDADA[Codigo],0)),"")</f>
        <v/>
      </c>
      <c r="CP433" s="111" t="str">
        <f t="array" ref="CP433">IFERROR(INDEX(TABLACONSOLIDADA[Inv Fís Act],MATCH("AGROINSUMOSAGROHERMANOSLEON"&amp;Tabla_Buffers_Agroinsumos[[#This Row],[CODIGO ]],TABLACONSOLIDADA[Bodega]&amp;TABLACONSOLIDADA[Codigo],0)),"")</f>
        <v/>
      </c>
      <c r="CQ433" s="161" t="str">
        <f t="array" ref="CQ43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33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33" s="135">
        <f>IFERROR(SUM(Tabla_Buffers_Agroinsumos[[#This Row],[AL-MP]:[AL-VL]]),"")</f>
        <v>0</v>
      </c>
      <c r="CT433" s="154" t="str">
        <f>IFERROR(Tabla_Buffers_Agroinsumos[[#This Row],[INV FIS AL]]-Tabla_Buffers_Agroinsumos[[#This Row],[BUFFER AL]],"")</f>
        <v/>
      </c>
      <c r="CU433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33" s="135"/>
      <c r="CW433" s="135"/>
      <c r="CX433" s="135"/>
      <c r="CY433" s="135"/>
      <c r="CZ433" s="135"/>
      <c r="DA433" s="135"/>
      <c r="DB433" s="135"/>
      <c r="DC433" s="135"/>
      <c r="DD433" s="135"/>
      <c r="DE433" s="135" t="str">
        <f t="array" ref="DE433">IFERROR(INDEX(TABLACONSOLIDADA[Buff Act],MATCH("AGROINSUMOSAGRONUEVO"&amp;Tabla_Buffers_Agroinsumos[[#This Row],[CODIGO ]],TABLACONSOLIDADA[Bodega]&amp;TABLACONSOLIDADA[Codigo],0)),"")</f>
        <v/>
      </c>
      <c r="DF433" s="111" t="str">
        <f t="array" ref="DF433">IFERROR(INDEX(TABLACONSOLIDADA[Inv Fís Act],MATCH("AGROINSUMOSAGRONUEVO"&amp;Tabla_Buffers_Agroinsumos[[#This Row],[CODIGO ]],TABLACONSOLIDADA[Bodega]&amp;TABLACONSOLIDADA[Codigo],0)),"")</f>
        <v/>
      </c>
      <c r="DG433" s="161" t="str">
        <f t="array" ref="DG43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33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33" s="135">
        <f>IFERROR(SUM(Tabla_Buffers_Agroinsumos[[#This Row],[AN-MP]:[AN-VL]]),"")</f>
        <v>0</v>
      </c>
      <c r="DJ433" s="154" t="str">
        <f>IFERROR(Tabla_Buffers_Agroinsumos[[#This Row],[INV FIS AN]]-Tabla_Buffers_Agroinsumos[[#This Row],[BUFFER AN]],"")</f>
        <v/>
      </c>
      <c r="DK433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33" s="135"/>
      <c r="DM433" s="135"/>
      <c r="DN433" s="135"/>
      <c r="DO433" s="135"/>
      <c r="DP433" s="135"/>
      <c r="DQ433" s="135"/>
      <c r="DR433" s="135"/>
      <c r="DS433" s="135"/>
      <c r="DT433" s="135"/>
      <c r="DU433" s="135" t="str">
        <f t="array" ref="DU433">IFERROR(INDEX(TABLACONSOLIDADA[Buff Act],MATCH("AGROINSUMOSAGROQUIMICOSSUR"&amp;Tabla_Buffers_Agroinsumos[[#This Row],[CODIGO ]],TABLACONSOLIDADA[Bodega]&amp;TABLACONSOLIDADA[Codigo],0)),"")</f>
        <v/>
      </c>
      <c r="DV433" s="111" t="str">
        <f t="array" ref="DV433">IFERROR(INDEX(TABLACONSOLIDADA[Inv Fís Act],MATCH("AGROINSUMOSAGROQUIMICOSSUR"&amp;Tabla_Buffers_Agroinsumos[[#This Row],[CODIGO ]],TABLACONSOLIDADA[Bodega]&amp;TABLACONSOLIDADA[Codigo],0)),"")</f>
        <v/>
      </c>
      <c r="DW433" s="161" t="str">
        <f t="array" ref="DW43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33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33" s="135">
        <f>IFERROR(SUM(Tabla_Buffers_Agroinsumos[[#This Row],[AS-MP]:[AS-VL]]),"")</f>
        <v>0</v>
      </c>
      <c r="DZ433" s="154" t="str">
        <f>IFERROR(Tabla_Buffers_Agroinsumos[[#This Row],[INV FIS AS]]-Tabla_Buffers_Agroinsumos[[#This Row],[BUFFER AS]],"")</f>
        <v/>
      </c>
      <c r="EA433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33" s="135"/>
      <c r="EC433" s="135"/>
      <c r="ED433" s="135"/>
      <c r="EE433" s="135"/>
      <c r="EF433" s="135"/>
      <c r="EG433" s="135"/>
      <c r="EH433" s="135"/>
      <c r="EI433" s="135"/>
      <c r="EJ433" s="135"/>
      <c r="EK433" s="135" t="str">
        <f t="array" ref="EK433">IFERROR(INDEX(TABLACONSOLIDADA[Buff Act],MATCH("AGROINSUMOSLAFINCA"&amp;Tabla_Buffers_Agroinsumos[[#This Row],[CODIGO ]],TABLACONSOLIDADA[Bodega]&amp;TABLACONSOLIDADA[Codigo],0)),"")</f>
        <v/>
      </c>
      <c r="EL433" s="111" t="str">
        <f t="array" ref="EL433">IFERROR(INDEX(TABLACONSOLIDADA[Inv Fís Act],MATCH("AGROINSUMOSLAFINCA"&amp;Tabla_Buffers_Agroinsumos[[#This Row],[CODIGO ]],TABLACONSOLIDADA[Bodega]&amp;TABLACONSOLIDADA[Codigo],0)),"")</f>
        <v/>
      </c>
      <c r="EM433" s="161" t="str">
        <f t="array" ref="EM43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33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33" s="135">
        <f>IFERROR(SUM(Tabla_Buffers_Agroinsumos[[#This Row],[LF-MP]:[LF-VL]]),"")</f>
        <v>0</v>
      </c>
      <c r="EP433" s="154" t="str">
        <f>IFERROR(Tabla_Buffers_Agroinsumos[[#This Row],[INV FIS LF]]-Tabla_Buffers_Agroinsumos[[#This Row],[BUFFER LF]],"")</f>
        <v/>
      </c>
      <c r="EQ433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33" s="135"/>
      <c r="ES433" s="135"/>
      <c r="ET433" s="135"/>
      <c r="EU433" s="135"/>
      <c r="EV433" s="135"/>
      <c r="EW433" s="135"/>
      <c r="EX433" s="135"/>
      <c r="EY433" s="135"/>
      <c r="EZ433" s="135"/>
      <c r="FA433" s="135" t="str">
        <f t="array" ref="FA433">IFERROR(INDEX(TABLACONSOLIDADA[Buff Act],MATCH("AGROINSUMOSVERONICALEDESMA"&amp;Tabla_Buffers_Agroinsumos[[#This Row],[CODIGO ]],TABLACONSOLIDADA[Bodega]&amp;TABLACONSOLIDADA[Codigo],0)),"")</f>
        <v/>
      </c>
      <c r="FB433" s="111" t="str">
        <f t="array" ref="FB433">IFERROR(INDEX(TABLACONSOLIDADA[Inv Fís Act],MATCH("AGROINSUMOSVERONICALEDESMA"&amp;Tabla_Buffers_Agroinsumos[[#This Row],[CODIGO ]],TABLACONSOLIDADA[Bodega]&amp;TABLACONSOLIDADA[Codigo],0)),"")</f>
        <v/>
      </c>
      <c r="FC433" s="161" t="str">
        <f t="array" ref="FC43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33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33" s="135">
        <f>IFERROR(SUM(Tabla_Buffers_Agroinsumos[[#This Row],[VL-MP]:[VL-LF]]),"")</f>
        <v>0</v>
      </c>
      <c r="FF433" s="154" t="str">
        <f>IFERROR(Tabla_Buffers_Agroinsumos[[#This Row],[INV FIS VL]]-Tabla_Buffers_Agroinsumos[[#This Row],[BUFFER VL]],"")</f>
        <v/>
      </c>
      <c r="FG433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33" s="135"/>
      <c r="FI433" s="135"/>
      <c r="FJ433" s="135"/>
      <c r="FK433" s="135"/>
      <c r="FL433" s="135"/>
      <c r="FM433" s="135"/>
      <c r="FN433" s="135"/>
      <c r="FO433" s="135"/>
      <c r="FP433" s="135"/>
    </row>
    <row r="434" spans="1:172">
      <c r="A434" s="20" t="s">
        <v>1355</v>
      </c>
      <c r="B434" s="20" t="s">
        <v>1356</v>
      </c>
      <c r="C434" s="20"/>
      <c r="D434" s="20" t="s">
        <v>718</v>
      </c>
      <c r="E434" s="20" t="s">
        <v>863</v>
      </c>
      <c r="F434" s="111" t="s">
        <v>804</v>
      </c>
      <c r="G434" s="111" t="s">
        <v>802</v>
      </c>
      <c r="H434" s="111" t="e">
        <f>VLOOKUP(Tabla_Buffers_Agroinsumos[[#This Row],[CODIGO ]],TABLACONSOLIDADA[[Codigo]:[PV]],6,0)</f>
        <v>#N/A</v>
      </c>
      <c r="I434" s="111" t="e">
        <f>VLOOKUP(Tabla_Buffers_Agroinsumos[[#This Row],[CODIGO ]],TABLACONSOLIDADA[[Codigo]:[PV]],5,0)</f>
        <v>#N/A</v>
      </c>
      <c r="J434" s="111"/>
      <c r="K434" s="111"/>
      <c r="L434" s="111">
        <f>IFERROR(Tabla_Buffers_Agroinsumos[[#This Row],[BUFFER CENTRAL]]/((Tabla_Buffers_Agroinsumos[[#This Row],[TIEMPO REPOSICION ]]/Tabla_Buffers_Agroinsumos[[#This Row],[FRECUENCIA]])+1),0)</f>
        <v>0</v>
      </c>
      <c r="M434" s="111" t="str">
        <f t="array" ref="M434">IFERROR(INDEX(TABLACONSOLIDADA[Buff Act],MATCH("AGROINSUMOSMATERIAPRIMA"&amp;Tabla_Buffers_Agroinsumos[[#This Row],[CODIGO ]],TABLACONSOLIDADA[Bodega]&amp;TABLACONSOLIDADA[Codigo],0)),"")</f>
        <v/>
      </c>
      <c r="N434" s="111" t="str">
        <f t="array" ref="N434">IFERROR(INDEX(TABLACONSOLIDADA[Inv Fís Act],MATCH("AGROINSUMOSMATERIAPRIMA"&amp;Tabla_Buffers_Agroinsumos[[#This Row],[CODIGO ]],TABLACONSOLIDADA[Bodega]&amp;TABLACONSOLIDADA[Codigo],0)),"")</f>
        <v/>
      </c>
      <c r="O434" s="189" t="str">
        <f t="array" ref="O43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34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34" s="111">
        <f>IFERROR(SUM(Tabla_Buffers_Agroinsumos[[#This Row],[MP-C]:[MP-VL]]),"")</f>
        <v>0</v>
      </c>
      <c r="R434" s="154" t="str">
        <f>IFERROR(Tabla_Buffers_Agroinsumos[[#This Row],[INV FIS MATERIA PRIMA]]-Tabla_Buffers_Agroinsumos[[#This Row],[BUFFER MATERIA PRIMA]],"")</f>
        <v/>
      </c>
      <c r="S434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34" s="111"/>
      <c r="U434" s="111"/>
      <c r="V434" s="111"/>
      <c r="W434" s="111"/>
      <c r="X434" s="111"/>
      <c r="Y434" s="111"/>
      <c r="Z434" s="111"/>
      <c r="AA434" s="111"/>
      <c r="AB434" s="111"/>
      <c r="AC434" s="135" t="str">
        <f t="array" ref="AC434">IFERROR(INDEX(TABLACONSOLIDADA[Buff Act],MATCH("AGROINSUMOSCENTRAL"&amp;Tabla_Buffers_Agroinsumos[[#This Row],[CODIGO ]],TABLACONSOLIDADA[Bodega]&amp;TABLACONSOLIDADA[Codigo],0)),"")</f>
        <v/>
      </c>
      <c r="AD434" s="111" t="str">
        <f t="array" ref="AD434">IFERROR(INDEX(TABLACONSOLIDADA[Inv Fís Act],MATCH("AGROINSUMOSCENTRAL"&amp;Tabla_Buffers_Agroinsumos[[#This Row],[CODIGO ]],TABLACONSOLIDADA[Bodega]&amp;TABLACONSOLIDADA[Codigo],0)),"")</f>
        <v/>
      </c>
      <c r="AE434" s="189" t="str">
        <f t="array" ref="AE43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34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34" s="153">
        <f>IFERROR(SUM(Tabla_Buffers_Agroinsumos[[#This Row],[C-MP]:[C-VL]]),"")</f>
        <v>0</v>
      </c>
      <c r="AH434" s="154" t="str">
        <f>IFERROR(Tabla_Buffers_Agroinsumos[[#This Row],[INV FIS CENTRAL]]-Tabla_Buffers_Agroinsumos[[#This Row],[BUFFER CENTRAL]],"")</f>
        <v/>
      </c>
      <c r="AI434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34" s="135"/>
      <c r="AK434" s="135"/>
      <c r="AL434" s="135"/>
      <c r="AM434" s="135"/>
      <c r="AN434" s="135"/>
      <c r="AO434" s="135"/>
      <c r="AP434" s="135"/>
      <c r="AQ434" s="135"/>
      <c r="AR434" s="135"/>
      <c r="AS434" s="135" t="str">
        <f t="array" ref="AS434">IFERROR(INDEX(TABLACONSOLIDADA[Buff Act],MATCH("AGROINSUMOScentralPROPIA"&amp;Tabla_Buffers_Agroinsumos[[#This Row],[CODIGO ]],TABLACONSOLIDADA[Bodega]&amp;TABLACONSOLIDADA[Codigo],0)),"")</f>
        <v/>
      </c>
      <c r="AT434" s="111" t="str">
        <f t="array" ref="AT434">IFERROR(INDEX(TABLACONSOLIDADA[Inv Fís Act],MATCH("AGROINSUMOScentralPROPIA"&amp;Tabla_Buffers_Agroinsumos[[#This Row],[CODIGO ]],TABLACONSOLIDADA[Bodega]&amp;TABLACONSOLIDADA[Codigo],0)),"")</f>
        <v/>
      </c>
      <c r="AU434" s="189" t="str">
        <f t="array" ref="AU43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34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34" s="135">
        <f>IFERROR(SUM(Tabla_Buffers_Agroinsumos[[#This Row],[P-MP]:[P-VL]]),"")</f>
        <v>0</v>
      </c>
      <c r="AX434" s="154" t="str">
        <f>IFERROR(Tabla_Buffers_Agroinsumos[[#This Row],[INV FIS PROPIA]]-Tabla_Buffers_Agroinsumos[[#This Row],[BUFFER PROPIA]],"")</f>
        <v/>
      </c>
      <c r="AY434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34" s="135"/>
      <c r="BA434" s="135"/>
      <c r="BB434" s="135"/>
      <c r="BC434" s="135"/>
      <c r="BD434" s="135"/>
      <c r="BE434" s="135"/>
      <c r="BF434" s="135"/>
      <c r="BG434" s="135"/>
      <c r="BH434" s="135"/>
      <c r="BI434" s="153" t="str">
        <f t="array" ref="BI434">IFERROR(INDEX(TABLACONSOLIDADA[Buff Act],MATCH("AGROINSUMOSSTODOMINGO"&amp;Tabla_Buffers_Agroinsumos[[#This Row],[CODIGO ]],TABLACONSOLIDADA[Bodega]&amp;TABLACONSOLIDADA[Codigo],0)),"")</f>
        <v/>
      </c>
      <c r="BJ434" s="111" t="str">
        <f t="array" ref="BJ434">IFERROR(INDEX(TABLACONSOLIDADA[Inv Fís Act],MATCH("AGROINSUMOSSTODOMINGO"&amp;Tabla_Buffers_Agroinsumos[[#This Row],[CODIGO ]],TABLACONSOLIDADA[Bodega]&amp;TABLACONSOLIDADA[Codigo],0)),"")</f>
        <v/>
      </c>
      <c r="BK434" s="189" t="str">
        <f t="array" ref="BK43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34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34" s="153">
        <f>IFERROR(SUM(Tabla_Buffers_Agroinsumos[[#This Row],[SD-MP]:[SD-VL]]),"")</f>
        <v>0</v>
      </c>
      <c r="BN434" s="154"/>
      <c r="BO434" s="154"/>
      <c r="BP434" s="135"/>
      <c r="BQ434" s="135"/>
      <c r="BR434" s="135"/>
      <c r="BS434" s="135"/>
      <c r="BT434" s="135"/>
      <c r="BU434" s="135"/>
      <c r="BV434" s="135"/>
      <c r="BW434" s="135"/>
      <c r="BX434" s="135"/>
      <c r="BY434" s="135" t="str">
        <f t="array" ref="BY434">IFERROR(INDEX(TABLACONSOLIDADA[Buff Act],MATCH("AGROINSUMOSMONCAYOLOPEZ"&amp;Tabla_Buffers_Agroinsumos[[#This Row],[CODIGO ]],TABLACONSOLIDADA[Bodega]&amp;TABLACONSOLIDADA[Codigo],0)),"")</f>
        <v/>
      </c>
      <c r="BZ434" s="111" t="str">
        <f t="array" ref="BZ434">IFERROR(INDEX(TABLACONSOLIDADA[Inv Fís Act],MATCH("AGROINSUMOSMONCAYOLOPEZ"&amp;Tabla_Buffers_Agroinsumos[[#This Row],[CODIGO ]],TABLACONSOLIDADA[Bodega]&amp;TABLACONSOLIDADA[Codigo],0)),"")</f>
        <v/>
      </c>
      <c r="CA434" s="189" t="str">
        <f t="array" ref="CA43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34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34" s="135">
        <f>IFERROR(SUM(Tabla_Buffers_Agroinsumos[[#This Row],[ML-MP]:[ML-VL]]),"")</f>
        <v>0</v>
      </c>
      <c r="CD434" s="154" t="str">
        <f>IFERROR(Tabla_Buffers_Agroinsumos[[#This Row],[INV FIS ML]]-Tabla_Buffers_Agroinsumos[[#This Row],[BUFFER ML]],"")</f>
        <v/>
      </c>
      <c r="CE434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34" s="135"/>
      <c r="CG434" s="135"/>
      <c r="CH434" s="135"/>
      <c r="CI434" s="135"/>
      <c r="CJ434" s="135"/>
      <c r="CK434" s="135"/>
      <c r="CL434" s="135"/>
      <c r="CM434" s="135"/>
      <c r="CN434" s="135"/>
      <c r="CO434" s="135" t="str">
        <f t="array" ref="CO434">IFERROR(INDEX(TABLACONSOLIDADA[Buff Act],MATCH("AGROINSUMOSAGROHERMANOSLEON"&amp;Tabla_Buffers_Agroinsumos[[#This Row],[CODIGO ]],TABLACONSOLIDADA[Bodega]&amp;TABLACONSOLIDADA[Codigo],0)),"")</f>
        <v/>
      </c>
      <c r="CP434" s="111" t="str">
        <f t="array" ref="CP434">IFERROR(INDEX(TABLACONSOLIDADA[Inv Fís Act],MATCH("AGROINSUMOSAGROHERMANOSLEON"&amp;Tabla_Buffers_Agroinsumos[[#This Row],[CODIGO ]],TABLACONSOLIDADA[Bodega]&amp;TABLACONSOLIDADA[Codigo],0)),"")</f>
        <v/>
      </c>
      <c r="CQ434" s="189" t="str">
        <f t="array" ref="CQ43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34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34" s="135">
        <f>IFERROR(SUM(Tabla_Buffers_Agroinsumos[[#This Row],[AL-MP]:[AL-VL]]),"")</f>
        <v>0</v>
      </c>
      <c r="CT434" s="154" t="str">
        <f>IFERROR(Tabla_Buffers_Agroinsumos[[#This Row],[INV FIS AL]]-Tabla_Buffers_Agroinsumos[[#This Row],[BUFFER AL]],"")</f>
        <v/>
      </c>
      <c r="CU434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34" s="135"/>
      <c r="CW434" s="135"/>
      <c r="CX434" s="135"/>
      <c r="CY434" s="135"/>
      <c r="CZ434" s="135"/>
      <c r="DA434" s="135"/>
      <c r="DB434" s="135"/>
      <c r="DC434" s="135"/>
      <c r="DD434" s="135"/>
      <c r="DE434" s="135" t="str">
        <f t="array" ref="DE434">IFERROR(INDEX(TABLACONSOLIDADA[Buff Act],MATCH("AGROINSUMOSAGRONUEVO"&amp;Tabla_Buffers_Agroinsumos[[#This Row],[CODIGO ]],TABLACONSOLIDADA[Bodega]&amp;TABLACONSOLIDADA[Codigo],0)),"")</f>
        <v/>
      </c>
      <c r="DF434" s="111" t="str">
        <f t="array" ref="DF434">IFERROR(INDEX(TABLACONSOLIDADA[Inv Fís Act],MATCH("AGROINSUMOSAGRONUEVO"&amp;Tabla_Buffers_Agroinsumos[[#This Row],[CODIGO ]],TABLACONSOLIDADA[Bodega]&amp;TABLACONSOLIDADA[Codigo],0)),"")</f>
        <v/>
      </c>
      <c r="DG434" s="189" t="str">
        <f t="array" ref="DG43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34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34" s="135">
        <f>IFERROR(SUM(Tabla_Buffers_Agroinsumos[[#This Row],[AN-MP]:[AN-VL]]),"")</f>
        <v>0</v>
      </c>
      <c r="DJ434" s="154" t="str">
        <f>IFERROR(Tabla_Buffers_Agroinsumos[[#This Row],[INV FIS AN]]-Tabla_Buffers_Agroinsumos[[#This Row],[BUFFER AN]],"")</f>
        <v/>
      </c>
      <c r="DK434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34" s="135"/>
      <c r="DM434" s="135"/>
      <c r="DN434" s="135"/>
      <c r="DO434" s="135"/>
      <c r="DP434" s="135"/>
      <c r="DQ434" s="135"/>
      <c r="DR434" s="135"/>
      <c r="DS434" s="135"/>
      <c r="DT434" s="135"/>
      <c r="DU434" s="135" t="str">
        <f t="array" ref="DU434">IFERROR(INDEX(TABLACONSOLIDADA[Buff Act],MATCH("AGROINSUMOSAGROQUIMICOSSUR"&amp;Tabla_Buffers_Agroinsumos[[#This Row],[CODIGO ]],TABLACONSOLIDADA[Bodega]&amp;TABLACONSOLIDADA[Codigo],0)),"")</f>
        <v/>
      </c>
      <c r="DV434" s="111" t="str">
        <f t="array" ref="DV434">IFERROR(INDEX(TABLACONSOLIDADA[Inv Fís Act],MATCH("AGROINSUMOSAGROQUIMICOSSUR"&amp;Tabla_Buffers_Agroinsumos[[#This Row],[CODIGO ]],TABLACONSOLIDADA[Bodega]&amp;TABLACONSOLIDADA[Codigo],0)),"")</f>
        <v/>
      </c>
      <c r="DW434" s="189" t="str">
        <f t="array" ref="DW43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34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34" s="135">
        <f>IFERROR(SUM(Tabla_Buffers_Agroinsumos[[#This Row],[AS-MP]:[AS-VL]]),"")</f>
        <v>0</v>
      </c>
      <c r="DZ434" s="154" t="str">
        <f>IFERROR(Tabla_Buffers_Agroinsumos[[#This Row],[INV FIS AS]]-Tabla_Buffers_Agroinsumos[[#This Row],[BUFFER AS]],"")</f>
        <v/>
      </c>
      <c r="EA434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34" s="135"/>
      <c r="EC434" s="135"/>
      <c r="ED434" s="135"/>
      <c r="EE434" s="135"/>
      <c r="EF434" s="135"/>
      <c r="EG434" s="135"/>
      <c r="EH434" s="135"/>
      <c r="EI434" s="135"/>
      <c r="EJ434" s="135"/>
      <c r="EK434" s="135" t="str">
        <f t="array" ref="EK434">IFERROR(INDEX(TABLACONSOLIDADA[Buff Act],MATCH("AGROINSUMOSLAFINCA"&amp;Tabla_Buffers_Agroinsumos[[#This Row],[CODIGO ]],TABLACONSOLIDADA[Bodega]&amp;TABLACONSOLIDADA[Codigo],0)),"")</f>
        <v/>
      </c>
      <c r="EL434" s="111" t="str">
        <f t="array" ref="EL434">IFERROR(INDEX(TABLACONSOLIDADA[Inv Fís Act],MATCH("AGROINSUMOSLAFINCA"&amp;Tabla_Buffers_Agroinsumos[[#This Row],[CODIGO ]],TABLACONSOLIDADA[Bodega]&amp;TABLACONSOLIDADA[Codigo],0)),"")</f>
        <v/>
      </c>
      <c r="EM434" s="189" t="str">
        <f t="array" ref="EM43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34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34" s="135">
        <f>IFERROR(SUM(Tabla_Buffers_Agroinsumos[[#This Row],[LF-MP]:[LF-VL]]),"")</f>
        <v>0</v>
      </c>
      <c r="EP434" s="154" t="str">
        <f>IFERROR(Tabla_Buffers_Agroinsumos[[#This Row],[INV FIS LF]]-Tabla_Buffers_Agroinsumos[[#This Row],[BUFFER LF]],"")</f>
        <v/>
      </c>
      <c r="EQ434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34" s="135"/>
      <c r="ES434" s="135"/>
      <c r="ET434" s="135"/>
      <c r="EU434" s="135"/>
      <c r="EV434" s="135"/>
      <c r="EW434" s="135"/>
      <c r="EX434" s="135"/>
      <c r="EY434" s="135"/>
      <c r="EZ434" s="135"/>
      <c r="FA434" s="135" t="str">
        <f t="array" ref="FA434">IFERROR(INDEX(TABLACONSOLIDADA[Buff Act],MATCH("AGROINSUMOSVERONICALEDESMA"&amp;Tabla_Buffers_Agroinsumos[[#This Row],[CODIGO ]],TABLACONSOLIDADA[Bodega]&amp;TABLACONSOLIDADA[Codigo],0)),"")</f>
        <v/>
      </c>
      <c r="FB434" s="111" t="str">
        <f t="array" ref="FB434">IFERROR(INDEX(TABLACONSOLIDADA[Inv Fís Act],MATCH("AGROINSUMOSVERONICALEDESMA"&amp;Tabla_Buffers_Agroinsumos[[#This Row],[CODIGO ]],TABLACONSOLIDADA[Bodega]&amp;TABLACONSOLIDADA[Codigo],0)),"")</f>
        <v/>
      </c>
      <c r="FC434" s="189" t="str">
        <f t="array" ref="FC43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34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34" s="135">
        <f>IFERROR(SUM(Tabla_Buffers_Agroinsumos[[#This Row],[VL-MP]:[VL-LF]]),"")</f>
        <v>0</v>
      </c>
      <c r="FF434" s="154" t="str">
        <f>IFERROR(Tabla_Buffers_Agroinsumos[[#This Row],[INV FIS VL]]-Tabla_Buffers_Agroinsumos[[#This Row],[BUFFER VL]],"")</f>
        <v/>
      </c>
      <c r="FG434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34" s="135"/>
      <c r="FI434" s="135"/>
      <c r="FJ434" s="135"/>
      <c r="FK434" s="135"/>
      <c r="FL434" s="135"/>
      <c r="FM434" s="135"/>
      <c r="FN434" s="135"/>
      <c r="FO434" s="135"/>
      <c r="FP434" s="135"/>
    </row>
    <row r="435" spans="1:172">
      <c r="A435" s="20" t="s">
        <v>1357</v>
      </c>
      <c r="B435" s="20" t="s">
        <v>1358</v>
      </c>
      <c r="C435" s="20" t="s">
        <v>716</v>
      </c>
      <c r="D435" s="20" t="s">
        <v>718</v>
      </c>
      <c r="E435" s="20" t="s">
        <v>863</v>
      </c>
      <c r="F435" s="111" t="s">
        <v>808</v>
      </c>
      <c r="G435" s="111" t="s">
        <v>802</v>
      </c>
      <c r="H435" s="111" t="e">
        <f>VLOOKUP(Tabla_Buffers_Agroinsumos[[#This Row],[CODIGO ]],TABLACONSOLIDADA[[Codigo]:[PV]],6,0)</f>
        <v>#N/A</v>
      </c>
      <c r="I435" s="111" t="e">
        <f>VLOOKUP(Tabla_Buffers_Agroinsumos[[#This Row],[CODIGO ]],TABLACONSOLIDADA[[Codigo]:[PV]],5,0)</f>
        <v>#N/A</v>
      </c>
      <c r="J435" s="111"/>
      <c r="K435" s="111"/>
      <c r="L435" s="111">
        <f>IFERROR(Tabla_Buffers_Agroinsumos[[#This Row],[BUFFER CENTRAL]]/((Tabla_Buffers_Agroinsumos[[#This Row],[TIEMPO REPOSICION ]]/Tabla_Buffers_Agroinsumos[[#This Row],[FRECUENCIA]])+1),0)</f>
        <v>0</v>
      </c>
      <c r="M435" s="111" t="str">
        <f t="array" ref="M435">IFERROR(INDEX(TABLACONSOLIDADA[Buff Act],MATCH("AGROINSUMOSMATERIAPRIMA"&amp;Tabla_Buffers_Agroinsumos[[#This Row],[CODIGO ]],TABLACONSOLIDADA[Bodega]&amp;TABLACONSOLIDADA[Codigo],0)),"")</f>
        <v/>
      </c>
      <c r="N435" s="111" t="str">
        <f t="array" ref="N435">IFERROR(INDEX(TABLACONSOLIDADA[Inv Fís Act],MATCH("AGROINSUMOSMATERIAPRIMA"&amp;Tabla_Buffers_Agroinsumos[[#This Row],[CODIGO ]],TABLACONSOLIDADA[Bodega]&amp;TABLACONSOLIDADA[Codigo],0)),"")</f>
        <v/>
      </c>
      <c r="O435" s="189" t="str">
        <f t="array" ref="O43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35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35" s="111">
        <f>IFERROR(SUM(Tabla_Buffers_Agroinsumos[[#This Row],[MP-C]:[MP-VL]]),"")</f>
        <v>0</v>
      </c>
      <c r="R435" s="154" t="str">
        <f>IFERROR(Tabla_Buffers_Agroinsumos[[#This Row],[INV FIS MATERIA PRIMA]]-Tabla_Buffers_Agroinsumos[[#This Row],[BUFFER MATERIA PRIMA]],"")</f>
        <v/>
      </c>
      <c r="S435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35" s="111"/>
      <c r="U435" s="111"/>
      <c r="V435" s="111"/>
      <c r="W435" s="111"/>
      <c r="X435" s="111"/>
      <c r="Y435" s="111"/>
      <c r="Z435" s="111"/>
      <c r="AA435" s="111"/>
      <c r="AB435" s="111"/>
      <c r="AC435" s="135" t="str">
        <f t="array" ref="AC435">IFERROR(INDEX(TABLACONSOLIDADA[Buff Act],MATCH("AGROINSUMOSCENTRAL"&amp;Tabla_Buffers_Agroinsumos[[#This Row],[CODIGO ]],TABLACONSOLIDADA[Bodega]&amp;TABLACONSOLIDADA[Codigo],0)),"")</f>
        <v/>
      </c>
      <c r="AD435" s="111" t="str">
        <f t="array" ref="AD435">IFERROR(INDEX(TABLACONSOLIDADA[Inv Fís Act],MATCH("AGROINSUMOSCENTRAL"&amp;Tabla_Buffers_Agroinsumos[[#This Row],[CODIGO ]],TABLACONSOLIDADA[Bodega]&amp;TABLACONSOLIDADA[Codigo],0)),"")</f>
        <v/>
      </c>
      <c r="AE435" s="189" t="str">
        <f t="array" ref="AE43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35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35" s="153">
        <f>IFERROR(SUM(Tabla_Buffers_Agroinsumos[[#This Row],[C-MP]:[C-VL]]),"")</f>
        <v>0</v>
      </c>
      <c r="AH435" s="154" t="str">
        <f>IFERROR(Tabla_Buffers_Agroinsumos[[#This Row],[INV FIS CENTRAL]]-Tabla_Buffers_Agroinsumos[[#This Row],[BUFFER CENTRAL]],"")</f>
        <v/>
      </c>
      <c r="AI435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35" s="135"/>
      <c r="AK435" s="135"/>
      <c r="AL435" s="135"/>
      <c r="AM435" s="135"/>
      <c r="AN435" s="135"/>
      <c r="AO435" s="135"/>
      <c r="AP435" s="135"/>
      <c r="AQ435" s="135"/>
      <c r="AR435" s="135"/>
      <c r="AS435" s="135" t="str">
        <f t="array" ref="AS435">IFERROR(INDEX(TABLACONSOLIDADA[Buff Act],MATCH("AGROINSUMOScentralPROPIA"&amp;Tabla_Buffers_Agroinsumos[[#This Row],[CODIGO ]],TABLACONSOLIDADA[Bodega]&amp;TABLACONSOLIDADA[Codigo],0)),"")</f>
        <v/>
      </c>
      <c r="AT435" s="111" t="str">
        <f t="array" ref="AT435">IFERROR(INDEX(TABLACONSOLIDADA[Inv Fís Act],MATCH("AGROINSUMOScentralPROPIA"&amp;Tabla_Buffers_Agroinsumos[[#This Row],[CODIGO ]],TABLACONSOLIDADA[Bodega]&amp;TABLACONSOLIDADA[Codigo],0)),"")</f>
        <v/>
      </c>
      <c r="AU435" s="189" t="str">
        <f t="array" ref="AU43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35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35" s="135">
        <f>IFERROR(SUM(Tabla_Buffers_Agroinsumos[[#This Row],[P-MP]:[P-VL]]),"")</f>
        <v>0</v>
      </c>
      <c r="AX435" s="154" t="str">
        <f>IFERROR(Tabla_Buffers_Agroinsumos[[#This Row],[INV FIS PROPIA]]-Tabla_Buffers_Agroinsumos[[#This Row],[BUFFER PROPIA]],"")</f>
        <v/>
      </c>
      <c r="AY435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35" s="135"/>
      <c r="BA435" s="135"/>
      <c r="BB435" s="135"/>
      <c r="BC435" s="135"/>
      <c r="BD435" s="135"/>
      <c r="BE435" s="135"/>
      <c r="BF435" s="135"/>
      <c r="BG435" s="135"/>
      <c r="BH435" s="135"/>
      <c r="BI435" s="153" t="str">
        <f t="array" ref="BI435">IFERROR(INDEX(TABLACONSOLIDADA[Buff Act],MATCH("AGROINSUMOSSTODOMINGO"&amp;Tabla_Buffers_Agroinsumos[[#This Row],[CODIGO ]],TABLACONSOLIDADA[Bodega]&amp;TABLACONSOLIDADA[Codigo],0)),"")</f>
        <v/>
      </c>
      <c r="BJ435" s="111" t="str">
        <f t="array" ref="BJ435">IFERROR(INDEX(TABLACONSOLIDADA[Inv Fís Act],MATCH("AGROINSUMOSSTODOMINGO"&amp;Tabla_Buffers_Agroinsumos[[#This Row],[CODIGO ]],TABLACONSOLIDADA[Bodega]&amp;TABLACONSOLIDADA[Codigo],0)),"")</f>
        <v/>
      </c>
      <c r="BK435" s="189" t="str">
        <f t="array" ref="BK43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35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35" s="153">
        <f>IFERROR(SUM(Tabla_Buffers_Agroinsumos[[#This Row],[SD-MP]:[SD-VL]]),"")</f>
        <v>0</v>
      </c>
      <c r="BN435" s="154"/>
      <c r="BO435" s="154"/>
      <c r="BP435" s="135"/>
      <c r="BQ435" s="135"/>
      <c r="BR435" s="135"/>
      <c r="BS435" s="135"/>
      <c r="BT435" s="135"/>
      <c r="BU435" s="135"/>
      <c r="BV435" s="135"/>
      <c r="BW435" s="135"/>
      <c r="BX435" s="135"/>
      <c r="BY435" s="135" t="str">
        <f t="array" ref="BY435">IFERROR(INDEX(TABLACONSOLIDADA[Buff Act],MATCH("AGROINSUMOSMONCAYOLOPEZ"&amp;Tabla_Buffers_Agroinsumos[[#This Row],[CODIGO ]],TABLACONSOLIDADA[Bodega]&amp;TABLACONSOLIDADA[Codigo],0)),"")</f>
        <v/>
      </c>
      <c r="BZ435" s="111" t="str">
        <f t="array" ref="BZ435">IFERROR(INDEX(TABLACONSOLIDADA[Inv Fís Act],MATCH("AGROINSUMOSMONCAYOLOPEZ"&amp;Tabla_Buffers_Agroinsumos[[#This Row],[CODIGO ]],TABLACONSOLIDADA[Bodega]&amp;TABLACONSOLIDADA[Codigo],0)),"")</f>
        <v/>
      </c>
      <c r="CA435" s="189" t="str">
        <f t="array" ref="CA43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35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35" s="135">
        <f>IFERROR(SUM(Tabla_Buffers_Agroinsumos[[#This Row],[ML-MP]:[ML-VL]]),"")</f>
        <v>0</v>
      </c>
      <c r="CD435" s="154" t="str">
        <f>IFERROR(Tabla_Buffers_Agroinsumos[[#This Row],[INV FIS ML]]-Tabla_Buffers_Agroinsumos[[#This Row],[BUFFER ML]],"")</f>
        <v/>
      </c>
      <c r="CE435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35" s="135"/>
      <c r="CG435" s="135"/>
      <c r="CH435" s="135"/>
      <c r="CI435" s="135"/>
      <c r="CJ435" s="135"/>
      <c r="CK435" s="135"/>
      <c r="CL435" s="135"/>
      <c r="CM435" s="135"/>
      <c r="CN435" s="135"/>
      <c r="CO435" s="135" t="str">
        <f t="array" ref="CO435">IFERROR(INDEX(TABLACONSOLIDADA[Buff Act],MATCH("AGROINSUMOSAGROHERMANOSLEON"&amp;Tabla_Buffers_Agroinsumos[[#This Row],[CODIGO ]],TABLACONSOLIDADA[Bodega]&amp;TABLACONSOLIDADA[Codigo],0)),"")</f>
        <v/>
      </c>
      <c r="CP435" s="111" t="str">
        <f t="array" ref="CP435">IFERROR(INDEX(TABLACONSOLIDADA[Inv Fís Act],MATCH("AGROINSUMOSAGROHERMANOSLEON"&amp;Tabla_Buffers_Agroinsumos[[#This Row],[CODIGO ]],TABLACONSOLIDADA[Bodega]&amp;TABLACONSOLIDADA[Codigo],0)),"")</f>
        <v/>
      </c>
      <c r="CQ435" s="189" t="str">
        <f t="array" ref="CQ43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35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35" s="135">
        <f>IFERROR(SUM(Tabla_Buffers_Agroinsumos[[#This Row],[AL-MP]:[AL-VL]]),"")</f>
        <v>0</v>
      </c>
      <c r="CT435" s="154" t="str">
        <f>IFERROR(Tabla_Buffers_Agroinsumos[[#This Row],[INV FIS AL]]-Tabla_Buffers_Agroinsumos[[#This Row],[BUFFER AL]],"")</f>
        <v/>
      </c>
      <c r="CU435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35" s="135"/>
      <c r="CW435" s="135"/>
      <c r="CX435" s="135"/>
      <c r="CY435" s="135"/>
      <c r="CZ435" s="135"/>
      <c r="DA435" s="135"/>
      <c r="DB435" s="135"/>
      <c r="DC435" s="135"/>
      <c r="DD435" s="135"/>
      <c r="DE435" s="135" t="str">
        <f t="array" ref="DE435">IFERROR(INDEX(TABLACONSOLIDADA[Buff Act],MATCH("AGROINSUMOSAGRONUEVO"&amp;Tabla_Buffers_Agroinsumos[[#This Row],[CODIGO ]],TABLACONSOLIDADA[Bodega]&amp;TABLACONSOLIDADA[Codigo],0)),"")</f>
        <v/>
      </c>
      <c r="DF435" s="111" t="str">
        <f t="array" ref="DF435">IFERROR(INDEX(TABLACONSOLIDADA[Inv Fís Act],MATCH("AGROINSUMOSAGRONUEVO"&amp;Tabla_Buffers_Agroinsumos[[#This Row],[CODIGO ]],TABLACONSOLIDADA[Bodega]&amp;TABLACONSOLIDADA[Codigo],0)),"")</f>
        <v/>
      </c>
      <c r="DG435" s="189" t="str">
        <f t="array" ref="DG43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35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35" s="135">
        <f>IFERROR(SUM(Tabla_Buffers_Agroinsumos[[#This Row],[AN-MP]:[AN-VL]]),"")</f>
        <v>0</v>
      </c>
      <c r="DJ435" s="154" t="str">
        <f>IFERROR(Tabla_Buffers_Agroinsumos[[#This Row],[INV FIS AN]]-Tabla_Buffers_Agroinsumos[[#This Row],[BUFFER AN]],"")</f>
        <v/>
      </c>
      <c r="DK435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35" s="135"/>
      <c r="DM435" s="135"/>
      <c r="DN435" s="135"/>
      <c r="DO435" s="135"/>
      <c r="DP435" s="135"/>
      <c r="DQ435" s="135"/>
      <c r="DR435" s="135"/>
      <c r="DS435" s="135"/>
      <c r="DT435" s="135"/>
      <c r="DU435" s="135" t="str">
        <f t="array" ref="DU435">IFERROR(INDEX(TABLACONSOLIDADA[Buff Act],MATCH("AGROINSUMOSAGROQUIMICOSSUR"&amp;Tabla_Buffers_Agroinsumos[[#This Row],[CODIGO ]],TABLACONSOLIDADA[Bodega]&amp;TABLACONSOLIDADA[Codigo],0)),"")</f>
        <v/>
      </c>
      <c r="DV435" s="111" t="str">
        <f t="array" ref="DV435">IFERROR(INDEX(TABLACONSOLIDADA[Inv Fís Act],MATCH("AGROINSUMOSAGROQUIMICOSSUR"&amp;Tabla_Buffers_Agroinsumos[[#This Row],[CODIGO ]],TABLACONSOLIDADA[Bodega]&amp;TABLACONSOLIDADA[Codigo],0)),"")</f>
        <v/>
      </c>
      <c r="DW435" s="189" t="str">
        <f t="array" ref="DW43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35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35" s="135">
        <f>IFERROR(SUM(Tabla_Buffers_Agroinsumos[[#This Row],[AS-MP]:[AS-VL]]),"")</f>
        <v>0</v>
      </c>
      <c r="DZ435" s="154" t="str">
        <f>IFERROR(Tabla_Buffers_Agroinsumos[[#This Row],[INV FIS AS]]-Tabla_Buffers_Agroinsumos[[#This Row],[BUFFER AS]],"")</f>
        <v/>
      </c>
      <c r="EA435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35" s="135"/>
      <c r="EC435" s="135"/>
      <c r="ED435" s="135"/>
      <c r="EE435" s="135"/>
      <c r="EF435" s="135"/>
      <c r="EG435" s="135"/>
      <c r="EH435" s="135"/>
      <c r="EI435" s="135"/>
      <c r="EJ435" s="135"/>
      <c r="EK435" s="135" t="str">
        <f t="array" ref="EK435">IFERROR(INDEX(TABLACONSOLIDADA[Buff Act],MATCH("AGROINSUMOSLAFINCA"&amp;Tabla_Buffers_Agroinsumos[[#This Row],[CODIGO ]],TABLACONSOLIDADA[Bodega]&amp;TABLACONSOLIDADA[Codigo],0)),"")</f>
        <v/>
      </c>
      <c r="EL435" s="111" t="str">
        <f t="array" ref="EL435">IFERROR(INDEX(TABLACONSOLIDADA[Inv Fís Act],MATCH("AGROINSUMOSLAFINCA"&amp;Tabla_Buffers_Agroinsumos[[#This Row],[CODIGO ]],TABLACONSOLIDADA[Bodega]&amp;TABLACONSOLIDADA[Codigo],0)),"")</f>
        <v/>
      </c>
      <c r="EM435" s="189" t="str">
        <f t="array" ref="EM43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35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35" s="135">
        <f>IFERROR(SUM(Tabla_Buffers_Agroinsumos[[#This Row],[LF-MP]:[LF-VL]]),"")</f>
        <v>0</v>
      </c>
      <c r="EP435" s="154" t="str">
        <f>IFERROR(Tabla_Buffers_Agroinsumos[[#This Row],[INV FIS LF]]-Tabla_Buffers_Agroinsumos[[#This Row],[BUFFER LF]],"")</f>
        <v/>
      </c>
      <c r="EQ435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35" s="135"/>
      <c r="ES435" s="135"/>
      <c r="ET435" s="135"/>
      <c r="EU435" s="135"/>
      <c r="EV435" s="135"/>
      <c r="EW435" s="135"/>
      <c r="EX435" s="135"/>
      <c r="EY435" s="135"/>
      <c r="EZ435" s="135"/>
      <c r="FA435" s="135" t="str">
        <f t="array" ref="FA435">IFERROR(INDEX(TABLACONSOLIDADA[Buff Act],MATCH("AGROINSUMOSVERONICALEDESMA"&amp;Tabla_Buffers_Agroinsumos[[#This Row],[CODIGO ]],TABLACONSOLIDADA[Bodega]&amp;TABLACONSOLIDADA[Codigo],0)),"")</f>
        <v/>
      </c>
      <c r="FB435" s="111" t="str">
        <f t="array" ref="FB435">IFERROR(INDEX(TABLACONSOLIDADA[Inv Fís Act],MATCH("AGROINSUMOSVERONICALEDESMA"&amp;Tabla_Buffers_Agroinsumos[[#This Row],[CODIGO ]],TABLACONSOLIDADA[Bodega]&amp;TABLACONSOLIDADA[Codigo],0)),"")</f>
        <v/>
      </c>
      <c r="FC435" s="189" t="str">
        <f t="array" ref="FC43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35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35" s="135">
        <f>IFERROR(SUM(Tabla_Buffers_Agroinsumos[[#This Row],[VL-MP]:[VL-LF]]),"")</f>
        <v>0</v>
      </c>
      <c r="FF435" s="154" t="str">
        <f>IFERROR(Tabla_Buffers_Agroinsumos[[#This Row],[INV FIS VL]]-Tabla_Buffers_Agroinsumos[[#This Row],[BUFFER VL]],"")</f>
        <v/>
      </c>
      <c r="FG435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35" s="135"/>
      <c r="FI435" s="135"/>
      <c r="FJ435" s="135"/>
      <c r="FK435" s="135"/>
      <c r="FL435" s="135"/>
      <c r="FM435" s="135"/>
      <c r="FN435" s="135"/>
      <c r="FO435" s="135"/>
      <c r="FP435" s="135"/>
    </row>
    <row r="436" spans="1:172">
      <c r="A436" s="20" t="s">
        <v>1360</v>
      </c>
      <c r="B436" s="20" t="s">
        <v>1359</v>
      </c>
      <c r="C436" s="20" t="s">
        <v>707</v>
      </c>
      <c r="D436" s="20" t="s">
        <v>1292</v>
      </c>
      <c r="E436" s="20" t="s">
        <v>863</v>
      </c>
      <c r="F436" s="111" t="s">
        <v>804</v>
      </c>
      <c r="G436" s="111" t="s">
        <v>802</v>
      </c>
      <c r="H436" s="111" t="e">
        <f>VLOOKUP(Tabla_Buffers_Agroinsumos[[#This Row],[CODIGO ]],TABLACONSOLIDADA[[Codigo]:[PV]],6,0)</f>
        <v>#N/A</v>
      </c>
      <c r="I436" s="111" t="e">
        <f>VLOOKUP(Tabla_Buffers_Agroinsumos[[#This Row],[CODIGO ]],TABLACONSOLIDADA[[Codigo]:[PV]],5,0)</f>
        <v>#N/A</v>
      </c>
      <c r="J436" s="111"/>
      <c r="K436" s="111"/>
      <c r="L436" s="111">
        <f>IFERROR(Tabla_Buffers_Agroinsumos[[#This Row],[BUFFER CENTRAL]]/((Tabla_Buffers_Agroinsumos[[#This Row],[TIEMPO REPOSICION ]]/Tabla_Buffers_Agroinsumos[[#This Row],[FRECUENCIA]])+1),0)</f>
        <v>0</v>
      </c>
      <c r="M436" s="111" t="str">
        <f t="array" ref="M436">IFERROR(INDEX(TABLACONSOLIDADA[Buff Act],MATCH("AGROINSUMOSMATERIAPRIMA"&amp;Tabla_Buffers_Agroinsumos[[#This Row],[CODIGO ]],TABLACONSOLIDADA[Bodega]&amp;TABLACONSOLIDADA[Codigo],0)),"")</f>
        <v/>
      </c>
      <c r="N436" s="111" t="str">
        <f t="array" ref="N436">IFERROR(INDEX(TABLACONSOLIDADA[Inv Fís Act],MATCH("AGROINSUMOSMATERIAPRIMA"&amp;Tabla_Buffers_Agroinsumos[[#This Row],[CODIGO ]],TABLACONSOLIDADA[Bodega]&amp;TABLACONSOLIDADA[Codigo],0)),"")</f>
        <v/>
      </c>
      <c r="O436" s="161" t="str">
        <f t="array" ref="O43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36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36" s="111">
        <f>IFERROR(SUM(Tabla_Buffers_Agroinsumos[[#This Row],[MP-C]:[MP-VL]]),"")</f>
        <v>0</v>
      </c>
      <c r="R436" s="154" t="str">
        <f>IFERROR(Tabla_Buffers_Agroinsumos[[#This Row],[INV FIS MATERIA PRIMA]]-Tabla_Buffers_Agroinsumos[[#This Row],[BUFFER MATERIA PRIMA]],"")</f>
        <v/>
      </c>
      <c r="S436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36" s="111"/>
      <c r="U436" s="111"/>
      <c r="V436" s="111"/>
      <c r="W436" s="111"/>
      <c r="X436" s="111"/>
      <c r="Y436" s="111"/>
      <c r="Z436" s="111"/>
      <c r="AA436" s="111"/>
      <c r="AB436" s="111"/>
      <c r="AC436" s="135" t="str">
        <f t="array" ref="AC436">IFERROR(INDEX(TABLACONSOLIDADA[Buff Act],MATCH("AGROINSUMOSCENTRAL"&amp;Tabla_Buffers_Agroinsumos[[#This Row],[CODIGO ]],TABLACONSOLIDADA[Bodega]&amp;TABLACONSOLIDADA[Codigo],0)),"")</f>
        <v/>
      </c>
      <c r="AD436" s="111" t="str">
        <f t="array" ref="AD436">IFERROR(INDEX(TABLACONSOLIDADA[Inv Fís Act],MATCH("AGROINSUMOSCENTRAL"&amp;Tabla_Buffers_Agroinsumos[[#This Row],[CODIGO ]],TABLACONSOLIDADA[Bodega]&amp;TABLACONSOLIDADA[Codigo],0)),"")</f>
        <v/>
      </c>
      <c r="AE436" s="161" t="str">
        <f t="array" ref="AE43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36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36" s="153">
        <f>IFERROR(SUM(Tabla_Buffers_Agroinsumos[[#This Row],[C-MP]:[C-VL]]),"")</f>
        <v>0</v>
      </c>
      <c r="AH436" s="154" t="str">
        <f>IFERROR(Tabla_Buffers_Agroinsumos[[#This Row],[INV FIS CENTRAL]]-Tabla_Buffers_Agroinsumos[[#This Row],[BUFFER CENTRAL]],"")</f>
        <v/>
      </c>
      <c r="AI436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36" s="135"/>
      <c r="AK436" s="135"/>
      <c r="AL436" s="135"/>
      <c r="AM436" s="135"/>
      <c r="AN436" s="135"/>
      <c r="AO436" s="135"/>
      <c r="AP436" s="135"/>
      <c r="AQ436" s="135"/>
      <c r="AR436" s="135"/>
      <c r="AS436" s="135" t="str">
        <f t="array" ref="AS436">IFERROR(INDEX(TABLACONSOLIDADA[Buff Act],MATCH("AGROINSUMOScentralPROPIA"&amp;Tabla_Buffers_Agroinsumos[[#This Row],[CODIGO ]],TABLACONSOLIDADA[Bodega]&amp;TABLACONSOLIDADA[Codigo],0)),"")</f>
        <v/>
      </c>
      <c r="AT436" s="111" t="str">
        <f t="array" ref="AT436">IFERROR(INDEX(TABLACONSOLIDADA[Inv Fís Act],MATCH("AGROINSUMOScentralPROPIA"&amp;Tabla_Buffers_Agroinsumos[[#This Row],[CODIGO ]],TABLACONSOLIDADA[Bodega]&amp;TABLACONSOLIDADA[Codigo],0)),"")</f>
        <v/>
      </c>
      <c r="AU436" s="161" t="str">
        <f t="array" ref="AU43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36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36" s="135">
        <f>IFERROR(SUM(Tabla_Buffers_Agroinsumos[[#This Row],[P-MP]:[P-VL]]),"")</f>
        <v>0</v>
      </c>
      <c r="AX436" s="154" t="str">
        <f>IFERROR(Tabla_Buffers_Agroinsumos[[#This Row],[INV FIS PROPIA]]-Tabla_Buffers_Agroinsumos[[#This Row],[BUFFER PROPIA]],"")</f>
        <v/>
      </c>
      <c r="AY436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36" s="135"/>
      <c r="BA436" s="135"/>
      <c r="BB436" s="135"/>
      <c r="BC436" s="135"/>
      <c r="BD436" s="135"/>
      <c r="BE436" s="135"/>
      <c r="BF436" s="135"/>
      <c r="BG436" s="135"/>
      <c r="BH436" s="135"/>
      <c r="BI436" s="153" t="str">
        <f t="array" ref="BI436">IFERROR(INDEX(TABLACONSOLIDADA[Buff Act],MATCH("AGROINSUMOSSTODOMINGO"&amp;Tabla_Buffers_Agroinsumos[[#This Row],[CODIGO ]],TABLACONSOLIDADA[Bodega]&amp;TABLACONSOLIDADA[Codigo],0)),"")</f>
        <v/>
      </c>
      <c r="BJ436" s="111" t="str">
        <f t="array" ref="BJ436">IFERROR(INDEX(TABLACONSOLIDADA[Inv Fís Act],MATCH("AGROINSUMOSSTODOMINGO"&amp;Tabla_Buffers_Agroinsumos[[#This Row],[CODIGO ]],TABLACONSOLIDADA[Bodega]&amp;TABLACONSOLIDADA[Codigo],0)),"")</f>
        <v/>
      </c>
      <c r="BK436" s="161" t="str">
        <f t="array" ref="BK43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36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36" s="153">
        <f>IFERROR(SUM(Tabla_Buffers_Agroinsumos[[#This Row],[SD-MP]:[SD-VL]]),"")</f>
        <v>0</v>
      </c>
      <c r="BN436" s="154"/>
      <c r="BO436" s="154"/>
      <c r="BP436" s="135"/>
      <c r="BQ436" s="135"/>
      <c r="BR436" s="135"/>
      <c r="BS436" s="135"/>
      <c r="BT436" s="135"/>
      <c r="BU436" s="135"/>
      <c r="BV436" s="135"/>
      <c r="BW436" s="135"/>
      <c r="BX436" s="135"/>
      <c r="BY436" s="135" t="str">
        <f t="array" ref="BY436">IFERROR(INDEX(TABLACONSOLIDADA[Buff Act],MATCH("AGROINSUMOSMONCAYOLOPEZ"&amp;Tabla_Buffers_Agroinsumos[[#This Row],[CODIGO ]],TABLACONSOLIDADA[Bodega]&amp;TABLACONSOLIDADA[Codigo],0)),"")</f>
        <v/>
      </c>
      <c r="BZ436" s="111" t="str">
        <f t="array" ref="BZ436">IFERROR(INDEX(TABLACONSOLIDADA[Inv Fís Act],MATCH("AGROINSUMOSMONCAYOLOPEZ"&amp;Tabla_Buffers_Agroinsumos[[#This Row],[CODIGO ]],TABLACONSOLIDADA[Bodega]&amp;TABLACONSOLIDADA[Codigo],0)),"")</f>
        <v/>
      </c>
      <c r="CA436" s="161" t="str">
        <f t="array" ref="CA43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36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36" s="135">
        <f>IFERROR(SUM(Tabla_Buffers_Agroinsumos[[#This Row],[ML-MP]:[ML-VL]]),"")</f>
        <v>0</v>
      </c>
      <c r="CD436" s="154" t="str">
        <f>IFERROR(Tabla_Buffers_Agroinsumos[[#This Row],[INV FIS ML]]-Tabla_Buffers_Agroinsumos[[#This Row],[BUFFER ML]],"")</f>
        <v/>
      </c>
      <c r="CE436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36" s="135"/>
      <c r="CG436" s="135"/>
      <c r="CH436" s="135"/>
      <c r="CI436" s="135"/>
      <c r="CJ436" s="135"/>
      <c r="CK436" s="135"/>
      <c r="CL436" s="135"/>
      <c r="CM436" s="135"/>
      <c r="CN436" s="135"/>
      <c r="CO436" s="135" t="str">
        <f t="array" ref="CO436">IFERROR(INDEX(TABLACONSOLIDADA[Buff Act],MATCH("AGROINSUMOSAGROHERMANOSLEON"&amp;Tabla_Buffers_Agroinsumos[[#This Row],[CODIGO ]],TABLACONSOLIDADA[Bodega]&amp;TABLACONSOLIDADA[Codigo],0)),"")</f>
        <v/>
      </c>
      <c r="CP436" s="111" t="str">
        <f t="array" ref="CP436">IFERROR(INDEX(TABLACONSOLIDADA[Inv Fís Act],MATCH("AGROINSUMOSAGROHERMANOSLEON"&amp;Tabla_Buffers_Agroinsumos[[#This Row],[CODIGO ]],TABLACONSOLIDADA[Bodega]&amp;TABLACONSOLIDADA[Codigo],0)),"")</f>
        <v/>
      </c>
      <c r="CQ436" s="161" t="str">
        <f t="array" ref="CQ43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36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36" s="135">
        <f>IFERROR(SUM(Tabla_Buffers_Agroinsumos[[#This Row],[AL-MP]:[AL-VL]]),"")</f>
        <v>0</v>
      </c>
      <c r="CT436" s="154" t="str">
        <f>IFERROR(Tabla_Buffers_Agroinsumos[[#This Row],[INV FIS AL]]-Tabla_Buffers_Agroinsumos[[#This Row],[BUFFER AL]],"")</f>
        <v/>
      </c>
      <c r="CU436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36" s="135"/>
      <c r="CW436" s="135"/>
      <c r="CX436" s="135"/>
      <c r="CY436" s="135"/>
      <c r="CZ436" s="135"/>
      <c r="DA436" s="135"/>
      <c r="DB436" s="135"/>
      <c r="DC436" s="135"/>
      <c r="DD436" s="135"/>
      <c r="DE436" s="135" t="str">
        <f t="array" ref="DE436">IFERROR(INDEX(TABLACONSOLIDADA[Buff Act],MATCH("AGROINSUMOSAGRONUEVO"&amp;Tabla_Buffers_Agroinsumos[[#This Row],[CODIGO ]],TABLACONSOLIDADA[Bodega]&amp;TABLACONSOLIDADA[Codigo],0)),"")</f>
        <v/>
      </c>
      <c r="DF436" s="111" t="str">
        <f t="array" ref="DF436">IFERROR(INDEX(TABLACONSOLIDADA[Inv Fís Act],MATCH("AGROINSUMOSAGRONUEVO"&amp;Tabla_Buffers_Agroinsumos[[#This Row],[CODIGO ]],TABLACONSOLIDADA[Bodega]&amp;TABLACONSOLIDADA[Codigo],0)),"")</f>
        <v/>
      </c>
      <c r="DG436" s="161" t="str">
        <f t="array" ref="DG43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36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36" s="135">
        <f>IFERROR(SUM(Tabla_Buffers_Agroinsumos[[#This Row],[AN-MP]:[AN-VL]]),"")</f>
        <v>0</v>
      </c>
      <c r="DJ436" s="154" t="str">
        <f>IFERROR(Tabla_Buffers_Agroinsumos[[#This Row],[INV FIS AN]]-Tabla_Buffers_Agroinsumos[[#This Row],[BUFFER AN]],"")</f>
        <v/>
      </c>
      <c r="DK436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36" s="135"/>
      <c r="DM436" s="135"/>
      <c r="DN436" s="135"/>
      <c r="DO436" s="135"/>
      <c r="DP436" s="135"/>
      <c r="DQ436" s="135"/>
      <c r="DR436" s="135"/>
      <c r="DS436" s="135"/>
      <c r="DT436" s="135"/>
      <c r="DU436" s="135" t="str">
        <f t="array" ref="DU436">IFERROR(INDEX(TABLACONSOLIDADA[Buff Act],MATCH("AGROINSUMOSAGROQUIMICOSSUR"&amp;Tabla_Buffers_Agroinsumos[[#This Row],[CODIGO ]],TABLACONSOLIDADA[Bodega]&amp;TABLACONSOLIDADA[Codigo],0)),"")</f>
        <v/>
      </c>
      <c r="DV436" s="111" t="str">
        <f t="array" ref="DV436">IFERROR(INDEX(TABLACONSOLIDADA[Inv Fís Act],MATCH("AGROINSUMOSAGROQUIMICOSSUR"&amp;Tabla_Buffers_Agroinsumos[[#This Row],[CODIGO ]],TABLACONSOLIDADA[Bodega]&amp;TABLACONSOLIDADA[Codigo],0)),"")</f>
        <v/>
      </c>
      <c r="DW436" s="161" t="str">
        <f t="array" ref="DW43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36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36" s="135">
        <f>IFERROR(SUM(Tabla_Buffers_Agroinsumos[[#This Row],[AS-MP]:[AS-VL]]),"")</f>
        <v>0</v>
      </c>
      <c r="DZ436" s="154" t="str">
        <f>IFERROR(Tabla_Buffers_Agroinsumos[[#This Row],[INV FIS AS]]-Tabla_Buffers_Agroinsumos[[#This Row],[BUFFER AS]],"")</f>
        <v/>
      </c>
      <c r="EA436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36" s="135"/>
      <c r="EC436" s="135"/>
      <c r="ED436" s="135"/>
      <c r="EE436" s="135"/>
      <c r="EF436" s="135"/>
      <c r="EG436" s="135"/>
      <c r="EH436" s="135"/>
      <c r="EI436" s="135"/>
      <c r="EJ436" s="135"/>
      <c r="EK436" s="135" t="str">
        <f t="array" ref="EK436">IFERROR(INDEX(TABLACONSOLIDADA[Buff Act],MATCH("AGROINSUMOSLAFINCA"&amp;Tabla_Buffers_Agroinsumos[[#This Row],[CODIGO ]],TABLACONSOLIDADA[Bodega]&amp;TABLACONSOLIDADA[Codigo],0)),"")</f>
        <v/>
      </c>
      <c r="EL436" s="111" t="str">
        <f t="array" ref="EL436">IFERROR(INDEX(TABLACONSOLIDADA[Inv Fís Act],MATCH("AGROINSUMOSLAFINCA"&amp;Tabla_Buffers_Agroinsumos[[#This Row],[CODIGO ]],TABLACONSOLIDADA[Bodega]&amp;TABLACONSOLIDADA[Codigo],0)),"")</f>
        <v/>
      </c>
      <c r="EM436" s="161" t="str">
        <f t="array" ref="EM43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36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36" s="135">
        <f>IFERROR(SUM(Tabla_Buffers_Agroinsumos[[#This Row],[LF-MP]:[LF-VL]]),"")</f>
        <v>0</v>
      </c>
      <c r="EP436" s="154" t="str">
        <f>IFERROR(Tabla_Buffers_Agroinsumos[[#This Row],[INV FIS LF]]-Tabla_Buffers_Agroinsumos[[#This Row],[BUFFER LF]],"")</f>
        <v/>
      </c>
      <c r="EQ436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36" s="135"/>
      <c r="ES436" s="135"/>
      <c r="ET436" s="135"/>
      <c r="EU436" s="135"/>
      <c r="EV436" s="135"/>
      <c r="EW436" s="135"/>
      <c r="EX436" s="135"/>
      <c r="EY436" s="135"/>
      <c r="EZ436" s="135"/>
      <c r="FA436" s="135" t="str">
        <f t="array" ref="FA436">IFERROR(INDEX(TABLACONSOLIDADA[Buff Act],MATCH("AGROINSUMOSVERONICALEDESMA"&amp;Tabla_Buffers_Agroinsumos[[#This Row],[CODIGO ]],TABLACONSOLIDADA[Bodega]&amp;TABLACONSOLIDADA[Codigo],0)),"")</f>
        <v/>
      </c>
      <c r="FB436" s="111" t="str">
        <f t="array" ref="FB436">IFERROR(INDEX(TABLACONSOLIDADA[Inv Fís Act],MATCH("AGROINSUMOSVERONICALEDESMA"&amp;Tabla_Buffers_Agroinsumos[[#This Row],[CODIGO ]],TABLACONSOLIDADA[Bodega]&amp;TABLACONSOLIDADA[Codigo],0)),"")</f>
        <v/>
      </c>
      <c r="FC436" s="161" t="str">
        <f t="array" ref="FC43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36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36" s="135">
        <f>IFERROR(SUM(Tabla_Buffers_Agroinsumos[[#This Row],[VL-MP]:[VL-LF]]),"")</f>
        <v>0</v>
      </c>
      <c r="FF436" s="154" t="str">
        <f>IFERROR(Tabla_Buffers_Agroinsumos[[#This Row],[INV FIS VL]]-Tabla_Buffers_Agroinsumos[[#This Row],[BUFFER VL]],"")</f>
        <v/>
      </c>
      <c r="FG436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36" s="135"/>
      <c r="FI436" s="135"/>
      <c r="FJ436" s="135"/>
      <c r="FK436" s="135"/>
      <c r="FL436" s="135"/>
      <c r="FM436" s="135"/>
      <c r="FN436" s="135"/>
      <c r="FO436" s="135"/>
      <c r="FP436" s="135"/>
    </row>
    <row r="437" spans="1:172">
      <c r="A437" s="20" t="s">
        <v>1361</v>
      </c>
      <c r="B437" s="20" t="s">
        <v>1362</v>
      </c>
      <c r="C437" s="20" t="s">
        <v>707</v>
      </c>
      <c r="D437" s="20" t="s">
        <v>1292</v>
      </c>
      <c r="E437" s="20" t="s">
        <v>975</v>
      </c>
      <c r="F437" s="111" t="s">
        <v>804</v>
      </c>
      <c r="G437" s="111" t="s">
        <v>802</v>
      </c>
      <c r="H437" s="111" t="e">
        <f>VLOOKUP(Tabla_Buffers_Agroinsumos[[#This Row],[CODIGO ]],TABLACONSOLIDADA[[Codigo]:[PV]],6,0)</f>
        <v>#N/A</v>
      </c>
      <c r="I437" s="111" t="e">
        <f>VLOOKUP(Tabla_Buffers_Agroinsumos[[#This Row],[CODIGO ]],TABLACONSOLIDADA[[Codigo]:[PV]],5,0)</f>
        <v>#N/A</v>
      </c>
      <c r="J437" s="111"/>
      <c r="K437" s="111"/>
      <c r="L437" s="111">
        <f>IFERROR(Tabla_Buffers_Agroinsumos[[#This Row],[BUFFER CENTRAL]]/((Tabla_Buffers_Agroinsumos[[#This Row],[TIEMPO REPOSICION ]]/Tabla_Buffers_Agroinsumos[[#This Row],[FRECUENCIA]])+1),0)</f>
        <v>0</v>
      </c>
      <c r="M437" s="111" t="str">
        <f t="array" ref="M437">IFERROR(INDEX(TABLACONSOLIDADA[Buff Act],MATCH("AGROINSUMOSMATERIAPRIMA"&amp;Tabla_Buffers_Agroinsumos[[#This Row],[CODIGO ]],TABLACONSOLIDADA[Bodega]&amp;TABLACONSOLIDADA[Codigo],0)),"")</f>
        <v/>
      </c>
      <c r="N437" s="111" t="str">
        <f t="array" ref="N437">IFERROR(INDEX(TABLACONSOLIDADA[Inv Fís Act],MATCH("AGROINSUMOSMATERIAPRIMA"&amp;Tabla_Buffers_Agroinsumos[[#This Row],[CODIGO ]],TABLACONSOLIDADA[Bodega]&amp;TABLACONSOLIDADA[Codigo],0)),"")</f>
        <v/>
      </c>
      <c r="O437" s="161" t="str">
        <f t="array" ref="O43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37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37" s="111">
        <f>IFERROR(SUM(Tabla_Buffers_Agroinsumos[[#This Row],[MP-C]:[MP-VL]]),"")</f>
        <v>0</v>
      </c>
      <c r="R437" s="154" t="str">
        <f>IFERROR(Tabla_Buffers_Agroinsumos[[#This Row],[INV FIS MATERIA PRIMA]]-Tabla_Buffers_Agroinsumos[[#This Row],[BUFFER MATERIA PRIMA]],"")</f>
        <v/>
      </c>
      <c r="S437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37" s="111"/>
      <c r="U437" s="111"/>
      <c r="V437" s="111"/>
      <c r="W437" s="111"/>
      <c r="X437" s="111"/>
      <c r="Y437" s="111"/>
      <c r="Z437" s="111"/>
      <c r="AA437" s="111"/>
      <c r="AB437" s="111"/>
      <c r="AC437" s="135" t="str">
        <f t="array" ref="AC437">IFERROR(INDEX(TABLACONSOLIDADA[Buff Act],MATCH("AGROINSUMOSCENTRAL"&amp;Tabla_Buffers_Agroinsumos[[#This Row],[CODIGO ]],TABLACONSOLIDADA[Bodega]&amp;TABLACONSOLIDADA[Codigo],0)),"")</f>
        <v/>
      </c>
      <c r="AD437" s="111" t="str">
        <f t="array" ref="AD437">IFERROR(INDEX(TABLACONSOLIDADA[Inv Fís Act],MATCH("AGROINSUMOSCENTRAL"&amp;Tabla_Buffers_Agroinsumos[[#This Row],[CODIGO ]],TABLACONSOLIDADA[Bodega]&amp;TABLACONSOLIDADA[Codigo],0)),"")</f>
        <v/>
      </c>
      <c r="AE437" s="161" t="str">
        <f t="array" ref="AE43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37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37" s="153">
        <f>IFERROR(SUM(Tabla_Buffers_Agroinsumos[[#This Row],[C-MP]:[C-VL]]),"")</f>
        <v>0</v>
      </c>
      <c r="AH437" s="154" t="str">
        <f>IFERROR(Tabla_Buffers_Agroinsumos[[#This Row],[INV FIS CENTRAL]]-Tabla_Buffers_Agroinsumos[[#This Row],[BUFFER CENTRAL]],"")</f>
        <v/>
      </c>
      <c r="AI437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37" s="135"/>
      <c r="AK437" s="135"/>
      <c r="AL437" s="135"/>
      <c r="AM437" s="135"/>
      <c r="AN437" s="135"/>
      <c r="AO437" s="135"/>
      <c r="AP437" s="135"/>
      <c r="AQ437" s="135"/>
      <c r="AR437" s="135"/>
      <c r="AS437" s="135" t="str">
        <f t="array" ref="AS437">IFERROR(INDEX(TABLACONSOLIDADA[Buff Act],MATCH("AGROINSUMOScentralPROPIA"&amp;Tabla_Buffers_Agroinsumos[[#This Row],[CODIGO ]],TABLACONSOLIDADA[Bodega]&amp;TABLACONSOLIDADA[Codigo],0)),"")</f>
        <v/>
      </c>
      <c r="AT437" s="111" t="str">
        <f t="array" ref="AT437">IFERROR(INDEX(TABLACONSOLIDADA[Inv Fís Act],MATCH("AGROINSUMOScentralPROPIA"&amp;Tabla_Buffers_Agroinsumos[[#This Row],[CODIGO ]],TABLACONSOLIDADA[Bodega]&amp;TABLACONSOLIDADA[Codigo],0)),"")</f>
        <v/>
      </c>
      <c r="AU437" s="161" t="str">
        <f t="array" ref="AU43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37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37" s="135">
        <f>IFERROR(SUM(Tabla_Buffers_Agroinsumos[[#This Row],[P-MP]:[P-VL]]),"")</f>
        <v>0</v>
      </c>
      <c r="AX437" s="154" t="str">
        <f>IFERROR(Tabla_Buffers_Agroinsumos[[#This Row],[INV FIS PROPIA]]-Tabla_Buffers_Agroinsumos[[#This Row],[BUFFER PROPIA]],"")</f>
        <v/>
      </c>
      <c r="AY437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37" s="135"/>
      <c r="BA437" s="135"/>
      <c r="BB437" s="135"/>
      <c r="BC437" s="135"/>
      <c r="BD437" s="135"/>
      <c r="BE437" s="135"/>
      <c r="BF437" s="135"/>
      <c r="BG437" s="135"/>
      <c r="BH437" s="135"/>
      <c r="BI437" s="153" t="str">
        <f t="array" ref="BI437">IFERROR(INDEX(TABLACONSOLIDADA[Buff Act],MATCH("AGROINSUMOSSTODOMINGO"&amp;Tabla_Buffers_Agroinsumos[[#This Row],[CODIGO ]],TABLACONSOLIDADA[Bodega]&amp;TABLACONSOLIDADA[Codigo],0)),"")</f>
        <v/>
      </c>
      <c r="BJ437" s="111" t="str">
        <f t="array" ref="BJ437">IFERROR(INDEX(TABLACONSOLIDADA[Inv Fís Act],MATCH("AGROINSUMOSSTODOMINGO"&amp;Tabla_Buffers_Agroinsumos[[#This Row],[CODIGO ]],TABLACONSOLIDADA[Bodega]&amp;TABLACONSOLIDADA[Codigo],0)),"")</f>
        <v/>
      </c>
      <c r="BK437" s="161" t="str">
        <f t="array" ref="BK43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37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37" s="153">
        <f>IFERROR(SUM(Tabla_Buffers_Agroinsumos[[#This Row],[SD-MP]:[SD-VL]]),"")</f>
        <v>0</v>
      </c>
      <c r="BN437" s="154"/>
      <c r="BO437" s="154"/>
      <c r="BP437" s="135"/>
      <c r="BQ437" s="135"/>
      <c r="BR437" s="135"/>
      <c r="BS437" s="135"/>
      <c r="BT437" s="135"/>
      <c r="BU437" s="135"/>
      <c r="BV437" s="135"/>
      <c r="BW437" s="135"/>
      <c r="BX437" s="135"/>
      <c r="BY437" s="135" t="str">
        <f t="array" ref="BY437">IFERROR(INDEX(TABLACONSOLIDADA[Buff Act],MATCH("AGROINSUMOSMONCAYOLOPEZ"&amp;Tabla_Buffers_Agroinsumos[[#This Row],[CODIGO ]],TABLACONSOLIDADA[Bodega]&amp;TABLACONSOLIDADA[Codigo],0)),"")</f>
        <v/>
      </c>
      <c r="BZ437" s="111" t="str">
        <f t="array" ref="BZ437">IFERROR(INDEX(TABLACONSOLIDADA[Inv Fís Act],MATCH("AGROINSUMOSMONCAYOLOPEZ"&amp;Tabla_Buffers_Agroinsumos[[#This Row],[CODIGO ]],TABLACONSOLIDADA[Bodega]&amp;TABLACONSOLIDADA[Codigo],0)),"")</f>
        <v/>
      </c>
      <c r="CA437" s="161" t="str">
        <f t="array" ref="CA43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37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37" s="135">
        <f>IFERROR(SUM(Tabla_Buffers_Agroinsumos[[#This Row],[ML-MP]:[ML-VL]]),"")</f>
        <v>0</v>
      </c>
      <c r="CD437" s="154" t="str">
        <f>IFERROR(Tabla_Buffers_Agroinsumos[[#This Row],[INV FIS ML]]-Tabla_Buffers_Agroinsumos[[#This Row],[BUFFER ML]],"")</f>
        <v/>
      </c>
      <c r="CE437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37" s="135"/>
      <c r="CG437" s="135"/>
      <c r="CH437" s="135"/>
      <c r="CI437" s="135"/>
      <c r="CJ437" s="135"/>
      <c r="CK437" s="135"/>
      <c r="CL437" s="135"/>
      <c r="CM437" s="135"/>
      <c r="CN437" s="135"/>
      <c r="CO437" s="135" t="str">
        <f t="array" ref="CO437">IFERROR(INDEX(TABLACONSOLIDADA[Buff Act],MATCH("AGROINSUMOSAGROHERMANOSLEON"&amp;Tabla_Buffers_Agroinsumos[[#This Row],[CODIGO ]],TABLACONSOLIDADA[Bodega]&amp;TABLACONSOLIDADA[Codigo],0)),"")</f>
        <v/>
      </c>
      <c r="CP437" s="111" t="str">
        <f t="array" ref="CP437">IFERROR(INDEX(TABLACONSOLIDADA[Inv Fís Act],MATCH("AGROINSUMOSAGROHERMANOSLEON"&amp;Tabla_Buffers_Agroinsumos[[#This Row],[CODIGO ]],TABLACONSOLIDADA[Bodega]&amp;TABLACONSOLIDADA[Codigo],0)),"")</f>
        <v/>
      </c>
      <c r="CQ437" s="161" t="str">
        <f t="array" ref="CQ43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37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37" s="135">
        <f>IFERROR(SUM(Tabla_Buffers_Agroinsumos[[#This Row],[AL-MP]:[AL-VL]]),"")</f>
        <v>0</v>
      </c>
      <c r="CT437" s="154" t="str">
        <f>IFERROR(Tabla_Buffers_Agroinsumos[[#This Row],[INV FIS AL]]-Tabla_Buffers_Agroinsumos[[#This Row],[BUFFER AL]],"")</f>
        <v/>
      </c>
      <c r="CU437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37" s="135"/>
      <c r="CW437" s="135"/>
      <c r="CX437" s="135"/>
      <c r="CY437" s="135"/>
      <c r="CZ437" s="135"/>
      <c r="DA437" s="135"/>
      <c r="DB437" s="135"/>
      <c r="DC437" s="135"/>
      <c r="DD437" s="135"/>
      <c r="DE437" s="135" t="str">
        <f t="array" ref="DE437">IFERROR(INDEX(TABLACONSOLIDADA[Buff Act],MATCH("AGROINSUMOSAGRONUEVO"&amp;Tabla_Buffers_Agroinsumos[[#This Row],[CODIGO ]],TABLACONSOLIDADA[Bodega]&amp;TABLACONSOLIDADA[Codigo],0)),"")</f>
        <v/>
      </c>
      <c r="DF437" s="111" t="str">
        <f t="array" ref="DF437">IFERROR(INDEX(TABLACONSOLIDADA[Inv Fís Act],MATCH("AGROINSUMOSAGRONUEVO"&amp;Tabla_Buffers_Agroinsumos[[#This Row],[CODIGO ]],TABLACONSOLIDADA[Bodega]&amp;TABLACONSOLIDADA[Codigo],0)),"")</f>
        <v/>
      </c>
      <c r="DG437" s="161" t="str">
        <f t="array" ref="DG43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37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37" s="135">
        <f>IFERROR(SUM(Tabla_Buffers_Agroinsumos[[#This Row],[AN-MP]:[AN-VL]]),"")</f>
        <v>0</v>
      </c>
      <c r="DJ437" s="154" t="str">
        <f>IFERROR(Tabla_Buffers_Agroinsumos[[#This Row],[INV FIS AN]]-Tabla_Buffers_Agroinsumos[[#This Row],[BUFFER AN]],"")</f>
        <v/>
      </c>
      <c r="DK437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37" s="135"/>
      <c r="DM437" s="135"/>
      <c r="DN437" s="135"/>
      <c r="DO437" s="135"/>
      <c r="DP437" s="135"/>
      <c r="DQ437" s="135"/>
      <c r="DR437" s="135"/>
      <c r="DS437" s="135"/>
      <c r="DT437" s="135"/>
      <c r="DU437" s="135" t="str">
        <f t="array" ref="DU437">IFERROR(INDEX(TABLACONSOLIDADA[Buff Act],MATCH("AGROINSUMOSAGROQUIMICOSSUR"&amp;Tabla_Buffers_Agroinsumos[[#This Row],[CODIGO ]],TABLACONSOLIDADA[Bodega]&amp;TABLACONSOLIDADA[Codigo],0)),"")</f>
        <v/>
      </c>
      <c r="DV437" s="111" t="str">
        <f t="array" ref="DV437">IFERROR(INDEX(TABLACONSOLIDADA[Inv Fís Act],MATCH("AGROINSUMOSAGROQUIMICOSSUR"&amp;Tabla_Buffers_Agroinsumos[[#This Row],[CODIGO ]],TABLACONSOLIDADA[Bodega]&amp;TABLACONSOLIDADA[Codigo],0)),"")</f>
        <v/>
      </c>
      <c r="DW437" s="161" t="str">
        <f t="array" ref="DW43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37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37" s="135">
        <f>IFERROR(SUM(Tabla_Buffers_Agroinsumos[[#This Row],[AS-MP]:[AS-VL]]),"")</f>
        <v>0</v>
      </c>
      <c r="DZ437" s="154" t="str">
        <f>IFERROR(Tabla_Buffers_Agroinsumos[[#This Row],[INV FIS AS]]-Tabla_Buffers_Agroinsumos[[#This Row],[BUFFER AS]],"")</f>
        <v/>
      </c>
      <c r="EA437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37" s="135"/>
      <c r="EC437" s="135"/>
      <c r="ED437" s="135"/>
      <c r="EE437" s="135"/>
      <c r="EF437" s="135"/>
      <c r="EG437" s="135"/>
      <c r="EH437" s="135"/>
      <c r="EI437" s="135"/>
      <c r="EJ437" s="135"/>
      <c r="EK437" s="135" t="str">
        <f t="array" ref="EK437">IFERROR(INDEX(TABLACONSOLIDADA[Buff Act],MATCH("AGROINSUMOSLAFINCA"&amp;Tabla_Buffers_Agroinsumos[[#This Row],[CODIGO ]],TABLACONSOLIDADA[Bodega]&amp;TABLACONSOLIDADA[Codigo],0)),"")</f>
        <v/>
      </c>
      <c r="EL437" s="111" t="str">
        <f t="array" ref="EL437">IFERROR(INDEX(TABLACONSOLIDADA[Inv Fís Act],MATCH("AGROINSUMOSLAFINCA"&amp;Tabla_Buffers_Agroinsumos[[#This Row],[CODIGO ]],TABLACONSOLIDADA[Bodega]&amp;TABLACONSOLIDADA[Codigo],0)),"")</f>
        <v/>
      </c>
      <c r="EM437" s="161" t="str">
        <f t="array" ref="EM43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37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37" s="135">
        <f>IFERROR(SUM(Tabla_Buffers_Agroinsumos[[#This Row],[LF-MP]:[LF-VL]]),"")</f>
        <v>0</v>
      </c>
      <c r="EP437" s="154" t="str">
        <f>IFERROR(Tabla_Buffers_Agroinsumos[[#This Row],[INV FIS LF]]-Tabla_Buffers_Agroinsumos[[#This Row],[BUFFER LF]],"")</f>
        <v/>
      </c>
      <c r="EQ437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37" s="135"/>
      <c r="ES437" s="135"/>
      <c r="ET437" s="135"/>
      <c r="EU437" s="135"/>
      <c r="EV437" s="135"/>
      <c r="EW437" s="135"/>
      <c r="EX437" s="135"/>
      <c r="EY437" s="135"/>
      <c r="EZ437" s="135"/>
      <c r="FA437" s="135" t="str">
        <f t="array" ref="FA437">IFERROR(INDEX(TABLACONSOLIDADA[Buff Act],MATCH("AGROINSUMOSVERONICALEDESMA"&amp;Tabla_Buffers_Agroinsumos[[#This Row],[CODIGO ]],TABLACONSOLIDADA[Bodega]&amp;TABLACONSOLIDADA[Codigo],0)),"")</f>
        <v/>
      </c>
      <c r="FB437" s="111" t="str">
        <f t="array" ref="FB437">IFERROR(INDEX(TABLACONSOLIDADA[Inv Fís Act],MATCH("AGROINSUMOSVERONICALEDESMA"&amp;Tabla_Buffers_Agroinsumos[[#This Row],[CODIGO ]],TABLACONSOLIDADA[Bodega]&amp;TABLACONSOLIDADA[Codigo],0)),"")</f>
        <v/>
      </c>
      <c r="FC437" s="161" t="str">
        <f t="array" ref="FC43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37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37" s="135">
        <f>IFERROR(SUM(Tabla_Buffers_Agroinsumos[[#This Row],[VL-MP]:[VL-LF]]),"")</f>
        <v>0</v>
      </c>
      <c r="FF437" s="154" t="str">
        <f>IFERROR(Tabla_Buffers_Agroinsumos[[#This Row],[INV FIS VL]]-Tabla_Buffers_Agroinsumos[[#This Row],[BUFFER VL]],"")</f>
        <v/>
      </c>
      <c r="FG437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37" s="135"/>
      <c r="FI437" s="135"/>
      <c r="FJ437" s="135"/>
      <c r="FK437" s="135"/>
      <c r="FL437" s="135"/>
      <c r="FM437" s="135"/>
      <c r="FN437" s="135"/>
      <c r="FO437" s="135"/>
      <c r="FP437" s="135"/>
    </row>
    <row r="438" spans="1:172">
      <c r="A438" s="7" t="s">
        <v>1363</v>
      </c>
      <c r="B438" s="7" t="s">
        <v>1364</v>
      </c>
      <c r="C438" s="7" t="s">
        <v>718</v>
      </c>
      <c r="D438" s="7" t="s">
        <v>1375</v>
      </c>
      <c r="E438" s="7" t="s">
        <v>863</v>
      </c>
      <c r="F438" s="19"/>
      <c r="G438" s="19" t="s">
        <v>802</v>
      </c>
      <c r="H438" s="19" t="e">
        <f>VLOOKUP(Tabla_Buffers_Agroinsumos[[#This Row],[CODIGO ]],TABLACONSOLIDADA[[Codigo]:[PV]],6,0)</f>
        <v>#N/A</v>
      </c>
      <c r="I438" s="19" t="e">
        <f>VLOOKUP(Tabla_Buffers_Agroinsumos[[#This Row],[CODIGO ]],TABLACONSOLIDADA[[Codigo]:[PV]],5,0)</f>
        <v>#N/A</v>
      </c>
      <c r="J438" s="19"/>
      <c r="K438" s="19"/>
      <c r="L438" s="19">
        <f>IFERROR(Tabla_Buffers_Agroinsumos[[#This Row],[BUFFER CENTRAL]]/((Tabla_Buffers_Agroinsumos[[#This Row],[TIEMPO REPOSICION ]]/Tabla_Buffers_Agroinsumos[[#This Row],[FRECUENCIA]])+1),0)</f>
        <v>0</v>
      </c>
      <c r="M438" s="19" t="str">
        <f t="array" ref="M438">IFERROR(INDEX(TABLACONSOLIDADA[Buff Act],MATCH("AGROINSUMOSMATERIAPRIMA"&amp;Tabla_Buffers_Agroinsumos[[#This Row],[CODIGO ]],TABLACONSOLIDADA[Bodega]&amp;TABLACONSOLIDADA[Codigo],0)),"")</f>
        <v/>
      </c>
      <c r="N438" s="19" t="str">
        <f t="array" ref="N438">IFERROR(INDEX(TABLACONSOLIDADA[Inv Fís Act],MATCH("AGROINSUMOSMATERIAPRIMA"&amp;Tabla_Buffers_Agroinsumos[[#This Row],[CODIGO ]],TABLACONSOLIDADA[Bodega]&amp;TABLACONSOLIDADA[Codigo],0)),"")</f>
        <v/>
      </c>
      <c r="O438" s="160" t="str">
        <f t="array" ref="O43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38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38" s="19">
        <f>IFERROR(SUM(Tabla_Buffers_Agroinsumos[[#This Row],[MP-C]:[MP-VL]]),"")</f>
        <v>0</v>
      </c>
      <c r="R438" s="92" t="str">
        <f>IFERROR(Tabla_Buffers_Agroinsumos[[#This Row],[INV FIS MATERIA PRIMA]]-Tabla_Buffers_Agroinsumos[[#This Row],[BUFFER MATERIA PRIMA]],"")</f>
        <v/>
      </c>
      <c r="S438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38" s="19"/>
      <c r="U438" s="19"/>
      <c r="V438" s="19"/>
      <c r="W438" s="19"/>
      <c r="X438" s="19"/>
      <c r="Y438" s="19"/>
      <c r="Z438" s="19"/>
      <c r="AA438" s="19"/>
      <c r="AB438" s="19"/>
      <c r="AC438" s="152" t="str">
        <f t="array" ref="AC438">IFERROR(INDEX(TABLACONSOLIDADA[Buff Act],MATCH("AGROINSUMOSCENTRAL"&amp;Tabla_Buffers_Agroinsumos[[#This Row],[CODIGO ]],TABLACONSOLIDADA[Bodega]&amp;TABLACONSOLIDADA[Codigo],0)),"")</f>
        <v/>
      </c>
      <c r="AD438" s="19" t="str">
        <f t="array" ref="AD438">IFERROR(INDEX(TABLACONSOLIDADA[Inv Fís Act],MATCH("AGROINSUMOSCENTRAL"&amp;Tabla_Buffers_Agroinsumos[[#This Row],[CODIGO ]],TABLACONSOLIDADA[Bodega]&amp;TABLACONSOLIDADA[Codigo],0)),"")</f>
        <v/>
      </c>
      <c r="AE438" s="160" t="str">
        <f t="array" ref="AE43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38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38" s="91">
        <f>IFERROR(SUM(Tabla_Buffers_Agroinsumos[[#This Row],[C-MP]:[C-VL]]),"")</f>
        <v>0</v>
      </c>
      <c r="AH438" s="92" t="str">
        <f>IFERROR(Tabla_Buffers_Agroinsumos[[#This Row],[INV FIS CENTRAL]]-Tabla_Buffers_Agroinsumos[[#This Row],[BUFFER CENTRAL]],"")</f>
        <v/>
      </c>
      <c r="AI438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38" s="134"/>
      <c r="AK438" s="134"/>
      <c r="AL438" s="134"/>
      <c r="AM438" s="134"/>
      <c r="AN438" s="134"/>
      <c r="AO438" s="134"/>
      <c r="AP438" s="134"/>
      <c r="AQ438" s="134"/>
      <c r="AR438" s="134"/>
      <c r="AS438" s="134" t="str">
        <f t="array" ref="AS438">IFERROR(INDEX(TABLACONSOLIDADA[Buff Act],MATCH("AGROINSUMOScentralPROPIA"&amp;Tabla_Buffers_Agroinsumos[[#This Row],[CODIGO ]],TABLACONSOLIDADA[Bodega]&amp;TABLACONSOLIDADA[Codigo],0)),"")</f>
        <v/>
      </c>
      <c r="AT438" s="19" t="str">
        <f t="array" ref="AT438">IFERROR(INDEX(TABLACONSOLIDADA[Inv Fís Act],MATCH("AGROINSUMOScentralPROPIA"&amp;Tabla_Buffers_Agroinsumos[[#This Row],[CODIGO ]],TABLACONSOLIDADA[Bodega]&amp;TABLACONSOLIDADA[Codigo],0)),"")</f>
        <v/>
      </c>
      <c r="AU438" s="160" t="str">
        <f t="array" ref="AU43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38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38" s="134">
        <f>IFERROR(SUM(Tabla_Buffers_Agroinsumos[[#This Row],[P-MP]:[P-VL]]),"")</f>
        <v>0</v>
      </c>
      <c r="AX438" s="92" t="str">
        <f>IFERROR(Tabla_Buffers_Agroinsumos[[#This Row],[INV FIS PROPIA]]-Tabla_Buffers_Agroinsumos[[#This Row],[BUFFER PROPIA]],"")</f>
        <v/>
      </c>
      <c r="AY438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38" s="134"/>
      <c r="BA438" s="134"/>
      <c r="BB438" s="134"/>
      <c r="BC438" s="134"/>
      <c r="BD438" s="134"/>
      <c r="BE438" s="134"/>
      <c r="BF438" s="134"/>
      <c r="BG438" s="134"/>
      <c r="BH438" s="134"/>
      <c r="BI438" s="91" t="str">
        <f t="array" ref="BI438">IFERROR(INDEX(TABLACONSOLIDADA[Buff Act],MATCH("AGROINSUMOSSTODOMINGO"&amp;Tabla_Buffers_Agroinsumos[[#This Row],[CODIGO ]],TABLACONSOLIDADA[Bodega]&amp;TABLACONSOLIDADA[Codigo],0)),"")</f>
        <v/>
      </c>
      <c r="BJ438" s="19" t="str">
        <f t="array" ref="BJ438">IFERROR(INDEX(TABLACONSOLIDADA[Inv Fís Act],MATCH("AGROINSUMOSSTODOMINGO"&amp;Tabla_Buffers_Agroinsumos[[#This Row],[CODIGO ]],TABLACONSOLIDADA[Bodega]&amp;TABLACONSOLIDADA[Codigo],0)),"")</f>
        <v/>
      </c>
      <c r="BK438" s="160" t="str">
        <f t="array" ref="BK43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38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38" s="91">
        <f>IFERROR(SUM(Tabla_Buffers_Agroinsumos[[#This Row],[SD-MP]:[SD-VL]]),"")</f>
        <v>0</v>
      </c>
      <c r="BN438" s="92"/>
      <c r="BO438" s="92"/>
      <c r="BP438" s="134"/>
      <c r="BQ438" s="134"/>
      <c r="BR438" s="134"/>
      <c r="BS438" s="134"/>
      <c r="BT438" s="134"/>
      <c r="BU438" s="134"/>
      <c r="BV438" s="134"/>
      <c r="BW438" s="134"/>
      <c r="BX438" s="134"/>
      <c r="BY438" s="134" t="str">
        <f t="array" ref="BY438">IFERROR(INDEX(TABLACONSOLIDADA[Buff Act],MATCH("AGROINSUMOSMONCAYOLOPEZ"&amp;Tabla_Buffers_Agroinsumos[[#This Row],[CODIGO ]],TABLACONSOLIDADA[Bodega]&amp;TABLACONSOLIDADA[Codigo],0)),"")</f>
        <v/>
      </c>
      <c r="BZ438" s="19" t="str">
        <f t="array" ref="BZ438">IFERROR(INDEX(TABLACONSOLIDADA[Inv Fís Act],MATCH("AGROINSUMOSMONCAYOLOPEZ"&amp;Tabla_Buffers_Agroinsumos[[#This Row],[CODIGO ]],TABLACONSOLIDADA[Bodega]&amp;TABLACONSOLIDADA[Codigo],0)),"")</f>
        <v/>
      </c>
      <c r="CA438" s="160" t="str">
        <f t="array" ref="CA43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38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38" s="134">
        <f>IFERROR(SUM(Tabla_Buffers_Agroinsumos[[#This Row],[ML-MP]:[ML-VL]]),"")</f>
        <v>0</v>
      </c>
      <c r="CD438" s="92" t="str">
        <f>IFERROR(Tabla_Buffers_Agroinsumos[[#This Row],[INV FIS ML]]-Tabla_Buffers_Agroinsumos[[#This Row],[BUFFER ML]],"")</f>
        <v/>
      </c>
      <c r="CE438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38" s="134"/>
      <c r="CG438" s="134"/>
      <c r="CH438" s="134"/>
      <c r="CI438" s="134"/>
      <c r="CJ438" s="134"/>
      <c r="CK438" s="134"/>
      <c r="CL438" s="134"/>
      <c r="CM438" s="134"/>
      <c r="CN438" s="134"/>
      <c r="CO438" s="134" t="str">
        <f t="array" ref="CO438">IFERROR(INDEX(TABLACONSOLIDADA[Buff Act],MATCH("AGROINSUMOSAGROHERMANOSLEON"&amp;Tabla_Buffers_Agroinsumos[[#This Row],[CODIGO ]],TABLACONSOLIDADA[Bodega]&amp;TABLACONSOLIDADA[Codigo],0)),"")</f>
        <v/>
      </c>
      <c r="CP438" s="19" t="str">
        <f t="array" ref="CP438">IFERROR(INDEX(TABLACONSOLIDADA[Inv Fís Act],MATCH("AGROINSUMOSAGROHERMANOSLEON"&amp;Tabla_Buffers_Agroinsumos[[#This Row],[CODIGO ]],TABLACONSOLIDADA[Bodega]&amp;TABLACONSOLIDADA[Codigo],0)),"")</f>
        <v/>
      </c>
      <c r="CQ438" s="160" t="str">
        <f t="array" ref="CQ43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38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38" s="134">
        <f>IFERROR(SUM(Tabla_Buffers_Agroinsumos[[#This Row],[AL-MP]:[AL-VL]]),"")</f>
        <v>0</v>
      </c>
      <c r="CT438" s="92" t="str">
        <f>IFERROR(Tabla_Buffers_Agroinsumos[[#This Row],[INV FIS AL]]-Tabla_Buffers_Agroinsumos[[#This Row],[BUFFER AL]],"")</f>
        <v/>
      </c>
      <c r="CU438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38" s="134"/>
      <c r="CW438" s="134"/>
      <c r="CX438" s="134"/>
      <c r="CY438" s="134"/>
      <c r="CZ438" s="134"/>
      <c r="DA438" s="134"/>
      <c r="DB438" s="134"/>
      <c r="DC438" s="134"/>
      <c r="DD438" s="134"/>
      <c r="DE438" s="134" t="str">
        <f t="array" ref="DE438">IFERROR(INDEX(TABLACONSOLIDADA[Buff Act],MATCH("AGROINSUMOSAGRONUEVO"&amp;Tabla_Buffers_Agroinsumos[[#This Row],[CODIGO ]],TABLACONSOLIDADA[Bodega]&amp;TABLACONSOLIDADA[Codigo],0)),"")</f>
        <v/>
      </c>
      <c r="DF438" s="19" t="str">
        <f t="array" ref="DF438">IFERROR(INDEX(TABLACONSOLIDADA[Inv Fís Act],MATCH("AGROINSUMOSAGRONUEVO"&amp;Tabla_Buffers_Agroinsumos[[#This Row],[CODIGO ]],TABLACONSOLIDADA[Bodega]&amp;TABLACONSOLIDADA[Codigo],0)),"")</f>
        <v/>
      </c>
      <c r="DG438" s="160" t="str">
        <f t="array" ref="DG43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38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38" s="134">
        <f>IFERROR(SUM(Tabla_Buffers_Agroinsumos[[#This Row],[AN-MP]:[AN-VL]]),"")</f>
        <v>0</v>
      </c>
      <c r="DJ438" s="92" t="str">
        <f>IFERROR(Tabla_Buffers_Agroinsumos[[#This Row],[INV FIS AN]]-Tabla_Buffers_Agroinsumos[[#This Row],[BUFFER AN]],"")</f>
        <v/>
      </c>
      <c r="DK438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38" s="134"/>
      <c r="DM438" s="134"/>
      <c r="DN438" s="134"/>
      <c r="DO438" s="134"/>
      <c r="DP438" s="134"/>
      <c r="DQ438" s="134"/>
      <c r="DR438" s="134"/>
      <c r="DS438" s="134"/>
      <c r="DT438" s="134"/>
      <c r="DU438" s="134" t="str">
        <f t="array" ref="DU438">IFERROR(INDEX(TABLACONSOLIDADA[Buff Act],MATCH("AGROINSUMOSAGROQUIMICOSSUR"&amp;Tabla_Buffers_Agroinsumos[[#This Row],[CODIGO ]],TABLACONSOLIDADA[Bodega]&amp;TABLACONSOLIDADA[Codigo],0)),"")</f>
        <v/>
      </c>
      <c r="DV438" s="19" t="str">
        <f t="array" ref="DV438">IFERROR(INDEX(TABLACONSOLIDADA[Inv Fís Act],MATCH("AGROINSUMOSAGROQUIMICOSSUR"&amp;Tabla_Buffers_Agroinsumos[[#This Row],[CODIGO ]],TABLACONSOLIDADA[Bodega]&amp;TABLACONSOLIDADA[Codigo],0)),"")</f>
        <v/>
      </c>
      <c r="DW438" s="160" t="str">
        <f t="array" ref="DW43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38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38" s="134">
        <f>IFERROR(SUM(Tabla_Buffers_Agroinsumos[[#This Row],[AS-MP]:[AS-VL]]),"")</f>
        <v>0</v>
      </c>
      <c r="DZ438" s="92" t="str">
        <f>IFERROR(Tabla_Buffers_Agroinsumos[[#This Row],[INV FIS AS]]-Tabla_Buffers_Agroinsumos[[#This Row],[BUFFER AS]],"")</f>
        <v/>
      </c>
      <c r="EA438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38" s="134"/>
      <c r="EC438" s="134"/>
      <c r="ED438" s="134"/>
      <c r="EE438" s="134"/>
      <c r="EF438" s="134"/>
      <c r="EG438" s="134"/>
      <c r="EH438" s="134"/>
      <c r="EI438" s="134"/>
      <c r="EJ438" s="134"/>
      <c r="EK438" s="134" t="str">
        <f t="array" ref="EK438">IFERROR(INDEX(TABLACONSOLIDADA[Buff Act],MATCH("AGROINSUMOSLAFINCA"&amp;Tabla_Buffers_Agroinsumos[[#This Row],[CODIGO ]],TABLACONSOLIDADA[Bodega]&amp;TABLACONSOLIDADA[Codigo],0)),"")</f>
        <v/>
      </c>
      <c r="EL438" s="19" t="str">
        <f t="array" ref="EL438">IFERROR(INDEX(TABLACONSOLIDADA[Inv Fís Act],MATCH("AGROINSUMOSLAFINCA"&amp;Tabla_Buffers_Agroinsumos[[#This Row],[CODIGO ]],TABLACONSOLIDADA[Bodega]&amp;TABLACONSOLIDADA[Codigo],0)),"")</f>
        <v/>
      </c>
      <c r="EM438" s="160" t="str">
        <f t="array" ref="EM43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38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38" s="134">
        <f>IFERROR(SUM(Tabla_Buffers_Agroinsumos[[#This Row],[LF-MP]:[LF-VL]]),"")</f>
        <v>0</v>
      </c>
      <c r="EP438" s="92" t="str">
        <f>IFERROR(Tabla_Buffers_Agroinsumos[[#This Row],[INV FIS LF]]-Tabla_Buffers_Agroinsumos[[#This Row],[BUFFER LF]],"")</f>
        <v/>
      </c>
      <c r="EQ438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38" s="134"/>
      <c r="ES438" s="134"/>
      <c r="ET438" s="134"/>
      <c r="EU438" s="134"/>
      <c r="EV438" s="134"/>
      <c r="EW438" s="134"/>
      <c r="EX438" s="134"/>
      <c r="EY438" s="134"/>
      <c r="EZ438" s="134"/>
      <c r="FA438" s="134" t="str">
        <f t="array" ref="FA438">IFERROR(INDEX(TABLACONSOLIDADA[Buff Act],MATCH("AGROINSUMOSVERONICALEDESMA"&amp;Tabla_Buffers_Agroinsumos[[#This Row],[CODIGO ]],TABLACONSOLIDADA[Bodega]&amp;TABLACONSOLIDADA[Codigo],0)),"")</f>
        <v/>
      </c>
      <c r="FB438" s="19" t="str">
        <f t="array" ref="FB438">IFERROR(INDEX(TABLACONSOLIDADA[Inv Fís Act],MATCH("AGROINSUMOSVERONICALEDESMA"&amp;Tabla_Buffers_Agroinsumos[[#This Row],[CODIGO ]],TABLACONSOLIDADA[Bodega]&amp;TABLACONSOLIDADA[Codigo],0)),"")</f>
        <v/>
      </c>
      <c r="FC438" s="160" t="str">
        <f t="array" ref="FC43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38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38" s="134">
        <f>IFERROR(SUM(Tabla_Buffers_Agroinsumos[[#This Row],[VL-MP]:[VL-LF]]),"")</f>
        <v>0</v>
      </c>
      <c r="FF438" s="92" t="str">
        <f>IFERROR(Tabla_Buffers_Agroinsumos[[#This Row],[INV FIS VL]]-Tabla_Buffers_Agroinsumos[[#This Row],[BUFFER VL]],"")</f>
        <v/>
      </c>
      <c r="FG438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38" s="134"/>
      <c r="FI438" s="134"/>
      <c r="FJ438" s="134"/>
      <c r="FK438" s="134"/>
      <c r="FL438" s="134"/>
      <c r="FM438" s="134"/>
      <c r="FN438" s="134"/>
      <c r="FO438" s="134"/>
      <c r="FP438" s="134"/>
    </row>
    <row r="439" spans="1:172">
      <c r="A439" s="7" t="s">
        <v>1365</v>
      </c>
      <c r="B439" s="7" t="s">
        <v>1366</v>
      </c>
      <c r="C439" s="7" t="s">
        <v>718</v>
      </c>
      <c r="D439" s="7" t="s">
        <v>1375</v>
      </c>
      <c r="E439" s="7" t="s">
        <v>863</v>
      </c>
      <c r="F439" s="19"/>
      <c r="G439" s="19" t="s">
        <v>802</v>
      </c>
      <c r="H439" s="19" t="e">
        <f>VLOOKUP(Tabla_Buffers_Agroinsumos[[#This Row],[CODIGO ]],TABLACONSOLIDADA[[Codigo]:[PV]],6,0)</f>
        <v>#N/A</v>
      </c>
      <c r="I439" s="19" t="e">
        <f>VLOOKUP(Tabla_Buffers_Agroinsumos[[#This Row],[CODIGO ]],TABLACONSOLIDADA[[Codigo]:[PV]],5,0)</f>
        <v>#N/A</v>
      </c>
      <c r="J439" s="19"/>
      <c r="K439" s="19"/>
      <c r="L439" s="19">
        <f>IFERROR(Tabla_Buffers_Agroinsumos[[#This Row],[BUFFER CENTRAL]]/((Tabla_Buffers_Agroinsumos[[#This Row],[TIEMPO REPOSICION ]]/Tabla_Buffers_Agroinsumos[[#This Row],[FRECUENCIA]])+1),0)</f>
        <v>0</v>
      </c>
      <c r="M439" s="19" t="str">
        <f t="array" ref="M439">IFERROR(INDEX(TABLACONSOLIDADA[Buff Act],MATCH("AGROINSUMOSMATERIAPRIMA"&amp;Tabla_Buffers_Agroinsumos[[#This Row],[CODIGO ]],TABLACONSOLIDADA[Bodega]&amp;TABLACONSOLIDADA[Codigo],0)),"")</f>
        <v/>
      </c>
      <c r="N439" s="19" t="str">
        <f t="array" ref="N439">IFERROR(INDEX(TABLACONSOLIDADA[Inv Fís Act],MATCH("AGROINSUMOSMATERIAPRIMA"&amp;Tabla_Buffers_Agroinsumos[[#This Row],[CODIGO ]],TABLACONSOLIDADA[Bodega]&amp;TABLACONSOLIDADA[Codigo],0)),"")</f>
        <v/>
      </c>
      <c r="O439" s="160" t="str">
        <f t="array" ref="O43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39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39" s="19">
        <f>IFERROR(SUM(Tabla_Buffers_Agroinsumos[[#This Row],[MP-C]:[MP-VL]]),"")</f>
        <v>0</v>
      </c>
      <c r="R439" s="92" t="str">
        <f>IFERROR(Tabla_Buffers_Agroinsumos[[#This Row],[INV FIS MATERIA PRIMA]]-Tabla_Buffers_Agroinsumos[[#This Row],[BUFFER MATERIA PRIMA]],"")</f>
        <v/>
      </c>
      <c r="S439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39" s="19"/>
      <c r="U439" s="19"/>
      <c r="V439" s="19"/>
      <c r="W439" s="19"/>
      <c r="X439" s="19"/>
      <c r="Y439" s="19"/>
      <c r="Z439" s="19"/>
      <c r="AA439" s="19"/>
      <c r="AB439" s="19"/>
      <c r="AC439" s="152" t="str">
        <f t="array" ref="AC439">IFERROR(INDEX(TABLACONSOLIDADA[Buff Act],MATCH("AGROINSUMOSCENTRAL"&amp;Tabla_Buffers_Agroinsumos[[#This Row],[CODIGO ]],TABLACONSOLIDADA[Bodega]&amp;TABLACONSOLIDADA[Codigo],0)),"")</f>
        <v/>
      </c>
      <c r="AD439" s="19" t="str">
        <f t="array" ref="AD439">IFERROR(INDEX(TABLACONSOLIDADA[Inv Fís Act],MATCH("AGROINSUMOSCENTRAL"&amp;Tabla_Buffers_Agroinsumos[[#This Row],[CODIGO ]],TABLACONSOLIDADA[Bodega]&amp;TABLACONSOLIDADA[Codigo],0)),"")</f>
        <v/>
      </c>
      <c r="AE439" s="160" t="str">
        <f t="array" ref="AE43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39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39" s="91">
        <f>IFERROR(SUM(Tabla_Buffers_Agroinsumos[[#This Row],[C-MP]:[C-VL]]),"")</f>
        <v>0</v>
      </c>
      <c r="AH439" s="92" t="str">
        <f>IFERROR(Tabla_Buffers_Agroinsumos[[#This Row],[INV FIS CENTRAL]]-Tabla_Buffers_Agroinsumos[[#This Row],[BUFFER CENTRAL]],"")</f>
        <v/>
      </c>
      <c r="AI439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39" s="134"/>
      <c r="AK439" s="134"/>
      <c r="AL439" s="134"/>
      <c r="AM439" s="134"/>
      <c r="AN439" s="134"/>
      <c r="AO439" s="134"/>
      <c r="AP439" s="134"/>
      <c r="AQ439" s="134"/>
      <c r="AR439" s="134"/>
      <c r="AS439" s="134" t="str">
        <f t="array" ref="AS439">IFERROR(INDEX(TABLACONSOLIDADA[Buff Act],MATCH("AGROINSUMOScentralPROPIA"&amp;Tabla_Buffers_Agroinsumos[[#This Row],[CODIGO ]],TABLACONSOLIDADA[Bodega]&amp;TABLACONSOLIDADA[Codigo],0)),"")</f>
        <v/>
      </c>
      <c r="AT439" s="19" t="str">
        <f t="array" ref="AT439">IFERROR(INDEX(TABLACONSOLIDADA[Inv Fís Act],MATCH("AGROINSUMOScentralPROPIA"&amp;Tabla_Buffers_Agroinsumos[[#This Row],[CODIGO ]],TABLACONSOLIDADA[Bodega]&amp;TABLACONSOLIDADA[Codigo],0)),"")</f>
        <v/>
      </c>
      <c r="AU439" s="160" t="str">
        <f t="array" ref="AU43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39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39" s="134">
        <f>IFERROR(SUM(Tabla_Buffers_Agroinsumos[[#This Row],[P-MP]:[P-VL]]),"")</f>
        <v>0</v>
      </c>
      <c r="AX439" s="92" t="str">
        <f>IFERROR(Tabla_Buffers_Agroinsumos[[#This Row],[INV FIS PROPIA]]-Tabla_Buffers_Agroinsumos[[#This Row],[BUFFER PROPIA]],"")</f>
        <v/>
      </c>
      <c r="AY439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39" s="134"/>
      <c r="BA439" s="134"/>
      <c r="BB439" s="134"/>
      <c r="BC439" s="134"/>
      <c r="BD439" s="134"/>
      <c r="BE439" s="134"/>
      <c r="BF439" s="134"/>
      <c r="BG439" s="134"/>
      <c r="BH439" s="134"/>
      <c r="BI439" s="91" t="str">
        <f t="array" ref="BI439">IFERROR(INDEX(TABLACONSOLIDADA[Buff Act],MATCH("AGROINSUMOSSTODOMINGO"&amp;Tabla_Buffers_Agroinsumos[[#This Row],[CODIGO ]],TABLACONSOLIDADA[Bodega]&amp;TABLACONSOLIDADA[Codigo],0)),"")</f>
        <v/>
      </c>
      <c r="BJ439" s="19" t="str">
        <f t="array" ref="BJ439">IFERROR(INDEX(TABLACONSOLIDADA[Inv Fís Act],MATCH("AGROINSUMOSSTODOMINGO"&amp;Tabla_Buffers_Agroinsumos[[#This Row],[CODIGO ]],TABLACONSOLIDADA[Bodega]&amp;TABLACONSOLIDADA[Codigo],0)),"")</f>
        <v/>
      </c>
      <c r="BK439" s="160" t="str">
        <f t="array" ref="BK43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39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39" s="91">
        <f>IFERROR(SUM(Tabla_Buffers_Agroinsumos[[#This Row],[SD-MP]:[SD-VL]]),"")</f>
        <v>0</v>
      </c>
      <c r="BN439" s="92"/>
      <c r="BO439" s="92"/>
      <c r="BP439" s="134"/>
      <c r="BQ439" s="134"/>
      <c r="BR439" s="134"/>
      <c r="BS439" s="134"/>
      <c r="BT439" s="134"/>
      <c r="BU439" s="134"/>
      <c r="BV439" s="134"/>
      <c r="BW439" s="134"/>
      <c r="BX439" s="134"/>
      <c r="BY439" s="134" t="str">
        <f t="array" ref="BY439">IFERROR(INDEX(TABLACONSOLIDADA[Buff Act],MATCH("AGROINSUMOSMONCAYOLOPEZ"&amp;Tabla_Buffers_Agroinsumos[[#This Row],[CODIGO ]],TABLACONSOLIDADA[Bodega]&amp;TABLACONSOLIDADA[Codigo],0)),"")</f>
        <v/>
      </c>
      <c r="BZ439" s="19" t="str">
        <f t="array" ref="BZ439">IFERROR(INDEX(TABLACONSOLIDADA[Inv Fís Act],MATCH("AGROINSUMOSMONCAYOLOPEZ"&amp;Tabla_Buffers_Agroinsumos[[#This Row],[CODIGO ]],TABLACONSOLIDADA[Bodega]&amp;TABLACONSOLIDADA[Codigo],0)),"")</f>
        <v/>
      </c>
      <c r="CA439" s="160" t="str">
        <f t="array" ref="CA43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39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39" s="134">
        <f>IFERROR(SUM(Tabla_Buffers_Agroinsumos[[#This Row],[ML-MP]:[ML-VL]]),"")</f>
        <v>0</v>
      </c>
      <c r="CD439" s="92" t="str">
        <f>IFERROR(Tabla_Buffers_Agroinsumos[[#This Row],[INV FIS ML]]-Tabla_Buffers_Agroinsumos[[#This Row],[BUFFER ML]],"")</f>
        <v/>
      </c>
      <c r="CE439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39" s="134"/>
      <c r="CG439" s="134"/>
      <c r="CH439" s="134"/>
      <c r="CI439" s="134"/>
      <c r="CJ439" s="134"/>
      <c r="CK439" s="134"/>
      <c r="CL439" s="134"/>
      <c r="CM439" s="134"/>
      <c r="CN439" s="134"/>
      <c r="CO439" s="134" t="str">
        <f t="array" ref="CO439">IFERROR(INDEX(TABLACONSOLIDADA[Buff Act],MATCH("AGROINSUMOSAGROHERMANOSLEON"&amp;Tabla_Buffers_Agroinsumos[[#This Row],[CODIGO ]],TABLACONSOLIDADA[Bodega]&amp;TABLACONSOLIDADA[Codigo],0)),"")</f>
        <v/>
      </c>
      <c r="CP439" s="19" t="str">
        <f t="array" ref="CP439">IFERROR(INDEX(TABLACONSOLIDADA[Inv Fís Act],MATCH("AGROINSUMOSAGROHERMANOSLEON"&amp;Tabla_Buffers_Agroinsumos[[#This Row],[CODIGO ]],TABLACONSOLIDADA[Bodega]&amp;TABLACONSOLIDADA[Codigo],0)),"")</f>
        <v/>
      </c>
      <c r="CQ439" s="160" t="str">
        <f t="array" ref="CQ43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39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39" s="134">
        <f>IFERROR(SUM(Tabla_Buffers_Agroinsumos[[#This Row],[AL-MP]:[AL-VL]]),"")</f>
        <v>0</v>
      </c>
      <c r="CT439" s="92" t="str">
        <f>IFERROR(Tabla_Buffers_Agroinsumos[[#This Row],[INV FIS AL]]-Tabla_Buffers_Agroinsumos[[#This Row],[BUFFER AL]],"")</f>
        <v/>
      </c>
      <c r="CU439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39" s="134"/>
      <c r="CW439" s="134"/>
      <c r="CX439" s="134"/>
      <c r="CY439" s="134"/>
      <c r="CZ439" s="134"/>
      <c r="DA439" s="134"/>
      <c r="DB439" s="134"/>
      <c r="DC439" s="134"/>
      <c r="DD439" s="134"/>
      <c r="DE439" s="134" t="str">
        <f t="array" ref="DE439">IFERROR(INDEX(TABLACONSOLIDADA[Buff Act],MATCH("AGROINSUMOSAGRONUEVO"&amp;Tabla_Buffers_Agroinsumos[[#This Row],[CODIGO ]],TABLACONSOLIDADA[Bodega]&amp;TABLACONSOLIDADA[Codigo],0)),"")</f>
        <v/>
      </c>
      <c r="DF439" s="19" t="str">
        <f t="array" ref="DF439">IFERROR(INDEX(TABLACONSOLIDADA[Inv Fís Act],MATCH("AGROINSUMOSAGRONUEVO"&amp;Tabla_Buffers_Agroinsumos[[#This Row],[CODIGO ]],TABLACONSOLIDADA[Bodega]&amp;TABLACONSOLIDADA[Codigo],0)),"")</f>
        <v/>
      </c>
      <c r="DG439" s="160" t="str">
        <f t="array" ref="DG43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39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39" s="134">
        <f>IFERROR(SUM(Tabla_Buffers_Agroinsumos[[#This Row],[AN-MP]:[AN-VL]]),"")</f>
        <v>0</v>
      </c>
      <c r="DJ439" s="92" t="str">
        <f>IFERROR(Tabla_Buffers_Agroinsumos[[#This Row],[INV FIS AN]]-Tabla_Buffers_Agroinsumos[[#This Row],[BUFFER AN]],"")</f>
        <v/>
      </c>
      <c r="DK439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39" s="134"/>
      <c r="DM439" s="134"/>
      <c r="DN439" s="134"/>
      <c r="DO439" s="134"/>
      <c r="DP439" s="134"/>
      <c r="DQ439" s="134"/>
      <c r="DR439" s="134"/>
      <c r="DS439" s="134"/>
      <c r="DT439" s="134"/>
      <c r="DU439" s="134" t="str">
        <f t="array" ref="DU439">IFERROR(INDEX(TABLACONSOLIDADA[Buff Act],MATCH("AGROINSUMOSAGROQUIMICOSSUR"&amp;Tabla_Buffers_Agroinsumos[[#This Row],[CODIGO ]],TABLACONSOLIDADA[Bodega]&amp;TABLACONSOLIDADA[Codigo],0)),"")</f>
        <v/>
      </c>
      <c r="DV439" s="19" t="str">
        <f t="array" ref="DV439">IFERROR(INDEX(TABLACONSOLIDADA[Inv Fís Act],MATCH("AGROINSUMOSAGROQUIMICOSSUR"&amp;Tabla_Buffers_Agroinsumos[[#This Row],[CODIGO ]],TABLACONSOLIDADA[Bodega]&amp;TABLACONSOLIDADA[Codigo],0)),"")</f>
        <v/>
      </c>
      <c r="DW439" s="160" t="str">
        <f t="array" ref="DW43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39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39" s="134">
        <f>IFERROR(SUM(Tabla_Buffers_Agroinsumos[[#This Row],[AS-MP]:[AS-VL]]),"")</f>
        <v>0</v>
      </c>
      <c r="DZ439" s="92" t="str">
        <f>IFERROR(Tabla_Buffers_Agroinsumos[[#This Row],[INV FIS AS]]-Tabla_Buffers_Agroinsumos[[#This Row],[BUFFER AS]],"")</f>
        <v/>
      </c>
      <c r="EA439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39" s="134"/>
      <c r="EC439" s="134"/>
      <c r="ED439" s="134"/>
      <c r="EE439" s="134"/>
      <c r="EF439" s="134"/>
      <c r="EG439" s="134"/>
      <c r="EH439" s="134"/>
      <c r="EI439" s="134"/>
      <c r="EJ439" s="134"/>
      <c r="EK439" s="134" t="str">
        <f t="array" ref="EK439">IFERROR(INDEX(TABLACONSOLIDADA[Buff Act],MATCH("AGROINSUMOSLAFINCA"&amp;Tabla_Buffers_Agroinsumos[[#This Row],[CODIGO ]],TABLACONSOLIDADA[Bodega]&amp;TABLACONSOLIDADA[Codigo],0)),"")</f>
        <v/>
      </c>
      <c r="EL439" s="19" t="str">
        <f t="array" ref="EL439">IFERROR(INDEX(TABLACONSOLIDADA[Inv Fís Act],MATCH("AGROINSUMOSLAFINCA"&amp;Tabla_Buffers_Agroinsumos[[#This Row],[CODIGO ]],TABLACONSOLIDADA[Bodega]&amp;TABLACONSOLIDADA[Codigo],0)),"")</f>
        <v/>
      </c>
      <c r="EM439" s="160" t="str">
        <f t="array" ref="EM43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39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39" s="134">
        <f>IFERROR(SUM(Tabla_Buffers_Agroinsumos[[#This Row],[LF-MP]:[LF-VL]]),"")</f>
        <v>0</v>
      </c>
      <c r="EP439" s="92" t="str">
        <f>IFERROR(Tabla_Buffers_Agroinsumos[[#This Row],[INV FIS LF]]-Tabla_Buffers_Agroinsumos[[#This Row],[BUFFER LF]],"")</f>
        <v/>
      </c>
      <c r="EQ439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39" s="134"/>
      <c r="ES439" s="134"/>
      <c r="ET439" s="134"/>
      <c r="EU439" s="134"/>
      <c r="EV439" s="134"/>
      <c r="EW439" s="134"/>
      <c r="EX439" s="134"/>
      <c r="EY439" s="134"/>
      <c r="EZ439" s="134"/>
      <c r="FA439" s="134" t="str">
        <f t="array" ref="FA439">IFERROR(INDEX(TABLACONSOLIDADA[Buff Act],MATCH("AGROINSUMOSVERONICALEDESMA"&amp;Tabla_Buffers_Agroinsumos[[#This Row],[CODIGO ]],TABLACONSOLIDADA[Bodega]&amp;TABLACONSOLIDADA[Codigo],0)),"")</f>
        <v/>
      </c>
      <c r="FB439" s="19" t="str">
        <f t="array" ref="FB439">IFERROR(INDEX(TABLACONSOLIDADA[Inv Fís Act],MATCH("AGROINSUMOSVERONICALEDESMA"&amp;Tabla_Buffers_Agroinsumos[[#This Row],[CODIGO ]],TABLACONSOLIDADA[Bodega]&amp;TABLACONSOLIDADA[Codigo],0)),"")</f>
        <v/>
      </c>
      <c r="FC439" s="160" t="str">
        <f t="array" ref="FC43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39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39" s="134">
        <f>IFERROR(SUM(Tabla_Buffers_Agroinsumos[[#This Row],[VL-MP]:[VL-LF]]),"")</f>
        <v>0</v>
      </c>
      <c r="FF439" s="92" t="str">
        <f>IFERROR(Tabla_Buffers_Agroinsumos[[#This Row],[INV FIS VL]]-Tabla_Buffers_Agroinsumos[[#This Row],[BUFFER VL]],"")</f>
        <v/>
      </c>
      <c r="FG439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39" s="134"/>
      <c r="FI439" s="134"/>
      <c r="FJ439" s="134"/>
      <c r="FK439" s="134"/>
      <c r="FL439" s="134"/>
      <c r="FM439" s="134"/>
      <c r="FN439" s="134"/>
      <c r="FO439" s="134"/>
      <c r="FP439" s="134"/>
    </row>
    <row r="440" spans="1:172">
      <c r="A440" s="7" t="s">
        <v>1367</v>
      </c>
      <c r="B440" s="7" t="s">
        <v>1368</v>
      </c>
      <c r="C440" s="7" t="s">
        <v>718</v>
      </c>
      <c r="D440" s="7" t="s">
        <v>1375</v>
      </c>
      <c r="E440" s="7" t="s">
        <v>863</v>
      </c>
      <c r="F440" s="19"/>
      <c r="G440" s="19" t="s">
        <v>802</v>
      </c>
      <c r="H440" s="19" t="e">
        <f>VLOOKUP(Tabla_Buffers_Agroinsumos[[#This Row],[CODIGO ]],TABLACONSOLIDADA[[Codigo]:[PV]],6,0)</f>
        <v>#N/A</v>
      </c>
      <c r="I440" s="19" t="e">
        <f>VLOOKUP(Tabla_Buffers_Agroinsumos[[#This Row],[CODIGO ]],TABLACONSOLIDADA[[Codigo]:[PV]],5,0)</f>
        <v>#N/A</v>
      </c>
      <c r="J440" s="19"/>
      <c r="K440" s="19"/>
      <c r="L440" s="19">
        <f>IFERROR(Tabla_Buffers_Agroinsumos[[#This Row],[BUFFER CENTRAL]]/((Tabla_Buffers_Agroinsumos[[#This Row],[TIEMPO REPOSICION ]]/Tabla_Buffers_Agroinsumos[[#This Row],[FRECUENCIA]])+1),0)</f>
        <v>0</v>
      </c>
      <c r="M440" s="19" t="str">
        <f t="array" ref="M440">IFERROR(INDEX(TABLACONSOLIDADA[Buff Act],MATCH("AGROINSUMOSMATERIAPRIMA"&amp;Tabla_Buffers_Agroinsumos[[#This Row],[CODIGO ]],TABLACONSOLIDADA[Bodega]&amp;TABLACONSOLIDADA[Codigo],0)),"")</f>
        <v/>
      </c>
      <c r="N440" s="19" t="str">
        <f t="array" ref="N440">IFERROR(INDEX(TABLACONSOLIDADA[Inv Fís Act],MATCH("AGROINSUMOSMATERIAPRIMA"&amp;Tabla_Buffers_Agroinsumos[[#This Row],[CODIGO ]],TABLACONSOLIDADA[Bodega]&amp;TABLACONSOLIDADA[Codigo],0)),"")</f>
        <v/>
      </c>
      <c r="O440" s="160" t="str">
        <f t="array" ref="O44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40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40" s="19">
        <f>IFERROR(SUM(Tabla_Buffers_Agroinsumos[[#This Row],[MP-C]:[MP-VL]]),"")</f>
        <v>0</v>
      </c>
      <c r="R440" s="92" t="str">
        <f>IFERROR(Tabla_Buffers_Agroinsumos[[#This Row],[INV FIS MATERIA PRIMA]]-Tabla_Buffers_Agroinsumos[[#This Row],[BUFFER MATERIA PRIMA]],"")</f>
        <v/>
      </c>
      <c r="S440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40" s="19"/>
      <c r="U440" s="19"/>
      <c r="V440" s="19"/>
      <c r="W440" s="19"/>
      <c r="X440" s="19"/>
      <c r="Y440" s="19"/>
      <c r="Z440" s="19"/>
      <c r="AA440" s="19"/>
      <c r="AB440" s="19"/>
      <c r="AC440" s="152" t="str">
        <f t="array" ref="AC440">IFERROR(INDEX(TABLACONSOLIDADA[Buff Act],MATCH("AGROINSUMOSCENTRAL"&amp;Tabla_Buffers_Agroinsumos[[#This Row],[CODIGO ]],TABLACONSOLIDADA[Bodega]&amp;TABLACONSOLIDADA[Codigo],0)),"")</f>
        <v/>
      </c>
      <c r="AD440" s="19" t="str">
        <f t="array" ref="AD440">IFERROR(INDEX(TABLACONSOLIDADA[Inv Fís Act],MATCH("AGROINSUMOSCENTRAL"&amp;Tabla_Buffers_Agroinsumos[[#This Row],[CODIGO ]],TABLACONSOLIDADA[Bodega]&amp;TABLACONSOLIDADA[Codigo],0)),"")</f>
        <v/>
      </c>
      <c r="AE440" s="160" t="str">
        <f t="array" ref="AE44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40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40" s="91">
        <f>IFERROR(SUM(Tabla_Buffers_Agroinsumos[[#This Row],[C-MP]:[C-VL]]),"")</f>
        <v>0</v>
      </c>
      <c r="AH440" s="92" t="str">
        <f>IFERROR(Tabla_Buffers_Agroinsumos[[#This Row],[INV FIS CENTRAL]]-Tabla_Buffers_Agroinsumos[[#This Row],[BUFFER CENTRAL]],"")</f>
        <v/>
      </c>
      <c r="AI440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40" s="134"/>
      <c r="AK440" s="134"/>
      <c r="AL440" s="134"/>
      <c r="AM440" s="134"/>
      <c r="AN440" s="134"/>
      <c r="AO440" s="134"/>
      <c r="AP440" s="134"/>
      <c r="AQ440" s="134"/>
      <c r="AR440" s="134"/>
      <c r="AS440" s="134" t="str">
        <f t="array" ref="AS440">IFERROR(INDEX(TABLACONSOLIDADA[Buff Act],MATCH("AGROINSUMOScentralPROPIA"&amp;Tabla_Buffers_Agroinsumos[[#This Row],[CODIGO ]],TABLACONSOLIDADA[Bodega]&amp;TABLACONSOLIDADA[Codigo],0)),"")</f>
        <v/>
      </c>
      <c r="AT440" s="19" t="str">
        <f t="array" ref="AT440">IFERROR(INDEX(TABLACONSOLIDADA[Inv Fís Act],MATCH("AGROINSUMOScentralPROPIA"&amp;Tabla_Buffers_Agroinsumos[[#This Row],[CODIGO ]],TABLACONSOLIDADA[Bodega]&amp;TABLACONSOLIDADA[Codigo],0)),"")</f>
        <v/>
      </c>
      <c r="AU440" s="160" t="str">
        <f t="array" ref="AU44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40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40" s="134">
        <f>IFERROR(SUM(Tabla_Buffers_Agroinsumos[[#This Row],[P-MP]:[P-VL]]),"")</f>
        <v>0</v>
      </c>
      <c r="AX440" s="92" t="str">
        <f>IFERROR(Tabla_Buffers_Agroinsumos[[#This Row],[INV FIS PROPIA]]-Tabla_Buffers_Agroinsumos[[#This Row],[BUFFER PROPIA]],"")</f>
        <v/>
      </c>
      <c r="AY440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40" s="134"/>
      <c r="BA440" s="134"/>
      <c r="BB440" s="134"/>
      <c r="BC440" s="134"/>
      <c r="BD440" s="134"/>
      <c r="BE440" s="134"/>
      <c r="BF440" s="134"/>
      <c r="BG440" s="134"/>
      <c r="BH440" s="134"/>
      <c r="BI440" s="91" t="str">
        <f t="array" ref="BI440">IFERROR(INDEX(TABLACONSOLIDADA[Buff Act],MATCH("AGROINSUMOSSTODOMINGO"&amp;Tabla_Buffers_Agroinsumos[[#This Row],[CODIGO ]],TABLACONSOLIDADA[Bodega]&amp;TABLACONSOLIDADA[Codigo],0)),"")</f>
        <v/>
      </c>
      <c r="BJ440" s="19" t="str">
        <f t="array" ref="BJ440">IFERROR(INDEX(TABLACONSOLIDADA[Inv Fís Act],MATCH("AGROINSUMOSSTODOMINGO"&amp;Tabla_Buffers_Agroinsumos[[#This Row],[CODIGO ]],TABLACONSOLIDADA[Bodega]&amp;TABLACONSOLIDADA[Codigo],0)),"")</f>
        <v/>
      </c>
      <c r="BK440" s="160" t="str">
        <f t="array" ref="BK44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40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40" s="91">
        <f>IFERROR(SUM(Tabla_Buffers_Agroinsumos[[#This Row],[SD-MP]:[SD-VL]]),"")</f>
        <v>0</v>
      </c>
      <c r="BN440" s="92"/>
      <c r="BO440" s="92"/>
      <c r="BP440" s="134"/>
      <c r="BQ440" s="134"/>
      <c r="BR440" s="134"/>
      <c r="BS440" s="134"/>
      <c r="BT440" s="134"/>
      <c r="BU440" s="134"/>
      <c r="BV440" s="134"/>
      <c r="BW440" s="134"/>
      <c r="BX440" s="134"/>
      <c r="BY440" s="134" t="str">
        <f t="array" ref="BY440">IFERROR(INDEX(TABLACONSOLIDADA[Buff Act],MATCH("AGROINSUMOSMONCAYOLOPEZ"&amp;Tabla_Buffers_Agroinsumos[[#This Row],[CODIGO ]],TABLACONSOLIDADA[Bodega]&amp;TABLACONSOLIDADA[Codigo],0)),"")</f>
        <v/>
      </c>
      <c r="BZ440" s="19" t="str">
        <f t="array" ref="BZ440">IFERROR(INDEX(TABLACONSOLIDADA[Inv Fís Act],MATCH("AGROINSUMOSMONCAYOLOPEZ"&amp;Tabla_Buffers_Agroinsumos[[#This Row],[CODIGO ]],TABLACONSOLIDADA[Bodega]&amp;TABLACONSOLIDADA[Codigo],0)),"")</f>
        <v/>
      </c>
      <c r="CA440" s="160" t="str">
        <f t="array" ref="CA44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40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40" s="134">
        <f>IFERROR(SUM(Tabla_Buffers_Agroinsumos[[#This Row],[ML-MP]:[ML-VL]]),"")</f>
        <v>0</v>
      </c>
      <c r="CD440" s="92" t="str">
        <f>IFERROR(Tabla_Buffers_Agroinsumos[[#This Row],[INV FIS ML]]-Tabla_Buffers_Agroinsumos[[#This Row],[BUFFER ML]],"")</f>
        <v/>
      </c>
      <c r="CE440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40" s="134"/>
      <c r="CG440" s="134"/>
      <c r="CH440" s="134"/>
      <c r="CI440" s="134"/>
      <c r="CJ440" s="134"/>
      <c r="CK440" s="134"/>
      <c r="CL440" s="134"/>
      <c r="CM440" s="134"/>
      <c r="CN440" s="134"/>
      <c r="CO440" s="134" t="str">
        <f t="array" ref="CO440">IFERROR(INDEX(TABLACONSOLIDADA[Buff Act],MATCH("AGROINSUMOSAGROHERMANOSLEON"&amp;Tabla_Buffers_Agroinsumos[[#This Row],[CODIGO ]],TABLACONSOLIDADA[Bodega]&amp;TABLACONSOLIDADA[Codigo],0)),"")</f>
        <v/>
      </c>
      <c r="CP440" s="19" t="str">
        <f t="array" ref="CP440">IFERROR(INDEX(TABLACONSOLIDADA[Inv Fís Act],MATCH("AGROINSUMOSAGROHERMANOSLEON"&amp;Tabla_Buffers_Agroinsumos[[#This Row],[CODIGO ]],TABLACONSOLIDADA[Bodega]&amp;TABLACONSOLIDADA[Codigo],0)),"")</f>
        <v/>
      </c>
      <c r="CQ440" s="160" t="str">
        <f t="array" ref="CQ44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40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40" s="134">
        <f>IFERROR(SUM(Tabla_Buffers_Agroinsumos[[#This Row],[AL-MP]:[AL-VL]]),"")</f>
        <v>0</v>
      </c>
      <c r="CT440" s="92" t="str">
        <f>IFERROR(Tabla_Buffers_Agroinsumos[[#This Row],[INV FIS AL]]-Tabla_Buffers_Agroinsumos[[#This Row],[BUFFER AL]],"")</f>
        <v/>
      </c>
      <c r="CU440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40" s="134"/>
      <c r="CW440" s="134"/>
      <c r="CX440" s="134"/>
      <c r="CY440" s="134"/>
      <c r="CZ440" s="134"/>
      <c r="DA440" s="134"/>
      <c r="DB440" s="134"/>
      <c r="DC440" s="134"/>
      <c r="DD440" s="134"/>
      <c r="DE440" s="134" t="str">
        <f t="array" ref="DE440">IFERROR(INDEX(TABLACONSOLIDADA[Buff Act],MATCH("AGROINSUMOSAGRONUEVO"&amp;Tabla_Buffers_Agroinsumos[[#This Row],[CODIGO ]],TABLACONSOLIDADA[Bodega]&amp;TABLACONSOLIDADA[Codigo],0)),"")</f>
        <v/>
      </c>
      <c r="DF440" s="19" t="str">
        <f t="array" ref="DF440">IFERROR(INDEX(TABLACONSOLIDADA[Inv Fís Act],MATCH("AGROINSUMOSAGRONUEVO"&amp;Tabla_Buffers_Agroinsumos[[#This Row],[CODIGO ]],TABLACONSOLIDADA[Bodega]&amp;TABLACONSOLIDADA[Codigo],0)),"")</f>
        <v/>
      </c>
      <c r="DG440" s="160" t="str">
        <f t="array" ref="DG44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40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40" s="134">
        <f>IFERROR(SUM(Tabla_Buffers_Agroinsumos[[#This Row],[AN-MP]:[AN-VL]]),"")</f>
        <v>0</v>
      </c>
      <c r="DJ440" s="92" t="str">
        <f>IFERROR(Tabla_Buffers_Agroinsumos[[#This Row],[INV FIS AN]]-Tabla_Buffers_Agroinsumos[[#This Row],[BUFFER AN]],"")</f>
        <v/>
      </c>
      <c r="DK440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40" s="134"/>
      <c r="DM440" s="134"/>
      <c r="DN440" s="134"/>
      <c r="DO440" s="134"/>
      <c r="DP440" s="134"/>
      <c r="DQ440" s="134"/>
      <c r="DR440" s="134"/>
      <c r="DS440" s="134"/>
      <c r="DT440" s="134"/>
      <c r="DU440" s="134" t="str">
        <f t="array" ref="DU440">IFERROR(INDEX(TABLACONSOLIDADA[Buff Act],MATCH("AGROINSUMOSAGROQUIMICOSSUR"&amp;Tabla_Buffers_Agroinsumos[[#This Row],[CODIGO ]],TABLACONSOLIDADA[Bodega]&amp;TABLACONSOLIDADA[Codigo],0)),"")</f>
        <v/>
      </c>
      <c r="DV440" s="19" t="str">
        <f t="array" ref="DV440">IFERROR(INDEX(TABLACONSOLIDADA[Inv Fís Act],MATCH("AGROINSUMOSAGROQUIMICOSSUR"&amp;Tabla_Buffers_Agroinsumos[[#This Row],[CODIGO ]],TABLACONSOLIDADA[Bodega]&amp;TABLACONSOLIDADA[Codigo],0)),"")</f>
        <v/>
      </c>
      <c r="DW440" s="160" t="str">
        <f t="array" ref="DW44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40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40" s="134">
        <f>IFERROR(SUM(Tabla_Buffers_Agroinsumos[[#This Row],[AS-MP]:[AS-VL]]),"")</f>
        <v>0</v>
      </c>
      <c r="DZ440" s="92" t="str">
        <f>IFERROR(Tabla_Buffers_Agroinsumos[[#This Row],[INV FIS AS]]-Tabla_Buffers_Agroinsumos[[#This Row],[BUFFER AS]],"")</f>
        <v/>
      </c>
      <c r="EA440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40" s="134"/>
      <c r="EC440" s="134"/>
      <c r="ED440" s="134"/>
      <c r="EE440" s="134"/>
      <c r="EF440" s="134"/>
      <c r="EG440" s="134"/>
      <c r="EH440" s="134"/>
      <c r="EI440" s="134"/>
      <c r="EJ440" s="134"/>
      <c r="EK440" s="134" t="str">
        <f t="array" ref="EK440">IFERROR(INDEX(TABLACONSOLIDADA[Buff Act],MATCH("AGROINSUMOSLAFINCA"&amp;Tabla_Buffers_Agroinsumos[[#This Row],[CODIGO ]],TABLACONSOLIDADA[Bodega]&amp;TABLACONSOLIDADA[Codigo],0)),"")</f>
        <v/>
      </c>
      <c r="EL440" s="19" t="str">
        <f t="array" ref="EL440">IFERROR(INDEX(TABLACONSOLIDADA[Inv Fís Act],MATCH("AGROINSUMOSLAFINCA"&amp;Tabla_Buffers_Agroinsumos[[#This Row],[CODIGO ]],TABLACONSOLIDADA[Bodega]&amp;TABLACONSOLIDADA[Codigo],0)),"")</f>
        <v/>
      </c>
      <c r="EM440" s="160" t="str">
        <f t="array" ref="EM44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40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40" s="134">
        <f>IFERROR(SUM(Tabla_Buffers_Agroinsumos[[#This Row],[LF-MP]:[LF-VL]]),"")</f>
        <v>0</v>
      </c>
      <c r="EP440" s="92" t="str">
        <f>IFERROR(Tabla_Buffers_Agroinsumos[[#This Row],[INV FIS LF]]-Tabla_Buffers_Agroinsumos[[#This Row],[BUFFER LF]],"")</f>
        <v/>
      </c>
      <c r="EQ440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40" s="134"/>
      <c r="ES440" s="134"/>
      <c r="ET440" s="134"/>
      <c r="EU440" s="134"/>
      <c r="EV440" s="134"/>
      <c r="EW440" s="134"/>
      <c r="EX440" s="134"/>
      <c r="EY440" s="134"/>
      <c r="EZ440" s="134"/>
      <c r="FA440" s="134" t="str">
        <f t="array" ref="FA440">IFERROR(INDEX(TABLACONSOLIDADA[Buff Act],MATCH("AGROINSUMOSVERONICALEDESMA"&amp;Tabla_Buffers_Agroinsumos[[#This Row],[CODIGO ]],TABLACONSOLIDADA[Bodega]&amp;TABLACONSOLIDADA[Codigo],0)),"")</f>
        <v/>
      </c>
      <c r="FB440" s="19" t="str">
        <f t="array" ref="FB440">IFERROR(INDEX(TABLACONSOLIDADA[Inv Fís Act],MATCH("AGROINSUMOSVERONICALEDESMA"&amp;Tabla_Buffers_Agroinsumos[[#This Row],[CODIGO ]],TABLACONSOLIDADA[Bodega]&amp;TABLACONSOLIDADA[Codigo],0)),"")</f>
        <v/>
      </c>
      <c r="FC440" s="160" t="str">
        <f t="array" ref="FC44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40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40" s="134">
        <f>IFERROR(SUM(Tabla_Buffers_Agroinsumos[[#This Row],[VL-MP]:[VL-LF]]),"")</f>
        <v>0</v>
      </c>
      <c r="FF440" s="92" t="str">
        <f>IFERROR(Tabla_Buffers_Agroinsumos[[#This Row],[INV FIS VL]]-Tabla_Buffers_Agroinsumos[[#This Row],[BUFFER VL]],"")</f>
        <v/>
      </c>
      <c r="FG440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40" s="134"/>
      <c r="FI440" s="134"/>
      <c r="FJ440" s="134"/>
      <c r="FK440" s="134"/>
      <c r="FL440" s="134"/>
      <c r="FM440" s="134"/>
      <c r="FN440" s="134"/>
      <c r="FO440" s="134"/>
      <c r="FP440" s="134"/>
    </row>
    <row r="441" spans="1:172">
      <c r="A441" s="7" t="s">
        <v>1369</v>
      </c>
      <c r="B441" s="7" t="s">
        <v>1370</v>
      </c>
      <c r="C441" s="7" t="s">
        <v>1376</v>
      </c>
      <c r="D441" s="7" t="s">
        <v>712</v>
      </c>
      <c r="E441" s="7" t="s">
        <v>863</v>
      </c>
      <c r="F441" s="19"/>
      <c r="G441" s="19" t="s">
        <v>802</v>
      </c>
      <c r="H441" s="19" t="e">
        <f>VLOOKUP(Tabla_Buffers_Agroinsumos[[#This Row],[CODIGO ]],TABLACONSOLIDADA[[Codigo]:[PV]],6,0)</f>
        <v>#N/A</v>
      </c>
      <c r="I441" s="19" t="e">
        <f>VLOOKUP(Tabla_Buffers_Agroinsumos[[#This Row],[CODIGO ]],TABLACONSOLIDADA[[Codigo]:[PV]],5,0)</f>
        <v>#N/A</v>
      </c>
      <c r="J441" s="19"/>
      <c r="K441" s="19"/>
      <c r="L441" s="19">
        <f>IFERROR(Tabla_Buffers_Agroinsumos[[#This Row],[BUFFER CENTRAL]]/((Tabla_Buffers_Agroinsumos[[#This Row],[TIEMPO REPOSICION ]]/Tabla_Buffers_Agroinsumos[[#This Row],[FRECUENCIA]])+1),0)</f>
        <v>0</v>
      </c>
      <c r="M441" s="19" t="str">
        <f t="array" ref="M441">IFERROR(INDEX(TABLACONSOLIDADA[Buff Act],MATCH("AGROINSUMOSMATERIAPRIMA"&amp;Tabla_Buffers_Agroinsumos[[#This Row],[CODIGO ]],TABLACONSOLIDADA[Bodega]&amp;TABLACONSOLIDADA[Codigo],0)),"")</f>
        <v/>
      </c>
      <c r="N441" s="19" t="str">
        <f t="array" ref="N441">IFERROR(INDEX(TABLACONSOLIDADA[Inv Fís Act],MATCH("AGROINSUMOSMATERIAPRIMA"&amp;Tabla_Buffers_Agroinsumos[[#This Row],[CODIGO ]],TABLACONSOLIDADA[Bodega]&amp;TABLACONSOLIDADA[Codigo],0)),"")</f>
        <v/>
      </c>
      <c r="O441" s="160" t="str">
        <f t="array" ref="O44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41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41" s="19">
        <f>IFERROR(SUM(Tabla_Buffers_Agroinsumos[[#This Row],[MP-C]:[MP-VL]]),"")</f>
        <v>0</v>
      </c>
      <c r="R441" s="92" t="str">
        <f>IFERROR(Tabla_Buffers_Agroinsumos[[#This Row],[INV FIS MATERIA PRIMA]]-Tabla_Buffers_Agroinsumos[[#This Row],[BUFFER MATERIA PRIMA]],"")</f>
        <v/>
      </c>
      <c r="S441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41" s="19"/>
      <c r="U441" s="19"/>
      <c r="V441" s="19"/>
      <c r="W441" s="19"/>
      <c r="X441" s="19"/>
      <c r="Y441" s="19"/>
      <c r="Z441" s="19"/>
      <c r="AA441" s="19"/>
      <c r="AB441" s="19"/>
      <c r="AC441" s="152" t="str">
        <f t="array" ref="AC441">IFERROR(INDEX(TABLACONSOLIDADA[Buff Act],MATCH("AGROINSUMOSCENTRAL"&amp;Tabla_Buffers_Agroinsumos[[#This Row],[CODIGO ]],TABLACONSOLIDADA[Bodega]&amp;TABLACONSOLIDADA[Codigo],0)),"")</f>
        <v/>
      </c>
      <c r="AD441" s="19" t="str">
        <f t="array" ref="AD441">IFERROR(INDEX(TABLACONSOLIDADA[Inv Fís Act],MATCH("AGROINSUMOSCENTRAL"&amp;Tabla_Buffers_Agroinsumos[[#This Row],[CODIGO ]],TABLACONSOLIDADA[Bodega]&amp;TABLACONSOLIDADA[Codigo],0)),"")</f>
        <v/>
      </c>
      <c r="AE441" s="160" t="str">
        <f t="array" ref="AE44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41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41" s="91">
        <f>IFERROR(SUM(Tabla_Buffers_Agroinsumos[[#This Row],[C-MP]:[C-VL]]),"")</f>
        <v>0</v>
      </c>
      <c r="AH441" s="92" t="str">
        <f>IFERROR(Tabla_Buffers_Agroinsumos[[#This Row],[INV FIS CENTRAL]]-Tabla_Buffers_Agroinsumos[[#This Row],[BUFFER CENTRAL]],"")</f>
        <v/>
      </c>
      <c r="AI441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41" s="134"/>
      <c r="AK441" s="134"/>
      <c r="AL441" s="134"/>
      <c r="AM441" s="134"/>
      <c r="AN441" s="134"/>
      <c r="AO441" s="134"/>
      <c r="AP441" s="134"/>
      <c r="AQ441" s="134"/>
      <c r="AR441" s="134"/>
      <c r="AS441" s="134" t="str">
        <f t="array" ref="AS441">IFERROR(INDEX(TABLACONSOLIDADA[Buff Act],MATCH("AGROINSUMOScentralPROPIA"&amp;Tabla_Buffers_Agroinsumos[[#This Row],[CODIGO ]],TABLACONSOLIDADA[Bodega]&amp;TABLACONSOLIDADA[Codigo],0)),"")</f>
        <v/>
      </c>
      <c r="AT441" s="19" t="str">
        <f t="array" ref="AT441">IFERROR(INDEX(TABLACONSOLIDADA[Inv Fís Act],MATCH("AGROINSUMOScentralPROPIA"&amp;Tabla_Buffers_Agroinsumos[[#This Row],[CODIGO ]],TABLACONSOLIDADA[Bodega]&amp;TABLACONSOLIDADA[Codigo],0)),"")</f>
        <v/>
      </c>
      <c r="AU441" s="160" t="str">
        <f t="array" ref="AU44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41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41" s="134">
        <f>IFERROR(SUM(Tabla_Buffers_Agroinsumos[[#This Row],[P-MP]:[P-VL]]),"")</f>
        <v>0</v>
      </c>
      <c r="AX441" s="92" t="str">
        <f>IFERROR(Tabla_Buffers_Agroinsumos[[#This Row],[INV FIS PROPIA]]-Tabla_Buffers_Agroinsumos[[#This Row],[BUFFER PROPIA]],"")</f>
        <v/>
      </c>
      <c r="AY441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41" s="134"/>
      <c r="BA441" s="134"/>
      <c r="BB441" s="134"/>
      <c r="BC441" s="134"/>
      <c r="BD441" s="134"/>
      <c r="BE441" s="134"/>
      <c r="BF441" s="134"/>
      <c r="BG441" s="134"/>
      <c r="BH441" s="134"/>
      <c r="BI441" s="91" t="str">
        <f t="array" ref="BI441">IFERROR(INDEX(TABLACONSOLIDADA[Buff Act],MATCH("AGROINSUMOSSTODOMINGO"&amp;Tabla_Buffers_Agroinsumos[[#This Row],[CODIGO ]],TABLACONSOLIDADA[Bodega]&amp;TABLACONSOLIDADA[Codigo],0)),"")</f>
        <v/>
      </c>
      <c r="BJ441" s="19" t="str">
        <f t="array" ref="BJ441">IFERROR(INDEX(TABLACONSOLIDADA[Inv Fís Act],MATCH("AGROINSUMOSSTODOMINGO"&amp;Tabla_Buffers_Agroinsumos[[#This Row],[CODIGO ]],TABLACONSOLIDADA[Bodega]&amp;TABLACONSOLIDADA[Codigo],0)),"")</f>
        <v/>
      </c>
      <c r="BK441" s="160" t="str">
        <f t="array" ref="BK44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41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41" s="91">
        <f>IFERROR(SUM(Tabla_Buffers_Agroinsumos[[#This Row],[SD-MP]:[SD-VL]]),"")</f>
        <v>0</v>
      </c>
      <c r="BN441" s="92"/>
      <c r="BO441" s="92"/>
      <c r="BP441" s="134"/>
      <c r="BQ441" s="134"/>
      <c r="BR441" s="134"/>
      <c r="BS441" s="134"/>
      <c r="BT441" s="134"/>
      <c r="BU441" s="134"/>
      <c r="BV441" s="134"/>
      <c r="BW441" s="134"/>
      <c r="BX441" s="134"/>
      <c r="BY441" s="134" t="str">
        <f t="array" ref="BY441">IFERROR(INDEX(TABLACONSOLIDADA[Buff Act],MATCH("AGROINSUMOSMONCAYOLOPEZ"&amp;Tabla_Buffers_Agroinsumos[[#This Row],[CODIGO ]],TABLACONSOLIDADA[Bodega]&amp;TABLACONSOLIDADA[Codigo],0)),"")</f>
        <v/>
      </c>
      <c r="BZ441" s="19" t="str">
        <f t="array" ref="BZ441">IFERROR(INDEX(TABLACONSOLIDADA[Inv Fís Act],MATCH("AGROINSUMOSMONCAYOLOPEZ"&amp;Tabla_Buffers_Agroinsumos[[#This Row],[CODIGO ]],TABLACONSOLIDADA[Bodega]&amp;TABLACONSOLIDADA[Codigo],0)),"")</f>
        <v/>
      </c>
      <c r="CA441" s="160" t="str">
        <f t="array" ref="CA44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41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41" s="134">
        <f>IFERROR(SUM(Tabla_Buffers_Agroinsumos[[#This Row],[ML-MP]:[ML-VL]]),"")</f>
        <v>0</v>
      </c>
      <c r="CD441" s="92" t="str">
        <f>IFERROR(Tabla_Buffers_Agroinsumos[[#This Row],[INV FIS ML]]-Tabla_Buffers_Agroinsumos[[#This Row],[BUFFER ML]],"")</f>
        <v/>
      </c>
      <c r="CE441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41" s="134"/>
      <c r="CG441" s="134"/>
      <c r="CH441" s="134"/>
      <c r="CI441" s="134"/>
      <c r="CJ441" s="134"/>
      <c r="CK441" s="134"/>
      <c r="CL441" s="134"/>
      <c r="CM441" s="134"/>
      <c r="CN441" s="134"/>
      <c r="CO441" s="134" t="str">
        <f t="array" ref="CO441">IFERROR(INDEX(TABLACONSOLIDADA[Buff Act],MATCH("AGROINSUMOSAGROHERMANOSLEON"&amp;Tabla_Buffers_Agroinsumos[[#This Row],[CODIGO ]],TABLACONSOLIDADA[Bodega]&amp;TABLACONSOLIDADA[Codigo],0)),"")</f>
        <v/>
      </c>
      <c r="CP441" s="19" t="str">
        <f t="array" ref="CP441">IFERROR(INDEX(TABLACONSOLIDADA[Inv Fís Act],MATCH("AGROINSUMOSAGROHERMANOSLEON"&amp;Tabla_Buffers_Agroinsumos[[#This Row],[CODIGO ]],TABLACONSOLIDADA[Bodega]&amp;TABLACONSOLIDADA[Codigo],0)),"")</f>
        <v/>
      </c>
      <c r="CQ441" s="160" t="str">
        <f t="array" ref="CQ44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41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41" s="134">
        <f>IFERROR(SUM(Tabla_Buffers_Agroinsumos[[#This Row],[AL-MP]:[AL-VL]]),"")</f>
        <v>0</v>
      </c>
      <c r="CT441" s="92" t="str">
        <f>IFERROR(Tabla_Buffers_Agroinsumos[[#This Row],[INV FIS AL]]-Tabla_Buffers_Agroinsumos[[#This Row],[BUFFER AL]],"")</f>
        <v/>
      </c>
      <c r="CU441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41" s="134"/>
      <c r="CW441" s="134"/>
      <c r="CX441" s="134"/>
      <c r="CY441" s="134"/>
      <c r="CZ441" s="134"/>
      <c r="DA441" s="134"/>
      <c r="DB441" s="134"/>
      <c r="DC441" s="134"/>
      <c r="DD441" s="134"/>
      <c r="DE441" s="134" t="str">
        <f t="array" ref="DE441">IFERROR(INDEX(TABLACONSOLIDADA[Buff Act],MATCH("AGROINSUMOSAGRONUEVO"&amp;Tabla_Buffers_Agroinsumos[[#This Row],[CODIGO ]],TABLACONSOLIDADA[Bodega]&amp;TABLACONSOLIDADA[Codigo],0)),"")</f>
        <v/>
      </c>
      <c r="DF441" s="19" t="str">
        <f t="array" ref="DF441">IFERROR(INDEX(TABLACONSOLIDADA[Inv Fís Act],MATCH("AGROINSUMOSAGRONUEVO"&amp;Tabla_Buffers_Agroinsumos[[#This Row],[CODIGO ]],TABLACONSOLIDADA[Bodega]&amp;TABLACONSOLIDADA[Codigo],0)),"")</f>
        <v/>
      </c>
      <c r="DG441" s="160" t="str">
        <f t="array" ref="DG44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41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41" s="134">
        <f>IFERROR(SUM(Tabla_Buffers_Agroinsumos[[#This Row],[AN-MP]:[AN-VL]]),"")</f>
        <v>0</v>
      </c>
      <c r="DJ441" s="92" t="str">
        <f>IFERROR(Tabla_Buffers_Agroinsumos[[#This Row],[INV FIS AN]]-Tabla_Buffers_Agroinsumos[[#This Row],[BUFFER AN]],"")</f>
        <v/>
      </c>
      <c r="DK441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41" s="134"/>
      <c r="DM441" s="134"/>
      <c r="DN441" s="134"/>
      <c r="DO441" s="134"/>
      <c r="DP441" s="134"/>
      <c r="DQ441" s="134"/>
      <c r="DR441" s="134"/>
      <c r="DS441" s="134"/>
      <c r="DT441" s="134"/>
      <c r="DU441" s="134" t="str">
        <f t="array" ref="DU441">IFERROR(INDEX(TABLACONSOLIDADA[Buff Act],MATCH("AGROINSUMOSAGROQUIMICOSSUR"&amp;Tabla_Buffers_Agroinsumos[[#This Row],[CODIGO ]],TABLACONSOLIDADA[Bodega]&amp;TABLACONSOLIDADA[Codigo],0)),"")</f>
        <v/>
      </c>
      <c r="DV441" s="19" t="str">
        <f t="array" ref="DV441">IFERROR(INDEX(TABLACONSOLIDADA[Inv Fís Act],MATCH("AGROINSUMOSAGROQUIMICOSSUR"&amp;Tabla_Buffers_Agroinsumos[[#This Row],[CODIGO ]],TABLACONSOLIDADA[Bodega]&amp;TABLACONSOLIDADA[Codigo],0)),"")</f>
        <v/>
      </c>
      <c r="DW441" s="160" t="str">
        <f t="array" ref="DW44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41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41" s="134">
        <f>IFERROR(SUM(Tabla_Buffers_Agroinsumos[[#This Row],[AS-MP]:[AS-VL]]),"")</f>
        <v>0</v>
      </c>
      <c r="DZ441" s="92" t="str">
        <f>IFERROR(Tabla_Buffers_Agroinsumos[[#This Row],[INV FIS AS]]-Tabla_Buffers_Agroinsumos[[#This Row],[BUFFER AS]],"")</f>
        <v/>
      </c>
      <c r="EA441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41" s="134"/>
      <c r="EC441" s="134"/>
      <c r="ED441" s="134"/>
      <c r="EE441" s="134"/>
      <c r="EF441" s="134"/>
      <c r="EG441" s="134"/>
      <c r="EH441" s="134"/>
      <c r="EI441" s="134"/>
      <c r="EJ441" s="134"/>
      <c r="EK441" s="134" t="str">
        <f t="array" ref="EK441">IFERROR(INDEX(TABLACONSOLIDADA[Buff Act],MATCH("AGROINSUMOSLAFINCA"&amp;Tabla_Buffers_Agroinsumos[[#This Row],[CODIGO ]],TABLACONSOLIDADA[Bodega]&amp;TABLACONSOLIDADA[Codigo],0)),"")</f>
        <v/>
      </c>
      <c r="EL441" s="19" t="str">
        <f t="array" ref="EL441">IFERROR(INDEX(TABLACONSOLIDADA[Inv Fís Act],MATCH("AGROINSUMOSLAFINCA"&amp;Tabla_Buffers_Agroinsumos[[#This Row],[CODIGO ]],TABLACONSOLIDADA[Bodega]&amp;TABLACONSOLIDADA[Codigo],0)),"")</f>
        <v/>
      </c>
      <c r="EM441" s="160" t="str">
        <f t="array" ref="EM44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41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41" s="134">
        <f>IFERROR(SUM(Tabla_Buffers_Agroinsumos[[#This Row],[LF-MP]:[LF-VL]]),"")</f>
        <v>0</v>
      </c>
      <c r="EP441" s="92" t="str">
        <f>IFERROR(Tabla_Buffers_Agroinsumos[[#This Row],[INV FIS LF]]-Tabla_Buffers_Agroinsumos[[#This Row],[BUFFER LF]],"")</f>
        <v/>
      </c>
      <c r="EQ441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41" s="134"/>
      <c r="ES441" s="134"/>
      <c r="ET441" s="134"/>
      <c r="EU441" s="134"/>
      <c r="EV441" s="134"/>
      <c r="EW441" s="134"/>
      <c r="EX441" s="134"/>
      <c r="EY441" s="134"/>
      <c r="EZ441" s="134"/>
      <c r="FA441" s="134" t="str">
        <f t="array" ref="FA441">IFERROR(INDEX(TABLACONSOLIDADA[Buff Act],MATCH("AGROINSUMOSVERONICALEDESMA"&amp;Tabla_Buffers_Agroinsumos[[#This Row],[CODIGO ]],TABLACONSOLIDADA[Bodega]&amp;TABLACONSOLIDADA[Codigo],0)),"")</f>
        <v/>
      </c>
      <c r="FB441" s="19" t="str">
        <f t="array" ref="FB441">IFERROR(INDEX(TABLACONSOLIDADA[Inv Fís Act],MATCH("AGROINSUMOSVERONICALEDESMA"&amp;Tabla_Buffers_Agroinsumos[[#This Row],[CODIGO ]],TABLACONSOLIDADA[Bodega]&amp;TABLACONSOLIDADA[Codigo],0)),"")</f>
        <v/>
      </c>
      <c r="FC441" s="160" t="str">
        <f t="array" ref="FC44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41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41" s="134">
        <f>IFERROR(SUM(Tabla_Buffers_Agroinsumos[[#This Row],[VL-MP]:[VL-LF]]),"")</f>
        <v>0</v>
      </c>
      <c r="FF441" s="92" t="str">
        <f>IFERROR(Tabla_Buffers_Agroinsumos[[#This Row],[INV FIS VL]]-Tabla_Buffers_Agroinsumos[[#This Row],[BUFFER VL]],"")</f>
        <v/>
      </c>
      <c r="FG441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41" s="134"/>
      <c r="FI441" s="134"/>
      <c r="FJ441" s="134"/>
      <c r="FK441" s="134"/>
      <c r="FL441" s="134"/>
      <c r="FM441" s="134"/>
      <c r="FN441" s="134"/>
      <c r="FO441" s="134"/>
      <c r="FP441" s="134"/>
    </row>
    <row r="442" spans="1:172">
      <c r="A442" s="7" t="s">
        <v>1371</v>
      </c>
      <c r="B442" s="7" t="s">
        <v>1372</v>
      </c>
      <c r="C442" s="7" t="s">
        <v>1376</v>
      </c>
      <c r="D442" s="7" t="s">
        <v>712</v>
      </c>
      <c r="E442" s="7" t="s">
        <v>863</v>
      </c>
      <c r="F442" s="19"/>
      <c r="G442" s="19" t="s">
        <v>802</v>
      </c>
      <c r="H442" s="19" t="e">
        <f>VLOOKUP(Tabla_Buffers_Agroinsumos[[#This Row],[CODIGO ]],TABLACONSOLIDADA[[Codigo]:[PV]],6,0)</f>
        <v>#N/A</v>
      </c>
      <c r="I442" s="19" t="e">
        <f>VLOOKUP(Tabla_Buffers_Agroinsumos[[#This Row],[CODIGO ]],TABLACONSOLIDADA[[Codigo]:[PV]],5,0)</f>
        <v>#N/A</v>
      </c>
      <c r="J442" s="19"/>
      <c r="K442" s="19"/>
      <c r="L442" s="19">
        <f>IFERROR(Tabla_Buffers_Agroinsumos[[#This Row],[BUFFER CENTRAL]]/((Tabla_Buffers_Agroinsumos[[#This Row],[TIEMPO REPOSICION ]]/Tabla_Buffers_Agroinsumos[[#This Row],[FRECUENCIA]])+1),0)</f>
        <v>0</v>
      </c>
      <c r="M442" s="19" t="str">
        <f t="array" ref="M442">IFERROR(INDEX(TABLACONSOLIDADA[Buff Act],MATCH("AGROINSUMOSMATERIAPRIMA"&amp;Tabla_Buffers_Agroinsumos[[#This Row],[CODIGO ]],TABLACONSOLIDADA[Bodega]&amp;TABLACONSOLIDADA[Codigo],0)),"")</f>
        <v/>
      </c>
      <c r="N442" s="19" t="str">
        <f t="array" ref="N442">IFERROR(INDEX(TABLACONSOLIDADA[Inv Fís Act],MATCH("AGROINSUMOSMATERIAPRIMA"&amp;Tabla_Buffers_Agroinsumos[[#This Row],[CODIGO ]],TABLACONSOLIDADA[Bodega]&amp;TABLACONSOLIDADA[Codigo],0)),"")</f>
        <v/>
      </c>
      <c r="O442" s="160" t="str">
        <f t="array" ref="O44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42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42" s="19">
        <f>IFERROR(SUM(Tabla_Buffers_Agroinsumos[[#This Row],[MP-C]:[MP-VL]]),"")</f>
        <v>0</v>
      </c>
      <c r="R442" s="92" t="str">
        <f>IFERROR(Tabla_Buffers_Agroinsumos[[#This Row],[INV FIS MATERIA PRIMA]]-Tabla_Buffers_Agroinsumos[[#This Row],[BUFFER MATERIA PRIMA]],"")</f>
        <v/>
      </c>
      <c r="S442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42" s="19"/>
      <c r="U442" s="19"/>
      <c r="V442" s="19"/>
      <c r="W442" s="19"/>
      <c r="X442" s="19"/>
      <c r="Y442" s="19"/>
      <c r="Z442" s="19"/>
      <c r="AA442" s="19"/>
      <c r="AB442" s="19"/>
      <c r="AC442" s="152" t="str">
        <f t="array" ref="AC442">IFERROR(INDEX(TABLACONSOLIDADA[Buff Act],MATCH("AGROINSUMOSCENTRAL"&amp;Tabla_Buffers_Agroinsumos[[#This Row],[CODIGO ]],TABLACONSOLIDADA[Bodega]&amp;TABLACONSOLIDADA[Codigo],0)),"")</f>
        <v/>
      </c>
      <c r="AD442" s="19" t="str">
        <f t="array" ref="AD442">IFERROR(INDEX(TABLACONSOLIDADA[Inv Fís Act],MATCH("AGROINSUMOSCENTRAL"&amp;Tabla_Buffers_Agroinsumos[[#This Row],[CODIGO ]],TABLACONSOLIDADA[Bodega]&amp;TABLACONSOLIDADA[Codigo],0)),"")</f>
        <v/>
      </c>
      <c r="AE442" s="160" t="str">
        <f t="array" ref="AE44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42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42" s="91">
        <f>IFERROR(SUM(Tabla_Buffers_Agroinsumos[[#This Row],[C-MP]:[C-VL]]),"")</f>
        <v>0</v>
      </c>
      <c r="AH442" s="92" t="str">
        <f>IFERROR(Tabla_Buffers_Agroinsumos[[#This Row],[INV FIS CENTRAL]]-Tabla_Buffers_Agroinsumos[[#This Row],[BUFFER CENTRAL]],"")</f>
        <v/>
      </c>
      <c r="AI442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42" s="134"/>
      <c r="AK442" s="134"/>
      <c r="AL442" s="134"/>
      <c r="AM442" s="134"/>
      <c r="AN442" s="134"/>
      <c r="AO442" s="134"/>
      <c r="AP442" s="134"/>
      <c r="AQ442" s="134"/>
      <c r="AR442" s="134"/>
      <c r="AS442" s="134" t="str">
        <f t="array" ref="AS442">IFERROR(INDEX(TABLACONSOLIDADA[Buff Act],MATCH("AGROINSUMOScentralPROPIA"&amp;Tabla_Buffers_Agroinsumos[[#This Row],[CODIGO ]],TABLACONSOLIDADA[Bodega]&amp;TABLACONSOLIDADA[Codigo],0)),"")</f>
        <v/>
      </c>
      <c r="AT442" s="19" t="str">
        <f t="array" ref="AT442">IFERROR(INDEX(TABLACONSOLIDADA[Inv Fís Act],MATCH("AGROINSUMOScentralPROPIA"&amp;Tabla_Buffers_Agroinsumos[[#This Row],[CODIGO ]],TABLACONSOLIDADA[Bodega]&amp;TABLACONSOLIDADA[Codigo],0)),"")</f>
        <v/>
      </c>
      <c r="AU442" s="160" t="str">
        <f t="array" ref="AU44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42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42" s="134">
        <f>IFERROR(SUM(Tabla_Buffers_Agroinsumos[[#This Row],[P-MP]:[P-VL]]),"")</f>
        <v>0</v>
      </c>
      <c r="AX442" s="92" t="str">
        <f>IFERROR(Tabla_Buffers_Agroinsumos[[#This Row],[INV FIS PROPIA]]-Tabla_Buffers_Agroinsumos[[#This Row],[BUFFER PROPIA]],"")</f>
        <v/>
      </c>
      <c r="AY442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42" s="134"/>
      <c r="BA442" s="134"/>
      <c r="BB442" s="134"/>
      <c r="BC442" s="134"/>
      <c r="BD442" s="134"/>
      <c r="BE442" s="134"/>
      <c r="BF442" s="134"/>
      <c r="BG442" s="134"/>
      <c r="BH442" s="134"/>
      <c r="BI442" s="91" t="str">
        <f t="array" ref="BI442">IFERROR(INDEX(TABLACONSOLIDADA[Buff Act],MATCH("AGROINSUMOSSTODOMINGO"&amp;Tabla_Buffers_Agroinsumos[[#This Row],[CODIGO ]],TABLACONSOLIDADA[Bodega]&amp;TABLACONSOLIDADA[Codigo],0)),"")</f>
        <v/>
      </c>
      <c r="BJ442" s="19" t="str">
        <f t="array" ref="BJ442">IFERROR(INDEX(TABLACONSOLIDADA[Inv Fís Act],MATCH("AGROINSUMOSSTODOMINGO"&amp;Tabla_Buffers_Agroinsumos[[#This Row],[CODIGO ]],TABLACONSOLIDADA[Bodega]&amp;TABLACONSOLIDADA[Codigo],0)),"")</f>
        <v/>
      </c>
      <c r="BK442" s="160" t="str">
        <f t="array" ref="BK44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42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42" s="91">
        <f>IFERROR(SUM(Tabla_Buffers_Agroinsumos[[#This Row],[SD-MP]:[SD-VL]]),"")</f>
        <v>0</v>
      </c>
      <c r="BN442" s="92"/>
      <c r="BO442" s="92"/>
      <c r="BP442" s="134"/>
      <c r="BQ442" s="134"/>
      <c r="BR442" s="134"/>
      <c r="BS442" s="134"/>
      <c r="BT442" s="134"/>
      <c r="BU442" s="134"/>
      <c r="BV442" s="134"/>
      <c r="BW442" s="134"/>
      <c r="BX442" s="134"/>
      <c r="BY442" s="134" t="str">
        <f t="array" ref="BY442">IFERROR(INDEX(TABLACONSOLIDADA[Buff Act],MATCH("AGROINSUMOSMONCAYOLOPEZ"&amp;Tabla_Buffers_Agroinsumos[[#This Row],[CODIGO ]],TABLACONSOLIDADA[Bodega]&amp;TABLACONSOLIDADA[Codigo],0)),"")</f>
        <v/>
      </c>
      <c r="BZ442" s="19" t="str">
        <f t="array" ref="BZ442">IFERROR(INDEX(TABLACONSOLIDADA[Inv Fís Act],MATCH("AGROINSUMOSMONCAYOLOPEZ"&amp;Tabla_Buffers_Agroinsumos[[#This Row],[CODIGO ]],TABLACONSOLIDADA[Bodega]&amp;TABLACONSOLIDADA[Codigo],0)),"")</f>
        <v/>
      </c>
      <c r="CA442" s="160" t="str">
        <f t="array" ref="CA44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42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42" s="134">
        <f>IFERROR(SUM(Tabla_Buffers_Agroinsumos[[#This Row],[ML-MP]:[ML-VL]]),"")</f>
        <v>0</v>
      </c>
      <c r="CD442" s="92" t="str">
        <f>IFERROR(Tabla_Buffers_Agroinsumos[[#This Row],[INV FIS ML]]-Tabla_Buffers_Agroinsumos[[#This Row],[BUFFER ML]],"")</f>
        <v/>
      </c>
      <c r="CE442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42" s="134"/>
      <c r="CG442" s="134"/>
      <c r="CH442" s="134"/>
      <c r="CI442" s="134"/>
      <c r="CJ442" s="134"/>
      <c r="CK442" s="134"/>
      <c r="CL442" s="134"/>
      <c r="CM442" s="134"/>
      <c r="CN442" s="134"/>
      <c r="CO442" s="134" t="str">
        <f t="array" ref="CO442">IFERROR(INDEX(TABLACONSOLIDADA[Buff Act],MATCH("AGROINSUMOSAGROHERMANOSLEON"&amp;Tabla_Buffers_Agroinsumos[[#This Row],[CODIGO ]],TABLACONSOLIDADA[Bodega]&amp;TABLACONSOLIDADA[Codigo],0)),"")</f>
        <v/>
      </c>
      <c r="CP442" s="19" t="str">
        <f t="array" ref="CP442">IFERROR(INDEX(TABLACONSOLIDADA[Inv Fís Act],MATCH("AGROINSUMOSAGROHERMANOSLEON"&amp;Tabla_Buffers_Agroinsumos[[#This Row],[CODIGO ]],TABLACONSOLIDADA[Bodega]&amp;TABLACONSOLIDADA[Codigo],0)),"")</f>
        <v/>
      </c>
      <c r="CQ442" s="160" t="str">
        <f t="array" ref="CQ44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42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42" s="134">
        <f>IFERROR(SUM(Tabla_Buffers_Agroinsumos[[#This Row],[AL-MP]:[AL-VL]]),"")</f>
        <v>0</v>
      </c>
      <c r="CT442" s="92" t="str">
        <f>IFERROR(Tabla_Buffers_Agroinsumos[[#This Row],[INV FIS AL]]-Tabla_Buffers_Agroinsumos[[#This Row],[BUFFER AL]],"")</f>
        <v/>
      </c>
      <c r="CU442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42" s="134"/>
      <c r="CW442" s="134"/>
      <c r="CX442" s="134"/>
      <c r="CY442" s="134"/>
      <c r="CZ442" s="134"/>
      <c r="DA442" s="134"/>
      <c r="DB442" s="134"/>
      <c r="DC442" s="134"/>
      <c r="DD442" s="134"/>
      <c r="DE442" s="134" t="str">
        <f t="array" ref="DE442">IFERROR(INDEX(TABLACONSOLIDADA[Buff Act],MATCH("AGROINSUMOSAGRONUEVO"&amp;Tabla_Buffers_Agroinsumos[[#This Row],[CODIGO ]],TABLACONSOLIDADA[Bodega]&amp;TABLACONSOLIDADA[Codigo],0)),"")</f>
        <v/>
      </c>
      <c r="DF442" s="19" t="str">
        <f t="array" ref="DF442">IFERROR(INDEX(TABLACONSOLIDADA[Inv Fís Act],MATCH("AGROINSUMOSAGRONUEVO"&amp;Tabla_Buffers_Agroinsumos[[#This Row],[CODIGO ]],TABLACONSOLIDADA[Bodega]&amp;TABLACONSOLIDADA[Codigo],0)),"")</f>
        <v/>
      </c>
      <c r="DG442" s="160" t="str">
        <f t="array" ref="DG44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42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42" s="134">
        <f>IFERROR(SUM(Tabla_Buffers_Agroinsumos[[#This Row],[AN-MP]:[AN-VL]]),"")</f>
        <v>0</v>
      </c>
      <c r="DJ442" s="92" t="str">
        <f>IFERROR(Tabla_Buffers_Agroinsumos[[#This Row],[INV FIS AN]]-Tabla_Buffers_Agroinsumos[[#This Row],[BUFFER AN]],"")</f>
        <v/>
      </c>
      <c r="DK442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42" s="134"/>
      <c r="DM442" s="134"/>
      <c r="DN442" s="134"/>
      <c r="DO442" s="134"/>
      <c r="DP442" s="134"/>
      <c r="DQ442" s="134"/>
      <c r="DR442" s="134"/>
      <c r="DS442" s="134"/>
      <c r="DT442" s="134"/>
      <c r="DU442" s="134" t="str">
        <f t="array" ref="DU442">IFERROR(INDEX(TABLACONSOLIDADA[Buff Act],MATCH("AGROINSUMOSAGROQUIMICOSSUR"&amp;Tabla_Buffers_Agroinsumos[[#This Row],[CODIGO ]],TABLACONSOLIDADA[Bodega]&amp;TABLACONSOLIDADA[Codigo],0)),"")</f>
        <v/>
      </c>
      <c r="DV442" s="19" t="str">
        <f t="array" ref="DV442">IFERROR(INDEX(TABLACONSOLIDADA[Inv Fís Act],MATCH("AGROINSUMOSAGROQUIMICOSSUR"&amp;Tabla_Buffers_Agroinsumos[[#This Row],[CODIGO ]],TABLACONSOLIDADA[Bodega]&amp;TABLACONSOLIDADA[Codigo],0)),"")</f>
        <v/>
      </c>
      <c r="DW442" s="160" t="str">
        <f t="array" ref="DW44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42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42" s="134">
        <f>IFERROR(SUM(Tabla_Buffers_Agroinsumos[[#This Row],[AS-MP]:[AS-VL]]),"")</f>
        <v>0</v>
      </c>
      <c r="DZ442" s="92" t="str">
        <f>IFERROR(Tabla_Buffers_Agroinsumos[[#This Row],[INV FIS AS]]-Tabla_Buffers_Agroinsumos[[#This Row],[BUFFER AS]],"")</f>
        <v/>
      </c>
      <c r="EA442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42" s="134"/>
      <c r="EC442" s="134"/>
      <c r="ED442" s="134"/>
      <c r="EE442" s="134"/>
      <c r="EF442" s="134"/>
      <c r="EG442" s="134"/>
      <c r="EH442" s="134"/>
      <c r="EI442" s="134"/>
      <c r="EJ442" s="134"/>
      <c r="EK442" s="134" t="str">
        <f t="array" ref="EK442">IFERROR(INDEX(TABLACONSOLIDADA[Buff Act],MATCH("AGROINSUMOSLAFINCA"&amp;Tabla_Buffers_Agroinsumos[[#This Row],[CODIGO ]],TABLACONSOLIDADA[Bodega]&amp;TABLACONSOLIDADA[Codigo],0)),"")</f>
        <v/>
      </c>
      <c r="EL442" s="19" t="str">
        <f t="array" ref="EL442">IFERROR(INDEX(TABLACONSOLIDADA[Inv Fís Act],MATCH("AGROINSUMOSLAFINCA"&amp;Tabla_Buffers_Agroinsumos[[#This Row],[CODIGO ]],TABLACONSOLIDADA[Bodega]&amp;TABLACONSOLIDADA[Codigo],0)),"")</f>
        <v/>
      </c>
      <c r="EM442" s="160" t="str">
        <f t="array" ref="EM44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42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42" s="134">
        <f>IFERROR(SUM(Tabla_Buffers_Agroinsumos[[#This Row],[LF-MP]:[LF-VL]]),"")</f>
        <v>0</v>
      </c>
      <c r="EP442" s="92" t="str">
        <f>IFERROR(Tabla_Buffers_Agroinsumos[[#This Row],[INV FIS LF]]-Tabla_Buffers_Agroinsumos[[#This Row],[BUFFER LF]],"")</f>
        <v/>
      </c>
      <c r="EQ442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42" s="134"/>
      <c r="ES442" s="134"/>
      <c r="ET442" s="134"/>
      <c r="EU442" s="134"/>
      <c r="EV442" s="134"/>
      <c r="EW442" s="134"/>
      <c r="EX442" s="134"/>
      <c r="EY442" s="134"/>
      <c r="EZ442" s="134"/>
      <c r="FA442" s="134" t="str">
        <f t="array" ref="FA442">IFERROR(INDEX(TABLACONSOLIDADA[Buff Act],MATCH("AGROINSUMOSVERONICALEDESMA"&amp;Tabla_Buffers_Agroinsumos[[#This Row],[CODIGO ]],TABLACONSOLIDADA[Bodega]&amp;TABLACONSOLIDADA[Codigo],0)),"")</f>
        <v/>
      </c>
      <c r="FB442" s="19" t="str">
        <f t="array" ref="FB442">IFERROR(INDEX(TABLACONSOLIDADA[Inv Fís Act],MATCH("AGROINSUMOSVERONICALEDESMA"&amp;Tabla_Buffers_Agroinsumos[[#This Row],[CODIGO ]],TABLACONSOLIDADA[Bodega]&amp;TABLACONSOLIDADA[Codigo],0)),"")</f>
        <v/>
      </c>
      <c r="FC442" s="160" t="str">
        <f t="array" ref="FC44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42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42" s="134">
        <f>IFERROR(SUM(Tabla_Buffers_Agroinsumos[[#This Row],[VL-MP]:[VL-LF]]),"")</f>
        <v>0</v>
      </c>
      <c r="FF442" s="92" t="str">
        <f>IFERROR(Tabla_Buffers_Agroinsumos[[#This Row],[INV FIS VL]]-Tabla_Buffers_Agroinsumos[[#This Row],[BUFFER VL]],"")</f>
        <v/>
      </c>
      <c r="FG442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42" s="134"/>
      <c r="FI442" s="134"/>
      <c r="FJ442" s="134"/>
      <c r="FK442" s="134"/>
      <c r="FL442" s="134"/>
      <c r="FM442" s="134"/>
      <c r="FN442" s="134"/>
      <c r="FO442" s="134"/>
      <c r="FP442" s="134"/>
    </row>
    <row r="443" spans="1:172">
      <c r="A443" s="20" t="s">
        <v>1373</v>
      </c>
      <c r="B443" s="20" t="s">
        <v>1374</v>
      </c>
      <c r="C443" s="20" t="s">
        <v>1376</v>
      </c>
      <c r="D443" s="20" t="s">
        <v>712</v>
      </c>
      <c r="E443" s="20" t="s">
        <v>863</v>
      </c>
      <c r="F443" s="111"/>
      <c r="G443" s="111" t="s">
        <v>802</v>
      </c>
      <c r="H443" s="111" t="e">
        <f>VLOOKUP(Tabla_Buffers_Agroinsumos[[#This Row],[CODIGO ]],TABLACONSOLIDADA[[Codigo]:[PV]],6,0)</f>
        <v>#N/A</v>
      </c>
      <c r="I443" s="111" t="e">
        <f>VLOOKUP(Tabla_Buffers_Agroinsumos[[#This Row],[CODIGO ]],TABLACONSOLIDADA[[Codigo]:[PV]],5,0)</f>
        <v>#N/A</v>
      </c>
      <c r="J443" s="111"/>
      <c r="K443" s="111"/>
      <c r="L443" s="111">
        <f>IFERROR(Tabla_Buffers_Agroinsumos[[#This Row],[BUFFER CENTRAL]]/((Tabla_Buffers_Agroinsumos[[#This Row],[TIEMPO REPOSICION ]]/Tabla_Buffers_Agroinsumos[[#This Row],[FRECUENCIA]])+1),0)</f>
        <v>0</v>
      </c>
      <c r="M443" s="111" t="str">
        <f t="array" ref="M443">IFERROR(INDEX(TABLACONSOLIDADA[Buff Act],MATCH("AGROINSUMOSMATERIAPRIMA"&amp;Tabla_Buffers_Agroinsumos[[#This Row],[CODIGO ]],TABLACONSOLIDADA[Bodega]&amp;TABLACONSOLIDADA[Codigo],0)),"")</f>
        <v/>
      </c>
      <c r="N443" s="111" t="str">
        <f t="array" ref="N443">IFERROR(INDEX(TABLACONSOLIDADA[Inv Fís Act],MATCH("AGROINSUMOSMATERIAPRIMA"&amp;Tabla_Buffers_Agroinsumos[[#This Row],[CODIGO ]],TABLACONSOLIDADA[Bodega]&amp;TABLACONSOLIDADA[Codigo],0)),"")</f>
        <v/>
      </c>
      <c r="O443" s="161" t="str">
        <f t="array" ref="O44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43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43" s="111">
        <f>IFERROR(SUM(Tabla_Buffers_Agroinsumos[[#This Row],[MP-C]:[MP-VL]]),"")</f>
        <v>0</v>
      </c>
      <c r="R443" s="154" t="str">
        <f>IFERROR(Tabla_Buffers_Agroinsumos[[#This Row],[INV FIS MATERIA PRIMA]]-Tabla_Buffers_Agroinsumos[[#This Row],[BUFFER MATERIA PRIMA]],"")</f>
        <v/>
      </c>
      <c r="S443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43" s="111"/>
      <c r="U443" s="111"/>
      <c r="V443" s="111"/>
      <c r="W443" s="111"/>
      <c r="X443" s="111"/>
      <c r="Y443" s="111"/>
      <c r="Z443" s="111"/>
      <c r="AA443" s="111"/>
      <c r="AB443" s="111"/>
      <c r="AC443" s="135" t="str">
        <f t="array" ref="AC443">IFERROR(INDEX(TABLACONSOLIDADA[Buff Act],MATCH("AGROINSUMOSCENTRAL"&amp;Tabla_Buffers_Agroinsumos[[#This Row],[CODIGO ]],TABLACONSOLIDADA[Bodega]&amp;TABLACONSOLIDADA[Codigo],0)),"")</f>
        <v/>
      </c>
      <c r="AD443" s="111" t="str">
        <f t="array" ref="AD443">IFERROR(INDEX(TABLACONSOLIDADA[Inv Fís Act],MATCH("AGROINSUMOSCENTRAL"&amp;Tabla_Buffers_Agroinsumos[[#This Row],[CODIGO ]],TABLACONSOLIDADA[Bodega]&amp;TABLACONSOLIDADA[Codigo],0)),"")</f>
        <v/>
      </c>
      <c r="AE443" s="161" t="str">
        <f t="array" ref="AE44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43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43" s="153">
        <f>IFERROR(SUM(Tabla_Buffers_Agroinsumos[[#This Row],[C-MP]:[C-VL]]),"")</f>
        <v>0</v>
      </c>
      <c r="AH443" s="154" t="str">
        <f>IFERROR(Tabla_Buffers_Agroinsumos[[#This Row],[INV FIS CENTRAL]]-Tabla_Buffers_Agroinsumos[[#This Row],[BUFFER CENTRAL]],"")</f>
        <v/>
      </c>
      <c r="AI443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43" s="135"/>
      <c r="AK443" s="135"/>
      <c r="AL443" s="135"/>
      <c r="AM443" s="135"/>
      <c r="AN443" s="135"/>
      <c r="AO443" s="135"/>
      <c r="AP443" s="135"/>
      <c r="AQ443" s="135"/>
      <c r="AR443" s="135"/>
      <c r="AS443" s="135" t="str">
        <f t="array" ref="AS443">IFERROR(INDEX(TABLACONSOLIDADA[Buff Act],MATCH("AGROINSUMOScentralPROPIA"&amp;Tabla_Buffers_Agroinsumos[[#This Row],[CODIGO ]],TABLACONSOLIDADA[Bodega]&amp;TABLACONSOLIDADA[Codigo],0)),"")</f>
        <v/>
      </c>
      <c r="AT443" s="111" t="str">
        <f t="array" ref="AT443">IFERROR(INDEX(TABLACONSOLIDADA[Inv Fís Act],MATCH("AGROINSUMOScentralPROPIA"&amp;Tabla_Buffers_Agroinsumos[[#This Row],[CODIGO ]],TABLACONSOLIDADA[Bodega]&amp;TABLACONSOLIDADA[Codigo],0)),"")</f>
        <v/>
      </c>
      <c r="AU443" s="161" t="str">
        <f t="array" ref="AU44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43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43" s="135">
        <f>IFERROR(SUM(Tabla_Buffers_Agroinsumos[[#This Row],[P-MP]:[P-VL]]),"")</f>
        <v>0</v>
      </c>
      <c r="AX443" s="154" t="str">
        <f>IFERROR(Tabla_Buffers_Agroinsumos[[#This Row],[INV FIS PROPIA]]-Tabla_Buffers_Agroinsumos[[#This Row],[BUFFER PROPIA]],"")</f>
        <v/>
      </c>
      <c r="AY443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43" s="135"/>
      <c r="BA443" s="135"/>
      <c r="BB443" s="135"/>
      <c r="BC443" s="135"/>
      <c r="BD443" s="135"/>
      <c r="BE443" s="135"/>
      <c r="BF443" s="135"/>
      <c r="BG443" s="135"/>
      <c r="BH443" s="135"/>
      <c r="BI443" s="153" t="str">
        <f t="array" ref="BI443">IFERROR(INDEX(TABLACONSOLIDADA[Buff Act],MATCH("AGROINSUMOSSTODOMINGO"&amp;Tabla_Buffers_Agroinsumos[[#This Row],[CODIGO ]],TABLACONSOLIDADA[Bodega]&amp;TABLACONSOLIDADA[Codigo],0)),"")</f>
        <v/>
      </c>
      <c r="BJ443" s="111" t="str">
        <f t="array" ref="BJ443">IFERROR(INDEX(TABLACONSOLIDADA[Inv Fís Act],MATCH("AGROINSUMOSSTODOMINGO"&amp;Tabla_Buffers_Agroinsumos[[#This Row],[CODIGO ]],TABLACONSOLIDADA[Bodega]&amp;TABLACONSOLIDADA[Codigo],0)),"")</f>
        <v/>
      </c>
      <c r="BK443" s="161" t="str">
        <f t="array" ref="BK44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43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43" s="153">
        <f>IFERROR(SUM(Tabla_Buffers_Agroinsumos[[#This Row],[SD-MP]:[SD-VL]]),"")</f>
        <v>0</v>
      </c>
      <c r="BN443" s="154"/>
      <c r="BO443" s="154"/>
      <c r="BP443" s="135"/>
      <c r="BQ443" s="135"/>
      <c r="BR443" s="135"/>
      <c r="BS443" s="135"/>
      <c r="BT443" s="135"/>
      <c r="BU443" s="135"/>
      <c r="BV443" s="135"/>
      <c r="BW443" s="135"/>
      <c r="BX443" s="135"/>
      <c r="BY443" s="135" t="str">
        <f t="array" ref="BY443">IFERROR(INDEX(TABLACONSOLIDADA[Buff Act],MATCH("AGROINSUMOSMONCAYOLOPEZ"&amp;Tabla_Buffers_Agroinsumos[[#This Row],[CODIGO ]],TABLACONSOLIDADA[Bodega]&amp;TABLACONSOLIDADA[Codigo],0)),"")</f>
        <v/>
      </c>
      <c r="BZ443" s="111" t="str">
        <f t="array" ref="BZ443">IFERROR(INDEX(TABLACONSOLIDADA[Inv Fís Act],MATCH("AGROINSUMOSMONCAYOLOPEZ"&amp;Tabla_Buffers_Agroinsumos[[#This Row],[CODIGO ]],TABLACONSOLIDADA[Bodega]&amp;TABLACONSOLIDADA[Codigo],0)),"")</f>
        <v/>
      </c>
      <c r="CA443" s="161" t="str">
        <f t="array" ref="CA44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43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43" s="135">
        <f>IFERROR(SUM(Tabla_Buffers_Agroinsumos[[#This Row],[ML-MP]:[ML-VL]]),"")</f>
        <v>0</v>
      </c>
      <c r="CD443" s="154" t="str">
        <f>IFERROR(Tabla_Buffers_Agroinsumos[[#This Row],[INV FIS ML]]-Tabla_Buffers_Agroinsumos[[#This Row],[BUFFER ML]],"")</f>
        <v/>
      </c>
      <c r="CE443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43" s="135"/>
      <c r="CG443" s="135"/>
      <c r="CH443" s="135"/>
      <c r="CI443" s="135"/>
      <c r="CJ443" s="135"/>
      <c r="CK443" s="135"/>
      <c r="CL443" s="135"/>
      <c r="CM443" s="135"/>
      <c r="CN443" s="135"/>
      <c r="CO443" s="135" t="str">
        <f t="array" ref="CO443">IFERROR(INDEX(TABLACONSOLIDADA[Buff Act],MATCH("AGROINSUMOSAGROHERMANOSLEON"&amp;Tabla_Buffers_Agroinsumos[[#This Row],[CODIGO ]],TABLACONSOLIDADA[Bodega]&amp;TABLACONSOLIDADA[Codigo],0)),"")</f>
        <v/>
      </c>
      <c r="CP443" s="111" t="str">
        <f t="array" ref="CP443">IFERROR(INDEX(TABLACONSOLIDADA[Inv Fís Act],MATCH("AGROINSUMOSAGROHERMANOSLEON"&amp;Tabla_Buffers_Agroinsumos[[#This Row],[CODIGO ]],TABLACONSOLIDADA[Bodega]&amp;TABLACONSOLIDADA[Codigo],0)),"")</f>
        <v/>
      </c>
      <c r="CQ443" s="161" t="str">
        <f t="array" ref="CQ44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43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43" s="135">
        <f>IFERROR(SUM(Tabla_Buffers_Agroinsumos[[#This Row],[AL-MP]:[AL-VL]]),"")</f>
        <v>0</v>
      </c>
      <c r="CT443" s="154" t="str">
        <f>IFERROR(Tabla_Buffers_Agroinsumos[[#This Row],[INV FIS AL]]-Tabla_Buffers_Agroinsumos[[#This Row],[BUFFER AL]],"")</f>
        <v/>
      </c>
      <c r="CU443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43" s="135"/>
      <c r="CW443" s="135"/>
      <c r="CX443" s="135"/>
      <c r="CY443" s="135"/>
      <c r="CZ443" s="135"/>
      <c r="DA443" s="135"/>
      <c r="DB443" s="135"/>
      <c r="DC443" s="135"/>
      <c r="DD443" s="135"/>
      <c r="DE443" s="135" t="str">
        <f t="array" ref="DE443">IFERROR(INDEX(TABLACONSOLIDADA[Buff Act],MATCH("AGROINSUMOSAGRONUEVO"&amp;Tabla_Buffers_Agroinsumos[[#This Row],[CODIGO ]],TABLACONSOLIDADA[Bodega]&amp;TABLACONSOLIDADA[Codigo],0)),"")</f>
        <v/>
      </c>
      <c r="DF443" s="111" t="str">
        <f t="array" ref="DF443">IFERROR(INDEX(TABLACONSOLIDADA[Inv Fís Act],MATCH("AGROINSUMOSAGRONUEVO"&amp;Tabla_Buffers_Agroinsumos[[#This Row],[CODIGO ]],TABLACONSOLIDADA[Bodega]&amp;TABLACONSOLIDADA[Codigo],0)),"")</f>
        <v/>
      </c>
      <c r="DG443" s="161" t="str">
        <f t="array" ref="DG44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43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43" s="135">
        <f>IFERROR(SUM(Tabla_Buffers_Agroinsumos[[#This Row],[AN-MP]:[AN-VL]]),"")</f>
        <v>0</v>
      </c>
      <c r="DJ443" s="154" t="str">
        <f>IFERROR(Tabla_Buffers_Agroinsumos[[#This Row],[INV FIS AN]]-Tabla_Buffers_Agroinsumos[[#This Row],[BUFFER AN]],"")</f>
        <v/>
      </c>
      <c r="DK443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43" s="135"/>
      <c r="DM443" s="135"/>
      <c r="DN443" s="135"/>
      <c r="DO443" s="135"/>
      <c r="DP443" s="135"/>
      <c r="DQ443" s="135"/>
      <c r="DR443" s="135"/>
      <c r="DS443" s="135"/>
      <c r="DT443" s="135"/>
      <c r="DU443" s="135" t="str">
        <f t="array" ref="DU443">IFERROR(INDEX(TABLACONSOLIDADA[Buff Act],MATCH("AGROINSUMOSAGROQUIMICOSSUR"&amp;Tabla_Buffers_Agroinsumos[[#This Row],[CODIGO ]],TABLACONSOLIDADA[Bodega]&amp;TABLACONSOLIDADA[Codigo],0)),"")</f>
        <v/>
      </c>
      <c r="DV443" s="111" t="str">
        <f t="array" ref="DV443">IFERROR(INDEX(TABLACONSOLIDADA[Inv Fís Act],MATCH("AGROINSUMOSAGROQUIMICOSSUR"&amp;Tabla_Buffers_Agroinsumos[[#This Row],[CODIGO ]],TABLACONSOLIDADA[Bodega]&amp;TABLACONSOLIDADA[Codigo],0)),"")</f>
        <v/>
      </c>
      <c r="DW443" s="161" t="str">
        <f t="array" ref="DW44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43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43" s="135">
        <f>IFERROR(SUM(Tabla_Buffers_Agroinsumos[[#This Row],[AS-MP]:[AS-VL]]),"")</f>
        <v>0</v>
      </c>
      <c r="DZ443" s="154" t="str">
        <f>IFERROR(Tabla_Buffers_Agroinsumos[[#This Row],[INV FIS AS]]-Tabla_Buffers_Agroinsumos[[#This Row],[BUFFER AS]],"")</f>
        <v/>
      </c>
      <c r="EA443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43" s="135"/>
      <c r="EC443" s="135"/>
      <c r="ED443" s="135"/>
      <c r="EE443" s="135"/>
      <c r="EF443" s="135"/>
      <c r="EG443" s="135"/>
      <c r="EH443" s="135"/>
      <c r="EI443" s="135"/>
      <c r="EJ443" s="135"/>
      <c r="EK443" s="135" t="str">
        <f t="array" ref="EK443">IFERROR(INDEX(TABLACONSOLIDADA[Buff Act],MATCH("AGROINSUMOSLAFINCA"&amp;Tabla_Buffers_Agroinsumos[[#This Row],[CODIGO ]],TABLACONSOLIDADA[Bodega]&amp;TABLACONSOLIDADA[Codigo],0)),"")</f>
        <v/>
      </c>
      <c r="EL443" s="111" t="str">
        <f t="array" ref="EL443">IFERROR(INDEX(TABLACONSOLIDADA[Inv Fís Act],MATCH("AGROINSUMOSLAFINCA"&amp;Tabla_Buffers_Agroinsumos[[#This Row],[CODIGO ]],TABLACONSOLIDADA[Bodega]&amp;TABLACONSOLIDADA[Codigo],0)),"")</f>
        <v/>
      </c>
      <c r="EM443" s="161" t="str">
        <f t="array" ref="EM44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43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43" s="135">
        <f>IFERROR(SUM(Tabla_Buffers_Agroinsumos[[#This Row],[LF-MP]:[LF-VL]]),"")</f>
        <v>0</v>
      </c>
      <c r="EP443" s="154" t="str">
        <f>IFERROR(Tabla_Buffers_Agroinsumos[[#This Row],[INV FIS LF]]-Tabla_Buffers_Agroinsumos[[#This Row],[BUFFER LF]],"")</f>
        <v/>
      </c>
      <c r="EQ443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43" s="135"/>
      <c r="ES443" s="135"/>
      <c r="ET443" s="135"/>
      <c r="EU443" s="135"/>
      <c r="EV443" s="135"/>
      <c r="EW443" s="135"/>
      <c r="EX443" s="135"/>
      <c r="EY443" s="135"/>
      <c r="EZ443" s="135"/>
      <c r="FA443" s="135" t="str">
        <f t="array" ref="FA443">IFERROR(INDEX(TABLACONSOLIDADA[Buff Act],MATCH("AGROINSUMOSVERONICALEDESMA"&amp;Tabla_Buffers_Agroinsumos[[#This Row],[CODIGO ]],TABLACONSOLIDADA[Bodega]&amp;TABLACONSOLIDADA[Codigo],0)),"")</f>
        <v/>
      </c>
      <c r="FB443" s="111" t="str">
        <f t="array" ref="FB443">IFERROR(INDEX(TABLACONSOLIDADA[Inv Fís Act],MATCH("AGROINSUMOSVERONICALEDESMA"&amp;Tabla_Buffers_Agroinsumos[[#This Row],[CODIGO ]],TABLACONSOLIDADA[Bodega]&amp;TABLACONSOLIDADA[Codigo],0)),"")</f>
        <v/>
      </c>
      <c r="FC443" s="161" t="str">
        <f t="array" ref="FC44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43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43" s="135">
        <f>IFERROR(SUM(Tabla_Buffers_Agroinsumos[[#This Row],[VL-MP]:[VL-LF]]),"")</f>
        <v>0</v>
      </c>
      <c r="FF443" s="154" t="str">
        <f>IFERROR(Tabla_Buffers_Agroinsumos[[#This Row],[INV FIS VL]]-Tabla_Buffers_Agroinsumos[[#This Row],[BUFFER VL]],"")</f>
        <v/>
      </c>
      <c r="FG443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43" s="135"/>
      <c r="FI443" s="135"/>
      <c r="FJ443" s="135"/>
      <c r="FK443" s="135"/>
      <c r="FL443" s="135"/>
      <c r="FM443" s="135"/>
      <c r="FN443" s="135"/>
      <c r="FO443" s="135"/>
      <c r="FP443" s="135"/>
    </row>
    <row r="444" spans="1:172">
      <c r="A444" s="20" t="s">
        <v>1378</v>
      </c>
      <c r="B444" s="20" t="s">
        <v>1379</v>
      </c>
      <c r="C444" s="20"/>
      <c r="D444" s="20"/>
      <c r="E444" s="20"/>
      <c r="F444" s="111"/>
      <c r="G444" s="111" t="s">
        <v>873</v>
      </c>
      <c r="H444" s="111" t="e">
        <f>VLOOKUP(Tabla_Buffers_Agroinsumos[[#This Row],[CODIGO ]],TABLACONSOLIDADA[[Codigo]:[PV]],6,0)</f>
        <v>#N/A</v>
      </c>
      <c r="I444" s="111" t="e">
        <f>VLOOKUP(Tabla_Buffers_Agroinsumos[[#This Row],[CODIGO ]],TABLACONSOLIDADA[[Codigo]:[PV]],5,0)</f>
        <v>#N/A</v>
      </c>
      <c r="J444" s="111"/>
      <c r="K444" s="111"/>
      <c r="L444" s="111">
        <f>IFERROR(Tabla_Buffers_Agroinsumos[[#This Row],[BUFFER CENTRAL]]/((Tabla_Buffers_Agroinsumos[[#This Row],[TIEMPO REPOSICION ]]/Tabla_Buffers_Agroinsumos[[#This Row],[FRECUENCIA]])+1),0)</f>
        <v>0</v>
      </c>
      <c r="M444" s="111" t="str">
        <f t="array" ref="M444">IFERROR(INDEX(TABLACONSOLIDADA[Buff Act],MATCH("AGROINSUMOSMATERIAPRIMA"&amp;Tabla_Buffers_Agroinsumos[[#This Row],[CODIGO ]],TABLACONSOLIDADA[Bodega]&amp;TABLACONSOLIDADA[Codigo],0)),"")</f>
        <v/>
      </c>
      <c r="N444" s="111" t="str">
        <f t="array" ref="N444">IFERROR(INDEX(TABLACONSOLIDADA[Inv Fís Act],MATCH("AGROINSUMOSMATERIAPRIMA"&amp;Tabla_Buffers_Agroinsumos[[#This Row],[CODIGO ]],TABLACONSOLIDADA[Bodega]&amp;TABLACONSOLIDADA[Codigo],0)),"")</f>
        <v/>
      </c>
      <c r="O444" s="190" t="str">
        <f t="array" ref="O44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44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44" s="111">
        <f>IFERROR(SUM(Tabla_Buffers_Agroinsumos[[#This Row],[MP-C]:[MP-VL]]),"")</f>
        <v>0</v>
      </c>
      <c r="R444" s="154" t="str">
        <f>IFERROR(Tabla_Buffers_Agroinsumos[[#This Row],[INV FIS MATERIA PRIMA]]-Tabla_Buffers_Agroinsumos[[#This Row],[BUFFER MATERIA PRIMA]],"")</f>
        <v/>
      </c>
      <c r="S444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44" s="111"/>
      <c r="U444" s="111"/>
      <c r="V444" s="111"/>
      <c r="W444" s="111"/>
      <c r="X444" s="111"/>
      <c r="Y444" s="111"/>
      <c r="Z444" s="111"/>
      <c r="AA444" s="111"/>
      <c r="AB444" s="111"/>
      <c r="AC444" s="135" t="str">
        <f t="array" ref="AC444">IFERROR(INDEX(TABLACONSOLIDADA[Buff Act],MATCH("AGROINSUMOSCENTRAL"&amp;Tabla_Buffers_Agroinsumos[[#This Row],[CODIGO ]],TABLACONSOLIDADA[Bodega]&amp;TABLACONSOLIDADA[Codigo],0)),"")</f>
        <v/>
      </c>
      <c r="AD444" s="111" t="str">
        <f t="array" ref="AD444">IFERROR(INDEX(TABLACONSOLIDADA[Inv Fís Act],MATCH("AGROINSUMOSCENTRAL"&amp;Tabla_Buffers_Agroinsumos[[#This Row],[CODIGO ]],TABLACONSOLIDADA[Bodega]&amp;TABLACONSOLIDADA[Codigo],0)),"")</f>
        <v/>
      </c>
      <c r="AE444" s="190" t="str">
        <f t="array" ref="AE44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44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44" s="153">
        <f>IFERROR(SUM(Tabla_Buffers_Agroinsumos[[#This Row],[C-MP]:[C-VL]]),"")</f>
        <v>0</v>
      </c>
      <c r="AH444" s="154" t="str">
        <f>IFERROR(Tabla_Buffers_Agroinsumos[[#This Row],[INV FIS CENTRAL]]-Tabla_Buffers_Agroinsumos[[#This Row],[BUFFER CENTRAL]],"")</f>
        <v/>
      </c>
      <c r="AI444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44" s="135"/>
      <c r="AK444" s="135"/>
      <c r="AL444" s="135"/>
      <c r="AM444" s="135"/>
      <c r="AN444" s="135"/>
      <c r="AO444" s="135"/>
      <c r="AP444" s="135"/>
      <c r="AQ444" s="135"/>
      <c r="AR444" s="135"/>
      <c r="AS444" s="135" t="str">
        <f t="array" ref="AS444">IFERROR(INDEX(TABLACONSOLIDADA[Buff Act],MATCH("AGROINSUMOScentralPROPIA"&amp;Tabla_Buffers_Agroinsumos[[#This Row],[CODIGO ]],TABLACONSOLIDADA[Bodega]&amp;TABLACONSOLIDADA[Codigo],0)),"")</f>
        <v/>
      </c>
      <c r="AT444" s="111" t="str">
        <f t="array" ref="AT444">IFERROR(INDEX(TABLACONSOLIDADA[Inv Fís Act],MATCH("AGROINSUMOScentralPROPIA"&amp;Tabla_Buffers_Agroinsumos[[#This Row],[CODIGO ]],TABLACONSOLIDADA[Bodega]&amp;TABLACONSOLIDADA[Codigo],0)),"")</f>
        <v/>
      </c>
      <c r="AU444" s="190" t="str">
        <f t="array" ref="AU44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44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44" s="135">
        <f>IFERROR(SUM(Tabla_Buffers_Agroinsumos[[#This Row],[P-MP]:[P-VL]]),"")</f>
        <v>0</v>
      </c>
      <c r="AX444" s="154" t="str">
        <f>IFERROR(Tabla_Buffers_Agroinsumos[[#This Row],[INV FIS PROPIA]]-Tabla_Buffers_Agroinsumos[[#This Row],[BUFFER PROPIA]],"")</f>
        <v/>
      </c>
      <c r="AY444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44" s="135"/>
      <c r="BA444" s="135"/>
      <c r="BB444" s="135"/>
      <c r="BC444" s="135"/>
      <c r="BD444" s="135"/>
      <c r="BE444" s="135"/>
      <c r="BF444" s="135"/>
      <c r="BG444" s="135"/>
      <c r="BH444" s="135"/>
      <c r="BI444" s="153" t="str">
        <f t="array" ref="BI444">IFERROR(INDEX(TABLACONSOLIDADA[Buff Act],MATCH("AGROINSUMOSSTODOMINGO"&amp;Tabla_Buffers_Agroinsumos[[#This Row],[CODIGO ]],TABLACONSOLIDADA[Bodega]&amp;TABLACONSOLIDADA[Codigo],0)),"")</f>
        <v/>
      </c>
      <c r="BJ444" s="111" t="str">
        <f t="array" ref="BJ444">IFERROR(INDEX(TABLACONSOLIDADA[Inv Fís Act],MATCH("AGROINSUMOSSTODOMINGO"&amp;Tabla_Buffers_Agroinsumos[[#This Row],[CODIGO ]],TABLACONSOLIDADA[Bodega]&amp;TABLACONSOLIDADA[Codigo],0)),"")</f>
        <v/>
      </c>
      <c r="BK444" s="190" t="str">
        <f t="array" ref="BK44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44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44" s="153">
        <f>IFERROR(SUM(Tabla_Buffers_Agroinsumos[[#This Row],[SD-MP]:[SD-VL]]),"")</f>
        <v>0</v>
      </c>
      <c r="BN444" s="154"/>
      <c r="BO444" s="154"/>
      <c r="BP444" s="135"/>
      <c r="BQ444" s="135"/>
      <c r="BR444" s="135"/>
      <c r="BS444" s="135"/>
      <c r="BT444" s="135"/>
      <c r="BU444" s="135"/>
      <c r="BV444" s="135"/>
      <c r="BW444" s="135"/>
      <c r="BX444" s="135"/>
      <c r="BY444" s="135" t="str">
        <f t="array" ref="BY444">IFERROR(INDEX(TABLACONSOLIDADA[Buff Act],MATCH("AGROINSUMOSMONCAYOLOPEZ"&amp;Tabla_Buffers_Agroinsumos[[#This Row],[CODIGO ]],TABLACONSOLIDADA[Bodega]&amp;TABLACONSOLIDADA[Codigo],0)),"")</f>
        <v/>
      </c>
      <c r="BZ444" s="111" t="str">
        <f t="array" ref="BZ444">IFERROR(INDEX(TABLACONSOLIDADA[Inv Fís Act],MATCH("AGROINSUMOSMONCAYOLOPEZ"&amp;Tabla_Buffers_Agroinsumos[[#This Row],[CODIGO ]],TABLACONSOLIDADA[Bodega]&amp;TABLACONSOLIDADA[Codigo],0)),"")</f>
        <v/>
      </c>
      <c r="CA444" s="190" t="str">
        <f t="array" ref="CA44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44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44" s="135">
        <f>IFERROR(SUM(Tabla_Buffers_Agroinsumos[[#This Row],[ML-MP]:[ML-VL]]),"")</f>
        <v>0</v>
      </c>
      <c r="CD444" s="154" t="str">
        <f>IFERROR(Tabla_Buffers_Agroinsumos[[#This Row],[INV FIS ML]]-Tabla_Buffers_Agroinsumos[[#This Row],[BUFFER ML]],"")</f>
        <v/>
      </c>
      <c r="CE444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44" s="135"/>
      <c r="CG444" s="135"/>
      <c r="CH444" s="135"/>
      <c r="CI444" s="135"/>
      <c r="CJ444" s="135"/>
      <c r="CK444" s="135"/>
      <c r="CL444" s="135"/>
      <c r="CM444" s="135"/>
      <c r="CN444" s="135"/>
      <c r="CO444" s="135" t="str">
        <f t="array" ref="CO444">IFERROR(INDEX(TABLACONSOLIDADA[Buff Act],MATCH("AGROINSUMOSAGROHERMANOSLEON"&amp;Tabla_Buffers_Agroinsumos[[#This Row],[CODIGO ]],TABLACONSOLIDADA[Bodega]&amp;TABLACONSOLIDADA[Codigo],0)),"")</f>
        <v/>
      </c>
      <c r="CP444" s="111" t="str">
        <f t="array" ref="CP444">IFERROR(INDEX(TABLACONSOLIDADA[Inv Fís Act],MATCH("AGROINSUMOSAGROHERMANOSLEON"&amp;Tabla_Buffers_Agroinsumos[[#This Row],[CODIGO ]],TABLACONSOLIDADA[Bodega]&amp;TABLACONSOLIDADA[Codigo],0)),"")</f>
        <v/>
      </c>
      <c r="CQ444" s="190" t="str">
        <f t="array" ref="CQ44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44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44" s="135">
        <f>IFERROR(SUM(Tabla_Buffers_Agroinsumos[[#This Row],[AL-MP]:[AL-VL]]),"")</f>
        <v>0</v>
      </c>
      <c r="CT444" s="154" t="str">
        <f>IFERROR(Tabla_Buffers_Agroinsumos[[#This Row],[INV FIS AL]]-Tabla_Buffers_Agroinsumos[[#This Row],[BUFFER AL]],"")</f>
        <v/>
      </c>
      <c r="CU444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44" s="135"/>
      <c r="CW444" s="135"/>
      <c r="CX444" s="135"/>
      <c r="CY444" s="135"/>
      <c r="CZ444" s="135"/>
      <c r="DA444" s="135"/>
      <c r="DB444" s="135"/>
      <c r="DC444" s="135"/>
      <c r="DD444" s="135"/>
      <c r="DE444" s="135" t="str">
        <f t="array" ref="DE444">IFERROR(INDEX(TABLACONSOLIDADA[Buff Act],MATCH("AGROINSUMOSAGRONUEVO"&amp;Tabla_Buffers_Agroinsumos[[#This Row],[CODIGO ]],TABLACONSOLIDADA[Bodega]&amp;TABLACONSOLIDADA[Codigo],0)),"")</f>
        <v/>
      </c>
      <c r="DF444" s="111" t="str">
        <f t="array" ref="DF444">IFERROR(INDEX(TABLACONSOLIDADA[Inv Fís Act],MATCH("AGROINSUMOSAGRONUEVO"&amp;Tabla_Buffers_Agroinsumos[[#This Row],[CODIGO ]],TABLACONSOLIDADA[Bodega]&amp;TABLACONSOLIDADA[Codigo],0)),"")</f>
        <v/>
      </c>
      <c r="DG444" s="190" t="str">
        <f t="array" ref="DG44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44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44" s="135">
        <f>IFERROR(SUM(Tabla_Buffers_Agroinsumos[[#This Row],[AN-MP]:[AN-VL]]),"")</f>
        <v>0</v>
      </c>
      <c r="DJ444" s="154" t="str">
        <f>IFERROR(Tabla_Buffers_Agroinsumos[[#This Row],[INV FIS AN]]-Tabla_Buffers_Agroinsumos[[#This Row],[BUFFER AN]],"")</f>
        <v/>
      </c>
      <c r="DK444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44" s="135"/>
      <c r="DM444" s="135"/>
      <c r="DN444" s="135"/>
      <c r="DO444" s="135"/>
      <c r="DP444" s="135"/>
      <c r="DQ444" s="135"/>
      <c r="DR444" s="135"/>
      <c r="DS444" s="135"/>
      <c r="DT444" s="135"/>
      <c r="DU444" s="135" t="str">
        <f t="array" ref="DU444">IFERROR(INDEX(TABLACONSOLIDADA[Buff Act],MATCH("AGROINSUMOSAGROQUIMICOSSUR"&amp;Tabla_Buffers_Agroinsumos[[#This Row],[CODIGO ]],TABLACONSOLIDADA[Bodega]&amp;TABLACONSOLIDADA[Codigo],0)),"")</f>
        <v/>
      </c>
      <c r="DV444" s="111" t="str">
        <f t="array" ref="DV444">IFERROR(INDEX(TABLACONSOLIDADA[Inv Fís Act],MATCH("AGROINSUMOSAGROQUIMICOSSUR"&amp;Tabla_Buffers_Agroinsumos[[#This Row],[CODIGO ]],TABLACONSOLIDADA[Bodega]&amp;TABLACONSOLIDADA[Codigo],0)),"")</f>
        <v/>
      </c>
      <c r="DW444" s="190" t="str">
        <f t="array" ref="DW44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44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44" s="135">
        <f>IFERROR(SUM(Tabla_Buffers_Agroinsumos[[#This Row],[AS-MP]:[AS-VL]]),"")</f>
        <v>0</v>
      </c>
      <c r="DZ444" s="154" t="str">
        <f>IFERROR(Tabla_Buffers_Agroinsumos[[#This Row],[INV FIS AS]]-Tabla_Buffers_Agroinsumos[[#This Row],[BUFFER AS]],"")</f>
        <v/>
      </c>
      <c r="EA444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44" s="135"/>
      <c r="EC444" s="135"/>
      <c r="ED444" s="135"/>
      <c r="EE444" s="135"/>
      <c r="EF444" s="135"/>
      <c r="EG444" s="135"/>
      <c r="EH444" s="135"/>
      <c r="EI444" s="135"/>
      <c r="EJ444" s="135"/>
      <c r="EK444" s="135" t="str">
        <f t="array" ref="EK444">IFERROR(INDEX(TABLACONSOLIDADA[Buff Act],MATCH("AGROINSUMOSLAFINCA"&amp;Tabla_Buffers_Agroinsumos[[#This Row],[CODIGO ]],TABLACONSOLIDADA[Bodega]&amp;TABLACONSOLIDADA[Codigo],0)),"")</f>
        <v/>
      </c>
      <c r="EL444" s="111" t="str">
        <f t="array" ref="EL444">IFERROR(INDEX(TABLACONSOLIDADA[Inv Fís Act],MATCH("AGROINSUMOSLAFINCA"&amp;Tabla_Buffers_Agroinsumos[[#This Row],[CODIGO ]],TABLACONSOLIDADA[Bodega]&amp;TABLACONSOLIDADA[Codigo],0)),"")</f>
        <v/>
      </c>
      <c r="EM444" s="190" t="str">
        <f t="array" ref="EM44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44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44" s="135">
        <f>IFERROR(SUM(Tabla_Buffers_Agroinsumos[[#This Row],[LF-MP]:[LF-VL]]),"")</f>
        <v>0</v>
      </c>
      <c r="EP444" s="154" t="str">
        <f>IFERROR(Tabla_Buffers_Agroinsumos[[#This Row],[INV FIS LF]]-Tabla_Buffers_Agroinsumos[[#This Row],[BUFFER LF]],"")</f>
        <v/>
      </c>
      <c r="EQ444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44" s="135"/>
      <c r="ES444" s="135"/>
      <c r="ET444" s="135"/>
      <c r="EU444" s="135"/>
      <c r="EV444" s="135"/>
      <c r="EW444" s="135"/>
      <c r="EX444" s="135"/>
      <c r="EY444" s="135"/>
      <c r="EZ444" s="135"/>
      <c r="FA444" s="135" t="str">
        <f t="array" ref="FA444">IFERROR(INDEX(TABLACONSOLIDADA[Buff Act],MATCH("AGROINSUMOSVERONICALEDESMA"&amp;Tabla_Buffers_Agroinsumos[[#This Row],[CODIGO ]],TABLACONSOLIDADA[Bodega]&amp;TABLACONSOLIDADA[Codigo],0)),"")</f>
        <v/>
      </c>
      <c r="FB444" s="111" t="str">
        <f t="array" ref="FB444">IFERROR(INDEX(TABLACONSOLIDADA[Inv Fís Act],MATCH("AGROINSUMOSVERONICALEDESMA"&amp;Tabla_Buffers_Agroinsumos[[#This Row],[CODIGO ]],TABLACONSOLIDADA[Bodega]&amp;TABLACONSOLIDADA[Codigo],0)),"")</f>
        <v/>
      </c>
      <c r="FC444" s="190" t="str">
        <f t="array" ref="FC44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44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44" s="135">
        <f>IFERROR(SUM(Tabla_Buffers_Agroinsumos[[#This Row],[VL-MP]:[VL-LF]]),"")</f>
        <v>0</v>
      </c>
      <c r="FF444" s="154" t="str">
        <f>IFERROR(Tabla_Buffers_Agroinsumos[[#This Row],[INV FIS VL]]-Tabla_Buffers_Agroinsumos[[#This Row],[BUFFER VL]],"")</f>
        <v/>
      </c>
      <c r="FG444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44" s="135"/>
      <c r="FI444" s="135"/>
      <c r="FJ444" s="135"/>
      <c r="FK444" s="135"/>
      <c r="FL444" s="135"/>
      <c r="FM444" s="135"/>
      <c r="FN444" s="135"/>
      <c r="FO444" s="135"/>
      <c r="FP444" s="135"/>
    </row>
    <row r="445" spans="1:172">
      <c r="A445" s="20" t="s">
        <v>77</v>
      </c>
      <c r="B445" s="20" t="s">
        <v>78</v>
      </c>
      <c r="C445" s="20"/>
      <c r="D445" s="20"/>
      <c r="E445" s="20"/>
      <c r="F445" s="111"/>
      <c r="G445" s="111" t="s">
        <v>873</v>
      </c>
      <c r="H445" s="111">
        <f>VLOOKUP(Tabla_Buffers_Agroinsumos[[#This Row],[CODIGO ]],TABLACONSOLIDADA[[Codigo]:[PV]],6,0)</f>
        <v>0</v>
      </c>
      <c r="I445" s="111">
        <f>VLOOKUP(Tabla_Buffers_Agroinsumos[[#This Row],[CODIGO ]],TABLACONSOLIDADA[[Codigo]:[PV]],5,0)</f>
        <v>1.03</v>
      </c>
      <c r="J445" s="111"/>
      <c r="K445" s="111"/>
      <c r="L445" s="111">
        <f>IFERROR(Tabla_Buffers_Agroinsumos[[#This Row],[BUFFER CENTRAL]]/((Tabla_Buffers_Agroinsumos[[#This Row],[TIEMPO REPOSICION ]]/Tabla_Buffers_Agroinsumos[[#This Row],[FRECUENCIA]])+1),0)</f>
        <v>0</v>
      </c>
      <c r="M445" s="111">
        <f t="array" ref="M445">IFERROR(INDEX(TABLACONSOLIDADA[Buff Act],MATCH("AGROINSUMOSMATERIAPRIMA"&amp;Tabla_Buffers_Agroinsumos[[#This Row],[CODIGO ]],TABLACONSOLIDADA[Bodega]&amp;TABLACONSOLIDADA[Codigo],0)),"")</f>
        <v>0</v>
      </c>
      <c r="N445" s="111">
        <f t="array" ref="N445">IFERROR(INDEX(TABLACONSOLIDADA[Inv Fís Act],MATCH("AGROINSUMOSMATERIAPRIMA"&amp;Tabla_Buffers_Agroinsumos[[#This Row],[CODIGO ]],TABLACONSOLIDADA[Bodega]&amp;TABLACONSOLIDADA[Codigo],0)),"")</f>
        <v>0</v>
      </c>
      <c r="O445" s="190">
        <f t="array" ref="O44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>0</v>
      </c>
      <c r="P445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45" s="111">
        <f>IFERROR(SUM(Tabla_Buffers_Agroinsumos[[#This Row],[MP-C]:[MP-VL]]),"")</f>
        <v>0</v>
      </c>
      <c r="R445" s="154">
        <f>IFERROR(Tabla_Buffers_Agroinsumos[[#This Row],[INV FIS MATERIA PRIMA]]-Tabla_Buffers_Agroinsumos[[#This Row],[BUFFER MATERIA PRIMA]],"")</f>
        <v>0</v>
      </c>
      <c r="S445" s="154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>0</v>
      </c>
      <c r="T445" s="111"/>
      <c r="U445" s="111"/>
      <c r="V445" s="111"/>
      <c r="W445" s="111"/>
      <c r="X445" s="111"/>
      <c r="Y445" s="111"/>
      <c r="Z445" s="111"/>
      <c r="AA445" s="111"/>
      <c r="AB445" s="111"/>
      <c r="AC445" s="135" t="str">
        <f t="array" ref="AC445">IFERROR(INDEX(TABLACONSOLIDADA[Buff Act],MATCH("AGROINSUMOSCENTRAL"&amp;Tabla_Buffers_Agroinsumos[[#This Row],[CODIGO ]],TABLACONSOLIDADA[Bodega]&amp;TABLACONSOLIDADA[Codigo],0)),"")</f>
        <v/>
      </c>
      <c r="AD445" s="111" t="str">
        <f t="array" ref="AD445">IFERROR(INDEX(TABLACONSOLIDADA[Inv Fís Act],MATCH("AGROINSUMOSCENTRAL"&amp;Tabla_Buffers_Agroinsumos[[#This Row],[CODIGO ]],TABLACONSOLIDADA[Bodega]&amp;TABLACONSOLIDADA[Codigo],0)),"")</f>
        <v/>
      </c>
      <c r="AE445" s="190" t="str">
        <f t="array" ref="AE44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45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45" s="153">
        <f>IFERROR(SUM(Tabla_Buffers_Agroinsumos[[#This Row],[C-MP]:[C-VL]]),"")</f>
        <v>0</v>
      </c>
      <c r="AH445" s="154" t="str">
        <f>IFERROR(Tabla_Buffers_Agroinsumos[[#This Row],[INV FIS CENTRAL]]-Tabla_Buffers_Agroinsumos[[#This Row],[BUFFER CENTRAL]],"")</f>
        <v/>
      </c>
      <c r="AI445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45" s="135"/>
      <c r="AK445" s="135"/>
      <c r="AL445" s="135"/>
      <c r="AM445" s="135"/>
      <c r="AN445" s="135"/>
      <c r="AO445" s="135"/>
      <c r="AP445" s="135"/>
      <c r="AQ445" s="135"/>
      <c r="AR445" s="135"/>
      <c r="AS445" s="135" t="str">
        <f t="array" ref="AS445">IFERROR(INDEX(TABLACONSOLIDADA[Buff Act],MATCH("AGROINSUMOScentralPROPIA"&amp;Tabla_Buffers_Agroinsumos[[#This Row],[CODIGO ]],TABLACONSOLIDADA[Bodega]&amp;TABLACONSOLIDADA[Codigo],0)),"")</f>
        <v/>
      </c>
      <c r="AT445" s="111" t="str">
        <f t="array" ref="AT445">IFERROR(INDEX(TABLACONSOLIDADA[Inv Fís Act],MATCH("AGROINSUMOScentralPROPIA"&amp;Tabla_Buffers_Agroinsumos[[#This Row],[CODIGO ]],TABLACONSOLIDADA[Bodega]&amp;TABLACONSOLIDADA[Codigo],0)),"")</f>
        <v/>
      </c>
      <c r="AU445" s="190" t="str">
        <f t="array" ref="AU44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45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45" s="135">
        <f>IFERROR(SUM(Tabla_Buffers_Agroinsumos[[#This Row],[P-MP]:[P-VL]]),"")</f>
        <v>0</v>
      </c>
      <c r="AX445" s="154" t="str">
        <f>IFERROR(Tabla_Buffers_Agroinsumos[[#This Row],[INV FIS PROPIA]]-Tabla_Buffers_Agroinsumos[[#This Row],[BUFFER PROPIA]],"")</f>
        <v/>
      </c>
      <c r="AY445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45" s="135"/>
      <c r="BA445" s="135"/>
      <c r="BB445" s="135"/>
      <c r="BC445" s="135"/>
      <c r="BD445" s="135"/>
      <c r="BE445" s="135"/>
      <c r="BF445" s="135"/>
      <c r="BG445" s="135"/>
      <c r="BH445" s="135"/>
      <c r="BI445" s="153" t="str">
        <f t="array" ref="BI445">IFERROR(INDEX(TABLACONSOLIDADA[Buff Act],MATCH("AGROINSUMOSSTODOMINGO"&amp;Tabla_Buffers_Agroinsumos[[#This Row],[CODIGO ]],TABLACONSOLIDADA[Bodega]&amp;TABLACONSOLIDADA[Codigo],0)),"")</f>
        <v/>
      </c>
      <c r="BJ445" s="111" t="str">
        <f t="array" ref="BJ445">IFERROR(INDEX(TABLACONSOLIDADA[Inv Fís Act],MATCH("AGROINSUMOSSTODOMINGO"&amp;Tabla_Buffers_Agroinsumos[[#This Row],[CODIGO ]],TABLACONSOLIDADA[Bodega]&amp;TABLACONSOLIDADA[Codigo],0)),"")</f>
        <v/>
      </c>
      <c r="BK445" s="190" t="str">
        <f t="array" ref="BK44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45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45" s="153">
        <f>IFERROR(SUM(Tabla_Buffers_Agroinsumos[[#This Row],[SD-MP]:[SD-VL]]),"")</f>
        <v>0</v>
      </c>
      <c r="BN445" s="154"/>
      <c r="BO445" s="154"/>
      <c r="BP445" s="135"/>
      <c r="BQ445" s="135"/>
      <c r="BR445" s="135"/>
      <c r="BS445" s="135"/>
      <c r="BT445" s="135"/>
      <c r="BU445" s="135"/>
      <c r="BV445" s="135"/>
      <c r="BW445" s="135"/>
      <c r="BX445" s="135"/>
      <c r="BY445" s="135" t="str">
        <f t="array" ref="BY445">IFERROR(INDEX(TABLACONSOLIDADA[Buff Act],MATCH("AGROINSUMOSMONCAYOLOPEZ"&amp;Tabla_Buffers_Agroinsumos[[#This Row],[CODIGO ]],TABLACONSOLIDADA[Bodega]&amp;TABLACONSOLIDADA[Codigo],0)),"")</f>
        <v/>
      </c>
      <c r="BZ445" s="111" t="str">
        <f t="array" ref="BZ445">IFERROR(INDEX(TABLACONSOLIDADA[Inv Fís Act],MATCH("AGROINSUMOSMONCAYOLOPEZ"&amp;Tabla_Buffers_Agroinsumos[[#This Row],[CODIGO ]],TABLACONSOLIDADA[Bodega]&amp;TABLACONSOLIDADA[Codigo],0)),"")</f>
        <v/>
      </c>
      <c r="CA445" s="190" t="str">
        <f t="array" ref="CA44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45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45" s="135">
        <f>IFERROR(SUM(Tabla_Buffers_Agroinsumos[[#This Row],[ML-MP]:[ML-VL]]),"")</f>
        <v>0</v>
      </c>
      <c r="CD445" s="154" t="str">
        <f>IFERROR(Tabla_Buffers_Agroinsumos[[#This Row],[INV FIS ML]]-Tabla_Buffers_Agroinsumos[[#This Row],[BUFFER ML]],"")</f>
        <v/>
      </c>
      <c r="CE445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45" s="135"/>
      <c r="CG445" s="135"/>
      <c r="CH445" s="135"/>
      <c r="CI445" s="135"/>
      <c r="CJ445" s="135"/>
      <c r="CK445" s="135"/>
      <c r="CL445" s="135"/>
      <c r="CM445" s="135"/>
      <c r="CN445" s="135"/>
      <c r="CO445" s="135" t="str">
        <f t="array" ref="CO445">IFERROR(INDEX(TABLACONSOLIDADA[Buff Act],MATCH("AGROINSUMOSAGROHERMANOSLEON"&amp;Tabla_Buffers_Agroinsumos[[#This Row],[CODIGO ]],TABLACONSOLIDADA[Bodega]&amp;TABLACONSOLIDADA[Codigo],0)),"")</f>
        <v/>
      </c>
      <c r="CP445" s="111" t="str">
        <f t="array" ref="CP445">IFERROR(INDEX(TABLACONSOLIDADA[Inv Fís Act],MATCH("AGROINSUMOSAGROHERMANOSLEON"&amp;Tabla_Buffers_Agroinsumos[[#This Row],[CODIGO ]],TABLACONSOLIDADA[Bodega]&amp;TABLACONSOLIDADA[Codigo],0)),"")</f>
        <v/>
      </c>
      <c r="CQ445" s="190" t="str">
        <f t="array" ref="CQ44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45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45" s="135">
        <f>IFERROR(SUM(Tabla_Buffers_Agroinsumos[[#This Row],[AL-MP]:[AL-VL]]),"")</f>
        <v>0</v>
      </c>
      <c r="CT445" s="154" t="str">
        <f>IFERROR(Tabla_Buffers_Agroinsumos[[#This Row],[INV FIS AL]]-Tabla_Buffers_Agroinsumos[[#This Row],[BUFFER AL]],"")</f>
        <v/>
      </c>
      <c r="CU445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45" s="135"/>
      <c r="CW445" s="135"/>
      <c r="CX445" s="135"/>
      <c r="CY445" s="135"/>
      <c r="CZ445" s="135"/>
      <c r="DA445" s="135"/>
      <c r="DB445" s="135"/>
      <c r="DC445" s="135"/>
      <c r="DD445" s="135"/>
      <c r="DE445" s="135" t="str">
        <f t="array" ref="DE445">IFERROR(INDEX(TABLACONSOLIDADA[Buff Act],MATCH("AGROINSUMOSAGRONUEVO"&amp;Tabla_Buffers_Agroinsumos[[#This Row],[CODIGO ]],TABLACONSOLIDADA[Bodega]&amp;TABLACONSOLIDADA[Codigo],0)),"")</f>
        <v/>
      </c>
      <c r="DF445" s="111" t="str">
        <f t="array" ref="DF445">IFERROR(INDEX(TABLACONSOLIDADA[Inv Fís Act],MATCH("AGROINSUMOSAGRONUEVO"&amp;Tabla_Buffers_Agroinsumos[[#This Row],[CODIGO ]],TABLACONSOLIDADA[Bodega]&amp;TABLACONSOLIDADA[Codigo],0)),"")</f>
        <v/>
      </c>
      <c r="DG445" s="190" t="str">
        <f t="array" ref="DG44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45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45" s="135">
        <f>IFERROR(SUM(Tabla_Buffers_Agroinsumos[[#This Row],[AN-MP]:[AN-VL]]),"")</f>
        <v>0</v>
      </c>
      <c r="DJ445" s="154" t="str">
        <f>IFERROR(Tabla_Buffers_Agroinsumos[[#This Row],[INV FIS AN]]-Tabla_Buffers_Agroinsumos[[#This Row],[BUFFER AN]],"")</f>
        <v/>
      </c>
      <c r="DK445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45" s="135"/>
      <c r="DM445" s="135"/>
      <c r="DN445" s="135"/>
      <c r="DO445" s="135"/>
      <c r="DP445" s="135"/>
      <c r="DQ445" s="135"/>
      <c r="DR445" s="135"/>
      <c r="DS445" s="135"/>
      <c r="DT445" s="135"/>
      <c r="DU445" s="135" t="str">
        <f t="array" ref="DU445">IFERROR(INDEX(TABLACONSOLIDADA[Buff Act],MATCH("AGROINSUMOSAGROQUIMICOSSUR"&amp;Tabla_Buffers_Agroinsumos[[#This Row],[CODIGO ]],TABLACONSOLIDADA[Bodega]&amp;TABLACONSOLIDADA[Codigo],0)),"")</f>
        <v/>
      </c>
      <c r="DV445" s="111" t="str">
        <f t="array" ref="DV445">IFERROR(INDEX(TABLACONSOLIDADA[Inv Fís Act],MATCH("AGROINSUMOSAGROQUIMICOSSUR"&amp;Tabla_Buffers_Agroinsumos[[#This Row],[CODIGO ]],TABLACONSOLIDADA[Bodega]&amp;TABLACONSOLIDADA[Codigo],0)),"")</f>
        <v/>
      </c>
      <c r="DW445" s="190" t="str">
        <f t="array" ref="DW44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45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45" s="135">
        <f>IFERROR(SUM(Tabla_Buffers_Agroinsumos[[#This Row],[AS-MP]:[AS-VL]]),"")</f>
        <v>0</v>
      </c>
      <c r="DZ445" s="154" t="str">
        <f>IFERROR(Tabla_Buffers_Agroinsumos[[#This Row],[INV FIS AS]]-Tabla_Buffers_Agroinsumos[[#This Row],[BUFFER AS]],"")</f>
        <v/>
      </c>
      <c r="EA445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45" s="135"/>
      <c r="EC445" s="135"/>
      <c r="ED445" s="135"/>
      <c r="EE445" s="135"/>
      <c r="EF445" s="135"/>
      <c r="EG445" s="135"/>
      <c r="EH445" s="135"/>
      <c r="EI445" s="135"/>
      <c r="EJ445" s="135"/>
      <c r="EK445" s="135" t="str">
        <f t="array" ref="EK445">IFERROR(INDEX(TABLACONSOLIDADA[Buff Act],MATCH("AGROINSUMOSLAFINCA"&amp;Tabla_Buffers_Agroinsumos[[#This Row],[CODIGO ]],TABLACONSOLIDADA[Bodega]&amp;TABLACONSOLIDADA[Codigo],0)),"")</f>
        <v/>
      </c>
      <c r="EL445" s="111" t="str">
        <f t="array" ref="EL445">IFERROR(INDEX(TABLACONSOLIDADA[Inv Fís Act],MATCH("AGROINSUMOSLAFINCA"&amp;Tabla_Buffers_Agroinsumos[[#This Row],[CODIGO ]],TABLACONSOLIDADA[Bodega]&amp;TABLACONSOLIDADA[Codigo],0)),"")</f>
        <v/>
      </c>
      <c r="EM445" s="190" t="str">
        <f t="array" ref="EM44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45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45" s="135">
        <f>IFERROR(SUM(Tabla_Buffers_Agroinsumos[[#This Row],[LF-MP]:[LF-VL]]),"")</f>
        <v>0</v>
      </c>
      <c r="EP445" s="154" t="str">
        <f>IFERROR(Tabla_Buffers_Agroinsumos[[#This Row],[INV FIS LF]]-Tabla_Buffers_Agroinsumos[[#This Row],[BUFFER LF]],"")</f>
        <v/>
      </c>
      <c r="EQ445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45" s="135"/>
      <c r="ES445" s="135"/>
      <c r="ET445" s="135"/>
      <c r="EU445" s="135"/>
      <c r="EV445" s="135"/>
      <c r="EW445" s="135"/>
      <c r="EX445" s="135"/>
      <c r="EY445" s="135"/>
      <c r="EZ445" s="135"/>
      <c r="FA445" s="135" t="str">
        <f t="array" ref="FA445">IFERROR(INDEX(TABLACONSOLIDADA[Buff Act],MATCH("AGROINSUMOSVERONICALEDESMA"&amp;Tabla_Buffers_Agroinsumos[[#This Row],[CODIGO ]],TABLACONSOLIDADA[Bodega]&amp;TABLACONSOLIDADA[Codigo],0)),"")</f>
        <v/>
      </c>
      <c r="FB445" s="111" t="str">
        <f t="array" ref="FB445">IFERROR(INDEX(TABLACONSOLIDADA[Inv Fís Act],MATCH("AGROINSUMOSVERONICALEDESMA"&amp;Tabla_Buffers_Agroinsumos[[#This Row],[CODIGO ]],TABLACONSOLIDADA[Bodega]&amp;TABLACONSOLIDADA[Codigo],0)),"")</f>
        <v/>
      </c>
      <c r="FC445" s="190" t="str">
        <f t="array" ref="FC44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45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45" s="135">
        <f>IFERROR(SUM(Tabla_Buffers_Agroinsumos[[#This Row],[VL-MP]:[VL-LF]]),"")</f>
        <v>0</v>
      </c>
      <c r="FF445" s="154" t="str">
        <f>IFERROR(Tabla_Buffers_Agroinsumos[[#This Row],[INV FIS VL]]-Tabla_Buffers_Agroinsumos[[#This Row],[BUFFER VL]],"")</f>
        <v/>
      </c>
      <c r="FG445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45" s="135"/>
      <c r="FI445" s="135"/>
      <c r="FJ445" s="135"/>
      <c r="FK445" s="135"/>
      <c r="FL445" s="135"/>
      <c r="FM445" s="135"/>
      <c r="FN445" s="135"/>
      <c r="FO445" s="135"/>
      <c r="FP445" s="135"/>
    </row>
    <row r="446" spans="1:172">
      <c r="A446" s="20" t="s">
        <v>1380</v>
      </c>
      <c r="B446" s="20" t="s">
        <v>1381</v>
      </c>
      <c r="C446" s="20" t="s">
        <v>700</v>
      </c>
      <c r="D446" s="20" t="s">
        <v>718</v>
      </c>
      <c r="E446" s="20" t="s">
        <v>863</v>
      </c>
      <c r="F446" s="111"/>
      <c r="G446" s="111" t="s">
        <v>802</v>
      </c>
      <c r="H446" s="111" t="e">
        <f>VLOOKUP(Tabla_Buffers_Agroinsumos[[#This Row],[CODIGO ]],TABLACONSOLIDADA[[Codigo]:[PV]],6,0)</f>
        <v>#N/A</v>
      </c>
      <c r="I446" s="111" t="e">
        <f>VLOOKUP(Tabla_Buffers_Agroinsumos[[#This Row],[CODIGO ]],TABLACONSOLIDADA[[Codigo]:[PV]],5,0)</f>
        <v>#N/A</v>
      </c>
      <c r="J446" s="111"/>
      <c r="K446" s="111"/>
      <c r="L446" s="111">
        <f>IFERROR(Tabla_Buffers_Agroinsumos[[#This Row],[BUFFER CENTRAL]]/((Tabla_Buffers_Agroinsumos[[#This Row],[TIEMPO REPOSICION ]]/Tabla_Buffers_Agroinsumos[[#This Row],[FRECUENCIA]])+1),0)</f>
        <v>0</v>
      </c>
      <c r="M446" s="111" t="str">
        <f t="array" ref="M446">IFERROR(INDEX(TABLACONSOLIDADA[Buff Act],MATCH("AGROINSUMOSMATERIAPRIMA"&amp;Tabla_Buffers_Agroinsumos[[#This Row],[CODIGO ]],TABLACONSOLIDADA[Bodega]&amp;TABLACONSOLIDADA[Codigo],0)),"")</f>
        <v/>
      </c>
      <c r="N446" s="111" t="str">
        <f t="array" ref="N446">IFERROR(INDEX(TABLACONSOLIDADA[Inv Fís Act],MATCH("AGROINSUMOSMATERIAPRIMA"&amp;Tabla_Buffers_Agroinsumos[[#This Row],[CODIGO ]],TABLACONSOLIDADA[Bodega]&amp;TABLACONSOLIDADA[Codigo],0)),"")</f>
        <v/>
      </c>
      <c r="O446" s="161" t="str">
        <f t="array" ref="O44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46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46" s="111">
        <f>IFERROR(SUM(Tabla_Buffers_Agroinsumos[[#This Row],[MP-C]:[MP-VL]]),"")</f>
        <v>0</v>
      </c>
      <c r="R446" s="154" t="str">
        <f>IFERROR(Tabla_Buffers_Agroinsumos[[#This Row],[INV FIS MATERIA PRIMA]]-Tabla_Buffers_Agroinsumos[[#This Row],[BUFFER MATERIA PRIMA]],"")</f>
        <v/>
      </c>
      <c r="S446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46" s="111"/>
      <c r="U446" s="111"/>
      <c r="V446" s="111"/>
      <c r="W446" s="111"/>
      <c r="X446" s="111"/>
      <c r="Y446" s="111"/>
      <c r="Z446" s="111"/>
      <c r="AA446" s="111"/>
      <c r="AB446" s="111"/>
      <c r="AC446" s="135" t="str">
        <f t="array" ref="AC446">IFERROR(INDEX(TABLACONSOLIDADA[Buff Act],MATCH("AGROINSUMOSCENTRAL"&amp;Tabla_Buffers_Agroinsumos[[#This Row],[CODIGO ]],TABLACONSOLIDADA[Bodega]&amp;TABLACONSOLIDADA[Codigo],0)),"")</f>
        <v/>
      </c>
      <c r="AD446" s="111" t="str">
        <f t="array" ref="AD446">IFERROR(INDEX(TABLACONSOLIDADA[Inv Fís Act],MATCH("AGROINSUMOSCENTRAL"&amp;Tabla_Buffers_Agroinsumos[[#This Row],[CODIGO ]],TABLACONSOLIDADA[Bodega]&amp;TABLACONSOLIDADA[Codigo],0)),"")</f>
        <v/>
      </c>
      <c r="AE446" s="161" t="str">
        <f t="array" ref="AE44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46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46" s="153">
        <f>IFERROR(SUM(Tabla_Buffers_Agroinsumos[[#This Row],[C-MP]:[C-VL]]),"")</f>
        <v>0</v>
      </c>
      <c r="AH446" s="154" t="str">
        <f>IFERROR(Tabla_Buffers_Agroinsumos[[#This Row],[INV FIS CENTRAL]]-Tabla_Buffers_Agroinsumos[[#This Row],[BUFFER CENTRAL]],"")</f>
        <v/>
      </c>
      <c r="AI446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46" s="135"/>
      <c r="AK446" s="135"/>
      <c r="AL446" s="135"/>
      <c r="AM446" s="135"/>
      <c r="AN446" s="135"/>
      <c r="AO446" s="135"/>
      <c r="AP446" s="135"/>
      <c r="AQ446" s="135"/>
      <c r="AR446" s="135"/>
      <c r="AS446" s="135" t="str">
        <f t="array" ref="AS446">IFERROR(INDEX(TABLACONSOLIDADA[Buff Act],MATCH("AGROINSUMOScentralPROPIA"&amp;Tabla_Buffers_Agroinsumos[[#This Row],[CODIGO ]],TABLACONSOLIDADA[Bodega]&amp;TABLACONSOLIDADA[Codigo],0)),"")</f>
        <v/>
      </c>
      <c r="AT446" s="111" t="str">
        <f t="array" ref="AT446">IFERROR(INDEX(TABLACONSOLIDADA[Inv Fís Act],MATCH("AGROINSUMOScentralPROPIA"&amp;Tabla_Buffers_Agroinsumos[[#This Row],[CODIGO ]],TABLACONSOLIDADA[Bodega]&amp;TABLACONSOLIDADA[Codigo],0)),"")</f>
        <v/>
      </c>
      <c r="AU446" s="161" t="str">
        <f t="array" ref="AU44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46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46" s="135">
        <f>IFERROR(SUM(Tabla_Buffers_Agroinsumos[[#This Row],[P-MP]:[P-VL]]),"")</f>
        <v>0</v>
      </c>
      <c r="AX446" s="154" t="str">
        <f>IFERROR(Tabla_Buffers_Agroinsumos[[#This Row],[INV FIS PROPIA]]-Tabla_Buffers_Agroinsumos[[#This Row],[BUFFER PROPIA]],"")</f>
        <v/>
      </c>
      <c r="AY446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46" s="135"/>
      <c r="BA446" s="135"/>
      <c r="BB446" s="135"/>
      <c r="BC446" s="135"/>
      <c r="BD446" s="135"/>
      <c r="BE446" s="135"/>
      <c r="BF446" s="135"/>
      <c r="BG446" s="135"/>
      <c r="BH446" s="135"/>
      <c r="BI446" s="153" t="str">
        <f t="array" ref="BI446">IFERROR(INDEX(TABLACONSOLIDADA[Buff Act],MATCH("AGROINSUMOSSTODOMINGO"&amp;Tabla_Buffers_Agroinsumos[[#This Row],[CODIGO ]],TABLACONSOLIDADA[Bodega]&amp;TABLACONSOLIDADA[Codigo],0)),"")</f>
        <v/>
      </c>
      <c r="BJ446" s="111" t="str">
        <f t="array" ref="BJ446">IFERROR(INDEX(TABLACONSOLIDADA[Inv Fís Act],MATCH("AGROINSUMOSSTODOMINGO"&amp;Tabla_Buffers_Agroinsumos[[#This Row],[CODIGO ]],TABLACONSOLIDADA[Bodega]&amp;TABLACONSOLIDADA[Codigo],0)),"")</f>
        <v/>
      </c>
      <c r="BK446" s="161" t="str">
        <f t="array" ref="BK44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46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46" s="153">
        <f>IFERROR(SUM(Tabla_Buffers_Agroinsumos[[#This Row],[SD-MP]:[SD-VL]]),"")</f>
        <v>0</v>
      </c>
      <c r="BN446" s="154"/>
      <c r="BO446" s="154"/>
      <c r="BP446" s="135"/>
      <c r="BQ446" s="135"/>
      <c r="BR446" s="135"/>
      <c r="BS446" s="135"/>
      <c r="BT446" s="135"/>
      <c r="BU446" s="135"/>
      <c r="BV446" s="135"/>
      <c r="BW446" s="135"/>
      <c r="BX446" s="135"/>
      <c r="BY446" s="135" t="str">
        <f t="array" ref="BY446">IFERROR(INDEX(TABLACONSOLIDADA[Buff Act],MATCH("AGROINSUMOSMONCAYOLOPEZ"&amp;Tabla_Buffers_Agroinsumos[[#This Row],[CODIGO ]],TABLACONSOLIDADA[Bodega]&amp;TABLACONSOLIDADA[Codigo],0)),"")</f>
        <v/>
      </c>
      <c r="BZ446" s="111" t="str">
        <f t="array" ref="BZ446">IFERROR(INDEX(TABLACONSOLIDADA[Inv Fís Act],MATCH("AGROINSUMOSMONCAYOLOPEZ"&amp;Tabla_Buffers_Agroinsumos[[#This Row],[CODIGO ]],TABLACONSOLIDADA[Bodega]&amp;TABLACONSOLIDADA[Codigo],0)),"")</f>
        <v/>
      </c>
      <c r="CA446" s="161" t="str">
        <f t="array" ref="CA44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46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46" s="135">
        <f>IFERROR(SUM(Tabla_Buffers_Agroinsumos[[#This Row],[ML-MP]:[ML-VL]]),"")</f>
        <v>0</v>
      </c>
      <c r="CD446" s="154" t="str">
        <f>IFERROR(Tabla_Buffers_Agroinsumos[[#This Row],[INV FIS ML]]-Tabla_Buffers_Agroinsumos[[#This Row],[BUFFER ML]],"")</f>
        <v/>
      </c>
      <c r="CE446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46" s="135"/>
      <c r="CG446" s="135"/>
      <c r="CH446" s="135"/>
      <c r="CI446" s="135"/>
      <c r="CJ446" s="135"/>
      <c r="CK446" s="135"/>
      <c r="CL446" s="135"/>
      <c r="CM446" s="135"/>
      <c r="CN446" s="135"/>
      <c r="CO446" s="135" t="str">
        <f t="array" ref="CO446">IFERROR(INDEX(TABLACONSOLIDADA[Buff Act],MATCH("AGROINSUMOSAGROHERMANOSLEON"&amp;Tabla_Buffers_Agroinsumos[[#This Row],[CODIGO ]],TABLACONSOLIDADA[Bodega]&amp;TABLACONSOLIDADA[Codigo],0)),"")</f>
        <v/>
      </c>
      <c r="CP446" s="111" t="str">
        <f t="array" ref="CP446">IFERROR(INDEX(TABLACONSOLIDADA[Inv Fís Act],MATCH("AGROINSUMOSAGROHERMANOSLEON"&amp;Tabla_Buffers_Agroinsumos[[#This Row],[CODIGO ]],TABLACONSOLIDADA[Bodega]&amp;TABLACONSOLIDADA[Codigo],0)),"")</f>
        <v/>
      </c>
      <c r="CQ446" s="161" t="str">
        <f t="array" ref="CQ44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46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46" s="135">
        <f>IFERROR(SUM(Tabla_Buffers_Agroinsumos[[#This Row],[AL-MP]:[AL-VL]]),"")</f>
        <v>0</v>
      </c>
      <c r="CT446" s="154" t="str">
        <f>IFERROR(Tabla_Buffers_Agroinsumos[[#This Row],[INV FIS AL]]-Tabla_Buffers_Agroinsumos[[#This Row],[BUFFER AL]],"")</f>
        <v/>
      </c>
      <c r="CU446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46" s="135"/>
      <c r="CW446" s="135"/>
      <c r="CX446" s="135"/>
      <c r="CY446" s="135"/>
      <c r="CZ446" s="135"/>
      <c r="DA446" s="135"/>
      <c r="DB446" s="135"/>
      <c r="DC446" s="135"/>
      <c r="DD446" s="135"/>
      <c r="DE446" s="135" t="str">
        <f t="array" ref="DE446">IFERROR(INDEX(TABLACONSOLIDADA[Buff Act],MATCH("AGROINSUMOSAGRONUEVO"&amp;Tabla_Buffers_Agroinsumos[[#This Row],[CODIGO ]],TABLACONSOLIDADA[Bodega]&amp;TABLACONSOLIDADA[Codigo],0)),"")</f>
        <v/>
      </c>
      <c r="DF446" s="111" t="str">
        <f t="array" ref="DF446">IFERROR(INDEX(TABLACONSOLIDADA[Inv Fís Act],MATCH("AGROINSUMOSAGRONUEVO"&amp;Tabla_Buffers_Agroinsumos[[#This Row],[CODIGO ]],TABLACONSOLIDADA[Bodega]&amp;TABLACONSOLIDADA[Codigo],0)),"")</f>
        <v/>
      </c>
      <c r="DG446" s="161" t="str">
        <f t="array" ref="DG44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46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46" s="135">
        <f>IFERROR(SUM(Tabla_Buffers_Agroinsumos[[#This Row],[AN-MP]:[AN-VL]]),"")</f>
        <v>0</v>
      </c>
      <c r="DJ446" s="154" t="str">
        <f>IFERROR(Tabla_Buffers_Agroinsumos[[#This Row],[INV FIS AN]]-Tabla_Buffers_Agroinsumos[[#This Row],[BUFFER AN]],"")</f>
        <v/>
      </c>
      <c r="DK446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46" s="135"/>
      <c r="DM446" s="135"/>
      <c r="DN446" s="135"/>
      <c r="DO446" s="135"/>
      <c r="DP446" s="135"/>
      <c r="DQ446" s="135"/>
      <c r="DR446" s="135"/>
      <c r="DS446" s="135"/>
      <c r="DT446" s="135"/>
      <c r="DU446" s="135" t="str">
        <f t="array" ref="DU446">IFERROR(INDEX(TABLACONSOLIDADA[Buff Act],MATCH("AGROINSUMOSAGROQUIMICOSSUR"&amp;Tabla_Buffers_Agroinsumos[[#This Row],[CODIGO ]],TABLACONSOLIDADA[Bodega]&amp;TABLACONSOLIDADA[Codigo],0)),"")</f>
        <v/>
      </c>
      <c r="DV446" s="111" t="str">
        <f t="array" ref="DV446">IFERROR(INDEX(TABLACONSOLIDADA[Inv Fís Act],MATCH("AGROINSUMOSAGROQUIMICOSSUR"&amp;Tabla_Buffers_Agroinsumos[[#This Row],[CODIGO ]],TABLACONSOLIDADA[Bodega]&amp;TABLACONSOLIDADA[Codigo],0)),"")</f>
        <v/>
      </c>
      <c r="DW446" s="161" t="str">
        <f t="array" ref="DW44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46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46" s="135">
        <f>IFERROR(SUM(Tabla_Buffers_Agroinsumos[[#This Row],[AS-MP]:[AS-VL]]),"")</f>
        <v>0</v>
      </c>
      <c r="DZ446" s="154" t="str">
        <f>IFERROR(Tabla_Buffers_Agroinsumos[[#This Row],[INV FIS AS]]-Tabla_Buffers_Agroinsumos[[#This Row],[BUFFER AS]],"")</f>
        <v/>
      </c>
      <c r="EA446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46" s="135"/>
      <c r="EC446" s="135"/>
      <c r="ED446" s="135"/>
      <c r="EE446" s="135"/>
      <c r="EF446" s="135"/>
      <c r="EG446" s="135"/>
      <c r="EH446" s="135"/>
      <c r="EI446" s="135"/>
      <c r="EJ446" s="135"/>
      <c r="EK446" s="135" t="str">
        <f t="array" ref="EK446">IFERROR(INDEX(TABLACONSOLIDADA[Buff Act],MATCH("AGROINSUMOSLAFINCA"&amp;Tabla_Buffers_Agroinsumos[[#This Row],[CODIGO ]],TABLACONSOLIDADA[Bodega]&amp;TABLACONSOLIDADA[Codigo],0)),"")</f>
        <v/>
      </c>
      <c r="EL446" s="111" t="str">
        <f t="array" ref="EL446">IFERROR(INDEX(TABLACONSOLIDADA[Inv Fís Act],MATCH("AGROINSUMOSLAFINCA"&amp;Tabla_Buffers_Agroinsumos[[#This Row],[CODIGO ]],TABLACONSOLIDADA[Bodega]&amp;TABLACONSOLIDADA[Codigo],0)),"")</f>
        <v/>
      </c>
      <c r="EM446" s="161" t="str">
        <f t="array" ref="EM44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46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46" s="135">
        <f>IFERROR(SUM(Tabla_Buffers_Agroinsumos[[#This Row],[LF-MP]:[LF-VL]]),"")</f>
        <v>0</v>
      </c>
      <c r="EP446" s="154" t="str">
        <f>IFERROR(Tabla_Buffers_Agroinsumos[[#This Row],[INV FIS LF]]-Tabla_Buffers_Agroinsumos[[#This Row],[BUFFER LF]],"")</f>
        <v/>
      </c>
      <c r="EQ446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46" s="135"/>
      <c r="ES446" s="135"/>
      <c r="ET446" s="135"/>
      <c r="EU446" s="135"/>
      <c r="EV446" s="135"/>
      <c r="EW446" s="135"/>
      <c r="EX446" s="135"/>
      <c r="EY446" s="135"/>
      <c r="EZ446" s="135"/>
      <c r="FA446" s="135" t="str">
        <f t="array" ref="FA446">IFERROR(INDEX(TABLACONSOLIDADA[Buff Act],MATCH("AGROINSUMOSVERONICALEDESMA"&amp;Tabla_Buffers_Agroinsumos[[#This Row],[CODIGO ]],TABLACONSOLIDADA[Bodega]&amp;TABLACONSOLIDADA[Codigo],0)),"")</f>
        <v/>
      </c>
      <c r="FB446" s="111" t="str">
        <f t="array" ref="FB446">IFERROR(INDEX(TABLACONSOLIDADA[Inv Fís Act],MATCH("AGROINSUMOSVERONICALEDESMA"&amp;Tabla_Buffers_Agroinsumos[[#This Row],[CODIGO ]],TABLACONSOLIDADA[Bodega]&amp;TABLACONSOLIDADA[Codigo],0)),"")</f>
        <v/>
      </c>
      <c r="FC446" s="161" t="str">
        <f t="array" ref="FC44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46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46" s="135">
        <f>IFERROR(SUM(Tabla_Buffers_Agroinsumos[[#This Row],[VL-MP]:[VL-LF]]),"")</f>
        <v>0</v>
      </c>
      <c r="FF446" s="154" t="str">
        <f>IFERROR(Tabla_Buffers_Agroinsumos[[#This Row],[INV FIS VL]]-Tabla_Buffers_Agroinsumos[[#This Row],[BUFFER VL]],"")</f>
        <v/>
      </c>
      <c r="FG446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46" s="135"/>
      <c r="FI446" s="135"/>
      <c r="FJ446" s="135"/>
      <c r="FK446" s="135"/>
      <c r="FL446" s="135"/>
      <c r="FM446" s="135"/>
      <c r="FN446" s="135"/>
      <c r="FO446" s="135"/>
      <c r="FP446" s="135"/>
    </row>
    <row r="447" spans="1:172">
      <c r="A447" s="20" t="s">
        <v>1382</v>
      </c>
      <c r="B447" s="20" t="s">
        <v>1384</v>
      </c>
      <c r="C447" s="20"/>
      <c r="D447" s="20" t="s">
        <v>718</v>
      </c>
      <c r="E447" s="20"/>
      <c r="F447" s="111"/>
      <c r="G447" s="111" t="s">
        <v>802</v>
      </c>
      <c r="H447" s="111" t="e">
        <f>VLOOKUP(Tabla_Buffers_Agroinsumos[[#This Row],[CODIGO ]],TABLACONSOLIDADA[[Codigo]:[PV]],6,0)</f>
        <v>#N/A</v>
      </c>
      <c r="I447" s="111" t="e">
        <f>VLOOKUP(Tabla_Buffers_Agroinsumos[[#This Row],[CODIGO ]],TABLACONSOLIDADA[[Codigo]:[PV]],5,0)</f>
        <v>#N/A</v>
      </c>
      <c r="J447" s="111"/>
      <c r="K447" s="111"/>
      <c r="L447" s="111">
        <f>IFERROR(Tabla_Buffers_Agroinsumos[[#This Row],[BUFFER CENTRAL]]/((Tabla_Buffers_Agroinsumos[[#This Row],[TIEMPO REPOSICION ]]/Tabla_Buffers_Agroinsumos[[#This Row],[FRECUENCIA]])+1),0)</f>
        <v>0</v>
      </c>
      <c r="M447" s="111" t="str">
        <f t="array" ref="M447">IFERROR(INDEX(TABLACONSOLIDADA[Buff Act],MATCH("AGROINSUMOSMATERIAPRIMA"&amp;Tabla_Buffers_Agroinsumos[[#This Row],[CODIGO ]],TABLACONSOLIDADA[Bodega]&amp;TABLACONSOLIDADA[Codigo],0)),"")</f>
        <v/>
      </c>
      <c r="N447" s="111" t="str">
        <f t="array" ref="N447">IFERROR(INDEX(TABLACONSOLIDADA[Inv Fís Act],MATCH("AGROINSUMOSMATERIAPRIMA"&amp;Tabla_Buffers_Agroinsumos[[#This Row],[CODIGO ]],TABLACONSOLIDADA[Bodega]&amp;TABLACONSOLIDADA[Codigo],0)),"")</f>
        <v/>
      </c>
      <c r="O447" s="161" t="str">
        <f t="array" ref="O44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47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47" s="111">
        <f>IFERROR(SUM(Tabla_Buffers_Agroinsumos[[#This Row],[MP-C]:[MP-VL]]),"")</f>
        <v>0</v>
      </c>
      <c r="R447" s="154" t="str">
        <f>IFERROR(Tabla_Buffers_Agroinsumos[[#This Row],[INV FIS MATERIA PRIMA]]-Tabla_Buffers_Agroinsumos[[#This Row],[BUFFER MATERIA PRIMA]],"")</f>
        <v/>
      </c>
      <c r="S447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47" s="111"/>
      <c r="U447" s="111"/>
      <c r="V447" s="111"/>
      <c r="W447" s="111"/>
      <c r="X447" s="111"/>
      <c r="Y447" s="111"/>
      <c r="Z447" s="111"/>
      <c r="AA447" s="111"/>
      <c r="AB447" s="111"/>
      <c r="AC447" s="135" t="str">
        <f t="array" ref="AC447">IFERROR(INDEX(TABLACONSOLIDADA[Buff Act],MATCH("AGROINSUMOSCENTRAL"&amp;Tabla_Buffers_Agroinsumos[[#This Row],[CODIGO ]],TABLACONSOLIDADA[Bodega]&amp;TABLACONSOLIDADA[Codigo],0)),"")</f>
        <v/>
      </c>
      <c r="AD447" s="111" t="str">
        <f t="array" ref="AD447">IFERROR(INDEX(TABLACONSOLIDADA[Inv Fís Act],MATCH("AGROINSUMOSCENTRAL"&amp;Tabla_Buffers_Agroinsumos[[#This Row],[CODIGO ]],TABLACONSOLIDADA[Bodega]&amp;TABLACONSOLIDADA[Codigo],0)),"")</f>
        <v/>
      </c>
      <c r="AE447" s="161" t="str">
        <f t="array" ref="AE44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47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47" s="153">
        <f>IFERROR(SUM(Tabla_Buffers_Agroinsumos[[#This Row],[C-MP]:[C-VL]]),"")</f>
        <v>0</v>
      </c>
      <c r="AH447" s="154" t="str">
        <f>IFERROR(Tabla_Buffers_Agroinsumos[[#This Row],[INV FIS CENTRAL]]-Tabla_Buffers_Agroinsumos[[#This Row],[BUFFER CENTRAL]],"")</f>
        <v/>
      </c>
      <c r="AI447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47" s="135"/>
      <c r="AK447" s="135"/>
      <c r="AL447" s="135"/>
      <c r="AM447" s="135"/>
      <c r="AN447" s="135"/>
      <c r="AO447" s="135"/>
      <c r="AP447" s="135"/>
      <c r="AQ447" s="135"/>
      <c r="AR447" s="135"/>
      <c r="AS447" s="135" t="str">
        <f t="array" ref="AS447">IFERROR(INDEX(TABLACONSOLIDADA[Buff Act],MATCH("AGROINSUMOScentralPROPIA"&amp;Tabla_Buffers_Agroinsumos[[#This Row],[CODIGO ]],TABLACONSOLIDADA[Bodega]&amp;TABLACONSOLIDADA[Codigo],0)),"")</f>
        <v/>
      </c>
      <c r="AT447" s="111" t="str">
        <f t="array" ref="AT447">IFERROR(INDEX(TABLACONSOLIDADA[Inv Fís Act],MATCH("AGROINSUMOScentralPROPIA"&amp;Tabla_Buffers_Agroinsumos[[#This Row],[CODIGO ]],TABLACONSOLIDADA[Bodega]&amp;TABLACONSOLIDADA[Codigo],0)),"")</f>
        <v/>
      </c>
      <c r="AU447" s="161" t="str">
        <f t="array" ref="AU44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47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47" s="135">
        <f>IFERROR(SUM(Tabla_Buffers_Agroinsumos[[#This Row],[P-MP]:[P-VL]]),"")</f>
        <v>0</v>
      </c>
      <c r="AX447" s="154" t="str">
        <f>IFERROR(Tabla_Buffers_Agroinsumos[[#This Row],[INV FIS PROPIA]]-Tabla_Buffers_Agroinsumos[[#This Row],[BUFFER PROPIA]],"")</f>
        <v/>
      </c>
      <c r="AY447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47" s="135"/>
      <c r="BA447" s="135"/>
      <c r="BB447" s="135"/>
      <c r="BC447" s="135"/>
      <c r="BD447" s="135"/>
      <c r="BE447" s="135"/>
      <c r="BF447" s="135"/>
      <c r="BG447" s="135"/>
      <c r="BH447" s="135"/>
      <c r="BI447" s="153" t="str">
        <f t="array" ref="BI447">IFERROR(INDEX(TABLACONSOLIDADA[Buff Act],MATCH("AGROINSUMOSSTODOMINGO"&amp;Tabla_Buffers_Agroinsumos[[#This Row],[CODIGO ]],TABLACONSOLIDADA[Bodega]&amp;TABLACONSOLIDADA[Codigo],0)),"")</f>
        <v/>
      </c>
      <c r="BJ447" s="111" t="str">
        <f t="array" ref="BJ447">IFERROR(INDEX(TABLACONSOLIDADA[Inv Fís Act],MATCH("AGROINSUMOSSTODOMINGO"&amp;Tabla_Buffers_Agroinsumos[[#This Row],[CODIGO ]],TABLACONSOLIDADA[Bodega]&amp;TABLACONSOLIDADA[Codigo],0)),"")</f>
        <v/>
      </c>
      <c r="BK447" s="161" t="str">
        <f t="array" ref="BK44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47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47" s="153">
        <f>IFERROR(SUM(Tabla_Buffers_Agroinsumos[[#This Row],[SD-MP]:[SD-VL]]),"")</f>
        <v>0</v>
      </c>
      <c r="BN447" s="154"/>
      <c r="BO447" s="154"/>
      <c r="BP447" s="135"/>
      <c r="BQ447" s="135"/>
      <c r="BR447" s="135"/>
      <c r="BS447" s="135"/>
      <c r="BT447" s="135"/>
      <c r="BU447" s="135"/>
      <c r="BV447" s="135"/>
      <c r="BW447" s="135"/>
      <c r="BX447" s="135"/>
      <c r="BY447" s="135" t="str">
        <f t="array" ref="BY447">IFERROR(INDEX(TABLACONSOLIDADA[Buff Act],MATCH("AGROINSUMOSMONCAYOLOPEZ"&amp;Tabla_Buffers_Agroinsumos[[#This Row],[CODIGO ]],TABLACONSOLIDADA[Bodega]&amp;TABLACONSOLIDADA[Codigo],0)),"")</f>
        <v/>
      </c>
      <c r="BZ447" s="111" t="str">
        <f t="array" ref="BZ447">IFERROR(INDEX(TABLACONSOLIDADA[Inv Fís Act],MATCH("AGROINSUMOSMONCAYOLOPEZ"&amp;Tabla_Buffers_Agroinsumos[[#This Row],[CODIGO ]],TABLACONSOLIDADA[Bodega]&amp;TABLACONSOLIDADA[Codigo],0)),"")</f>
        <v/>
      </c>
      <c r="CA447" s="161" t="str">
        <f t="array" ref="CA44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47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47" s="135">
        <f>IFERROR(SUM(Tabla_Buffers_Agroinsumos[[#This Row],[ML-MP]:[ML-VL]]),"")</f>
        <v>0</v>
      </c>
      <c r="CD447" s="154" t="str">
        <f>IFERROR(Tabla_Buffers_Agroinsumos[[#This Row],[INV FIS ML]]-Tabla_Buffers_Agroinsumos[[#This Row],[BUFFER ML]],"")</f>
        <v/>
      </c>
      <c r="CE447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47" s="135"/>
      <c r="CG447" s="135"/>
      <c r="CH447" s="135"/>
      <c r="CI447" s="135"/>
      <c r="CJ447" s="135"/>
      <c r="CK447" s="135"/>
      <c r="CL447" s="135"/>
      <c r="CM447" s="135"/>
      <c r="CN447" s="135"/>
      <c r="CO447" s="135" t="str">
        <f t="array" ref="CO447">IFERROR(INDEX(TABLACONSOLIDADA[Buff Act],MATCH("AGROINSUMOSAGROHERMANOSLEON"&amp;Tabla_Buffers_Agroinsumos[[#This Row],[CODIGO ]],TABLACONSOLIDADA[Bodega]&amp;TABLACONSOLIDADA[Codigo],0)),"")</f>
        <v/>
      </c>
      <c r="CP447" s="111" t="str">
        <f t="array" ref="CP447">IFERROR(INDEX(TABLACONSOLIDADA[Inv Fís Act],MATCH("AGROINSUMOSAGROHERMANOSLEON"&amp;Tabla_Buffers_Agroinsumos[[#This Row],[CODIGO ]],TABLACONSOLIDADA[Bodega]&amp;TABLACONSOLIDADA[Codigo],0)),"")</f>
        <v/>
      </c>
      <c r="CQ447" s="161" t="str">
        <f t="array" ref="CQ44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47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47" s="135">
        <f>IFERROR(SUM(Tabla_Buffers_Agroinsumos[[#This Row],[AL-MP]:[AL-VL]]),"")</f>
        <v>0</v>
      </c>
      <c r="CT447" s="154" t="str">
        <f>IFERROR(Tabla_Buffers_Agroinsumos[[#This Row],[INV FIS AL]]-Tabla_Buffers_Agroinsumos[[#This Row],[BUFFER AL]],"")</f>
        <v/>
      </c>
      <c r="CU447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47" s="135"/>
      <c r="CW447" s="135"/>
      <c r="CX447" s="135"/>
      <c r="CY447" s="135"/>
      <c r="CZ447" s="135"/>
      <c r="DA447" s="135"/>
      <c r="DB447" s="135"/>
      <c r="DC447" s="135"/>
      <c r="DD447" s="135"/>
      <c r="DE447" s="135" t="str">
        <f t="array" ref="DE447">IFERROR(INDEX(TABLACONSOLIDADA[Buff Act],MATCH("AGROINSUMOSAGRONUEVO"&amp;Tabla_Buffers_Agroinsumos[[#This Row],[CODIGO ]],TABLACONSOLIDADA[Bodega]&amp;TABLACONSOLIDADA[Codigo],0)),"")</f>
        <v/>
      </c>
      <c r="DF447" s="111" t="str">
        <f t="array" ref="DF447">IFERROR(INDEX(TABLACONSOLIDADA[Inv Fís Act],MATCH("AGROINSUMOSAGRONUEVO"&amp;Tabla_Buffers_Agroinsumos[[#This Row],[CODIGO ]],TABLACONSOLIDADA[Bodega]&amp;TABLACONSOLIDADA[Codigo],0)),"")</f>
        <v/>
      </c>
      <c r="DG447" s="161" t="str">
        <f t="array" ref="DG44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47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47" s="135">
        <f>IFERROR(SUM(Tabla_Buffers_Agroinsumos[[#This Row],[AN-MP]:[AN-VL]]),"")</f>
        <v>0</v>
      </c>
      <c r="DJ447" s="154" t="str">
        <f>IFERROR(Tabla_Buffers_Agroinsumos[[#This Row],[INV FIS AN]]-Tabla_Buffers_Agroinsumos[[#This Row],[BUFFER AN]],"")</f>
        <v/>
      </c>
      <c r="DK447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47" s="135"/>
      <c r="DM447" s="135"/>
      <c r="DN447" s="135"/>
      <c r="DO447" s="135"/>
      <c r="DP447" s="135"/>
      <c r="DQ447" s="135"/>
      <c r="DR447" s="135"/>
      <c r="DS447" s="135"/>
      <c r="DT447" s="135"/>
      <c r="DU447" s="135" t="str">
        <f t="array" ref="DU447">IFERROR(INDEX(TABLACONSOLIDADA[Buff Act],MATCH("AGROINSUMOSAGROQUIMICOSSUR"&amp;Tabla_Buffers_Agroinsumos[[#This Row],[CODIGO ]],TABLACONSOLIDADA[Bodega]&amp;TABLACONSOLIDADA[Codigo],0)),"")</f>
        <v/>
      </c>
      <c r="DV447" s="111" t="str">
        <f t="array" ref="DV447">IFERROR(INDEX(TABLACONSOLIDADA[Inv Fís Act],MATCH("AGROINSUMOSAGROQUIMICOSSUR"&amp;Tabla_Buffers_Agroinsumos[[#This Row],[CODIGO ]],TABLACONSOLIDADA[Bodega]&amp;TABLACONSOLIDADA[Codigo],0)),"")</f>
        <v/>
      </c>
      <c r="DW447" s="161" t="str">
        <f t="array" ref="DW44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47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47" s="135">
        <f>IFERROR(SUM(Tabla_Buffers_Agroinsumos[[#This Row],[AS-MP]:[AS-VL]]),"")</f>
        <v>0</v>
      </c>
      <c r="DZ447" s="154" t="str">
        <f>IFERROR(Tabla_Buffers_Agroinsumos[[#This Row],[INV FIS AS]]-Tabla_Buffers_Agroinsumos[[#This Row],[BUFFER AS]],"")</f>
        <v/>
      </c>
      <c r="EA447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47" s="135"/>
      <c r="EC447" s="135"/>
      <c r="ED447" s="135"/>
      <c r="EE447" s="135"/>
      <c r="EF447" s="135"/>
      <c r="EG447" s="135"/>
      <c r="EH447" s="135"/>
      <c r="EI447" s="135"/>
      <c r="EJ447" s="135"/>
      <c r="EK447" s="135" t="str">
        <f t="array" ref="EK447">IFERROR(INDEX(TABLACONSOLIDADA[Buff Act],MATCH("AGROINSUMOSLAFINCA"&amp;Tabla_Buffers_Agroinsumos[[#This Row],[CODIGO ]],TABLACONSOLIDADA[Bodega]&amp;TABLACONSOLIDADA[Codigo],0)),"")</f>
        <v/>
      </c>
      <c r="EL447" s="111" t="str">
        <f t="array" ref="EL447">IFERROR(INDEX(TABLACONSOLIDADA[Inv Fís Act],MATCH("AGROINSUMOSLAFINCA"&amp;Tabla_Buffers_Agroinsumos[[#This Row],[CODIGO ]],TABLACONSOLIDADA[Bodega]&amp;TABLACONSOLIDADA[Codigo],0)),"")</f>
        <v/>
      </c>
      <c r="EM447" s="161" t="str">
        <f t="array" ref="EM44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47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47" s="135">
        <f>IFERROR(SUM(Tabla_Buffers_Agroinsumos[[#This Row],[LF-MP]:[LF-VL]]),"")</f>
        <v>0</v>
      </c>
      <c r="EP447" s="154" t="str">
        <f>IFERROR(Tabla_Buffers_Agroinsumos[[#This Row],[INV FIS LF]]-Tabla_Buffers_Agroinsumos[[#This Row],[BUFFER LF]],"")</f>
        <v/>
      </c>
      <c r="EQ447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47" s="135"/>
      <c r="ES447" s="135"/>
      <c r="ET447" s="135"/>
      <c r="EU447" s="135"/>
      <c r="EV447" s="135"/>
      <c r="EW447" s="135"/>
      <c r="EX447" s="135"/>
      <c r="EY447" s="135"/>
      <c r="EZ447" s="135"/>
      <c r="FA447" s="135" t="str">
        <f t="array" ref="FA447">IFERROR(INDEX(TABLACONSOLIDADA[Buff Act],MATCH("AGROINSUMOSVERONICALEDESMA"&amp;Tabla_Buffers_Agroinsumos[[#This Row],[CODIGO ]],TABLACONSOLIDADA[Bodega]&amp;TABLACONSOLIDADA[Codigo],0)),"")</f>
        <v/>
      </c>
      <c r="FB447" s="111" t="str">
        <f t="array" ref="FB447">IFERROR(INDEX(TABLACONSOLIDADA[Inv Fís Act],MATCH("AGROINSUMOSVERONICALEDESMA"&amp;Tabla_Buffers_Agroinsumos[[#This Row],[CODIGO ]],TABLACONSOLIDADA[Bodega]&amp;TABLACONSOLIDADA[Codigo],0)),"")</f>
        <v/>
      </c>
      <c r="FC447" s="161" t="str">
        <f t="array" ref="FC44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47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47" s="135">
        <f>IFERROR(SUM(Tabla_Buffers_Agroinsumos[[#This Row],[VL-MP]:[VL-LF]]),"")</f>
        <v>0</v>
      </c>
      <c r="FF447" s="154" t="str">
        <f>IFERROR(Tabla_Buffers_Agroinsumos[[#This Row],[INV FIS VL]]-Tabla_Buffers_Agroinsumos[[#This Row],[BUFFER VL]],"")</f>
        <v/>
      </c>
      <c r="FG447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47" s="135"/>
      <c r="FI447" s="135"/>
      <c r="FJ447" s="135"/>
      <c r="FK447" s="135"/>
      <c r="FL447" s="135"/>
      <c r="FM447" s="135"/>
      <c r="FN447" s="135"/>
      <c r="FO447" s="135"/>
      <c r="FP447" s="135"/>
    </row>
    <row r="448" spans="1:172">
      <c r="A448" s="20" t="s">
        <v>1383</v>
      </c>
      <c r="B448" s="20" t="s">
        <v>1385</v>
      </c>
      <c r="C448" s="20"/>
      <c r="D448" s="20" t="s">
        <v>718</v>
      </c>
      <c r="E448" s="20" t="s">
        <v>863</v>
      </c>
      <c r="F448" s="111"/>
      <c r="G448" s="111" t="s">
        <v>802</v>
      </c>
      <c r="H448" s="111" t="e">
        <f>VLOOKUP(Tabla_Buffers_Agroinsumos[[#This Row],[CODIGO ]],TABLACONSOLIDADA[[Codigo]:[PV]],6,0)</f>
        <v>#N/A</v>
      </c>
      <c r="I448" s="111" t="e">
        <f>VLOOKUP(Tabla_Buffers_Agroinsumos[[#This Row],[CODIGO ]],TABLACONSOLIDADA[[Codigo]:[PV]],5,0)</f>
        <v>#N/A</v>
      </c>
      <c r="J448" s="111"/>
      <c r="K448" s="111"/>
      <c r="L448" s="111">
        <f>IFERROR(Tabla_Buffers_Agroinsumos[[#This Row],[BUFFER CENTRAL]]/((Tabla_Buffers_Agroinsumos[[#This Row],[TIEMPO REPOSICION ]]/Tabla_Buffers_Agroinsumos[[#This Row],[FRECUENCIA]])+1),0)</f>
        <v>0</v>
      </c>
      <c r="M448" s="111" t="str">
        <f t="array" ref="M448">IFERROR(INDEX(TABLACONSOLIDADA[Buff Act],MATCH("AGROINSUMOSMATERIAPRIMA"&amp;Tabla_Buffers_Agroinsumos[[#This Row],[CODIGO ]],TABLACONSOLIDADA[Bodega]&amp;TABLACONSOLIDADA[Codigo],0)),"")</f>
        <v/>
      </c>
      <c r="N448" s="111" t="str">
        <f t="array" ref="N448">IFERROR(INDEX(TABLACONSOLIDADA[Inv Fís Act],MATCH("AGROINSUMOSMATERIAPRIMA"&amp;Tabla_Buffers_Agroinsumos[[#This Row],[CODIGO ]],TABLACONSOLIDADA[Bodega]&amp;TABLACONSOLIDADA[Codigo],0)),"")</f>
        <v/>
      </c>
      <c r="O448" s="161" t="str">
        <f t="array" ref="O448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48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48" s="111">
        <f>IFERROR(SUM(Tabla_Buffers_Agroinsumos[[#This Row],[MP-C]:[MP-VL]]),"")</f>
        <v>0</v>
      </c>
      <c r="R448" s="154" t="str">
        <f>IFERROR(Tabla_Buffers_Agroinsumos[[#This Row],[INV FIS MATERIA PRIMA]]-Tabla_Buffers_Agroinsumos[[#This Row],[BUFFER MATERIA PRIMA]],"")</f>
        <v/>
      </c>
      <c r="S448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48" s="111"/>
      <c r="U448" s="111"/>
      <c r="V448" s="111"/>
      <c r="W448" s="111"/>
      <c r="X448" s="111"/>
      <c r="Y448" s="111"/>
      <c r="Z448" s="111"/>
      <c r="AA448" s="111"/>
      <c r="AB448" s="111"/>
      <c r="AC448" s="135" t="str">
        <f t="array" ref="AC448">IFERROR(INDEX(TABLACONSOLIDADA[Buff Act],MATCH("AGROINSUMOSCENTRAL"&amp;Tabla_Buffers_Agroinsumos[[#This Row],[CODIGO ]],TABLACONSOLIDADA[Bodega]&amp;TABLACONSOLIDADA[Codigo],0)),"")</f>
        <v/>
      </c>
      <c r="AD448" s="111" t="str">
        <f t="array" ref="AD448">IFERROR(INDEX(TABLACONSOLIDADA[Inv Fís Act],MATCH("AGROINSUMOSCENTRAL"&amp;Tabla_Buffers_Agroinsumos[[#This Row],[CODIGO ]],TABLACONSOLIDADA[Bodega]&amp;TABLACONSOLIDADA[Codigo],0)),"")</f>
        <v/>
      </c>
      <c r="AE448" s="161" t="str">
        <f t="array" ref="AE448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48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48" s="153">
        <f>IFERROR(SUM(Tabla_Buffers_Agroinsumos[[#This Row],[C-MP]:[C-VL]]),"")</f>
        <v>0</v>
      </c>
      <c r="AH448" s="154" t="str">
        <f>IFERROR(Tabla_Buffers_Agroinsumos[[#This Row],[INV FIS CENTRAL]]-Tabla_Buffers_Agroinsumos[[#This Row],[BUFFER CENTRAL]],"")</f>
        <v/>
      </c>
      <c r="AI448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48" s="135"/>
      <c r="AK448" s="135"/>
      <c r="AL448" s="135"/>
      <c r="AM448" s="135"/>
      <c r="AN448" s="135"/>
      <c r="AO448" s="135"/>
      <c r="AP448" s="135"/>
      <c r="AQ448" s="135"/>
      <c r="AR448" s="135"/>
      <c r="AS448" s="135" t="str">
        <f t="array" ref="AS448">IFERROR(INDEX(TABLACONSOLIDADA[Buff Act],MATCH("AGROINSUMOScentralPROPIA"&amp;Tabla_Buffers_Agroinsumos[[#This Row],[CODIGO ]],TABLACONSOLIDADA[Bodega]&amp;TABLACONSOLIDADA[Codigo],0)),"")</f>
        <v/>
      </c>
      <c r="AT448" s="111" t="str">
        <f t="array" ref="AT448">IFERROR(INDEX(TABLACONSOLIDADA[Inv Fís Act],MATCH("AGROINSUMOScentralPROPIA"&amp;Tabla_Buffers_Agroinsumos[[#This Row],[CODIGO ]],TABLACONSOLIDADA[Bodega]&amp;TABLACONSOLIDADA[Codigo],0)),"")</f>
        <v/>
      </c>
      <c r="AU448" s="161" t="str">
        <f t="array" ref="AU448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48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48" s="135">
        <f>IFERROR(SUM(Tabla_Buffers_Agroinsumos[[#This Row],[P-MP]:[P-VL]]),"")</f>
        <v>0</v>
      </c>
      <c r="AX448" s="154" t="str">
        <f>IFERROR(Tabla_Buffers_Agroinsumos[[#This Row],[INV FIS PROPIA]]-Tabla_Buffers_Agroinsumos[[#This Row],[BUFFER PROPIA]],"")</f>
        <v/>
      </c>
      <c r="AY448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48" s="135"/>
      <c r="BA448" s="135"/>
      <c r="BB448" s="135"/>
      <c r="BC448" s="135"/>
      <c r="BD448" s="135"/>
      <c r="BE448" s="135"/>
      <c r="BF448" s="135"/>
      <c r="BG448" s="135"/>
      <c r="BH448" s="135"/>
      <c r="BI448" s="153" t="str">
        <f t="array" ref="BI448">IFERROR(INDEX(TABLACONSOLIDADA[Buff Act],MATCH("AGROINSUMOSSTODOMINGO"&amp;Tabla_Buffers_Agroinsumos[[#This Row],[CODIGO ]],TABLACONSOLIDADA[Bodega]&amp;TABLACONSOLIDADA[Codigo],0)),"")</f>
        <v/>
      </c>
      <c r="BJ448" s="111" t="str">
        <f t="array" ref="BJ448">IFERROR(INDEX(TABLACONSOLIDADA[Inv Fís Act],MATCH("AGROINSUMOSSTODOMINGO"&amp;Tabla_Buffers_Agroinsumos[[#This Row],[CODIGO ]],TABLACONSOLIDADA[Bodega]&amp;TABLACONSOLIDADA[Codigo],0)),"")</f>
        <v/>
      </c>
      <c r="BK448" s="161" t="str">
        <f t="array" ref="BK448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48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48" s="153">
        <f>IFERROR(SUM(Tabla_Buffers_Agroinsumos[[#This Row],[SD-MP]:[SD-VL]]),"")</f>
        <v>0</v>
      </c>
      <c r="BN448" s="154"/>
      <c r="BO448" s="154"/>
      <c r="BP448" s="135"/>
      <c r="BQ448" s="135"/>
      <c r="BR448" s="135"/>
      <c r="BS448" s="135"/>
      <c r="BT448" s="135"/>
      <c r="BU448" s="135"/>
      <c r="BV448" s="135"/>
      <c r="BW448" s="135"/>
      <c r="BX448" s="135"/>
      <c r="BY448" s="135" t="str">
        <f t="array" ref="BY448">IFERROR(INDEX(TABLACONSOLIDADA[Buff Act],MATCH("AGROINSUMOSMONCAYOLOPEZ"&amp;Tabla_Buffers_Agroinsumos[[#This Row],[CODIGO ]],TABLACONSOLIDADA[Bodega]&amp;TABLACONSOLIDADA[Codigo],0)),"")</f>
        <v/>
      </c>
      <c r="BZ448" s="111" t="str">
        <f t="array" ref="BZ448">IFERROR(INDEX(TABLACONSOLIDADA[Inv Fís Act],MATCH("AGROINSUMOSMONCAYOLOPEZ"&amp;Tabla_Buffers_Agroinsumos[[#This Row],[CODIGO ]],TABLACONSOLIDADA[Bodega]&amp;TABLACONSOLIDADA[Codigo],0)),"")</f>
        <v/>
      </c>
      <c r="CA448" s="161" t="str">
        <f t="array" ref="CA448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48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48" s="135">
        <f>IFERROR(SUM(Tabla_Buffers_Agroinsumos[[#This Row],[ML-MP]:[ML-VL]]),"")</f>
        <v>0</v>
      </c>
      <c r="CD448" s="154" t="str">
        <f>IFERROR(Tabla_Buffers_Agroinsumos[[#This Row],[INV FIS ML]]-Tabla_Buffers_Agroinsumos[[#This Row],[BUFFER ML]],"")</f>
        <v/>
      </c>
      <c r="CE448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48" s="135"/>
      <c r="CG448" s="135"/>
      <c r="CH448" s="135"/>
      <c r="CI448" s="135"/>
      <c r="CJ448" s="135"/>
      <c r="CK448" s="135"/>
      <c r="CL448" s="135"/>
      <c r="CM448" s="135"/>
      <c r="CN448" s="135"/>
      <c r="CO448" s="135" t="str">
        <f t="array" ref="CO448">IFERROR(INDEX(TABLACONSOLIDADA[Buff Act],MATCH("AGROINSUMOSAGROHERMANOSLEON"&amp;Tabla_Buffers_Agroinsumos[[#This Row],[CODIGO ]],TABLACONSOLIDADA[Bodega]&amp;TABLACONSOLIDADA[Codigo],0)),"")</f>
        <v/>
      </c>
      <c r="CP448" s="111" t="str">
        <f t="array" ref="CP448">IFERROR(INDEX(TABLACONSOLIDADA[Inv Fís Act],MATCH("AGROINSUMOSAGROHERMANOSLEON"&amp;Tabla_Buffers_Agroinsumos[[#This Row],[CODIGO ]],TABLACONSOLIDADA[Bodega]&amp;TABLACONSOLIDADA[Codigo],0)),"")</f>
        <v/>
      </c>
      <c r="CQ448" s="161" t="str">
        <f t="array" ref="CQ448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48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48" s="135">
        <f>IFERROR(SUM(Tabla_Buffers_Agroinsumos[[#This Row],[AL-MP]:[AL-VL]]),"")</f>
        <v>0</v>
      </c>
      <c r="CT448" s="154" t="str">
        <f>IFERROR(Tabla_Buffers_Agroinsumos[[#This Row],[INV FIS AL]]-Tabla_Buffers_Agroinsumos[[#This Row],[BUFFER AL]],"")</f>
        <v/>
      </c>
      <c r="CU448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48" s="135"/>
      <c r="CW448" s="135"/>
      <c r="CX448" s="135"/>
      <c r="CY448" s="135"/>
      <c r="CZ448" s="135"/>
      <c r="DA448" s="135"/>
      <c r="DB448" s="135"/>
      <c r="DC448" s="135"/>
      <c r="DD448" s="135"/>
      <c r="DE448" s="135" t="str">
        <f t="array" ref="DE448">IFERROR(INDEX(TABLACONSOLIDADA[Buff Act],MATCH("AGROINSUMOSAGRONUEVO"&amp;Tabla_Buffers_Agroinsumos[[#This Row],[CODIGO ]],TABLACONSOLIDADA[Bodega]&amp;TABLACONSOLIDADA[Codigo],0)),"")</f>
        <v/>
      </c>
      <c r="DF448" s="111" t="str">
        <f t="array" ref="DF448">IFERROR(INDEX(TABLACONSOLIDADA[Inv Fís Act],MATCH("AGROINSUMOSAGRONUEVO"&amp;Tabla_Buffers_Agroinsumos[[#This Row],[CODIGO ]],TABLACONSOLIDADA[Bodega]&amp;TABLACONSOLIDADA[Codigo],0)),"")</f>
        <v/>
      </c>
      <c r="DG448" s="161" t="str">
        <f t="array" ref="DG448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48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48" s="135">
        <f>IFERROR(SUM(Tabla_Buffers_Agroinsumos[[#This Row],[AN-MP]:[AN-VL]]),"")</f>
        <v>0</v>
      </c>
      <c r="DJ448" s="154" t="str">
        <f>IFERROR(Tabla_Buffers_Agroinsumos[[#This Row],[INV FIS AN]]-Tabla_Buffers_Agroinsumos[[#This Row],[BUFFER AN]],"")</f>
        <v/>
      </c>
      <c r="DK448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48" s="135"/>
      <c r="DM448" s="135"/>
      <c r="DN448" s="135"/>
      <c r="DO448" s="135"/>
      <c r="DP448" s="135"/>
      <c r="DQ448" s="135"/>
      <c r="DR448" s="135"/>
      <c r="DS448" s="135"/>
      <c r="DT448" s="135"/>
      <c r="DU448" s="135" t="str">
        <f t="array" ref="DU448">IFERROR(INDEX(TABLACONSOLIDADA[Buff Act],MATCH("AGROINSUMOSAGROQUIMICOSSUR"&amp;Tabla_Buffers_Agroinsumos[[#This Row],[CODIGO ]],TABLACONSOLIDADA[Bodega]&amp;TABLACONSOLIDADA[Codigo],0)),"")</f>
        <v/>
      </c>
      <c r="DV448" s="111" t="str">
        <f t="array" ref="DV448">IFERROR(INDEX(TABLACONSOLIDADA[Inv Fís Act],MATCH("AGROINSUMOSAGROQUIMICOSSUR"&amp;Tabla_Buffers_Agroinsumos[[#This Row],[CODIGO ]],TABLACONSOLIDADA[Bodega]&amp;TABLACONSOLIDADA[Codigo],0)),"")</f>
        <v/>
      </c>
      <c r="DW448" s="161" t="str">
        <f t="array" ref="DW448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48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48" s="135">
        <f>IFERROR(SUM(Tabla_Buffers_Agroinsumos[[#This Row],[AS-MP]:[AS-VL]]),"")</f>
        <v>0</v>
      </c>
      <c r="DZ448" s="154" t="str">
        <f>IFERROR(Tabla_Buffers_Agroinsumos[[#This Row],[INV FIS AS]]-Tabla_Buffers_Agroinsumos[[#This Row],[BUFFER AS]],"")</f>
        <v/>
      </c>
      <c r="EA448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48" s="135"/>
      <c r="EC448" s="135"/>
      <c r="ED448" s="135"/>
      <c r="EE448" s="135"/>
      <c r="EF448" s="135"/>
      <c r="EG448" s="135"/>
      <c r="EH448" s="135"/>
      <c r="EI448" s="135"/>
      <c r="EJ448" s="135"/>
      <c r="EK448" s="135" t="str">
        <f t="array" ref="EK448">IFERROR(INDEX(TABLACONSOLIDADA[Buff Act],MATCH("AGROINSUMOSLAFINCA"&amp;Tabla_Buffers_Agroinsumos[[#This Row],[CODIGO ]],TABLACONSOLIDADA[Bodega]&amp;TABLACONSOLIDADA[Codigo],0)),"")</f>
        <v/>
      </c>
      <c r="EL448" s="111" t="str">
        <f t="array" ref="EL448">IFERROR(INDEX(TABLACONSOLIDADA[Inv Fís Act],MATCH("AGROINSUMOSLAFINCA"&amp;Tabla_Buffers_Agroinsumos[[#This Row],[CODIGO ]],TABLACONSOLIDADA[Bodega]&amp;TABLACONSOLIDADA[Codigo],0)),"")</f>
        <v/>
      </c>
      <c r="EM448" s="161" t="str">
        <f t="array" ref="EM448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48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48" s="135">
        <f>IFERROR(SUM(Tabla_Buffers_Agroinsumos[[#This Row],[LF-MP]:[LF-VL]]),"")</f>
        <v>0</v>
      </c>
      <c r="EP448" s="154" t="str">
        <f>IFERROR(Tabla_Buffers_Agroinsumos[[#This Row],[INV FIS LF]]-Tabla_Buffers_Agroinsumos[[#This Row],[BUFFER LF]],"")</f>
        <v/>
      </c>
      <c r="EQ448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48" s="135"/>
      <c r="ES448" s="135"/>
      <c r="ET448" s="135"/>
      <c r="EU448" s="135"/>
      <c r="EV448" s="135"/>
      <c r="EW448" s="135"/>
      <c r="EX448" s="135"/>
      <c r="EY448" s="135"/>
      <c r="EZ448" s="135"/>
      <c r="FA448" s="135" t="str">
        <f t="array" ref="FA448">IFERROR(INDEX(TABLACONSOLIDADA[Buff Act],MATCH("AGROINSUMOSVERONICALEDESMA"&amp;Tabla_Buffers_Agroinsumos[[#This Row],[CODIGO ]],TABLACONSOLIDADA[Bodega]&amp;TABLACONSOLIDADA[Codigo],0)),"")</f>
        <v/>
      </c>
      <c r="FB448" s="111" t="str">
        <f t="array" ref="FB448">IFERROR(INDEX(TABLACONSOLIDADA[Inv Fís Act],MATCH("AGROINSUMOSVERONICALEDESMA"&amp;Tabla_Buffers_Agroinsumos[[#This Row],[CODIGO ]],TABLACONSOLIDADA[Bodega]&amp;TABLACONSOLIDADA[Codigo],0)),"")</f>
        <v/>
      </c>
      <c r="FC448" s="161" t="str">
        <f t="array" ref="FC448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48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48" s="135">
        <f>IFERROR(SUM(Tabla_Buffers_Agroinsumos[[#This Row],[VL-MP]:[VL-LF]]),"")</f>
        <v>0</v>
      </c>
      <c r="FF448" s="154" t="str">
        <f>IFERROR(Tabla_Buffers_Agroinsumos[[#This Row],[INV FIS VL]]-Tabla_Buffers_Agroinsumos[[#This Row],[BUFFER VL]],"")</f>
        <v/>
      </c>
      <c r="FG448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48" s="135"/>
      <c r="FI448" s="135"/>
      <c r="FJ448" s="135"/>
      <c r="FK448" s="135"/>
      <c r="FL448" s="135"/>
      <c r="FM448" s="135"/>
      <c r="FN448" s="135"/>
      <c r="FO448" s="135"/>
      <c r="FP448" s="135"/>
    </row>
    <row r="449" spans="1:172">
      <c r="A449" s="20" t="s">
        <v>1386</v>
      </c>
      <c r="B449" s="20" t="s">
        <v>1388</v>
      </c>
      <c r="C449" s="20"/>
      <c r="D449" s="20" t="s">
        <v>718</v>
      </c>
      <c r="E449" s="20" t="s">
        <v>863</v>
      </c>
      <c r="F449" s="111"/>
      <c r="G449" s="111" t="s">
        <v>802</v>
      </c>
      <c r="H449" s="111" t="e">
        <f>VLOOKUP(Tabla_Buffers_Agroinsumos[[#This Row],[CODIGO ]],TABLACONSOLIDADA[[Codigo]:[PV]],6,0)</f>
        <v>#N/A</v>
      </c>
      <c r="I449" s="111" t="e">
        <f>VLOOKUP(Tabla_Buffers_Agroinsumos[[#This Row],[CODIGO ]],TABLACONSOLIDADA[[Codigo]:[PV]],5,0)</f>
        <v>#N/A</v>
      </c>
      <c r="J449" s="111"/>
      <c r="K449" s="111"/>
      <c r="L449" s="111">
        <f>IFERROR(Tabla_Buffers_Agroinsumos[[#This Row],[BUFFER CENTRAL]]/((Tabla_Buffers_Agroinsumos[[#This Row],[TIEMPO REPOSICION ]]/Tabla_Buffers_Agroinsumos[[#This Row],[FRECUENCIA]])+1),0)</f>
        <v>0</v>
      </c>
      <c r="M449" s="111" t="str">
        <f t="array" ref="M449">IFERROR(INDEX(TABLACONSOLIDADA[Buff Act],MATCH("AGROINSUMOSMATERIAPRIMA"&amp;Tabla_Buffers_Agroinsumos[[#This Row],[CODIGO ]],TABLACONSOLIDADA[Bodega]&amp;TABLACONSOLIDADA[Codigo],0)),"")</f>
        <v/>
      </c>
      <c r="N449" s="111" t="str">
        <f t="array" ref="N449">IFERROR(INDEX(TABLACONSOLIDADA[Inv Fís Act],MATCH("AGROINSUMOSMATERIAPRIMA"&amp;Tabla_Buffers_Agroinsumos[[#This Row],[CODIGO ]],TABLACONSOLIDADA[Bodega]&amp;TABLACONSOLIDADA[Codigo],0)),"")</f>
        <v/>
      </c>
      <c r="O449" s="161" t="str">
        <f t="array" ref="O449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49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49" s="111">
        <f>IFERROR(SUM(Tabla_Buffers_Agroinsumos[[#This Row],[MP-C]:[MP-VL]]),"")</f>
        <v>0</v>
      </c>
      <c r="R449" s="154" t="str">
        <f>IFERROR(Tabla_Buffers_Agroinsumos[[#This Row],[INV FIS MATERIA PRIMA]]-Tabla_Buffers_Agroinsumos[[#This Row],[BUFFER MATERIA PRIMA]],"")</f>
        <v/>
      </c>
      <c r="S449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49" s="111"/>
      <c r="U449" s="111"/>
      <c r="V449" s="111"/>
      <c r="W449" s="111"/>
      <c r="X449" s="111"/>
      <c r="Y449" s="111"/>
      <c r="Z449" s="111"/>
      <c r="AA449" s="111"/>
      <c r="AB449" s="111"/>
      <c r="AC449" s="135" t="str">
        <f t="array" ref="AC449">IFERROR(INDEX(TABLACONSOLIDADA[Buff Act],MATCH("AGROINSUMOSCENTRAL"&amp;Tabla_Buffers_Agroinsumos[[#This Row],[CODIGO ]],TABLACONSOLIDADA[Bodega]&amp;TABLACONSOLIDADA[Codigo],0)),"")</f>
        <v/>
      </c>
      <c r="AD449" s="111" t="str">
        <f t="array" ref="AD449">IFERROR(INDEX(TABLACONSOLIDADA[Inv Fís Act],MATCH("AGROINSUMOSCENTRAL"&amp;Tabla_Buffers_Agroinsumos[[#This Row],[CODIGO ]],TABLACONSOLIDADA[Bodega]&amp;TABLACONSOLIDADA[Codigo],0)),"")</f>
        <v/>
      </c>
      <c r="AE449" s="161" t="str">
        <f t="array" ref="AE449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49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49" s="153">
        <f>IFERROR(SUM(Tabla_Buffers_Agroinsumos[[#This Row],[C-MP]:[C-VL]]),"")</f>
        <v>0</v>
      </c>
      <c r="AH449" s="154" t="str">
        <f>IFERROR(Tabla_Buffers_Agroinsumos[[#This Row],[INV FIS CENTRAL]]-Tabla_Buffers_Agroinsumos[[#This Row],[BUFFER CENTRAL]],"")</f>
        <v/>
      </c>
      <c r="AI449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49" s="135"/>
      <c r="AK449" s="135"/>
      <c r="AL449" s="135"/>
      <c r="AM449" s="135"/>
      <c r="AN449" s="135"/>
      <c r="AO449" s="135"/>
      <c r="AP449" s="135"/>
      <c r="AQ449" s="135"/>
      <c r="AR449" s="135"/>
      <c r="AS449" s="135" t="str">
        <f t="array" ref="AS449">IFERROR(INDEX(TABLACONSOLIDADA[Buff Act],MATCH("AGROINSUMOScentralPROPIA"&amp;Tabla_Buffers_Agroinsumos[[#This Row],[CODIGO ]],TABLACONSOLIDADA[Bodega]&amp;TABLACONSOLIDADA[Codigo],0)),"")</f>
        <v/>
      </c>
      <c r="AT449" s="111" t="str">
        <f t="array" ref="AT449">IFERROR(INDEX(TABLACONSOLIDADA[Inv Fís Act],MATCH("AGROINSUMOScentralPROPIA"&amp;Tabla_Buffers_Agroinsumos[[#This Row],[CODIGO ]],TABLACONSOLIDADA[Bodega]&amp;TABLACONSOLIDADA[Codigo],0)),"")</f>
        <v/>
      </c>
      <c r="AU449" s="161" t="str">
        <f t="array" ref="AU449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49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49" s="135">
        <f>IFERROR(SUM(Tabla_Buffers_Agroinsumos[[#This Row],[P-MP]:[P-VL]]),"")</f>
        <v>0</v>
      </c>
      <c r="AX449" s="154" t="str">
        <f>IFERROR(Tabla_Buffers_Agroinsumos[[#This Row],[INV FIS PROPIA]]-Tabla_Buffers_Agroinsumos[[#This Row],[BUFFER PROPIA]],"")</f>
        <v/>
      </c>
      <c r="AY449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49" s="135"/>
      <c r="BA449" s="135"/>
      <c r="BB449" s="135"/>
      <c r="BC449" s="135"/>
      <c r="BD449" s="135"/>
      <c r="BE449" s="135"/>
      <c r="BF449" s="135"/>
      <c r="BG449" s="135"/>
      <c r="BH449" s="135"/>
      <c r="BI449" s="153" t="str">
        <f t="array" ref="BI449">IFERROR(INDEX(TABLACONSOLIDADA[Buff Act],MATCH("AGROINSUMOSSTODOMINGO"&amp;Tabla_Buffers_Agroinsumos[[#This Row],[CODIGO ]],TABLACONSOLIDADA[Bodega]&amp;TABLACONSOLIDADA[Codigo],0)),"")</f>
        <v/>
      </c>
      <c r="BJ449" s="111" t="str">
        <f t="array" ref="BJ449">IFERROR(INDEX(TABLACONSOLIDADA[Inv Fís Act],MATCH("AGROINSUMOSSTODOMINGO"&amp;Tabla_Buffers_Agroinsumos[[#This Row],[CODIGO ]],TABLACONSOLIDADA[Bodega]&amp;TABLACONSOLIDADA[Codigo],0)),"")</f>
        <v/>
      </c>
      <c r="BK449" s="161" t="str">
        <f t="array" ref="BK449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49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49" s="153">
        <f>IFERROR(SUM(Tabla_Buffers_Agroinsumos[[#This Row],[SD-MP]:[SD-VL]]),"")</f>
        <v>0</v>
      </c>
      <c r="BN449" s="154"/>
      <c r="BO449" s="154"/>
      <c r="BP449" s="135"/>
      <c r="BQ449" s="135"/>
      <c r="BR449" s="135"/>
      <c r="BS449" s="135"/>
      <c r="BT449" s="135"/>
      <c r="BU449" s="135"/>
      <c r="BV449" s="135"/>
      <c r="BW449" s="135"/>
      <c r="BX449" s="135"/>
      <c r="BY449" s="135" t="str">
        <f t="array" ref="BY449">IFERROR(INDEX(TABLACONSOLIDADA[Buff Act],MATCH("AGROINSUMOSMONCAYOLOPEZ"&amp;Tabla_Buffers_Agroinsumos[[#This Row],[CODIGO ]],TABLACONSOLIDADA[Bodega]&amp;TABLACONSOLIDADA[Codigo],0)),"")</f>
        <v/>
      </c>
      <c r="BZ449" s="111" t="str">
        <f t="array" ref="BZ449">IFERROR(INDEX(TABLACONSOLIDADA[Inv Fís Act],MATCH("AGROINSUMOSMONCAYOLOPEZ"&amp;Tabla_Buffers_Agroinsumos[[#This Row],[CODIGO ]],TABLACONSOLIDADA[Bodega]&amp;TABLACONSOLIDADA[Codigo],0)),"")</f>
        <v/>
      </c>
      <c r="CA449" s="161" t="str">
        <f t="array" ref="CA449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49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49" s="135">
        <f>IFERROR(SUM(Tabla_Buffers_Agroinsumos[[#This Row],[ML-MP]:[ML-VL]]),"")</f>
        <v>0</v>
      </c>
      <c r="CD449" s="154" t="str">
        <f>IFERROR(Tabla_Buffers_Agroinsumos[[#This Row],[INV FIS ML]]-Tabla_Buffers_Agroinsumos[[#This Row],[BUFFER ML]],"")</f>
        <v/>
      </c>
      <c r="CE449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49" s="135"/>
      <c r="CG449" s="135"/>
      <c r="CH449" s="135"/>
      <c r="CI449" s="135"/>
      <c r="CJ449" s="135"/>
      <c r="CK449" s="135"/>
      <c r="CL449" s="135"/>
      <c r="CM449" s="135"/>
      <c r="CN449" s="135"/>
      <c r="CO449" s="135" t="str">
        <f t="array" ref="CO449">IFERROR(INDEX(TABLACONSOLIDADA[Buff Act],MATCH("AGROINSUMOSAGROHERMANOSLEON"&amp;Tabla_Buffers_Agroinsumos[[#This Row],[CODIGO ]],TABLACONSOLIDADA[Bodega]&amp;TABLACONSOLIDADA[Codigo],0)),"")</f>
        <v/>
      </c>
      <c r="CP449" s="111" t="str">
        <f t="array" ref="CP449">IFERROR(INDEX(TABLACONSOLIDADA[Inv Fís Act],MATCH("AGROINSUMOSAGROHERMANOSLEON"&amp;Tabla_Buffers_Agroinsumos[[#This Row],[CODIGO ]],TABLACONSOLIDADA[Bodega]&amp;TABLACONSOLIDADA[Codigo],0)),"")</f>
        <v/>
      </c>
      <c r="CQ449" s="161" t="str">
        <f t="array" ref="CQ449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49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49" s="135">
        <f>IFERROR(SUM(Tabla_Buffers_Agroinsumos[[#This Row],[AL-MP]:[AL-VL]]),"")</f>
        <v>0</v>
      </c>
      <c r="CT449" s="154" t="str">
        <f>IFERROR(Tabla_Buffers_Agroinsumos[[#This Row],[INV FIS AL]]-Tabla_Buffers_Agroinsumos[[#This Row],[BUFFER AL]],"")</f>
        <v/>
      </c>
      <c r="CU449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49" s="135"/>
      <c r="CW449" s="135"/>
      <c r="CX449" s="135"/>
      <c r="CY449" s="135"/>
      <c r="CZ449" s="135"/>
      <c r="DA449" s="135"/>
      <c r="DB449" s="135"/>
      <c r="DC449" s="135"/>
      <c r="DD449" s="135"/>
      <c r="DE449" s="135" t="str">
        <f t="array" ref="DE449">IFERROR(INDEX(TABLACONSOLIDADA[Buff Act],MATCH("AGROINSUMOSAGRONUEVO"&amp;Tabla_Buffers_Agroinsumos[[#This Row],[CODIGO ]],TABLACONSOLIDADA[Bodega]&amp;TABLACONSOLIDADA[Codigo],0)),"")</f>
        <v/>
      </c>
      <c r="DF449" s="111" t="str">
        <f t="array" ref="DF449">IFERROR(INDEX(TABLACONSOLIDADA[Inv Fís Act],MATCH("AGROINSUMOSAGRONUEVO"&amp;Tabla_Buffers_Agroinsumos[[#This Row],[CODIGO ]],TABLACONSOLIDADA[Bodega]&amp;TABLACONSOLIDADA[Codigo],0)),"")</f>
        <v/>
      </c>
      <c r="DG449" s="161" t="str">
        <f t="array" ref="DG449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49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49" s="135">
        <f>IFERROR(SUM(Tabla_Buffers_Agroinsumos[[#This Row],[AN-MP]:[AN-VL]]),"")</f>
        <v>0</v>
      </c>
      <c r="DJ449" s="154" t="str">
        <f>IFERROR(Tabla_Buffers_Agroinsumos[[#This Row],[INV FIS AN]]-Tabla_Buffers_Agroinsumos[[#This Row],[BUFFER AN]],"")</f>
        <v/>
      </c>
      <c r="DK449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49" s="135"/>
      <c r="DM449" s="135"/>
      <c r="DN449" s="135"/>
      <c r="DO449" s="135"/>
      <c r="DP449" s="135"/>
      <c r="DQ449" s="135"/>
      <c r="DR449" s="135"/>
      <c r="DS449" s="135"/>
      <c r="DT449" s="135"/>
      <c r="DU449" s="135" t="str">
        <f t="array" ref="DU449">IFERROR(INDEX(TABLACONSOLIDADA[Buff Act],MATCH("AGROINSUMOSAGROQUIMICOSSUR"&amp;Tabla_Buffers_Agroinsumos[[#This Row],[CODIGO ]],TABLACONSOLIDADA[Bodega]&amp;TABLACONSOLIDADA[Codigo],0)),"")</f>
        <v/>
      </c>
      <c r="DV449" s="111" t="str">
        <f t="array" ref="DV449">IFERROR(INDEX(TABLACONSOLIDADA[Inv Fís Act],MATCH("AGROINSUMOSAGROQUIMICOSSUR"&amp;Tabla_Buffers_Agroinsumos[[#This Row],[CODIGO ]],TABLACONSOLIDADA[Bodega]&amp;TABLACONSOLIDADA[Codigo],0)),"")</f>
        <v/>
      </c>
      <c r="DW449" s="161" t="str">
        <f t="array" ref="DW449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49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49" s="135">
        <f>IFERROR(SUM(Tabla_Buffers_Agroinsumos[[#This Row],[AS-MP]:[AS-VL]]),"")</f>
        <v>0</v>
      </c>
      <c r="DZ449" s="154" t="str">
        <f>IFERROR(Tabla_Buffers_Agroinsumos[[#This Row],[INV FIS AS]]-Tabla_Buffers_Agroinsumos[[#This Row],[BUFFER AS]],"")</f>
        <v/>
      </c>
      <c r="EA449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49" s="135"/>
      <c r="EC449" s="135"/>
      <c r="ED449" s="135"/>
      <c r="EE449" s="135"/>
      <c r="EF449" s="135"/>
      <c r="EG449" s="135"/>
      <c r="EH449" s="135"/>
      <c r="EI449" s="135"/>
      <c r="EJ449" s="135"/>
      <c r="EK449" s="135" t="str">
        <f t="array" ref="EK449">IFERROR(INDEX(TABLACONSOLIDADA[Buff Act],MATCH("AGROINSUMOSLAFINCA"&amp;Tabla_Buffers_Agroinsumos[[#This Row],[CODIGO ]],TABLACONSOLIDADA[Bodega]&amp;TABLACONSOLIDADA[Codigo],0)),"")</f>
        <v/>
      </c>
      <c r="EL449" s="111" t="str">
        <f t="array" ref="EL449">IFERROR(INDEX(TABLACONSOLIDADA[Inv Fís Act],MATCH("AGROINSUMOSLAFINCA"&amp;Tabla_Buffers_Agroinsumos[[#This Row],[CODIGO ]],TABLACONSOLIDADA[Bodega]&amp;TABLACONSOLIDADA[Codigo],0)),"")</f>
        <v/>
      </c>
      <c r="EM449" s="161" t="str">
        <f t="array" ref="EM449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49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49" s="135">
        <f>IFERROR(SUM(Tabla_Buffers_Agroinsumos[[#This Row],[LF-MP]:[LF-VL]]),"")</f>
        <v>0</v>
      </c>
      <c r="EP449" s="154" t="str">
        <f>IFERROR(Tabla_Buffers_Agroinsumos[[#This Row],[INV FIS LF]]-Tabla_Buffers_Agroinsumos[[#This Row],[BUFFER LF]],"")</f>
        <v/>
      </c>
      <c r="EQ449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49" s="135"/>
      <c r="ES449" s="135"/>
      <c r="ET449" s="135"/>
      <c r="EU449" s="135"/>
      <c r="EV449" s="135"/>
      <c r="EW449" s="135"/>
      <c r="EX449" s="135"/>
      <c r="EY449" s="135"/>
      <c r="EZ449" s="135"/>
      <c r="FA449" s="135" t="str">
        <f t="array" ref="FA449">IFERROR(INDEX(TABLACONSOLIDADA[Buff Act],MATCH("AGROINSUMOSVERONICALEDESMA"&amp;Tabla_Buffers_Agroinsumos[[#This Row],[CODIGO ]],TABLACONSOLIDADA[Bodega]&amp;TABLACONSOLIDADA[Codigo],0)),"")</f>
        <v/>
      </c>
      <c r="FB449" s="111" t="str">
        <f t="array" ref="FB449">IFERROR(INDEX(TABLACONSOLIDADA[Inv Fís Act],MATCH("AGROINSUMOSVERONICALEDESMA"&amp;Tabla_Buffers_Agroinsumos[[#This Row],[CODIGO ]],TABLACONSOLIDADA[Bodega]&amp;TABLACONSOLIDADA[Codigo],0)),"")</f>
        <v/>
      </c>
      <c r="FC449" s="161" t="str">
        <f t="array" ref="FC449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49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49" s="135">
        <f>IFERROR(SUM(Tabla_Buffers_Agroinsumos[[#This Row],[VL-MP]:[VL-LF]]),"")</f>
        <v>0</v>
      </c>
      <c r="FF449" s="154" t="str">
        <f>IFERROR(Tabla_Buffers_Agroinsumos[[#This Row],[INV FIS VL]]-Tabla_Buffers_Agroinsumos[[#This Row],[BUFFER VL]],"")</f>
        <v/>
      </c>
      <c r="FG449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49" s="135"/>
      <c r="FI449" s="135"/>
      <c r="FJ449" s="135"/>
      <c r="FK449" s="135"/>
      <c r="FL449" s="135"/>
      <c r="FM449" s="135"/>
      <c r="FN449" s="135"/>
      <c r="FO449" s="135"/>
      <c r="FP449" s="135"/>
    </row>
    <row r="450" spans="1:172">
      <c r="A450" s="20" t="s">
        <v>1387</v>
      </c>
      <c r="B450" s="20" t="s">
        <v>1389</v>
      </c>
      <c r="C450" s="20"/>
      <c r="D450" s="20" t="s">
        <v>718</v>
      </c>
      <c r="E450" s="20" t="s">
        <v>863</v>
      </c>
      <c r="F450" s="111"/>
      <c r="G450" s="111" t="s">
        <v>802</v>
      </c>
      <c r="H450" s="111" t="e">
        <f>VLOOKUP(Tabla_Buffers_Agroinsumos[[#This Row],[CODIGO ]],TABLACONSOLIDADA[[Codigo]:[PV]],6,0)</f>
        <v>#N/A</v>
      </c>
      <c r="I450" s="111" t="e">
        <f>VLOOKUP(Tabla_Buffers_Agroinsumos[[#This Row],[CODIGO ]],TABLACONSOLIDADA[[Codigo]:[PV]],5,0)</f>
        <v>#N/A</v>
      </c>
      <c r="J450" s="111"/>
      <c r="K450" s="111"/>
      <c r="L450" s="111">
        <f>IFERROR(Tabla_Buffers_Agroinsumos[[#This Row],[BUFFER CENTRAL]]/((Tabla_Buffers_Agroinsumos[[#This Row],[TIEMPO REPOSICION ]]/Tabla_Buffers_Agroinsumos[[#This Row],[FRECUENCIA]])+1),0)</f>
        <v>0</v>
      </c>
      <c r="M450" s="111" t="str">
        <f t="array" ref="M450">IFERROR(INDEX(TABLACONSOLIDADA[Buff Act],MATCH("AGROINSUMOSMATERIAPRIMA"&amp;Tabla_Buffers_Agroinsumos[[#This Row],[CODIGO ]],TABLACONSOLIDADA[Bodega]&amp;TABLACONSOLIDADA[Codigo],0)),"")</f>
        <v/>
      </c>
      <c r="N450" s="111" t="str">
        <f t="array" ref="N450">IFERROR(INDEX(TABLACONSOLIDADA[Inv Fís Act],MATCH("AGROINSUMOSMATERIAPRIMA"&amp;Tabla_Buffers_Agroinsumos[[#This Row],[CODIGO ]],TABLACONSOLIDADA[Bodega]&amp;TABLACONSOLIDADA[Codigo],0)),"")</f>
        <v/>
      </c>
      <c r="O450" s="161" t="str">
        <f t="array" ref="O450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50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50" s="111">
        <f>IFERROR(SUM(Tabla_Buffers_Agroinsumos[[#This Row],[MP-C]:[MP-VL]]),"")</f>
        <v>0</v>
      </c>
      <c r="R450" s="154" t="str">
        <f>IFERROR(Tabla_Buffers_Agroinsumos[[#This Row],[INV FIS MATERIA PRIMA]]-Tabla_Buffers_Agroinsumos[[#This Row],[BUFFER MATERIA PRIMA]],"")</f>
        <v/>
      </c>
      <c r="S450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50" s="111"/>
      <c r="U450" s="111"/>
      <c r="V450" s="111"/>
      <c r="W450" s="111"/>
      <c r="X450" s="111"/>
      <c r="Y450" s="111"/>
      <c r="Z450" s="111"/>
      <c r="AA450" s="111"/>
      <c r="AB450" s="111"/>
      <c r="AC450" s="135" t="str">
        <f t="array" ref="AC450">IFERROR(INDEX(TABLACONSOLIDADA[Buff Act],MATCH("AGROINSUMOSCENTRAL"&amp;Tabla_Buffers_Agroinsumos[[#This Row],[CODIGO ]],TABLACONSOLIDADA[Bodega]&amp;TABLACONSOLIDADA[Codigo],0)),"")</f>
        <v/>
      </c>
      <c r="AD450" s="111" t="str">
        <f t="array" ref="AD450">IFERROR(INDEX(TABLACONSOLIDADA[Inv Fís Act],MATCH("AGROINSUMOSCENTRAL"&amp;Tabla_Buffers_Agroinsumos[[#This Row],[CODIGO ]],TABLACONSOLIDADA[Bodega]&amp;TABLACONSOLIDADA[Codigo],0)),"")</f>
        <v/>
      </c>
      <c r="AE450" s="161" t="str">
        <f t="array" ref="AE450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50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50" s="153">
        <f>IFERROR(SUM(Tabla_Buffers_Agroinsumos[[#This Row],[C-MP]:[C-VL]]),"")</f>
        <v>0</v>
      </c>
      <c r="AH450" s="154" t="str">
        <f>IFERROR(Tabla_Buffers_Agroinsumos[[#This Row],[INV FIS CENTRAL]]-Tabla_Buffers_Agroinsumos[[#This Row],[BUFFER CENTRAL]],"")</f>
        <v/>
      </c>
      <c r="AI450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50" s="135"/>
      <c r="AK450" s="135"/>
      <c r="AL450" s="135"/>
      <c r="AM450" s="135"/>
      <c r="AN450" s="135"/>
      <c r="AO450" s="135"/>
      <c r="AP450" s="135"/>
      <c r="AQ450" s="135"/>
      <c r="AR450" s="135"/>
      <c r="AS450" s="135" t="str">
        <f t="array" ref="AS450">IFERROR(INDEX(TABLACONSOLIDADA[Buff Act],MATCH("AGROINSUMOScentralPROPIA"&amp;Tabla_Buffers_Agroinsumos[[#This Row],[CODIGO ]],TABLACONSOLIDADA[Bodega]&amp;TABLACONSOLIDADA[Codigo],0)),"")</f>
        <v/>
      </c>
      <c r="AT450" s="111" t="str">
        <f t="array" ref="AT450">IFERROR(INDEX(TABLACONSOLIDADA[Inv Fís Act],MATCH("AGROINSUMOScentralPROPIA"&amp;Tabla_Buffers_Agroinsumos[[#This Row],[CODIGO ]],TABLACONSOLIDADA[Bodega]&amp;TABLACONSOLIDADA[Codigo],0)),"")</f>
        <v/>
      </c>
      <c r="AU450" s="161" t="str">
        <f t="array" ref="AU450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50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50" s="135">
        <f>IFERROR(SUM(Tabla_Buffers_Agroinsumos[[#This Row],[P-MP]:[P-VL]]),"")</f>
        <v>0</v>
      </c>
      <c r="AX450" s="154" t="str">
        <f>IFERROR(Tabla_Buffers_Agroinsumos[[#This Row],[INV FIS PROPIA]]-Tabla_Buffers_Agroinsumos[[#This Row],[BUFFER PROPIA]],"")</f>
        <v/>
      </c>
      <c r="AY450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50" s="135"/>
      <c r="BA450" s="135"/>
      <c r="BB450" s="135"/>
      <c r="BC450" s="135"/>
      <c r="BD450" s="135"/>
      <c r="BE450" s="135"/>
      <c r="BF450" s="135"/>
      <c r="BG450" s="135"/>
      <c r="BH450" s="135"/>
      <c r="BI450" s="153" t="str">
        <f t="array" ref="BI450">IFERROR(INDEX(TABLACONSOLIDADA[Buff Act],MATCH("AGROINSUMOSSTODOMINGO"&amp;Tabla_Buffers_Agroinsumos[[#This Row],[CODIGO ]],TABLACONSOLIDADA[Bodega]&amp;TABLACONSOLIDADA[Codigo],0)),"")</f>
        <v/>
      </c>
      <c r="BJ450" s="111" t="str">
        <f t="array" ref="BJ450">IFERROR(INDEX(TABLACONSOLIDADA[Inv Fís Act],MATCH("AGROINSUMOSSTODOMINGO"&amp;Tabla_Buffers_Agroinsumos[[#This Row],[CODIGO ]],TABLACONSOLIDADA[Bodega]&amp;TABLACONSOLIDADA[Codigo],0)),"")</f>
        <v/>
      </c>
      <c r="BK450" s="161" t="str">
        <f t="array" ref="BK450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50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50" s="153">
        <f>IFERROR(SUM(Tabla_Buffers_Agroinsumos[[#This Row],[SD-MP]:[SD-VL]]),"")</f>
        <v>0</v>
      </c>
      <c r="BN450" s="154"/>
      <c r="BO450" s="154"/>
      <c r="BP450" s="135"/>
      <c r="BQ450" s="135"/>
      <c r="BR450" s="135"/>
      <c r="BS450" s="135"/>
      <c r="BT450" s="135"/>
      <c r="BU450" s="135"/>
      <c r="BV450" s="135"/>
      <c r="BW450" s="135"/>
      <c r="BX450" s="135"/>
      <c r="BY450" s="135" t="str">
        <f t="array" ref="BY450">IFERROR(INDEX(TABLACONSOLIDADA[Buff Act],MATCH("AGROINSUMOSMONCAYOLOPEZ"&amp;Tabla_Buffers_Agroinsumos[[#This Row],[CODIGO ]],TABLACONSOLIDADA[Bodega]&amp;TABLACONSOLIDADA[Codigo],0)),"")</f>
        <v/>
      </c>
      <c r="BZ450" s="111" t="str">
        <f t="array" ref="BZ450">IFERROR(INDEX(TABLACONSOLIDADA[Inv Fís Act],MATCH("AGROINSUMOSMONCAYOLOPEZ"&amp;Tabla_Buffers_Agroinsumos[[#This Row],[CODIGO ]],TABLACONSOLIDADA[Bodega]&amp;TABLACONSOLIDADA[Codigo],0)),"")</f>
        <v/>
      </c>
      <c r="CA450" s="161" t="str">
        <f t="array" ref="CA450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50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50" s="135">
        <f>IFERROR(SUM(Tabla_Buffers_Agroinsumos[[#This Row],[ML-MP]:[ML-VL]]),"")</f>
        <v>0</v>
      </c>
      <c r="CD450" s="154" t="str">
        <f>IFERROR(Tabla_Buffers_Agroinsumos[[#This Row],[INV FIS ML]]-Tabla_Buffers_Agroinsumos[[#This Row],[BUFFER ML]],"")</f>
        <v/>
      </c>
      <c r="CE450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50" s="135"/>
      <c r="CG450" s="135"/>
      <c r="CH450" s="135"/>
      <c r="CI450" s="135"/>
      <c r="CJ450" s="135"/>
      <c r="CK450" s="135"/>
      <c r="CL450" s="135"/>
      <c r="CM450" s="135"/>
      <c r="CN450" s="135"/>
      <c r="CO450" s="135" t="str">
        <f t="array" ref="CO450">IFERROR(INDEX(TABLACONSOLIDADA[Buff Act],MATCH("AGROINSUMOSAGROHERMANOSLEON"&amp;Tabla_Buffers_Agroinsumos[[#This Row],[CODIGO ]],TABLACONSOLIDADA[Bodega]&amp;TABLACONSOLIDADA[Codigo],0)),"")</f>
        <v/>
      </c>
      <c r="CP450" s="111" t="str">
        <f t="array" ref="CP450">IFERROR(INDEX(TABLACONSOLIDADA[Inv Fís Act],MATCH("AGROINSUMOSAGROHERMANOSLEON"&amp;Tabla_Buffers_Agroinsumos[[#This Row],[CODIGO ]],TABLACONSOLIDADA[Bodega]&amp;TABLACONSOLIDADA[Codigo],0)),"")</f>
        <v/>
      </c>
      <c r="CQ450" s="161" t="str">
        <f t="array" ref="CQ450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50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50" s="135">
        <f>IFERROR(SUM(Tabla_Buffers_Agroinsumos[[#This Row],[AL-MP]:[AL-VL]]),"")</f>
        <v>0</v>
      </c>
      <c r="CT450" s="154" t="str">
        <f>IFERROR(Tabla_Buffers_Agroinsumos[[#This Row],[INV FIS AL]]-Tabla_Buffers_Agroinsumos[[#This Row],[BUFFER AL]],"")</f>
        <v/>
      </c>
      <c r="CU450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50" s="135"/>
      <c r="CW450" s="135"/>
      <c r="CX450" s="135"/>
      <c r="CY450" s="135"/>
      <c r="CZ450" s="135"/>
      <c r="DA450" s="135"/>
      <c r="DB450" s="135"/>
      <c r="DC450" s="135"/>
      <c r="DD450" s="135"/>
      <c r="DE450" s="135" t="str">
        <f t="array" ref="DE450">IFERROR(INDEX(TABLACONSOLIDADA[Buff Act],MATCH("AGROINSUMOSAGRONUEVO"&amp;Tabla_Buffers_Agroinsumos[[#This Row],[CODIGO ]],TABLACONSOLIDADA[Bodega]&amp;TABLACONSOLIDADA[Codigo],0)),"")</f>
        <v/>
      </c>
      <c r="DF450" s="111" t="str">
        <f t="array" ref="DF450">IFERROR(INDEX(TABLACONSOLIDADA[Inv Fís Act],MATCH("AGROINSUMOSAGRONUEVO"&amp;Tabla_Buffers_Agroinsumos[[#This Row],[CODIGO ]],TABLACONSOLIDADA[Bodega]&amp;TABLACONSOLIDADA[Codigo],0)),"")</f>
        <v/>
      </c>
      <c r="DG450" s="161" t="str">
        <f t="array" ref="DG450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50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50" s="135">
        <f>IFERROR(SUM(Tabla_Buffers_Agroinsumos[[#This Row],[AN-MP]:[AN-VL]]),"")</f>
        <v>0</v>
      </c>
      <c r="DJ450" s="154" t="str">
        <f>IFERROR(Tabla_Buffers_Agroinsumos[[#This Row],[INV FIS AN]]-Tabla_Buffers_Agroinsumos[[#This Row],[BUFFER AN]],"")</f>
        <v/>
      </c>
      <c r="DK450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50" s="135"/>
      <c r="DM450" s="135"/>
      <c r="DN450" s="135"/>
      <c r="DO450" s="135"/>
      <c r="DP450" s="135"/>
      <c r="DQ450" s="135"/>
      <c r="DR450" s="135"/>
      <c r="DS450" s="135"/>
      <c r="DT450" s="135"/>
      <c r="DU450" s="135" t="str">
        <f t="array" ref="DU450">IFERROR(INDEX(TABLACONSOLIDADA[Buff Act],MATCH("AGROINSUMOSAGROQUIMICOSSUR"&amp;Tabla_Buffers_Agroinsumos[[#This Row],[CODIGO ]],TABLACONSOLIDADA[Bodega]&amp;TABLACONSOLIDADA[Codigo],0)),"")</f>
        <v/>
      </c>
      <c r="DV450" s="111" t="str">
        <f t="array" ref="DV450">IFERROR(INDEX(TABLACONSOLIDADA[Inv Fís Act],MATCH("AGROINSUMOSAGROQUIMICOSSUR"&amp;Tabla_Buffers_Agroinsumos[[#This Row],[CODIGO ]],TABLACONSOLIDADA[Bodega]&amp;TABLACONSOLIDADA[Codigo],0)),"")</f>
        <v/>
      </c>
      <c r="DW450" s="161" t="str">
        <f t="array" ref="DW450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50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50" s="135">
        <f>IFERROR(SUM(Tabla_Buffers_Agroinsumos[[#This Row],[AS-MP]:[AS-VL]]),"")</f>
        <v>0</v>
      </c>
      <c r="DZ450" s="154" t="str">
        <f>IFERROR(Tabla_Buffers_Agroinsumos[[#This Row],[INV FIS AS]]-Tabla_Buffers_Agroinsumos[[#This Row],[BUFFER AS]],"")</f>
        <v/>
      </c>
      <c r="EA450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50" s="135"/>
      <c r="EC450" s="135"/>
      <c r="ED450" s="135"/>
      <c r="EE450" s="135"/>
      <c r="EF450" s="135"/>
      <c r="EG450" s="135"/>
      <c r="EH450" s="135"/>
      <c r="EI450" s="135"/>
      <c r="EJ450" s="135"/>
      <c r="EK450" s="135" t="str">
        <f t="array" ref="EK450">IFERROR(INDEX(TABLACONSOLIDADA[Buff Act],MATCH("AGROINSUMOSLAFINCA"&amp;Tabla_Buffers_Agroinsumos[[#This Row],[CODIGO ]],TABLACONSOLIDADA[Bodega]&amp;TABLACONSOLIDADA[Codigo],0)),"")</f>
        <v/>
      </c>
      <c r="EL450" s="111" t="str">
        <f t="array" ref="EL450">IFERROR(INDEX(TABLACONSOLIDADA[Inv Fís Act],MATCH("AGROINSUMOSLAFINCA"&amp;Tabla_Buffers_Agroinsumos[[#This Row],[CODIGO ]],TABLACONSOLIDADA[Bodega]&amp;TABLACONSOLIDADA[Codigo],0)),"")</f>
        <v/>
      </c>
      <c r="EM450" s="161" t="str">
        <f t="array" ref="EM450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50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50" s="135">
        <f>IFERROR(SUM(Tabla_Buffers_Agroinsumos[[#This Row],[LF-MP]:[LF-VL]]),"")</f>
        <v>0</v>
      </c>
      <c r="EP450" s="154" t="str">
        <f>IFERROR(Tabla_Buffers_Agroinsumos[[#This Row],[INV FIS LF]]-Tabla_Buffers_Agroinsumos[[#This Row],[BUFFER LF]],"")</f>
        <v/>
      </c>
      <c r="EQ450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50" s="135"/>
      <c r="ES450" s="135"/>
      <c r="ET450" s="135"/>
      <c r="EU450" s="135"/>
      <c r="EV450" s="135"/>
      <c r="EW450" s="135"/>
      <c r="EX450" s="135"/>
      <c r="EY450" s="135"/>
      <c r="EZ450" s="135"/>
      <c r="FA450" s="135" t="str">
        <f t="array" ref="FA450">IFERROR(INDEX(TABLACONSOLIDADA[Buff Act],MATCH("AGROINSUMOSVERONICALEDESMA"&amp;Tabla_Buffers_Agroinsumos[[#This Row],[CODIGO ]],TABLACONSOLIDADA[Bodega]&amp;TABLACONSOLIDADA[Codigo],0)),"")</f>
        <v/>
      </c>
      <c r="FB450" s="111" t="str">
        <f t="array" ref="FB450">IFERROR(INDEX(TABLACONSOLIDADA[Inv Fís Act],MATCH("AGROINSUMOSVERONICALEDESMA"&amp;Tabla_Buffers_Agroinsumos[[#This Row],[CODIGO ]],TABLACONSOLIDADA[Bodega]&amp;TABLACONSOLIDADA[Codigo],0)),"")</f>
        <v/>
      </c>
      <c r="FC450" s="161" t="str">
        <f t="array" ref="FC450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50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50" s="135">
        <f>IFERROR(SUM(Tabla_Buffers_Agroinsumos[[#This Row],[VL-MP]:[VL-LF]]),"")</f>
        <v>0</v>
      </c>
      <c r="FF450" s="154" t="str">
        <f>IFERROR(Tabla_Buffers_Agroinsumos[[#This Row],[INV FIS VL]]-Tabla_Buffers_Agroinsumos[[#This Row],[BUFFER VL]],"")</f>
        <v/>
      </c>
      <c r="FG450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50" s="135"/>
      <c r="FI450" s="135"/>
      <c r="FJ450" s="135"/>
      <c r="FK450" s="135"/>
      <c r="FL450" s="135"/>
      <c r="FM450" s="135"/>
      <c r="FN450" s="135"/>
      <c r="FO450" s="135"/>
      <c r="FP450" s="135"/>
    </row>
    <row r="451" spans="1:172">
      <c r="A451" s="20" t="s">
        <v>1390</v>
      </c>
      <c r="B451" s="133" t="s">
        <v>1399</v>
      </c>
      <c r="C451" s="20"/>
      <c r="D451" s="20" t="s">
        <v>718</v>
      </c>
      <c r="E451" s="20"/>
      <c r="F451" s="111"/>
      <c r="G451" s="111" t="s">
        <v>873</v>
      </c>
      <c r="H451" s="111" t="e">
        <f>VLOOKUP(Tabla_Buffers_Agroinsumos[[#This Row],[CODIGO ]],TABLACONSOLIDADA[[Codigo]:[PV]],6,0)</f>
        <v>#N/A</v>
      </c>
      <c r="I451" s="111" t="e">
        <f>VLOOKUP(Tabla_Buffers_Agroinsumos[[#This Row],[CODIGO ]],TABLACONSOLIDADA[[Codigo]:[PV]],5,0)</f>
        <v>#N/A</v>
      </c>
      <c r="J451" s="111"/>
      <c r="K451" s="111"/>
      <c r="L451" s="111">
        <f>IFERROR(Tabla_Buffers_Agroinsumos[[#This Row],[BUFFER CENTRAL]]/((Tabla_Buffers_Agroinsumos[[#This Row],[TIEMPO REPOSICION ]]/Tabla_Buffers_Agroinsumos[[#This Row],[FRECUENCIA]])+1),0)</f>
        <v>0</v>
      </c>
      <c r="M451" s="111" t="str">
        <f t="array" ref="M451">IFERROR(INDEX(TABLACONSOLIDADA[Buff Act],MATCH("AGROINSUMOSMATERIAPRIMA"&amp;Tabla_Buffers_Agroinsumos[[#This Row],[CODIGO ]],TABLACONSOLIDADA[Bodega]&amp;TABLACONSOLIDADA[Codigo],0)),"")</f>
        <v/>
      </c>
      <c r="N451" s="111" t="str">
        <f t="array" ref="N451">IFERROR(INDEX(TABLACONSOLIDADA[Inv Fís Act],MATCH("AGROINSUMOSMATERIAPRIMA"&amp;Tabla_Buffers_Agroinsumos[[#This Row],[CODIGO ]],TABLACONSOLIDADA[Bodega]&amp;TABLACONSOLIDADA[Codigo],0)),"")</f>
        <v/>
      </c>
      <c r="O451" s="191" t="str">
        <f t="array" ref="O451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51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51" s="111">
        <f>IFERROR(SUM(Tabla_Buffers_Agroinsumos[[#This Row],[MP-C]:[MP-VL]]),"")</f>
        <v>0</v>
      </c>
      <c r="R451" s="154" t="str">
        <f>IFERROR(Tabla_Buffers_Agroinsumos[[#This Row],[INV FIS MATERIA PRIMA]]-Tabla_Buffers_Agroinsumos[[#This Row],[BUFFER MATERIA PRIMA]],"")</f>
        <v/>
      </c>
      <c r="S451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51" s="111"/>
      <c r="U451" s="111"/>
      <c r="V451" s="111"/>
      <c r="W451" s="111"/>
      <c r="X451" s="111"/>
      <c r="Y451" s="111"/>
      <c r="Z451" s="111"/>
      <c r="AA451" s="111"/>
      <c r="AB451" s="111"/>
      <c r="AC451" s="135" t="str">
        <f t="array" ref="AC451">IFERROR(INDEX(TABLACONSOLIDADA[Buff Act],MATCH("AGROINSUMOSCENTRAL"&amp;Tabla_Buffers_Agroinsumos[[#This Row],[CODIGO ]],TABLACONSOLIDADA[Bodega]&amp;TABLACONSOLIDADA[Codigo],0)),"")</f>
        <v/>
      </c>
      <c r="AD451" s="111" t="str">
        <f t="array" ref="AD451">IFERROR(INDEX(TABLACONSOLIDADA[Inv Fís Act],MATCH("AGROINSUMOSCENTRAL"&amp;Tabla_Buffers_Agroinsumos[[#This Row],[CODIGO ]],TABLACONSOLIDADA[Bodega]&amp;TABLACONSOLIDADA[Codigo],0)),"")</f>
        <v/>
      </c>
      <c r="AE451" s="191" t="str">
        <f t="array" ref="AE451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51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51" s="153">
        <f>IFERROR(SUM(Tabla_Buffers_Agroinsumos[[#This Row],[C-MP]:[C-VL]]),"")</f>
        <v>0</v>
      </c>
      <c r="AH451" s="154" t="str">
        <f>IFERROR(Tabla_Buffers_Agroinsumos[[#This Row],[INV FIS CENTRAL]]-Tabla_Buffers_Agroinsumos[[#This Row],[BUFFER CENTRAL]],"")</f>
        <v/>
      </c>
      <c r="AI451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51" s="135"/>
      <c r="AK451" s="135"/>
      <c r="AL451" s="135"/>
      <c r="AM451" s="135"/>
      <c r="AN451" s="135"/>
      <c r="AO451" s="135"/>
      <c r="AP451" s="135"/>
      <c r="AQ451" s="135"/>
      <c r="AR451" s="135"/>
      <c r="AS451" s="135" t="str">
        <f t="array" ref="AS451">IFERROR(INDEX(TABLACONSOLIDADA[Buff Act],MATCH("AGROINSUMOScentralPROPIA"&amp;Tabla_Buffers_Agroinsumos[[#This Row],[CODIGO ]],TABLACONSOLIDADA[Bodega]&amp;TABLACONSOLIDADA[Codigo],0)),"")</f>
        <v/>
      </c>
      <c r="AT451" s="111" t="str">
        <f t="array" ref="AT451">IFERROR(INDEX(TABLACONSOLIDADA[Inv Fís Act],MATCH("AGROINSUMOScentralPROPIA"&amp;Tabla_Buffers_Agroinsumos[[#This Row],[CODIGO ]],TABLACONSOLIDADA[Bodega]&amp;TABLACONSOLIDADA[Codigo],0)),"")</f>
        <v/>
      </c>
      <c r="AU451" s="191" t="str">
        <f t="array" ref="AU451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51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51" s="135">
        <f>IFERROR(SUM(Tabla_Buffers_Agroinsumos[[#This Row],[P-MP]:[P-VL]]),"")</f>
        <v>0</v>
      </c>
      <c r="AX451" s="154" t="str">
        <f>IFERROR(Tabla_Buffers_Agroinsumos[[#This Row],[INV FIS PROPIA]]-Tabla_Buffers_Agroinsumos[[#This Row],[BUFFER PROPIA]],"")</f>
        <v/>
      </c>
      <c r="AY451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51" s="135"/>
      <c r="BA451" s="135"/>
      <c r="BB451" s="135"/>
      <c r="BC451" s="135"/>
      <c r="BD451" s="135"/>
      <c r="BE451" s="135"/>
      <c r="BF451" s="135"/>
      <c r="BG451" s="135"/>
      <c r="BH451" s="135"/>
      <c r="BI451" s="153" t="str">
        <f t="array" ref="BI451">IFERROR(INDEX(TABLACONSOLIDADA[Buff Act],MATCH("AGROINSUMOSSTODOMINGO"&amp;Tabla_Buffers_Agroinsumos[[#This Row],[CODIGO ]],TABLACONSOLIDADA[Bodega]&amp;TABLACONSOLIDADA[Codigo],0)),"")</f>
        <v/>
      </c>
      <c r="BJ451" s="111" t="str">
        <f t="array" ref="BJ451">IFERROR(INDEX(TABLACONSOLIDADA[Inv Fís Act],MATCH("AGROINSUMOSSTODOMINGO"&amp;Tabla_Buffers_Agroinsumos[[#This Row],[CODIGO ]],TABLACONSOLIDADA[Bodega]&amp;TABLACONSOLIDADA[Codigo],0)),"")</f>
        <v/>
      </c>
      <c r="BK451" s="191" t="str">
        <f t="array" ref="BK451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51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51" s="153">
        <f>IFERROR(SUM(Tabla_Buffers_Agroinsumos[[#This Row],[SD-MP]:[SD-VL]]),"")</f>
        <v>0</v>
      </c>
      <c r="BN451" s="154"/>
      <c r="BO451" s="154"/>
      <c r="BP451" s="135"/>
      <c r="BQ451" s="135"/>
      <c r="BR451" s="135"/>
      <c r="BS451" s="135"/>
      <c r="BT451" s="135"/>
      <c r="BU451" s="135"/>
      <c r="BV451" s="135"/>
      <c r="BW451" s="135"/>
      <c r="BX451" s="135"/>
      <c r="BY451" s="135" t="str">
        <f t="array" ref="BY451">IFERROR(INDEX(TABLACONSOLIDADA[Buff Act],MATCH("AGROINSUMOSMONCAYOLOPEZ"&amp;Tabla_Buffers_Agroinsumos[[#This Row],[CODIGO ]],TABLACONSOLIDADA[Bodega]&amp;TABLACONSOLIDADA[Codigo],0)),"")</f>
        <v/>
      </c>
      <c r="BZ451" s="111" t="str">
        <f t="array" ref="BZ451">IFERROR(INDEX(TABLACONSOLIDADA[Inv Fís Act],MATCH("AGROINSUMOSMONCAYOLOPEZ"&amp;Tabla_Buffers_Agroinsumos[[#This Row],[CODIGO ]],TABLACONSOLIDADA[Bodega]&amp;TABLACONSOLIDADA[Codigo],0)),"")</f>
        <v/>
      </c>
      <c r="CA451" s="191" t="str">
        <f t="array" ref="CA451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51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51" s="135">
        <f>IFERROR(SUM(Tabla_Buffers_Agroinsumos[[#This Row],[ML-MP]:[ML-VL]]),"")</f>
        <v>0</v>
      </c>
      <c r="CD451" s="154" t="str">
        <f>IFERROR(Tabla_Buffers_Agroinsumos[[#This Row],[INV FIS ML]]-Tabla_Buffers_Agroinsumos[[#This Row],[BUFFER ML]],"")</f>
        <v/>
      </c>
      <c r="CE451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51" s="135"/>
      <c r="CG451" s="135"/>
      <c r="CH451" s="135"/>
      <c r="CI451" s="135"/>
      <c r="CJ451" s="135"/>
      <c r="CK451" s="135"/>
      <c r="CL451" s="135"/>
      <c r="CM451" s="135"/>
      <c r="CN451" s="135"/>
      <c r="CO451" s="135" t="str">
        <f t="array" ref="CO451">IFERROR(INDEX(TABLACONSOLIDADA[Buff Act],MATCH("AGROINSUMOSAGROHERMANOSLEON"&amp;Tabla_Buffers_Agroinsumos[[#This Row],[CODIGO ]],TABLACONSOLIDADA[Bodega]&amp;TABLACONSOLIDADA[Codigo],0)),"")</f>
        <v/>
      </c>
      <c r="CP451" s="111" t="str">
        <f t="array" ref="CP451">IFERROR(INDEX(TABLACONSOLIDADA[Inv Fís Act],MATCH("AGROINSUMOSAGROHERMANOSLEON"&amp;Tabla_Buffers_Agroinsumos[[#This Row],[CODIGO ]],TABLACONSOLIDADA[Bodega]&amp;TABLACONSOLIDADA[Codigo],0)),"")</f>
        <v/>
      </c>
      <c r="CQ451" s="191" t="str">
        <f t="array" ref="CQ451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51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51" s="135">
        <f>IFERROR(SUM(Tabla_Buffers_Agroinsumos[[#This Row],[AL-MP]:[AL-VL]]),"")</f>
        <v>0</v>
      </c>
      <c r="CT451" s="154" t="str">
        <f>IFERROR(Tabla_Buffers_Agroinsumos[[#This Row],[INV FIS AL]]-Tabla_Buffers_Agroinsumos[[#This Row],[BUFFER AL]],"")</f>
        <v/>
      </c>
      <c r="CU451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51" s="135"/>
      <c r="CW451" s="135"/>
      <c r="CX451" s="135"/>
      <c r="CY451" s="135"/>
      <c r="CZ451" s="135"/>
      <c r="DA451" s="135"/>
      <c r="DB451" s="135"/>
      <c r="DC451" s="135"/>
      <c r="DD451" s="135"/>
      <c r="DE451" s="135" t="str">
        <f t="array" ref="DE451">IFERROR(INDEX(TABLACONSOLIDADA[Buff Act],MATCH("AGROINSUMOSAGRONUEVO"&amp;Tabla_Buffers_Agroinsumos[[#This Row],[CODIGO ]],TABLACONSOLIDADA[Bodega]&amp;TABLACONSOLIDADA[Codigo],0)),"")</f>
        <v/>
      </c>
      <c r="DF451" s="111" t="str">
        <f t="array" ref="DF451">IFERROR(INDEX(TABLACONSOLIDADA[Inv Fís Act],MATCH("AGROINSUMOSAGRONUEVO"&amp;Tabla_Buffers_Agroinsumos[[#This Row],[CODIGO ]],TABLACONSOLIDADA[Bodega]&amp;TABLACONSOLIDADA[Codigo],0)),"")</f>
        <v/>
      </c>
      <c r="DG451" s="191" t="str">
        <f t="array" ref="DG451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51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51" s="135">
        <f>IFERROR(SUM(Tabla_Buffers_Agroinsumos[[#This Row],[AN-MP]:[AN-VL]]),"")</f>
        <v>0</v>
      </c>
      <c r="DJ451" s="154" t="str">
        <f>IFERROR(Tabla_Buffers_Agroinsumos[[#This Row],[INV FIS AN]]-Tabla_Buffers_Agroinsumos[[#This Row],[BUFFER AN]],"")</f>
        <v/>
      </c>
      <c r="DK451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51" s="135"/>
      <c r="DM451" s="135"/>
      <c r="DN451" s="135"/>
      <c r="DO451" s="135"/>
      <c r="DP451" s="135"/>
      <c r="DQ451" s="135"/>
      <c r="DR451" s="135"/>
      <c r="DS451" s="135"/>
      <c r="DT451" s="135"/>
      <c r="DU451" s="135" t="str">
        <f t="array" ref="DU451">IFERROR(INDEX(TABLACONSOLIDADA[Buff Act],MATCH("AGROINSUMOSAGROQUIMICOSSUR"&amp;Tabla_Buffers_Agroinsumos[[#This Row],[CODIGO ]],TABLACONSOLIDADA[Bodega]&amp;TABLACONSOLIDADA[Codigo],0)),"")</f>
        <v/>
      </c>
      <c r="DV451" s="111" t="str">
        <f t="array" ref="DV451">IFERROR(INDEX(TABLACONSOLIDADA[Inv Fís Act],MATCH("AGROINSUMOSAGROQUIMICOSSUR"&amp;Tabla_Buffers_Agroinsumos[[#This Row],[CODIGO ]],TABLACONSOLIDADA[Bodega]&amp;TABLACONSOLIDADA[Codigo],0)),"")</f>
        <v/>
      </c>
      <c r="DW451" s="191" t="str">
        <f t="array" ref="DW451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51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51" s="135">
        <f>IFERROR(SUM(Tabla_Buffers_Agroinsumos[[#This Row],[AS-MP]:[AS-VL]]),"")</f>
        <v>0</v>
      </c>
      <c r="DZ451" s="154" t="str">
        <f>IFERROR(Tabla_Buffers_Agroinsumos[[#This Row],[INV FIS AS]]-Tabla_Buffers_Agroinsumos[[#This Row],[BUFFER AS]],"")</f>
        <v/>
      </c>
      <c r="EA451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51" s="135"/>
      <c r="EC451" s="135"/>
      <c r="ED451" s="135"/>
      <c r="EE451" s="135"/>
      <c r="EF451" s="135"/>
      <c r="EG451" s="135"/>
      <c r="EH451" s="135"/>
      <c r="EI451" s="135"/>
      <c r="EJ451" s="135"/>
      <c r="EK451" s="135" t="str">
        <f t="array" ref="EK451">IFERROR(INDEX(TABLACONSOLIDADA[Buff Act],MATCH("AGROINSUMOSLAFINCA"&amp;Tabla_Buffers_Agroinsumos[[#This Row],[CODIGO ]],TABLACONSOLIDADA[Bodega]&amp;TABLACONSOLIDADA[Codigo],0)),"")</f>
        <v/>
      </c>
      <c r="EL451" s="111" t="str">
        <f t="array" ref="EL451">IFERROR(INDEX(TABLACONSOLIDADA[Inv Fís Act],MATCH("AGROINSUMOSLAFINCA"&amp;Tabla_Buffers_Agroinsumos[[#This Row],[CODIGO ]],TABLACONSOLIDADA[Bodega]&amp;TABLACONSOLIDADA[Codigo],0)),"")</f>
        <v/>
      </c>
      <c r="EM451" s="191" t="str">
        <f t="array" ref="EM451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51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51" s="135">
        <f>IFERROR(SUM(Tabla_Buffers_Agroinsumos[[#This Row],[LF-MP]:[LF-VL]]),"")</f>
        <v>0</v>
      </c>
      <c r="EP451" s="154" t="str">
        <f>IFERROR(Tabla_Buffers_Agroinsumos[[#This Row],[INV FIS LF]]-Tabla_Buffers_Agroinsumos[[#This Row],[BUFFER LF]],"")</f>
        <v/>
      </c>
      <c r="EQ451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51" s="135"/>
      <c r="ES451" s="135"/>
      <c r="ET451" s="135"/>
      <c r="EU451" s="135"/>
      <c r="EV451" s="135"/>
      <c r="EW451" s="135"/>
      <c r="EX451" s="135"/>
      <c r="EY451" s="135"/>
      <c r="EZ451" s="135"/>
      <c r="FA451" s="135" t="str">
        <f t="array" ref="FA451">IFERROR(INDEX(TABLACONSOLIDADA[Buff Act],MATCH("AGROINSUMOSVERONICALEDESMA"&amp;Tabla_Buffers_Agroinsumos[[#This Row],[CODIGO ]],TABLACONSOLIDADA[Bodega]&amp;TABLACONSOLIDADA[Codigo],0)),"")</f>
        <v/>
      </c>
      <c r="FB451" s="111" t="str">
        <f t="array" ref="FB451">IFERROR(INDEX(TABLACONSOLIDADA[Inv Fís Act],MATCH("AGROINSUMOSVERONICALEDESMA"&amp;Tabla_Buffers_Agroinsumos[[#This Row],[CODIGO ]],TABLACONSOLIDADA[Bodega]&amp;TABLACONSOLIDADA[Codigo],0)),"")</f>
        <v/>
      </c>
      <c r="FC451" s="191" t="str">
        <f t="array" ref="FC451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51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51" s="135">
        <f>IFERROR(SUM(Tabla_Buffers_Agroinsumos[[#This Row],[VL-MP]:[VL-LF]]),"")</f>
        <v>0</v>
      </c>
      <c r="FF451" s="154" t="str">
        <f>IFERROR(Tabla_Buffers_Agroinsumos[[#This Row],[INV FIS VL]]-Tabla_Buffers_Agroinsumos[[#This Row],[BUFFER VL]],"")</f>
        <v/>
      </c>
      <c r="FG451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51" s="135"/>
      <c r="FI451" s="135"/>
      <c r="FJ451" s="135"/>
      <c r="FK451" s="135"/>
      <c r="FL451" s="135"/>
      <c r="FM451" s="135"/>
      <c r="FN451" s="135"/>
      <c r="FO451" s="135"/>
      <c r="FP451" s="135"/>
    </row>
    <row r="452" spans="1:172">
      <c r="A452" s="20" t="s">
        <v>1391</v>
      </c>
      <c r="B452" s="133" t="s">
        <v>1398</v>
      </c>
      <c r="C452" s="20"/>
      <c r="D452" s="20" t="s">
        <v>718</v>
      </c>
      <c r="E452" s="20"/>
      <c r="F452" s="111"/>
      <c r="G452" s="111" t="s">
        <v>873</v>
      </c>
      <c r="H452" s="111" t="e">
        <f>VLOOKUP(Tabla_Buffers_Agroinsumos[[#This Row],[CODIGO ]],TABLACONSOLIDADA[[Codigo]:[PV]],6,0)</f>
        <v>#N/A</v>
      </c>
      <c r="I452" s="111" t="e">
        <f>VLOOKUP(Tabla_Buffers_Agroinsumos[[#This Row],[CODIGO ]],TABLACONSOLIDADA[[Codigo]:[PV]],5,0)</f>
        <v>#N/A</v>
      </c>
      <c r="J452" s="111"/>
      <c r="K452" s="111"/>
      <c r="L452" s="111">
        <f>IFERROR(Tabla_Buffers_Agroinsumos[[#This Row],[BUFFER CENTRAL]]/((Tabla_Buffers_Agroinsumos[[#This Row],[TIEMPO REPOSICION ]]/Tabla_Buffers_Agroinsumos[[#This Row],[FRECUENCIA]])+1),0)</f>
        <v>0</v>
      </c>
      <c r="M452" s="111" t="str">
        <f t="array" ref="M452">IFERROR(INDEX(TABLACONSOLIDADA[Buff Act],MATCH("AGROINSUMOSMATERIAPRIMA"&amp;Tabla_Buffers_Agroinsumos[[#This Row],[CODIGO ]],TABLACONSOLIDADA[Bodega]&amp;TABLACONSOLIDADA[Codigo],0)),"")</f>
        <v/>
      </c>
      <c r="N452" s="111" t="str">
        <f t="array" ref="N452">IFERROR(INDEX(TABLACONSOLIDADA[Inv Fís Act],MATCH("AGROINSUMOSMATERIAPRIMA"&amp;Tabla_Buffers_Agroinsumos[[#This Row],[CODIGO ]],TABLACONSOLIDADA[Bodega]&amp;TABLACONSOLIDADA[Codigo],0)),"")</f>
        <v/>
      </c>
      <c r="O452" s="191" t="str">
        <f t="array" ref="O452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52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52" s="111">
        <f>IFERROR(SUM(Tabla_Buffers_Agroinsumos[[#This Row],[MP-C]:[MP-VL]]),"")</f>
        <v>0</v>
      </c>
      <c r="R452" s="154" t="str">
        <f>IFERROR(Tabla_Buffers_Agroinsumos[[#This Row],[INV FIS MATERIA PRIMA]]-Tabla_Buffers_Agroinsumos[[#This Row],[BUFFER MATERIA PRIMA]],"")</f>
        <v/>
      </c>
      <c r="S452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52" s="111"/>
      <c r="U452" s="111"/>
      <c r="V452" s="111"/>
      <c r="W452" s="111"/>
      <c r="X452" s="111"/>
      <c r="Y452" s="111"/>
      <c r="Z452" s="111"/>
      <c r="AA452" s="111"/>
      <c r="AB452" s="111"/>
      <c r="AC452" s="135" t="str">
        <f t="array" ref="AC452">IFERROR(INDEX(TABLACONSOLIDADA[Buff Act],MATCH("AGROINSUMOSCENTRAL"&amp;Tabla_Buffers_Agroinsumos[[#This Row],[CODIGO ]],TABLACONSOLIDADA[Bodega]&amp;TABLACONSOLIDADA[Codigo],0)),"")</f>
        <v/>
      </c>
      <c r="AD452" s="111" t="str">
        <f t="array" ref="AD452">IFERROR(INDEX(TABLACONSOLIDADA[Inv Fís Act],MATCH("AGROINSUMOSCENTRAL"&amp;Tabla_Buffers_Agroinsumos[[#This Row],[CODIGO ]],TABLACONSOLIDADA[Bodega]&amp;TABLACONSOLIDADA[Codigo],0)),"")</f>
        <v/>
      </c>
      <c r="AE452" s="191" t="str">
        <f t="array" ref="AE452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52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52" s="153">
        <f>IFERROR(SUM(Tabla_Buffers_Agroinsumos[[#This Row],[C-MP]:[C-VL]]),"")</f>
        <v>0</v>
      </c>
      <c r="AH452" s="154" t="str">
        <f>IFERROR(Tabla_Buffers_Agroinsumos[[#This Row],[INV FIS CENTRAL]]-Tabla_Buffers_Agroinsumos[[#This Row],[BUFFER CENTRAL]],"")</f>
        <v/>
      </c>
      <c r="AI452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52" s="135"/>
      <c r="AK452" s="135"/>
      <c r="AL452" s="135"/>
      <c r="AM452" s="135"/>
      <c r="AN452" s="135"/>
      <c r="AO452" s="135"/>
      <c r="AP452" s="135"/>
      <c r="AQ452" s="135"/>
      <c r="AR452" s="135"/>
      <c r="AS452" s="135" t="str">
        <f t="array" ref="AS452">IFERROR(INDEX(TABLACONSOLIDADA[Buff Act],MATCH("AGROINSUMOScentralPROPIA"&amp;Tabla_Buffers_Agroinsumos[[#This Row],[CODIGO ]],TABLACONSOLIDADA[Bodega]&amp;TABLACONSOLIDADA[Codigo],0)),"")</f>
        <v/>
      </c>
      <c r="AT452" s="111" t="str">
        <f t="array" ref="AT452">IFERROR(INDEX(TABLACONSOLIDADA[Inv Fís Act],MATCH("AGROINSUMOScentralPROPIA"&amp;Tabla_Buffers_Agroinsumos[[#This Row],[CODIGO ]],TABLACONSOLIDADA[Bodega]&amp;TABLACONSOLIDADA[Codigo],0)),"")</f>
        <v/>
      </c>
      <c r="AU452" s="191" t="str">
        <f t="array" ref="AU452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52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52" s="135">
        <f>IFERROR(SUM(Tabla_Buffers_Agroinsumos[[#This Row],[P-MP]:[P-VL]]),"")</f>
        <v>0</v>
      </c>
      <c r="AX452" s="154" t="str">
        <f>IFERROR(Tabla_Buffers_Agroinsumos[[#This Row],[INV FIS PROPIA]]-Tabla_Buffers_Agroinsumos[[#This Row],[BUFFER PROPIA]],"")</f>
        <v/>
      </c>
      <c r="AY452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52" s="135"/>
      <c r="BA452" s="135"/>
      <c r="BB452" s="135"/>
      <c r="BC452" s="135"/>
      <c r="BD452" s="135"/>
      <c r="BE452" s="135"/>
      <c r="BF452" s="135"/>
      <c r="BG452" s="135"/>
      <c r="BH452" s="135"/>
      <c r="BI452" s="153" t="str">
        <f t="array" ref="BI452">IFERROR(INDEX(TABLACONSOLIDADA[Buff Act],MATCH("AGROINSUMOSSTODOMINGO"&amp;Tabla_Buffers_Agroinsumos[[#This Row],[CODIGO ]],TABLACONSOLIDADA[Bodega]&amp;TABLACONSOLIDADA[Codigo],0)),"")</f>
        <v/>
      </c>
      <c r="BJ452" s="111" t="str">
        <f t="array" ref="BJ452">IFERROR(INDEX(TABLACONSOLIDADA[Inv Fís Act],MATCH("AGROINSUMOSSTODOMINGO"&amp;Tabla_Buffers_Agroinsumos[[#This Row],[CODIGO ]],TABLACONSOLIDADA[Bodega]&amp;TABLACONSOLIDADA[Codigo],0)),"")</f>
        <v/>
      </c>
      <c r="BK452" s="191" t="str">
        <f t="array" ref="BK452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52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52" s="153">
        <f>IFERROR(SUM(Tabla_Buffers_Agroinsumos[[#This Row],[SD-MP]:[SD-VL]]),"")</f>
        <v>0</v>
      </c>
      <c r="BN452" s="154"/>
      <c r="BO452" s="154"/>
      <c r="BP452" s="135"/>
      <c r="BQ452" s="135"/>
      <c r="BR452" s="135"/>
      <c r="BS452" s="135"/>
      <c r="BT452" s="135"/>
      <c r="BU452" s="135"/>
      <c r="BV452" s="135"/>
      <c r="BW452" s="135"/>
      <c r="BX452" s="135"/>
      <c r="BY452" s="135" t="str">
        <f t="array" ref="BY452">IFERROR(INDEX(TABLACONSOLIDADA[Buff Act],MATCH("AGROINSUMOSMONCAYOLOPEZ"&amp;Tabla_Buffers_Agroinsumos[[#This Row],[CODIGO ]],TABLACONSOLIDADA[Bodega]&amp;TABLACONSOLIDADA[Codigo],0)),"")</f>
        <v/>
      </c>
      <c r="BZ452" s="111" t="str">
        <f t="array" ref="BZ452">IFERROR(INDEX(TABLACONSOLIDADA[Inv Fís Act],MATCH("AGROINSUMOSMONCAYOLOPEZ"&amp;Tabla_Buffers_Agroinsumos[[#This Row],[CODIGO ]],TABLACONSOLIDADA[Bodega]&amp;TABLACONSOLIDADA[Codigo],0)),"")</f>
        <v/>
      </c>
      <c r="CA452" s="191" t="str">
        <f t="array" ref="CA452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52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52" s="135">
        <f>IFERROR(SUM(Tabla_Buffers_Agroinsumos[[#This Row],[ML-MP]:[ML-VL]]),"")</f>
        <v>0</v>
      </c>
      <c r="CD452" s="154" t="str">
        <f>IFERROR(Tabla_Buffers_Agroinsumos[[#This Row],[INV FIS ML]]-Tabla_Buffers_Agroinsumos[[#This Row],[BUFFER ML]],"")</f>
        <v/>
      </c>
      <c r="CE452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52" s="135"/>
      <c r="CG452" s="135"/>
      <c r="CH452" s="135"/>
      <c r="CI452" s="135"/>
      <c r="CJ452" s="135"/>
      <c r="CK452" s="135"/>
      <c r="CL452" s="135"/>
      <c r="CM452" s="135"/>
      <c r="CN452" s="135"/>
      <c r="CO452" s="135" t="str">
        <f t="array" ref="CO452">IFERROR(INDEX(TABLACONSOLIDADA[Buff Act],MATCH("AGROINSUMOSAGROHERMANOSLEON"&amp;Tabla_Buffers_Agroinsumos[[#This Row],[CODIGO ]],TABLACONSOLIDADA[Bodega]&amp;TABLACONSOLIDADA[Codigo],0)),"")</f>
        <v/>
      </c>
      <c r="CP452" s="111" t="str">
        <f t="array" ref="CP452">IFERROR(INDEX(TABLACONSOLIDADA[Inv Fís Act],MATCH("AGROINSUMOSAGROHERMANOSLEON"&amp;Tabla_Buffers_Agroinsumos[[#This Row],[CODIGO ]],TABLACONSOLIDADA[Bodega]&amp;TABLACONSOLIDADA[Codigo],0)),"")</f>
        <v/>
      </c>
      <c r="CQ452" s="191" t="str">
        <f t="array" ref="CQ452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52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52" s="135">
        <f>IFERROR(SUM(Tabla_Buffers_Agroinsumos[[#This Row],[AL-MP]:[AL-VL]]),"")</f>
        <v>0</v>
      </c>
      <c r="CT452" s="154" t="str">
        <f>IFERROR(Tabla_Buffers_Agroinsumos[[#This Row],[INV FIS AL]]-Tabla_Buffers_Agroinsumos[[#This Row],[BUFFER AL]],"")</f>
        <v/>
      </c>
      <c r="CU452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52" s="135"/>
      <c r="CW452" s="135"/>
      <c r="CX452" s="135"/>
      <c r="CY452" s="135"/>
      <c r="CZ452" s="135"/>
      <c r="DA452" s="135"/>
      <c r="DB452" s="135"/>
      <c r="DC452" s="135"/>
      <c r="DD452" s="135"/>
      <c r="DE452" s="135" t="str">
        <f t="array" ref="DE452">IFERROR(INDEX(TABLACONSOLIDADA[Buff Act],MATCH("AGROINSUMOSAGRONUEVO"&amp;Tabla_Buffers_Agroinsumos[[#This Row],[CODIGO ]],TABLACONSOLIDADA[Bodega]&amp;TABLACONSOLIDADA[Codigo],0)),"")</f>
        <v/>
      </c>
      <c r="DF452" s="111" t="str">
        <f t="array" ref="DF452">IFERROR(INDEX(TABLACONSOLIDADA[Inv Fís Act],MATCH("AGROINSUMOSAGRONUEVO"&amp;Tabla_Buffers_Agroinsumos[[#This Row],[CODIGO ]],TABLACONSOLIDADA[Bodega]&amp;TABLACONSOLIDADA[Codigo],0)),"")</f>
        <v/>
      </c>
      <c r="DG452" s="191" t="str">
        <f t="array" ref="DG452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52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52" s="135">
        <f>IFERROR(SUM(Tabla_Buffers_Agroinsumos[[#This Row],[AN-MP]:[AN-VL]]),"")</f>
        <v>0</v>
      </c>
      <c r="DJ452" s="154" t="str">
        <f>IFERROR(Tabla_Buffers_Agroinsumos[[#This Row],[INV FIS AN]]-Tabla_Buffers_Agroinsumos[[#This Row],[BUFFER AN]],"")</f>
        <v/>
      </c>
      <c r="DK452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52" s="135"/>
      <c r="DM452" s="135"/>
      <c r="DN452" s="135"/>
      <c r="DO452" s="135"/>
      <c r="DP452" s="135"/>
      <c r="DQ452" s="135"/>
      <c r="DR452" s="135"/>
      <c r="DS452" s="135"/>
      <c r="DT452" s="135"/>
      <c r="DU452" s="135" t="str">
        <f t="array" ref="DU452">IFERROR(INDEX(TABLACONSOLIDADA[Buff Act],MATCH("AGROINSUMOSAGROQUIMICOSSUR"&amp;Tabla_Buffers_Agroinsumos[[#This Row],[CODIGO ]],TABLACONSOLIDADA[Bodega]&amp;TABLACONSOLIDADA[Codigo],0)),"")</f>
        <v/>
      </c>
      <c r="DV452" s="111" t="str">
        <f t="array" ref="DV452">IFERROR(INDEX(TABLACONSOLIDADA[Inv Fís Act],MATCH("AGROINSUMOSAGROQUIMICOSSUR"&amp;Tabla_Buffers_Agroinsumos[[#This Row],[CODIGO ]],TABLACONSOLIDADA[Bodega]&amp;TABLACONSOLIDADA[Codigo],0)),"")</f>
        <v/>
      </c>
      <c r="DW452" s="191" t="str">
        <f t="array" ref="DW452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52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52" s="135">
        <f>IFERROR(SUM(Tabla_Buffers_Agroinsumos[[#This Row],[AS-MP]:[AS-VL]]),"")</f>
        <v>0</v>
      </c>
      <c r="DZ452" s="154" t="str">
        <f>IFERROR(Tabla_Buffers_Agroinsumos[[#This Row],[INV FIS AS]]-Tabla_Buffers_Agroinsumos[[#This Row],[BUFFER AS]],"")</f>
        <v/>
      </c>
      <c r="EA452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52" s="135"/>
      <c r="EC452" s="135"/>
      <c r="ED452" s="135"/>
      <c r="EE452" s="135"/>
      <c r="EF452" s="135"/>
      <c r="EG452" s="135"/>
      <c r="EH452" s="135"/>
      <c r="EI452" s="135"/>
      <c r="EJ452" s="135"/>
      <c r="EK452" s="135" t="str">
        <f t="array" ref="EK452">IFERROR(INDEX(TABLACONSOLIDADA[Buff Act],MATCH("AGROINSUMOSLAFINCA"&amp;Tabla_Buffers_Agroinsumos[[#This Row],[CODIGO ]],TABLACONSOLIDADA[Bodega]&amp;TABLACONSOLIDADA[Codigo],0)),"")</f>
        <v/>
      </c>
      <c r="EL452" s="111" t="str">
        <f t="array" ref="EL452">IFERROR(INDEX(TABLACONSOLIDADA[Inv Fís Act],MATCH("AGROINSUMOSLAFINCA"&amp;Tabla_Buffers_Agroinsumos[[#This Row],[CODIGO ]],TABLACONSOLIDADA[Bodega]&amp;TABLACONSOLIDADA[Codigo],0)),"")</f>
        <v/>
      </c>
      <c r="EM452" s="191" t="str">
        <f t="array" ref="EM452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52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52" s="135">
        <f>IFERROR(SUM(Tabla_Buffers_Agroinsumos[[#This Row],[LF-MP]:[LF-VL]]),"")</f>
        <v>0</v>
      </c>
      <c r="EP452" s="154" t="str">
        <f>IFERROR(Tabla_Buffers_Agroinsumos[[#This Row],[INV FIS LF]]-Tabla_Buffers_Agroinsumos[[#This Row],[BUFFER LF]],"")</f>
        <v/>
      </c>
      <c r="EQ452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52" s="135"/>
      <c r="ES452" s="135"/>
      <c r="ET452" s="135"/>
      <c r="EU452" s="135"/>
      <c r="EV452" s="135"/>
      <c r="EW452" s="135"/>
      <c r="EX452" s="135"/>
      <c r="EY452" s="135"/>
      <c r="EZ452" s="135"/>
      <c r="FA452" s="135" t="str">
        <f t="array" ref="FA452">IFERROR(INDEX(TABLACONSOLIDADA[Buff Act],MATCH("AGROINSUMOSVERONICALEDESMA"&amp;Tabla_Buffers_Agroinsumos[[#This Row],[CODIGO ]],TABLACONSOLIDADA[Bodega]&amp;TABLACONSOLIDADA[Codigo],0)),"")</f>
        <v/>
      </c>
      <c r="FB452" s="111" t="str">
        <f t="array" ref="FB452">IFERROR(INDEX(TABLACONSOLIDADA[Inv Fís Act],MATCH("AGROINSUMOSVERONICALEDESMA"&amp;Tabla_Buffers_Agroinsumos[[#This Row],[CODIGO ]],TABLACONSOLIDADA[Bodega]&amp;TABLACONSOLIDADA[Codigo],0)),"")</f>
        <v/>
      </c>
      <c r="FC452" s="191" t="str">
        <f t="array" ref="FC452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52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52" s="135">
        <f>IFERROR(SUM(Tabla_Buffers_Agroinsumos[[#This Row],[VL-MP]:[VL-LF]]),"")</f>
        <v>0</v>
      </c>
      <c r="FF452" s="154" t="str">
        <f>IFERROR(Tabla_Buffers_Agroinsumos[[#This Row],[INV FIS VL]]-Tabla_Buffers_Agroinsumos[[#This Row],[BUFFER VL]],"")</f>
        <v/>
      </c>
      <c r="FG452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52" s="135"/>
      <c r="FI452" s="135"/>
      <c r="FJ452" s="135"/>
      <c r="FK452" s="135"/>
      <c r="FL452" s="135"/>
      <c r="FM452" s="135"/>
      <c r="FN452" s="135"/>
      <c r="FO452" s="135"/>
      <c r="FP452" s="135"/>
    </row>
    <row r="453" spans="1:172">
      <c r="A453" s="20" t="s">
        <v>1392</v>
      </c>
      <c r="B453" s="133" t="s">
        <v>1397</v>
      </c>
      <c r="C453" s="20"/>
      <c r="D453" s="20" t="s">
        <v>718</v>
      </c>
      <c r="E453" s="20"/>
      <c r="F453" s="111"/>
      <c r="G453" s="111" t="s">
        <v>873</v>
      </c>
      <c r="H453" s="111" t="e">
        <f>VLOOKUP(Tabla_Buffers_Agroinsumos[[#This Row],[CODIGO ]],TABLACONSOLIDADA[[Codigo]:[PV]],6,0)</f>
        <v>#N/A</v>
      </c>
      <c r="I453" s="111" t="e">
        <f>VLOOKUP(Tabla_Buffers_Agroinsumos[[#This Row],[CODIGO ]],TABLACONSOLIDADA[[Codigo]:[PV]],5,0)</f>
        <v>#N/A</v>
      </c>
      <c r="J453" s="111"/>
      <c r="K453" s="111"/>
      <c r="L453" s="111">
        <f>IFERROR(Tabla_Buffers_Agroinsumos[[#This Row],[BUFFER CENTRAL]]/((Tabla_Buffers_Agroinsumos[[#This Row],[TIEMPO REPOSICION ]]/Tabla_Buffers_Agroinsumos[[#This Row],[FRECUENCIA]])+1),0)</f>
        <v>0</v>
      </c>
      <c r="M453" s="111" t="str">
        <f t="array" ref="M453">IFERROR(INDEX(TABLACONSOLIDADA[Buff Act],MATCH("AGROINSUMOSMATERIAPRIMA"&amp;Tabla_Buffers_Agroinsumos[[#This Row],[CODIGO ]],TABLACONSOLIDADA[Bodega]&amp;TABLACONSOLIDADA[Codigo],0)),"")</f>
        <v/>
      </c>
      <c r="N453" s="111" t="str">
        <f t="array" ref="N453">IFERROR(INDEX(TABLACONSOLIDADA[Inv Fís Act],MATCH("AGROINSUMOSMATERIAPRIMA"&amp;Tabla_Buffers_Agroinsumos[[#This Row],[CODIGO ]],TABLACONSOLIDADA[Bodega]&amp;TABLACONSOLIDADA[Codigo],0)),"")</f>
        <v/>
      </c>
      <c r="O453" s="191" t="str">
        <f t="array" ref="O453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53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53" s="111">
        <f>IFERROR(SUM(Tabla_Buffers_Agroinsumos[[#This Row],[MP-C]:[MP-VL]]),"")</f>
        <v>0</v>
      </c>
      <c r="R453" s="154" t="str">
        <f>IFERROR(Tabla_Buffers_Agroinsumos[[#This Row],[INV FIS MATERIA PRIMA]]-Tabla_Buffers_Agroinsumos[[#This Row],[BUFFER MATERIA PRIMA]],"")</f>
        <v/>
      </c>
      <c r="S453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53" s="111"/>
      <c r="U453" s="111"/>
      <c r="V453" s="111"/>
      <c r="W453" s="111"/>
      <c r="X453" s="111"/>
      <c r="Y453" s="111"/>
      <c r="Z453" s="111"/>
      <c r="AA453" s="111"/>
      <c r="AB453" s="111"/>
      <c r="AC453" s="135" t="str">
        <f t="array" ref="AC453">IFERROR(INDEX(TABLACONSOLIDADA[Buff Act],MATCH("AGROINSUMOSCENTRAL"&amp;Tabla_Buffers_Agroinsumos[[#This Row],[CODIGO ]],TABLACONSOLIDADA[Bodega]&amp;TABLACONSOLIDADA[Codigo],0)),"")</f>
        <v/>
      </c>
      <c r="AD453" s="111" t="str">
        <f t="array" ref="AD453">IFERROR(INDEX(TABLACONSOLIDADA[Inv Fís Act],MATCH("AGROINSUMOSCENTRAL"&amp;Tabla_Buffers_Agroinsumos[[#This Row],[CODIGO ]],TABLACONSOLIDADA[Bodega]&amp;TABLACONSOLIDADA[Codigo],0)),"")</f>
        <v/>
      </c>
      <c r="AE453" s="191" t="str">
        <f t="array" ref="AE453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53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53" s="153">
        <f>IFERROR(SUM(Tabla_Buffers_Agroinsumos[[#This Row],[C-MP]:[C-VL]]),"")</f>
        <v>0</v>
      </c>
      <c r="AH453" s="154" t="str">
        <f>IFERROR(Tabla_Buffers_Agroinsumos[[#This Row],[INV FIS CENTRAL]]-Tabla_Buffers_Agroinsumos[[#This Row],[BUFFER CENTRAL]],"")</f>
        <v/>
      </c>
      <c r="AI453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53" s="135"/>
      <c r="AK453" s="135"/>
      <c r="AL453" s="135"/>
      <c r="AM453" s="135"/>
      <c r="AN453" s="135"/>
      <c r="AO453" s="135"/>
      <c r="AP453" s="135"/>
      <c r="AQ453" s="135"/>
      <c r="AR453" s="135"/>
      <c r="AS453" s="135" t="str">
        <f t="array" ref="AS453">IFERROR(INDEX(TABLACONSOLIDADA[Buff Act],MATCH("AGROINSUMOScentralPROPIA"&amp;Tabla_Buffers_Agroinsumos[[#This Row],[CODIGO ]],TABLACONSOLIDADA[Bodega]&amp;TABLACONSOLIDADA[Codigo],0)),"")</f>
        <v/>
      </c>
      <c r="AT453" s="111" t="str">
        <f t="array" ref="AT453">IFERROR(INDEX(TABLACONSOLIDADA[Inv Fís Act],MATCH("AGROINSUMOScentralPROPIA"&amp;Tabla_Buffers_Agroinsumos[[#This Row],[CODIGO ]],TABLACONSOLIDADA[Bodega]&amp;TABLACONSOLIDADA[Codigo],0)),"")</f>
        <v/>
      </c>
      <c r="AU453" s="191" t="str">
        <f t="array" ref="AU453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53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53" s="135">
        <f>IFERROR(SUM(Tabla_Buffers_Agroinsumos[[#This Row],[P-MP]:[P-VL]]),"")</f>
        <v>0</v>
      </c>
      <c r="AX453" s="154" t="str">
        <f>IFERROR(Tabla_Buffers_Agroinsumos[[#This Row],[INV FIS PROPIA]]-Tabla_Buffers_Agroinsumos[[#This Row],[BUFFER PROPIA]],"")</f>
        <v/>
      </c>
      <c r="AY453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53" s="135"/>
      <c r="BA453" s="135"/>
      <c r="BB453" s="135"/>
      <c r="BC453" s="135"/>
      <c r="BD453" s="135"/>
      <c r="BE453" s="135"/>
      <c r="BF453" s="135"/>
      <c r="BG453" s="135"/>
      <c r="BH453" s="135"/>
      <c r="BI453" s="153" t="str">
        <f t="array" ref="BI453">IFERROR(INDEX(TABLACONSOLIDADA[Buff Act],MATCH("AGROINSUMOSSTODOMINGO"&amp;Tabla_Buffers_Agroinsumos[[#This Row],[CODIGO ]],TABLACONSOLIDADA[Bodega]&amp;TABLACONSOLIDADA[Codigo],0)),"")</f>
        <v/>
      </c>
      <c r="BJ453" s="111" t="str">
        <f t="array" ref="BJ453">IFERROR(INDEX(TABLACONSOLIDADA[Inv Fís Act],MATCH("AGROINSUMOSSTODOMINGO"&amp;Tabla_Buffers_Agroinsumos[[#This Row],[CODIGO ]],TABLACONSOLIDADA[Bodega]&amp;TABLACONSOLIDADA[Codigo],0)),"")</f>
        <v/>
      </c>
      <c r="BK453" s="191" t="str">
        <f t="array" ref="BK453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53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53" s="153">
        <f>IFERROR(SUM(Tabla_Buffers_Agroinsumos[[#This Row],[SD-MP]:[SD-VL]]),"")</f>
        <v>0</v>
      </c>
      <c r="BN453" s="154"/>
      <c r="BO453" s="154"/>
      <c r="BP453" s="135"/>
      <c r="BQ453" s="135"/>
      <c r="BR453" s="135"/>
      <c r="BS453" s="135"/>
      <c r="BT453" s="135"/>
      <c r="BU453" s="135"/>
      <c r="BV453" s="135"/>
      <c r="BW453" s="135"/>
      <c r="BX453" s="135"/>
      <c r="BY453" s="135" t="str">
        <f t="array" ref="BY453">IFERROR(INDEX(TABLACONSOLIDADA[Buff Act],MATCH("AGROINSUMOSMONCAYOLOPEZ"&amp;Tabla_Buffers_Agroinsumos[[#This Row],[CODIGO ]],TABLACONSOLIDADA[Bodega]&amp;TABLACONSOLIDADA[Codigo],0)),"")</f>
        <v/>
      </c>
      <c r="BZ453" s="111" t="str">
        <f t="array" ref="BZ453">IFERROR(INDEX(TABLACONSOLIDADA[Inv Fís Act],MATCH("AGROINSUMOSMONCAYOLOPEZ"&amp;Tabla_Buffers_Agroinsumos[[#This Row],[CODIGO ]],TABLACONSOLIDADA[Bodega]&amp;TABLACONSOLIDADA[Codigo],0)),"")</f>
        <v/>
      </c>
      <c r="CA453" s="191" t="str">
        <f t="array" ref="CA453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53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53" s="135">
        <f>IFERROR(SUM(Tabla_Buffers_Agroinsumos[[#This Row],[ML-MP]:[ML-VL]]),"")</f>
        <v>0</v>
      </c>
      <c r="CD453" s="154" t="str">
        <f>IFERROR(Tabla_Buffers_Agroinsumos[[#This Row],[INV FIS ML]]-Tabla_Buffers_Agroinsumos[[#This Row],[BUFFER ML]],"")</f>
        <v/>
      </c>
      <c r="CE453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53" s="135"/>
      <c r="CG453" s="135"/>
      <c r="CH453" s="135"/>
      <c r="CI453" s="135"/>
      <c r="CJ453" s="135"/>
      <c r="CK453" s="135"/>
      <c r="CL453" s="135"/>
      <c r="CM453" s="135"/>
      <c r="CN453" s="135"/>
      <c r="CO453" s="135" t="str">
        <f t="array" ref="CO453">IFERROR(INDEX(TABLACONSOLIDADA[Buff Act],MATCH("AGROINSUMOSAGROHERMANOSLEON"&amp;Tabla_Buffers_Agroinsumos[[#This Row],[CODIGO ]],TABLACONSOLIDADA[Bodega]&amp;TABLACONSOLIDADA[Codigo],0)),"")</f>
        <v/>
      </c>
      <c r="CP453" s="111" t="str">
        <f t="array" ref="CP453">IFERROR(INDEX(TABLACONSOLIDADA[Inv Fís Act],MATCH("AGROINSUMOSAGROHERMANOSLEON"&amp;Tabla_Buffers_Agroinsumos[[#This Row],[CODIGO ]],TABLACONSOLIDADA[Bodega]&amp;TABLACONSOLIDADA[Codigo],0)),"")</f>
        <v/>
      </c>
      <c r="CQ453" s="191" t="str">
        <f t="array" ref="CQ453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53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53" s="135">
        <f>IFERROR(SUM(Tabla_Buffers_Agroinsumos[[#This Row],[AL-MP]:[AL-VL]]),"")</f>
        <v>0</v>
      </c>
      <c r="CT453" s="154" t="str">
        <f>IFERROR(Tabla_Buffers_Agroinsumos[[#This Row],[INV FIS AL]]-Tabla_Buffers_Agroinsumos[[#This Row],[BUFFER AL]],"")</f>
        <v/>
      </c>
      <c r="CU453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53" s="135"/>
      <c r="CW453" s="135"/>
      <c r="CX453" s="135"/>
      <c r="CY453" s="135"/>
      <c r="CZ453" s="135"/>
      <c r="DA453" s="135"/>
      <c r="DB453" s="135"/>
      <c r="DC453" s="135"/>
      <c r="DD453" s="135"/>
      <c r="DE453" s="135" t="str">
        <f t="array" ref="DE453">IFERROR(INDEX(TABLACONSOLIDADA[Buff Act],MATCH("AGROINSUMOSAGRONUEVO"&amp;Tabla_Buffers_Agroinsumos[[#This Row],[CODIGO ]],TABLACONSOLIDADA[Bodega]&amp;TABLACONSOLIDADA[Codigo],0)),"")</f>
        <v/>
      </c>
      <c r="DF453" s="111" t="str">
        <f t="array" ref="DF453">IFERROR(INDEX(TABLACONSOLIDADA[Inv Fís Act],MATCH("AGROINSUMOSAGRONUEVO"&amp;Tabla_Buffers_Agroinsumos[[#This Row],[CODIGO ]],TABLACONSOLIDADA[Bodega]&amp;TABLACONSOLIDADA[Codigo],0)),"")</f>
        <v/>
      </c>
      <c r="DG453" s="191" t="str">
        <f t="array" ref="DG453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53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53" s="135">
        <f>IFERROR(SUM(Tabla_Buffers_Agroinsumos[[#This Row],[AN-MP]:[AN-VL]]),"")</f>
        <v>0</v>
      </c>
      <c r="DJ453" s="154" t="str">
        <f>IFERROR(Tabla_Buffers_Agroinsumos[[#This Row],[INV FIS AN]]-Tabla_Buffers_Agroinsumos[[#This Row],[BUFFER AN]],"")</f>
        <v/>
      </c>
      <c r="DK453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53" s="135"/>
      <c r="DM453" s="135"/>
      <c r="DN453" s="135"/>
      <c r="DO453" s="135"/>
      <c r="DP453" s="135"/>
      <c r="DQ453" s="135"/>
      <c r="DR453" s="135"/>
      <c r="DS453" s="135"/>
      <c r="DT453" s="135"/>
      <c r="DU453" s="135" t="str">
        <f t="array" ref="DU453">IFERROR(INDEX(TABLACONSOLIDADA[Buff Act],MATCH("AGROINSUMOSAGROQUIMICOSSUR"&amp;Tabla_Buffers_Agroinsumos[[#This Row],[CODIGO ]],TABLACONSOLIDADA[Bodega]&amp;TABLACONSOLIDADA[Codigo],0)),"")</f>
        <v/>
      </c>
      <c r="DV453" s="111" t="str">
        <f t="array" ref="DV453">IFERROR(INDEX(TABLACONSOLIDADA[Inv Fís Act],MATCH("AGROINSUMOSAGROQUIMICOSSUR"&amp;Tabla_Buffers_Agroinsumos[[#This Row],[CODIGO ]],TABLACONSOLIDADA[Bodega]&amp;TABLACONSOLIDADA[Codigo],0)),"")</f>
        <v/>
      </c>
      <c r="DW453" s="191" t="str">
        <f t="array" ref="DW453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53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53" s="135">
        <f>IFERROR(SUM(Tabla_Buffers_Agroinsumos[[#This Row],[AS-MP]:[AS-VL]]),"")</f>
        <v>0</v>
      </c>
      <c r="DZ453" s="154" t="str">
        <f>IFERROR(Tabla_Buffers_Agroinsumos[[#This Row],[INV FIS AS]]-Tabla_Buffers_Agroinsumos[[#This Row],[BUFFER AS]],"")</f>
        <v/>
      </c>
      <c r="EA453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53" s="135"/>
      <c r="EC453" s="135"/>
      <c r="ED453" s="135"/>
      <c r="EE453" s="135"/>
      <c r="EF453" s="135"/>
      <c r="EG453" s="135"/>
      <c r="EH453" s="135"/>
      <c r="EI453" s="135"/>
      <c r="EJ453" s="135"/>
      <c r="EK453" s="135" t="str">
        <f t="array" ref="EK453">IFERROR(INDEX(TABLACONSOLIDADA[Buff Act],MATCH("AGROINSUMOSLAFINCA"&amp;Tabla_Buffers_Agroinsumos[[#This Row],[CODIGO ]],TABLACONSOLIDADA[Bodega]&amp;TABLACONSOLIDADA[Codigo],0)),"")</f>
        <v/>
      </c>
      <c r="EL453" s="111" t="str">
        <f t="array" ref="EL453">IFERROR(INDEX(TABLACONSOLIDADA[Inv Fís Act],MATCH("AGROINSUMOSLAFINCA"&amp;Tabla_Buffers_Agroinsumos[[#This Row],[CODIGO ]],TABLACONSOLIDADA[Bodega]&amp;TABLACONSOLIDADA[Codigo],0)),"")</f>
        <v/>
      </c>
      <c r="EM453" s="191" t="str">
        <f t="array" ref="EM453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53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53" s="135">
        <f>IFERROR(SUM(Tabla_Buffers_Agroinsumos[[#This Row],[LF-MP]:[LF-VL]]),"")</f>
        <v>0</v>
      </c>
      <c r="EP453" s="154" t="str">
        <f>IFERROR(Tabla_Buffers_Agroinsumos[[#This Row],[INV FIS LF]]-Tabla_Buffers_Agroinsumos[[#This Row],[BUFFER LF]],"")</f>
        <v/>
      </c>
      <c r="EQ453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53" s="135"/>
      <c r="ES453" s="135"/>
      <c r="ET453" s="135"/>
      <c r="EU453" s="135"/>
      <c r="EV453" s="135"/>
      <c r="EW453" s="135"/>
      <c r="EX453" s="135"/>
      <c r="EY453" s="135"/>
      <c r="EZ453" s="135"/>
      <c r="FA453" s="135" t="str">
        <f t="array" ref="FA453">IFERROR(INDEX(TABLACONSOLIDADA[Buff Act],MATCH("AGROINSUMOSVERONICALEDESMA"&amp;Tabla_Buffers_Agroinsumos[[#This Row],[CODIGO ]],TABLACONSOLIDADA[Bodega]&amp;TABLACONSOLIDADA[Codigo],0)),"")</f>
        <v/>
      </c>
      <c r="FB453" s="111" t="str">
        <f t="array" ref="FB453">IFERROR(INDEX(TABLACONSOLIDADA[Inv Fís Act],MATCH("AGROINSUMOSVERONICALEDESMA"&amp;Tabla_Buffers_Agroinsumos[[#This Row],[CODIGO ]],TABLACONSOLIDADA[Bodega]&amp;TABLACONSOLIDADA[Codigo],0)),"")</f>
        <v/>
      </c>
      <c r="FC453" s="191" t="str">
        <f t="array" ref="FC453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53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53" s="135">
        <f>IFERROR(SUM(Tabla_Buffers_Agroinsumos[[#This Row],[VL-MP]:[VL-LF]]),"")</f>
        <v>0</v>
      </c>
      <c r="FF453" s="154" t="str">
        <f>IFERROR(Tabla_Buffers_Agroinsumos[[#This Row],[INV FIS VL]]-Tabla_Buffers_Agroinsumos[[#This Row],[BUFFER VL]],"")</f>
        <v/>
      </c>
      <c r="FG453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53" s="135"/>
      <c r="FI453" s="135"/>
      <c r="FJ453" s="135"/>
      <c r="FK453" s="135"/>
      <c r="FL453" s="135"/>
      <c r="FM453" s="135"/>
      <c r="FN453" s="135"/>
      <c r="FO453" s="135"/>
      <c r="FP453" s="135"/>
    </row>
    <row r="454" spans="1:172">
      <c r="A454" s="20" t="s">
        <v>1393</v>
      </c>
      <c r="B454" s="20" t="s">
        <v>1396</v>
      </c>
      <c r="C454" s="20"/>
      <c r="D454" s="20" t="s">
        <v>718</v>
      </c>
      <c r="E454" s="20" t="s">
        <v>863</v>
      </c>
      <c r="F454" s="111"/>
      <c r="G454" s="111" t="s">
        <v>873</v>
      </c>
      <c r="H454" s="111" t="e">
        <f>VLOOKUP(Tabla_Buffers_Agroinsumos[[#This Row],[CODIGO ]],TABLACONSOLIDADA[[Codigo]:[PV]],6,0)</f>
        <v>#N/A</v>
      </c>
      <c r="I454" s="111" t="e">
        <f>VLOOKUP(Tabla_Buffers_Agroinsumos[[#This Row],[CODIGO ]],TABLACONSOLIDADA[[Codigo]:[PV]],5,0)</f>
        <v>#N/A</v>
      </c>
      <c r="J454" s="111"/>
      <c r="K454" s="111"/>
      <c r="L454" s="111">
        <f>IFERROR(Tabla_Buffers_Agroinsumos[[#This Row],[BUFFER CENTRAL]]/((Tabla_Buffers_Agroinsumos[[#This Row],[TIEMPO REPOSICION ]]/Tabla_Buffers_Agroinsumos[[#This Row],[FRECUENCIA]])+1),0)</f>
        <v>0</v>
      </c>
      <c r="M454" s="111" t="str">
        <f t="array" ref="M454">IFERROR(INDEX(TABLACONSOLIDADA[Buff Act],MATCH("AGROINSUMOSMATERIAPRIMA"&amp;Tabla_Buffers_Agroinsumos[[#This Row],[CODIGO ]],TABLACONSOLIDADA[Bodega]&amp;TABLACONSOLIDADA[Codigo],0)),"")</f>
        <v/>
      </c>
      <c r="N454" s="111" t="str">
        <f t="array" ref="N454">IFERROR(INDEX(TABLACONSOLIDADA[Inv Fís Act],MATCH("AGROINSUMOSMATERIAPRIMA"&amp;Tabla_Buffers_Agroinsumos[[#This Row],[CODIGO ]],TABLACONSOLIDADA[Bodega]&amp;TABLACONSOLIDADA[Codigo],0)),"")</f>
        <v/>
      </c>
      <c r="O454" s="161" t="str">
        <f t="array" ref="O454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54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54" s="111">
        <f>IFERROR(SUM(Tabla_Buffers_Agroinsumos[[#This Row],[MP-C]:[MP-VL]]),"")</f>
        <v>0</v>
      </c>
      <c r="R454" s="154" t="str">
        <f>IFERROR(Tabla_Buffers_Agroinsumos[[#This Row],[INV FIS MATERIA PRIMA]]-Tabla_Buffers_Agroinsumos[[#This Row],[BUFFER MATERIA PRIMA]],"")</f>
        <v/>
      </c>
      <c r="S454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54" s="111"/>
      <c r="U454" s="111"/>
      <c r="V454" s="111"/>
      <c r="W454" s="111"/>
      <c r="X454" s="111"/>
      <c r="Y454" s="111"/>
      <c r="Z454" s="111"/>
      <c r="AA454" s="111"/>
      <c r="AB454" s="111"/>
      <c r="AC454" s="135" t="str">
        <f t="array" ref="AC454">IFERROR(INDEX(TABLACONSOLIDADA[Buff Act],MATCH("AGROINSUMOSCENTRAL"&amp;Tabla_Buffers_Agroinsumos[[#This Row],[CODIGO ]],TABLACONSOLIDADA[Bodega]&amp;TABLACONSOLIDADA[Codigo],0)),"")</f>
        <v/>
      </c>
      <c r="AD454" s="111" t="str">
        <f t="array" ref="AD454">IFERROR(INDEX(TABLACONSOLIDADA[Inv Fís Act],MATCH("AGROINSUMOSCENTRAL"&amp;Tabla_Buffers_Agroinsumos[[#This Row],[CODIGO ]],TABLACONSOLIDADA[Bodega]&amp;TABLACONSOLIDADA[Codigo],0)),"")</f>
        <v/>
      </c>
      <c r="AE454" s="161" t="str">
        <f t="array" ref="AE454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54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54" s="153">
        <f>IFERROR(SUM(Tabla_Buffers_Agroinsumos[[#This Row],[C-MP]:[C-VL]]),"")</f>
        <v>0</v>
      </c>
      <c r="AH454" s="154" t="str">
        <f>IFERROR(Tabla_Buffers_Agroinsumos[[#This Row],[INV FIS CENTRAL]]-Tabla_Buffers_Agroinsumos[[#This Row],[BUFFER CENTRAL]],"")</f>
        <v/>
      </c>
      <c r="AI454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54" s="135"/>
      <c r="AK454" s="135"/>
      <c r="AL454" s="135"/>
      <c r="AM454" s="135"/>
      <c r="AN454" s="135"/>
      <c r="AO454" s="135"/>
      <c r="AP454" s="135"/>
      <c r="AQ454" s="135"/>
      <c r="AR454" s="135"/>
      <c r="AS454" s="135" t="str">
        <f t="array" ref="AS454">IFERROR(INDEX(TABLACONSOLIDADA[Buff Act],MATCH("AGROINSUMOScentralPROPIA"&amp;Tabla_Buffers_Agroinsumos[[#This Row],[CODIGO ]],TABLACONSOLIDADA[Bodega]&amp;TABLACONSOLIDADA[Codigo],0)),"")</f>
        <v/>
      </c>
      <c r="AT454" s="111" t="str">
        <f t="array" ref="AT454">IFERROR(INDEX(TABLACONSOLIDADA[Inv Fís Act],MATCH("AGROINSUMOScentralPROPIA"&amp;Tabla_Buffers_Agroinsumos[[#This Row],[CODIGO ]],TABLACONSOLIDADA[Bodega]&amp;TABLACONSOLIDADA[Codigo],0)),"")</f>
        <v/>
      </c>
      <c r="AU454" s="161" t="str">
        <f t="array" ref="AU454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54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54" s="135">
        <f>IFERROR(SUM(Tabla_Buffers_Agroinsumos[[#This Row],[P-MP]:[P-VL]]),"")</f>
        <v>0</v>
      </c>
      <c r="AX454" s="154" t="str">
        <f>IFERROR(Tabla_Buffers_Agroinsumos[[#This Row],[INV FIS PROPIA]]-Tabla_Buffers_Agroinsumos[[#This Row],[BUFFER PROPIA]],"")</f>
        <v/>
      </c>
      <c r="AY454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54" s="135"/>
      <c r="BA454" s="135"/>
      <c r="BB454" s="135"/>
      <c r="BC454" s="135"/>
      <c r="BD454" s="135"/>
      <c r="BE454" s="135"/>
      <c r="BF454" s="135"/>
      <c r="BG454" s="135"/>
      <c r="BH454" s="135"/>
      <c r="BI454" s="153" t="str">
        <f t="array" ref="BI454">IFERROR(INDEX(TABLACONSOLIDADA[Buff Act],MATCH("AGROINSUMOSSTODOMINGO"&amp;Tabla_Buffers_Agroinsumos[[#This Row],[CODIGO ]],TABLACONSOLIDADA[Bodega]&amp;TABLACONSOLIDADA[Codigo],0)),"")</f>
        <v/>
      </c>
      <c r="BJ454" s="111" t="str">
        <f t="array" ref="BJ454">IFERROR(INDEX(TABLACONSOLIDADA[Inv Fís Act],MATCH("AGROINSUMOSSTODOMINGO"&amp;Tabla_Buffers_Agroinsumos[[#This Row],[CODIGO ]],TABLACONSOLIDADA[Bodega]&amp;TABLACONSOLIDADA[Codigo],0)),"")</f>
        <v/>
      </c>
      <c r="BK454" s="161" t="str">
        <f t="array" ref="BK454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54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54" s="153">
        <f>IFERROR(SUM(Tabla_Buffers_Agroinsumos[[#This Row],[SD-MP]:[SD-VL]]),"")</f>
        <v>0</v>
      </c>
      <c r="BN454" s="154"/>
      <c r="BO454" s="154"/>
      <c r="BP454" s="135"/>
      <c r="BQ454" s="135"/>
      <c r="BR454" s="135"/>
      <c r="BS454" s="135"/>
      <c r="BT454" s="135"/>
      <c r="BU454" s="135"/>
      <c r="BV454" s="135"/>
      <c r="BW454" s="135"/>
      <c r="BX454" s="135"/>
      <c r="BY454" s="135" t="str">
        <f t="array" ref="BY454">IFERROR(INDEX(TABLACONSOLIDADA[Buff Act],MATCH("AGROINSUMOSMONCAYOLOPEZ"&amp;Tabla_Buffers_Agroinsumos[[#This Row],[CODIGO ]],TABLACONSOLIDADA[Bodega]&amp;TABLACONSOLIDADA[Codigo],0)),"")</f>
        <v/>
      </c>
      <c r="BZ454" s="111" t="str">
        <f t="array" ref="BZ454">IFERROR(INDEX(TABLACONSOLIDADA[Inv Fís Act],MATCH("AGROINSUMOSMONCAYOLOPEZ"&amp;Tabla_Buffers_Agroinsumos[[#This Row],[CODIGO ]],TABLACONSOLIDADA[Bodega]&amp;TABLACONSOLIDADA[Codigo],0)),"")</f>
        <v/>
      </c>
      <c r="CA454" s="161" t="str">
        <f t="array" ref="CA454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54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54" s="135">
        <f>IFERROR(SUM(Tabla_Buffers_Agroinsumos[[#This Row],[ML-MP]:[ML-VL]]),"")</f>
        <v>0</v>
      </c>
      <c r="CD454" s="154" t="str">
        <f>IFERROR(Tabla_Buffers_Agroinsumos[[#This Row],[INV FIS ML]]-Tabla_Buffers_Agroinsumos[[#This Row],[BUFFER ML]],"")</f>
        <v/>
      </c>
      <c r="CE454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54" s="135"/>
      <c r="CG454" s="135"/>
      <c r="CH454" s="135"/>
      <c r="CI454" s="135"/>
      <c r="CJ454" s="135"/>
      <c r="CK454" s="135"/>
      <c r="CL454" s="135"/>
      <c r="CM454" s="135"/>
      <c r="CN454" s="135"/>
      <c r="CO454" s="135" t="str">
        <f t="array" ref="CO454">IFERROR(INDEX(TABLACONSOLIDADA[Buff Act],MATCH("AGROINSUMOSAGROHERMANOSLEON"&amp;Tabla_Buffers_Agroinsumos[[#This Row],[CODIGO ]],TABLACONSOLIDADA[Bodega]&amp;TABLACONSOLIDADA[Codigo],0)),"")</f>
        <v/>
      </c>
      <c r="CP454" s="111" t="str">
        <f t="array" ref="CP454">IFERROR(INDEX(TABLACONSOLIDADA[Inv Fís Act],MATCH("AGROINSUMOSAGROHERMANOSLEON"&amp;Tabla_Buffers_Agroinsumos[[#This Row],[CODIGO ]],TABLACONSOLIDADA[Bodega]&amp;TABLACONSOLIDADA[Codigo],0)),"")</f>
        <v/>
      </c>
      <c r="CQ454" s="161" t="str">
        <f t="array" ref="CQ454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54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54" s="135">
        <f>IFERROR(SUM(Tabla_Buffers_Agroinsumos[[#This Row],[AL-MP]:[AL-VL]]),"")</f>
        <v>0</v>
      </c>
      <c r="CT454" s="154" t="str">
        <f>IFERROR(Tabla_Buffers_Agroinsumos[[#This Row],[INV FIS AL]]-Tabla_Buffers_Agroinsumos[[#This Row],[BUFFER AL]],"")</f>
        <v/>
      </c>
      <c r="CU454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54" s="135"/>
      <c r="CW454" s="135"/>
      <c r="CX454" s="135"/>
      <c r="CY454" s="135"/>
      <c r="CZ454" s="135"/>
      <c r="DA454" s="135"/>
      <c r="DB454" s="135"/>
      <c r="DC454" s="135"/>
      <c r="DD454" s="135"/>
      <c r="DE454" s="135" t="str">
        <f t="array" ref="DE454">IFERROR(INDEX(TABLACONSOLIDADA[Buff Act],MATCH("AGROINSUMOSAGRONUEVO"&amp;Tabla_Buffers_Agroinsumos[[#This Row],[CODIGO ]],TABLACONSOLIDADA[Bodega]&amp;TABLACONSOLIDADA[Codigo],0)),"")</f>
        <v/>
      </c>
      <c r="DF454" s="111" t="str">
        <f t="array" ref="DF454">IFERROR(INDEX(TABLACONSOLIDADA[Inv Fís Act],MATCH("AGROINSUMOSAGRONUEVO"&amp;Tabla_Buffers_Agroinsumos[[#This Row],[CODIGO ]],TABLACONSOLIDADA[Bodega]&amp;TABLACONSOLIDADA[Codigo],0)),"")</f>
        <v/>
      </c>
      <c r="DG454" s="161" t="str">
        <f t="array" ref="DG454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54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54" s="135">
        <f>IFERROR(SUM(Tabla_Buffers_Agroinsumos[[#This Row],[AN-MP]:[AN-VL]]),"")</f>
        <v>0</v>
      </c>
      <c r="DJ454" s="154" t="str">
        <f>IFERROR(Tabla_Buffers_Agroinsumos[[#This Row],[INV FIS AN]]-Tabla_Buffers_Agroinsumos[[#This Row],[BUFFER AN]],"")</f>
        <v/>
      </c>
      <c r="DK454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54" s="135"/>
      <c r="DM454" s="135"/>
      <c r="DN454" s="135"/>
      <c r="DO454" s="135"/>
      <c r="DP454" s="135"/>
      <c r="DQ454" s="135"/>
      <c r="DR454" s="135"/>
      <c r="DS454" s="135"/>
      <c r="DT454" s="135"/>
      <c r="DU454" s="135" t="str">
        <f t="array" ref="DU454">IFERROR(INDEX(TABLACONSOLIDADA[Buff Act],MATCH("AGROINSUMOSAGROQUIMICOSSUR"&amp;Tabla_Buffers_Agroinsumos[[#This Row],[CODIGO ]],TABLACONSOLIDADA[Bodega]&amp;TABLACONSOLIDADA[Codigo],0)),"")</f>
        <v/>
      </c>
      <c r="DV454" s="111" t="str">
        <f t="array" ref="DV454">IFERROR(INDEX(TABLACONSOLIDADA[Inv Fís Act],MATCH("AGROINSUMOSAGROQUIMICOSSUR"&amp;Tabla_Buffers_Agroinsumos[[#This Row],[CODIGO ]],TABLACONSOLIDADA[Bodega]&amp;TABLACONSOLIDADA[Codigo],0)),"")</f>
        <v/>
      </c>
      <c r="DW454" s="161" t="str">
        <f t="array" ref="DW454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54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54" s="135">
        <f>IFERROR(SUM(Tabla_Buffers_Agroinsumos[[#This Row],[AS-MP]:[AS-VL]]),"")</f>
        <v>0</v>
      </c>
      <c r="DZ454" s="154" t="str">
        <f>IFERROR(Tabla_Buffers_Agroinsumos[[#This Row],[INV FIS AS]]-Tabla_Buffers_Agroinsumos[[#This Row],[BUFFER AS]],"")</f>
        <v/>
      </c>
      <c r="EA454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54" s="135"/>
      <c r="EC454" s="135"/>
      <c r="ED454" s="135"/>
      <c r="EE454" s="135"/>
      <c r="EF454" s="135"/>
      <c r="EG454" s="135"/>
      <c r="EH454" s="135"/>
      <c r="EI454" s="135"/>
      <c r="EJ454" s="135"/>
      <c r="EK454" s="135" t="str">
        <f t="array" ref="EK454">IFERROR(INDEX(TABLACONSOLIDADA[Buff Act],MATCH("AGROINSUMOSLAFINCA"&amp;Tabla_Buffers_Agroinsumos[[#This Row],[CODIGO ]],TABLACONSOLIDADA[Bodega]&amp;TABLACONSOLIDADA[Codigo],0)),"")</f>
        <v/>
      </c>
      <c r="EL454" s="111" t="str">
        <f t="array" ref="EL454">IFERROR(INDEX(TABLACONSOLIDADA[Inv Fís Act],MATCH("AGROINSUMOSLAFINCA"&amp;Tabla_Buffers_Agroinsumos[[#This Row],[CODIGO ]],TABLACONSOLIDADA[Bodega]&amp;TABLACONSOLIDADA[Codigo],0)),"")</f>
        <v/>
      </c>
      <c r="EM454" s="161" t="str">
        <f t="array" ref="EM454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54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54" s="135">
        <f>IFERROR(SUM(Tabla_Buffers_Agroinsumos[[#This Row],[LF-MP]:[LF-VL]]),"")</f>
        <v>0</v>
      </c>
      <c r="EP454" s="154" t="str">
        <f>IFERROR(Tabla_Buffers_Agroinsumos[[#This Row],[INV FIS LF]]-Tabla_Buffers_Agroinsumos[[#This Row],[BUFFER LF]],"")</f>
        <v/>
      </c>
      <c r="EQ454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54" s="135"/>
      <c r="ES454" s="135"/>
      <c r="ET454" s="135"/>
      <c r="EU454" s="135"/>
      <c r="EV454" s="135"/>
      <c r="EW454" s="135"/>
      <c r="EX454" s="135"/>
      <c r="EY454" s="135"/>
      <c r="EZ454" s="135"/>
      <c r="FA454" s="135" t="str">
        <f t="array" ref="FA454">IFERROR(INDEX(TABLACONSOLIDADA[Buff Act],MATCH("AGROINSUMOSVERONICALEDESMA"&amp;Tabla_Buffers_Agroinsumos[[#This Row],[CODIGO ]],TABLACONSOLIDADA[Bodega]&amp;TABLACONSOLIDADA[Codigo],0)),"")</f>
        <v/>
      </c>
      <c r="FB454" s="111" t="str">
        <f t="array" ref="FB454">IFERROR(INDEX(TABLACONSOLIDADA[Inv Fís Act],MATCH("AGROINSUMOSVERONICALEDESMA"&amp;Tabla_Buffers_Agroinsumos[[#This Row],[CODIGO ]],TABLACONSOLIDADA[Bodega]&amp;TABLACONSOLIDADA[Codigo],0)),"")</f>
        <v/>
      </c>
      <c r="FC454" s="161" t="str">
        <f t="array" ref="FC454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54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54" s="135">
        <f>IFERROR(SUM(Tabla_Buffers_Agroinsumos[[#This Row],[VL-MP]:[VL-LF]]),"")</f>
        <v>0</v>
      </c>
      <c r="FF454" s="154" t="str">
        <f>IFERROR(Tabla_Buffers_Agroinsumos[[#This Row],[INV FIS VL]]-Tabla_Buffers_Agroinsumos[[#This Row],[BUFFER VL]],"")</f>
        <v/>
      </c>
      <c r="FG454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54" s="135"/>
      <c r="FI454" s="135"/>
      <c r="FJ454" s="135"/>
      <c r="FK454" s="135"/>
      <c r="FL454" s="135"/>
      <c r="FM454" s="135"/>
      <c r="FN454" s="135"/>
      <c r="FO454" s="135"/>
      <c r="FP454" s="135"/>
    </row>
    <row r="455" spans="1:172">
      <c r="A455" s="20" t="s">
        <v>1394</v>
      </c>
      <c r="B455" s="20" t="s">
        <v>1395</v>
      </c>
      <c r="C455" s="20"/>
      <c r="D455" s="20" t="s">
        <v>718</v>
      </c>
      <c r="E455" s="20" t="s">
        <v>863</v>
      </c>
      <c r="F455" s="111"/>
      <c r="G455" s="111" t="s">
        <v>873</v>
      </c>
      <c r="H455" s="111" t="e">
        <f>VLOOKUP(Tabla_Buffers_Agroinsumos[[#This Row],[CODIGO ]],TABLACONSOLIDADA[[Codigo]:[PV]],6,0)</f>
        <v>#N/A</v>
      </c>
      <c r="I455" s="111" t="e">
        <f>VLOOKUP(Tabla_Buffers_Agroinsumos[[#This Row],[CODIGO ]],TABLACONSOLIDADA[[Codigo]:[PV]],5,0)</f>
        <v>#N/A</v>
      </c>
      <c r="J455" s="111"/>
      <c r="K455" s="111"/>
      <c r="L455" s="111">
        <f>IFERROR(Tabla_Buffers_Agroinsumos[[#This Row],[BUFFER CENTRAL]]/((Tabla_Buffers_Agroinsumos[[#This Row],[TIEMPO REPOSICION ]]/Tabla_Buffers_Agroinsumos[[#This Row],[FRECUENCIA]])+1),0)</f>
        <v>0</v>
      </c>
      <c r="M455" s="111" t="str">
        <f t="array" ref="M455">IFERROR(INDEX(TABLACONSOLIDADA[Buff Act],MATCH("AGROINSUMOSMATERIAPRIMA"&amp;Tabla_Buffers_Agroinsumos[[#This Row],[CODIGO ]],TABLACONSOLIDADA[Bodega]&amp;TABLACONSOLIDADA[Codigo],0)),"")</f>
        <v/>
      </c>
      <c r="N455" s="111" t="str">
        <f t="array" ref="N455">IFERROR(INDEX(TABLACONSOLIDADA[Inv Fís Act],MATCH("AGROINSUMOSMATERIAPRIMA"&amp;Tabla_Buffers_Agroinsumos[[#This Row],[CODIGO ]],TABLACONSOLIDADA[Bodega]&amp;TABLACONSOLIDADA[Codigo],0)),"")</f>
        <v/>
      </c>
      <c r="O455" s="161" t="str">
        <f t="array" ref="O455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55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55" s="111">
        <f>IFERROR(SUM(Tabla_Buffers_Agroinsumos[[#This Row],[MP-C]:[MP-VL]]),"")</f>
        <v>0</v>
      </c>
      <c r="R455" s="154" t="str">
        <f>IFERROR(Tabla_Buffers_Agroinsumos[[#This Row],[INV FIS MATERIA PRIMA]]-Tabla_Buffers_Agroinsumos[[#This Row],[BUFFER MATERIA PRIMA]],"")</f>
        <v/>
      </c>
      <c r="S455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55" s="111"/>
      <c r="U455" s="111"/>
      <c r="V455" s="111"/>
      <c r="W455" s="111"/>
      <c r="X455" s="111"/>
      <c r="Y455" s="111"/>
      <c r="Z455" s="111"/>
      <c r="AA455" s="111"/>
      <c r="AB455" s="111"/>
      <c r="AC455" s="135" t="str">
        <f t="array" ref="AC455">IFERROR(INDEX(TABLACONSOLIDADA[Buff Act],MATCH("AGROINSUMOSCENTRAL"&amp;Tabla_Buffers_Agroinsumos[[#This Row],[CODIGO ]],TABLACONSOLIDADA[Bodega]&amp;TABLACONSOLIDADA[Codigo],0)),"")</f>
        <v/>
      </c>
      <c r="AD455" s="111" t="str">
        <f t="array" ref="AD455">IFERROR(INDEX(TABLACONSOLIDADA[Inv Fís Act],MATCH("AGROINSUMOSCENTRAL"&amp;Tabla_Buffers_Agroinsumos[[#This Row],[CODIGO ]],TABLACONSOLIDADA[Bodega]&amp;TABLACONSOLIDADA[Codigo],0)),"")</f>
        <v/>
      </c>
      <c r="AE455" s="161" t="str">
        <f t="array" ref="AE455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55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55" s="153">
        <f>IFERROR(SUM(Tabla_Buffers_Agroinsumos[[#This Row],[C-MP]:[C-VL]]),"")</f>
        <v>0</v>
      </c>
      <c r="AH455" s="154" t="str">
        <f>IFERROR(Tabla_Buffers_Agroinsumos[[#This Row],[INV FIS CENTRAL]]-Tabla_Buffers_Agroinsumos[[#This Row],[BUFFER CENTRAL]],"")</f>
        <v/>
      </c>
      <c r="AI455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55" s="135"/>
      <c r="AK455" s="135"/>
      <c r="AL455" s="135"/>
      <c r="AM455" s="135"/>
      <c r="AN455" s="135"/>
      <c r="AO455" s="135"/>
      <c r="AP455" s="135"/>
      <c r="AQ455" s="135"/>
      <c r="AR455" s="135"/>
      <c r="AS455" s="135" t="str">
        <f t="array" ref="AS455">IFERROR(INDEX(TABLACONSOLIDADA[Buff Act],MATCH("AGROINSUMOScentralPROPIA"&amp;Tabla_Buffers_Agroinsumos[[#This Row],[CODIGO ]],TABLACONSOLIDADA[Bodega]&amp;TABLACONSOLIDADA[Codigo],0)),"")</f>
        <v/>
      </c>
      <c r="AT455" s="111" t="str">
        <f t="array" ref="AT455">IFERROR(INDEX(TABLACONSOLIDADA[Inv Fís Act],MATCH("AGROINSUMOScentralPROPIA"&amp;Tabla_Buffers_Agroinsumos[[#This Row],[CODIGO ]],TABLACONSOLIDADA[Bodega]&amp;TABLACONSOLIDADA[Codigo],0)),"")</f>
        <v/>
      </c>
      <c r="AU455" s="161" t="str">
        <f t="array" ref="AU455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55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55" s="135">
        <f>IFERROR(SUM(Tabla_Buffers_Agroinsumos[[#This Row],[P-MP]:[P-VL]]),"")</f>
        <v>0</v>
      </c>
      <c r="AX455" s="154" t="str">
        <f>IFERROR(Tabla_Buffers_Agroinsumos[[#This Row],[INV FIS PROPIA]]-Tabla_Buffers_Agroinsumos[[#This Row],[BUFFER PROPIA]],"")</f>
        <v/>
      </c>
      <c r="AY455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55" s="135"/>
      <c r="BA455" s="135"/>
      <c r="BB455" s="135"/>
      <c r="BC455" s="135"/>
      <c r="BD455" s="135"/>
      <c r="BE455" s="135"/>
      <c r="BF455" s="135"/>
      <c r="BG455" s="135"/>
      <c r="BH455" s="135"/>
      <c r="BI455" s="153" t="str">
        <f t="array" ref="BI455">IFERROR(INDEX(TABLACONSOLIDADA[Buff Act],MATCH("AGROINSUMOSSTODOMINGO"&amp;Tabla_Buffers_Agroinsumos[[#This Row],[CODIGO ]],TABLACONSOLIDADA[Bodega]&amp;TABLACONSOLIDADA[Codigo],0)),"")</f>
        <v/>
      </c>
      <c r="BJ455" s="111" t="str">
        <f t="array" ref="BJ455">IFERROR(INDEX(TABLACONSOLIDADA[Inv Fís Act],MATCH("AGROINSUMOSSTODOMINGO"&amp;Tabla_Buffers_Agroinsumos[[#This Row],[CODIGO ]],TABLACONSOLIDADA[Bodega]&amp;TABLACONSOLIDADA[Codigo],0)),"")</f>
        <v/>
      </c>
      <c r="BK455" s="161" t="str">
        <f t="array" ref="BK455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55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55" s="153">
        <f>IFERROR(SUM(Tabla_Buffers_Agroinsumos[[#This Row],[SD-MP]:[SD-VL]]),"")</f>
        <v>0</v>
      </c>
      <c r="BN455" s="154"/>
      <c r="BO455" s="154"/>
      <c r="BP455" s="135"/>
      <c r="BQ455" s="135"/>
      <c r="BR455" s="135"/>
      <c r="BS455" s="135"/>
      <c r="BT455" s="135"/>
      <c r="BU455" s="135"/>
      <c r="BV455" s="135"/>
      <c r="BW455" s="135"/>
      <c r="BX455" s="135"/>
      <c r="BY455" s="135" t="str">
        <f t="array" ref="BY455">IFERROR(INDEX(TABLACONSOLIDADA[Buff Act],MATCH("AGROINSUMOSMONCAYOLOPEZ"&amp;Tabla_Buffers_Agroinsumos[[#This Row],[CODIGO ]],TABLACONSOLIDADA[Bodega]&amp;TABLACONSOLIDADA[Codigo],0)),"")</f>
        <v/>
      </c>
      <c r="BZ455" s="111" t="str">
        <f t="array" ref="BZ455">IFERROR(INDEX(TABLACONSOLIDADA[Inv Fís Act],MATCH("AGROINSUMOSMONCAYOLOPEZ"&amp;Tabla_Buffers_Agroinsumos[[#This Row],[CODIGO ]],TABLACONSOLIDADA[Bodega]&amp;TABLACONSOLIDADA[Codigo],0)),"")</f>
        <v/>
      </c>
      <c r="CA455" s="161" t="str">
        <f t="array" ref="CA455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55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55" s="135">
        <f>IFERROR(SUM(Tabla_Buffers_Agroinsumos[[#This Row],[ML-MP]:[ML-VL]]),"")</f>
        <v>0</v>
      </c>
      <c r="CD455" s="154" t="str">
        <f>IFERROR(Tabla_Buffers_Agroinsumos[[#This Row],[INV FIS ML]]-Tabla_Buffers_Agroinsumos[[#This Row],[BUFFER ML]],"")</f>
        <v/>
      </c>
      <c r="CE455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55" s="135"/>
      <c r="CG455" s="135"/>
      <c r="CH455" s="135"/>
      <c r="CI455" s="135"/>
      <c r="CJ455" s="135"/>
      <c r="CK455" s="135"/>
      <c r="CL455" s="135"/>
      <c r="CM455" s="135"/>
      <c r="CN455" s="135"/>
      <c r="CO455" s="135" t="str">
        <f t="array" ref="CO455">IFERROR(INDEX(TABLACONSOLIDADA[Buff Act],MATCH("AGROINSUMOSAGROHERMANOSLEON"&amp;Tabla_Buffers_Agroinsumos[[#This Row],[CODIGO ]],TABLACONSOLIDADA[Bodega]&amp;TABLACONSOLIDADA[Codigo],0)),"")</f>
        <v/>
      </c>
      <c r="CP455" s="111" t="str">
        <f t="array" ref="CP455">IFERROR(INDEX(TABLACONSOLIDADA[Inv Fís Act],MATCH("AGROINSUMOSAGROHERMANOSLEON"&amp;Tabla_Buffers_Agroinsumos[[#This Row],[CODIGO ]],TABLACONSOLIDADA[Bodega]&amp;TABLACONSOLIDADA[Codigo],0)),"")</f>
        <v/>
      </c>
      <c r="CQ455" s="161" t="str">
        <f t="array" ref="CQ455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55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55" s="135">
        <f>IFERROR(SUM(Tabla_Buffers_Agroinsumos[[#This Row],[AL-MP]:[AL-VL]]),"")</f>
        <v>0</v>
      </c>
      <c r="CT455" s="154" t="str">
        <f>IFERROR(Tabla_Buffers_Agroinsumos[[#This Row],[INV FIS AL]]-Tabla_Buffers_Agroinsumos[[#This Row],[BUFFER AL]],"")</f>
        <v/>
      </c>
      <c r="CU455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55" s="135"/>
      <c r="CW455" s="135"/>
      <c r="CX455" s="135"/>
      <c r="CY455" s="135"/>
      <c r="CZ455" s="135"/>
      <c r="DA455" s="135"/>
      <c r="DB455" s="135"/>
      <c r="DC455" s="135"/>
      <c r="DD455" s="135"/>
      <c r="DE455" s="135" t="str">
        <f t="array" ref="DE455">IFERROR(INDEX(TABLACONSOLIDADA[Buff Act],MATCH("AGROINSUMOSAGRONUEVO"&amp;Tabla_Buffers_Agroinsumos[[#This Row],[CODIGO ]],TABLACONSOLIDADA[Bodega]&amp;TABLACONSOLIDADA[Codigo],0)),"")</f>
        <v/>
      </c>
      <c r="DF455" s="111" t="str">
        <f t="array" ref="DF455">IFERROR(INDEX(TABLACONSOLIDADA[Inv Fís Act],MATCH("AGROINSUMOSAGRONUEVO"&amp;Tabla_Buffers_Agroinsumos[[#This Row],[CODIGO ]],TABLACONSOLIDADA[Bodega]&amp;TABLACONSOLIDADA[Codigo],0)),"")</f>
        <v/>
      </c>
      <c r="DG455" s="161" t="str">
        <f t="array" ref="DG455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55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55" s="135">
        <f>IFERROR(SUM(Tabla_Buffers_Agroinsumos[[#This Row],[AN-MP]:[AN-VL]]),"")</f>
        <v>0</v>
      </c>
      <c r="DJ455" s="154" t="str">
        <f>IFERROR(Tabla_Buffers_Agroinsumos[[#This Row],[INV FIS AN]]-Tabla_Buffers_Agroinsumos[[#This Row],[BUFFER AN]],"")</f>
        <v/>
      </c>
      <c r="DK455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55" s="135"/>
      <c r="DM455" s="135"/>
      <c r="DN455" s="135"/>
      <c r="DO455" s="135"/>
      <c r="DP455" s="135"/>
      <c r="DQ455" s="135"/>
      <c r="DR455" s="135"/>
      <c r="DS455" s="135"/>
      <c r="DT455" s="135"/>
      <c r="DU455" s="135" t="str">
        <f t="array" ref="DU455">IFERROR(INDEX(TABLACONSOLIDADA[Buff Act],MATCH("AGROINSUMOSAGROQUIMICOSSUR"&amp;Tabla_Buffers_Agroinsumos[[#This Row],[CODIGO ]],TABLACONSOLIDADA[Bodega]&amp;TABLACONSOLIDADA[Codigo],0)),"")</f>
        <v/>
      </c>
      <c r="DV455" s="111" t="str">
        <f t="array" ref="DV455">IFERROR(INDEX(TABLACONSOLIDADA[Inv Fís Act],MATCH("AGROINSUMOSAGROQUIMICOSSUR"&amp;Tabla_Buffers_Agroinsumos[[#This Row],[CODIGO ]],TABLACONSOLIDADA[Bodega]&amp;TABLACONSOLIDADA[Codigo],0)),"")</f>
        <v/>
      </c>
      <c r="DW455" s="161" t="str">
        <f t="array" ref="DW455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55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55" s="135">
        <f>IFERROR(SUM(Tabla_Buffers_Agroinsumos[[#This Row],[AS-MP]:[AS-VL]]),"")</f>
        <v>0</v>
      </c>
      <c r="DZ455" s="154" t="str">
        <f>IFERROR(Tabla_Buffers_Agroinsumos[[#This Row],[INV FIS AS]]-Tabla_Buffers_Agroinsumos[[#This Row],[BUFFER AS]],"")</f>
        <v/>
      </c>
      <c r="EA455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55" s="135"/>
      <c r="EC455" s="135"/>
      <c r="ED455" s="135"/>
      <c r="EE455" s="135"/>
      <c r="EF455" s="135"/>
      <c r="EG455" s="135"/>
      <c r="EH455" s="135"/>
      <c r="EI455" s="135"/>
      <c r="EJ455" s="135"/>
      <c r="EK455" s="135" t="str">
        <f t="array" ref="EK455">IFERROR(INDEX(TABLACONSOLIDADA[Buff Act],MATCH("AGROINSUMOSLAFINCA"&amp;Tabla_Buffers_Agroinsumos[[#This Row],[CODIGO ]],TABLACONSOLIDADA[Bodega]&amp;TABLACONSOLIDADA[Codigo],0)),"")</f>
        <v/>
      </c>
      <c r="EL455" s="111" t="str">
        <f t="array" ref="EL455">IFERROR(INDEX(TABLACONSOLIDADA[Inv Fís Act],MATCH("AGROINSUMOSLAFINCA"&amp;Tabla_Buffers_Agroinsumos[[#This Row],[CODIGO ]],TABLACONSOLIDADA[Bodega]&amp;TABLACONSOLIDADA[Codigo],0)),"")</f>
        <v/>
      </c>
      <c r="EM455" s="161" t="str">
        <f t="array" ref="EM455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55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55" s="135">
        <f>IFERROR(SUM(Tabla_Buffers_Agroinsumos[[#This Row],[LF-MP]:[LF-VL]]),"")</f>
        <v>0</v>
      </c>
      <c r="EP455" s="154" t="str">
        <f>IFERROR(Tabla_Buffers_Agroinsumos[[#This Row],[INV FIS LF]]-Tabla_Buffers_Agroinsumos[[#This Row],[BUFFER LF]],"")</f>
        <v/>
      </c>
      <c r="EQ455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55" s="135"/>
      <c r="ES455" s="135"/>
      <c r="ET455" s="135"/>
      <c r="EU455" s="135"/>
      <c r="EV455" s="135"/>
      <c r="EW455" s="135"/>
      <c r="EX455" s="135"/>
      <c r="EY455" s="135"/>
      <c r="EZ455" s="135"/>
      <c r="FA455" s="135" t="str">
        <f t="array" ref="FA455">IFERROR(INDEX(TABLACONSOLIDADA[Buff Act],MATCH("AGROINSUMOSVERONICALEDESMA"&amp;Tabla_Buffers_Agroinsumos[[#This Row],[CODIGO ]],TABLACONSOLIDADA[Bodega]&amp;TABLACONSOLIDADA[Codigo],0)),"")</f>
        <v/>
      </c>
      <c r="FB455" s="111" t="str">
        <f t="array" ref="FB455">IFERROR(INDEX(TABLACONSOLIDADA[Inv Fís Act],MATCH("AGROINSUMOSVERONICALEDESMA"&amp;Tabla_Buffers_Agroinsumos[[#This Row],[CODIGO ]],TABLACONSOLIDADA[Bodega]&amp;TABLACONSOLIDADA[Codigo],0)),"")</f>
        <v/>
      </c>
      <c r="FC455" s="161" t="str">
        <f t="array" ref="FC455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55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55" s="135">
        <f>IFERROR(SUM(Tabla_Buffers_Agroinsumos[[#This Row],[VL-MP]:[VL-LF]]),"")</f>
        <v>0</v>
      </c>
      <c r="FF455" s="154" t="str">
        <f>IFERROR(Tabla_Buffers_Agroinsumos[[#This Row],[INV FIS VL]]-Tabla_Buffers_Agroinsumos[[#This Row],[BUFFER VL]],"")</f>
        <v/>
      </c>
      <c r="FG455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55" s="135"/>
      <c r="FI455" s="135"/>
      <c r="FJ455" s="135"/>
      <c r="FK455" s="135"/>
      <c r="FL455" s="135"/>
      <c r="FM455" s="135"/>
      <c r="FN455" s="135"/>
      <c r="FO455" s="135"/>
      <c r="FP455" s="135"/>
    </row>
    <row r="456" spans="1:172">
      <c r="A456" s="7" t="s">
        <v>1400</v>
      </c>
      <c r="B456" s="7" t="s">
        <v>1402</v>
      </c>
      <c r="D456" s="7" t="s">
        <v>718</v>
      </c>
      <c r="E456" s="7" t="s">
        <v>863</v>
      </c>
      <c r="F456" s="19"/>
      <c r="G456" s="19" t="s">
        <v>802</v>
      </c>
      <c r="H456" s="19" t="e">
        <f>VLOOKUP(Tabla_Buffers_Agroinsumos[[#This Row],[CODIGO ]],TABLACONSOLIDADA[[Codigo]:[PV]],6,0)</f>
        <v>#N/A</v>
      </c>
      <c r="I456" s="19" t="e">
        <f>VLOOKUP(Tabla_Buffers_Agroinsumos[[#This Row],[CODIGO ]],TABLACONSOLIDADA[[Codigo]:[PV]],5,0)</f>
        <v>#N/A</v>
      </c>
      <c r="J456" s="19">
        <v>4</v>
      </c>
      <c r="K456" s="19">
        <v>4</v>
      </c>
      <c r="L456" s="19">
        <f>IFERROR(Tabla_Buffers_Agroinsumos[[#This Row],[BUFFER CENTRAL]]/((Tabla_Buffers_Agroinsumos[[#This Row],[TIEMPO REPOSICION ]]/Tabla_Buffers_Agroinsumos[[#This Row],[FRECUENCIA]])+1),0)</f>
        <v>0</v>
      </c>
      <c r="M456" s="19" t="str">
        <f t="array" ref="M456">IFERROR(INDEX(TABLACONSOLIDADA[Buff Act],MATCH("AGROINSUMOSMATERIAPRIMA"&amp;Tabla_Buffers_Agroinsumos[[#This Row],[CODIGO ]],TABLACONSOLIDADA[Bodega]&amp;TABLACONSOLIDADA[Codigo],0)),"")</f>
        <v/>
      </c>
      <c r="N456" s="19" t="str">
        <f t="array" ref="N456">IFERROR(INDEX(TABLACONSOLIDADA[Inv Fís Act],MATCH("AGROINSUMOSMATERIAPRIMA"&amp;Tabla_Buffers_Agroinsumos[[#This Row],[CODIGO ]],TABLACONSOLIDADA[Bodega]&amp;TABLACONSOLIDADA[Codigo],0)),"")</f>
        <v/>
      </c>
      <c r="O456" s="160" t="str">
        <f t="array" ref="O456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56" s="19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56" s="19">
        <f>IFERROR(SUM(Tabla_Buffers_Agroinsumos[[#This Row],[MP-C]:[MP-VL]]),"")</f>
        <v>0</v>
      </c>
      <c r="R456" s="92" t="str">
        <f>IFERROR(Tabla_Buffers_Agroinsumos[[#This Row],[INV FIS MATERIA PRIMA]]-Tabla_Buffers_Agroinsumos[[#This Row],[BUFFER MATERIA PRIMA]],"")</f>
        <v/>
      </c>
      <c r="S456" s="92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56" s="19"/>
      <c r="U456" s="19"/>
      <c r="V456" s="19"/>
      <c r="W456" s="19"/>
      <c r="X456" s="19"/>
      <c r="Y456" s="19"/>
      <c r="Z456" s="19"/>
      <c r="AA456" s="19"/>
      <c r="AB456" s="19"/>
      <c r="AC456" s="152" t="str">
        <f t="array" ref="AC456">IFERROR(INDEX(TABLACONSOLIDADA[Buff Act],MATCH("AGROINSUMOSCENTRAL"&amp;Tabla_Buffers_Agroinsumos[[#This Row],[CODIGO ]],TABLACONSOLIDADA[Bodega]&amp;TABLACONSOLIDADA[Codigo],0)),"")</f>
        <v/>
      </c>
      <c r="AD456" s="19" t="str">
        <f t="array" ref="AD456">IFERROR(INDEX(TABLACONSOLIDADA[Inv Fís Act],MATCH("AGROINSUMOSCENTRAL"&amp;Tabla_Buffers_Agroinsumos[[#This Row],[CODIGO ]],TABLACONSOLIDADA[Bodega]&amp;TABLACONSOLIDADA[Codigo],0)),"")</f>
        <v/>
      </c>
      <c r="AE456" s="160" t="str">
        <f t="array" ref="AE456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56" s="91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56" s="91">
        <f>IFERROR(SUM(Tabla_Buffers_Agroinsumos[[#This Row],[C-MP]:[C-VL]]),"")</f>
        <v>0</v>
      </c>
      <c r="AH456" s="92" t="str">
        <f>IFERROR(Tabla_Buffers_Agroinsumos[[#This Row],[INV FIS CENTRAL]]-Tabla_Buffers_Agroinsumos[[#This Row],[BUFFER CENTRAL]],"")</f>
        <v/>
      </c>
      <c r="AI456" s="92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56" s="134"/>
      <c r="AK456" s="134"/>
      <c r="AL456" s="134"/>
      <c r="AM456" s="134"/>
      <c r="AN456" s="134"/>
      <c r="AO456" s="134"/>
      <c r="AP456" s="134"/>
      <c r="AQ456" s="134"/>
      <c r="AR456" s="134"/>
      <c r="AS456" s="134" t="str">
        <f t="array" ref="AS456">IFERROR(INDEX(TABLACONSOLIDADA[Buff Act],MATCH("AGROINSUMOScentralPROPIA"&amp;Tabla_Buffers_Agroinsumos[[#This Row],[CODIGO ]],TABLACONSOLIDADA[Bodega]&amp;TABLACONSOLIDADA[Codigo],0)),"")</f>
        <v/>
      </c>
      <c r="AT456" s="19" t="str">
        <f t="array" ref="AT456">IFERROR(INDEX(TABLACONSOLIDADA[Inv Fís Act],MATCH("AGROINSUMOScentralPROPIA"&amp;Tabla_Buffers_Agroinsumos[[#This Row],[CODIGO ]],TABLACONSOLIDADA[Bodega]&amp;TABLACONSOLIDADA[Codigo],0)),"")</f>
        <v/>
      </c>
      <c r="AU456" s="160" t="str">
        <f t="array" ref="AU456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56" s="134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56" s="134">
        <f>IFERROR(SUM(Tabla_Buffers_Agroinsumos[[#This Row],[P-MP]:[P-VL]]),"")</f>
        <v>0</v>
      </c>
      <c r="AX456" s="92" t="str">
        <f>IFERROR(Tabla_Buffers_Agroinsumos[[#This Row],[INV FIS PROPIA]]-Tabla_Buffers_Agroinsumos[[#This Row],[BUFFER PROPIA]],"")</f>
        <v/>
      </c>
      <c r="AY456" s="92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56" s="134"/>
      <c r="BA456" s="134"/>
      <c r="BB456" s="134"/>
      <c r="BC456" s="134"/>
      <c r="BD456" s="134"/>
      <c r="BE456" s="134"/>
      <c r="BF456" s="134"/>
      <c r="BG456" s="134"/>
      <c r="BH456" s="134"/>
      <c r="BI456" s="91" t="str">
        <f t="array" ref="BI456">IFERROR(INDEX(TABLACONSOLIDADA[Buff Act],MATCH("AGROINSUMOSSTODOMINGO"&amp;Tabla_Buffers_Agroinsumos[[#This Row],[CODIGO ]],TABLACONSOLIDADA[Bodega]&amp;TABLACONSOLIDADA[Codigo],0)),"")</f>
        <v/>
      </c>
      <c r="BJ456" s="19" t="str">
        <f t="array" ref="BJ456">IFERROR(INDEX(TABLACONSOLIDADA[Inv Fís Act],MATCH("AGROINSUMOSSTODOMINGO"&amp;Tabla_Buffers_Agroinsumos[[#This Row],[CODIGO ]],TABLACONSOLIDADA[Bodega]&amp;TABLACONSOLIDADA[Codigo],0)),"")</f>
        <v/>
      </c>
      <c r="BK456" s="160" t="str">
        <f t="array" ref="BK456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56" s="91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56" s="91">
        <f>IFERROR(SUM(Tabla_Buffers_Agroinsumos[[#This Row],[SD-MP]:[SD-VL]]),"")</f>
        <v>0</v>
      </c>
      <c r="BN456" s="92"/>
      <c r="BO456" s="92"/>
      <c r="BP456" s="134"/>
      <c r="BQ456" s="134"/>
      <c r="BR456" s="134"/>
      <c r="BS456" s="134"/>
      <c r="BT456" s="134"/>
      <c r="BU456" s="134"/>
      <c r="BV456" s="134"/>
      <c r="BW456" s="134"/>
      <c r="BX456" s="134"/>
      <c r="BY456" s="134" t="str">
        <f t="array" ref="BY456">IFERROR(INDEX(TABLACONSOLIDADA[Buff Act],MATCH("AGROINSUMOSMONCAYOLOPEZ"&amp;Tabla_Buffers_Agroinsumos[[#This Row],[CODIGO ]],TABLACONSOLIDADA[Bodega]&amp;TABLACONSOLIDADA[Codigo],0)),"")</f>
        <v/>
      </c>
      <c r="BZ456" s="19" t="str">
        <f t="array" ref="BZ456">IFERROR(INDEX(TABLACONSOLIDADA[Inv Fís Act],MATCH("AGROINSUMOSMONCAYOLOPEZ"&amp;Tabla_Buffers_Agroinsumos[[#This Row],[CODIGO ]],TABLACONSOLIDADA[Bodega]&amp;TABLACONSOLIDADA[Codigo],0)),"")</f>
        <v/>
      </c>
      <c r="CA456" s="160" t="str">
        <f t="array" ref="CA456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56" s="134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56" s="134">
        <f>IFERROR(SUM(Tabla_Buffers_Agroinsumos[[#This Row],[ML-MP]:[ML-VL]]),"")</f>
        <v>0</v>
      </c>
      <c r="CD456" s="92" t="str">
        <f>IFERROR(Tabla_Buffers_Agroinsumos[[#This Row],[INV FIS ML]]-Tabla_Buffers_Agroinsumos[[#This Row],[BUFFER ML]],"")</f>
        <v/>
      </c>
      <c r="CE456" s="92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56" s="134"/>
      <c r="CG456" s="134"/>
      <c r="CH456" s="134"/>
      <c r="CI456" s="134"/>
      <c r="CJ456" s="134"/>
      <c r="CK456" s="134"/>
      <c r="CL456" s="134"/>
      <c r="CM456" s="134"/>
      <c r="CN456" s="134"/>
      <c r="CO456" s="134" t="str">
        <f t="array" ref="CO456">IFERROR(INDEX(TABLACONSOLIDADA[Buff Act],MATCH("AGROINSUMOSAGROHERMANOSLEON"&amp;Tabla_Buffers_Agroinsumos[[#This Row],[CODIGO ]],TABLACONSOLIDADA[Bodega]&amp;TABLACONSOLIDADA[Codigo],0)),"")</f>
        <v/>
      </c>
      <c r="CP456" s="19" t="str">
        <f t="array" ref="CP456">IFERROR(INDEX(TABLACONSOLIDADA[Inv Fís Act],MATCH("AGROINSUMOSAGROHERMANOSLEON"&amp;Tabla_Buffers_Agroinsumos[[#This Row],[CODIGO ]],TABLACONSOLIDADA[Bodega]&amp;TABLACONSOLIDADA[Codigo],0)),"")</f>
        <v/>
      </c>
      <c r="CQ456" s="160" t="str">
        <f t="array" ref="CQ456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56" s="134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56" s="134">
        <f>IFERROR(SUM(Tabla_Buffers_Agroinsumos[[#This Row],[AL-MP]:[AL-VL]]),"")</f>
        <v>0</v>
      </c>
      <c r="CT456" s="92" t="str">
        <f>IFERROR(Tabla_Buffers_Agroinsumos[[#This Row],[INV FIS AL]]-Tabla_Buffers_Agroinsumos[[#This Row],[BUFFER AL]],"")</f>
        <v/>
      </c>
      <c r="CU456" s="92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56" s="134"/>
      <c r="CW456" s="134"/>
      <c r="CX456" s="134"/>
      <c r="CY456" s="134"/>
      <c r="CZ456" s="134"/>
      <c r="DA456" s="134"/>
      <c r="DB456" s="134"/>
      <c r="DC456" s="134"/>
      <c r="DD456" s="134"/>
      <c r="DE456" s="134" t="str">
        <f t="array" ref="DE456">IFERROR(INDEX(TABLACONSOLIDADA[Buff Act],MATCH("AGROINSUMOSAGRONUEVO"&amp;Tabla_Buffers_Agroinsumos[[#This Row],[CODIGO ]],TABLACONSOLIDADA[Bodega]&amp;TABLACONSOLIDADA[Codigo],0)),"")</f>
        <v/>
      </c>
      <c r="DF456" s="19" t="str">
        <f t="array" ref="DF456">IFERROR(INDEX(TABLACONSOLIDADA[Inv Fís Act],MATCH("AGROINSUMOSAGRONUEVO"&amp;Tabla_Buffers_Agroinsumos[[#This Row],[CODIGO ]],TABLACONSOLIDADA[Bodega]&amp;TABLACONSOLIDADA[Codigo],0)),"")</f>
        <v/>
      </c>
      <c r="DG456" s="160" t="str">
        <f t="array" ref="DG456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56" s="134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56" s="134">
        <f>IFERROR(SUM(Tabla_Buffers_Agroinsumos[[#This Row],[AN-MP]:[AN-VL]]),"")</f>
        <v>0</v>
      </c>
      <c r="DJ456" s="92" t="str">
        <f>IFERROR(Tabla_Buffers_Agroinsumos[[#This Row],[INV FIS AN]]-Tabla_Buffers_Agroinsumos[[#This Row],[BUFFER AN]],"")</f>
        <v/>
      </c>
      <c r="DK456" s="92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56" s="134"/>
      <c r="DM456" s="134"/>
      <c r="DN456" s="134"/>
      <c r="DO456" s="134"/>
      <c r="DP456" s="134"/>
      <c r="DQ456" s="134"/>
      <c r="DR456" s="134"/>
      <c r="DS456" s="134"/>
      <c r="DT456" s="134"/>
      <c r="DU456" s="134" t="str">
        <f t="array" ref="DU456">IFERROR(INDEX(TABLACONSOLIDADA[Buff Act],MATCH("AGROINSUMOSAGROQUIMICOSSUR"&amp;Tabla_Buffers_Agroinsumos[[#This Row],[CODIGO ]],TABLACONSOLIDADA[Bodega]&amp;TABLACONSOLIDADA[Codigo],0)),"")</f>
        <v/>
      </c>
      <c r="DV456" s="19" t="str">
        <f t="array" ref="DV456">IFERROR(INDEX(TABLACONSOLIDADA[Inv Fís Act],MATCH("AGROINSUMOSAGROQUIMICOSSUR"&amp;Tabla_Buffers_Agroinsumos[[#This Row],[CODIGO ]],TABLACONSOLIDADA[Bodega]&amp;TABLACONSOLIDADA[Codigo],0)),"")</f>
        <v/>
      </c>
      <c r="DW456" s="160" t="str">
        <f t="array" ref="DW456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56" s="134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56" s="134">
        <f>IFERROR(SUM(Tabla_Buffers_Agroinsumos[[#This Row],[AS-MP]:[AS-VL]]),"")</f>
        <v>0</v>
      </c>
      <c r="DZ456" s="92" t="str">
        <f>IFERROR(Tabla_Buffers_Agroinsumos[[#This Row],[INV FIS AS]]-Tabla_Buffers_Agroinsumos[[#This Row],[BUFFER AS]],"")</f>
        <v/>
      </c>
      <c r="EA456" s="92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56" s="134"/>
      <c r="EC456" s="134"/>
      <c r="ED456" s="134"/>
      <c r="EE456" s="134"/>
      <c r="EF456" s="134"/>
      <c r="EG456" s="134"/>
      <c r="EH456" s="134"/>
      <c r="EI456" s="134"/>
      <c r="EJ456" s="134"/>
      <c r="EK456" s="134" t="str">
        <f t="array" ref="EK456">IFERROR(INDEX(TABLACONSOLIDADA[Buff Act],MATCH("AGROINSUMOSLAFINCA"&amp;Tabla_Buffers_Agroinsumos[[#This Row],[CODIGO ]],TABLACONSOLIDADA[Bodega]&amp;TABLACONSOLIDADA[Codigo],0)),"")</f>
        <v/>
      </c>
      <c r="EL456" s="19" t="str">
        <f t="array" ref="EL456">IFERROR(INDEX(TABLACONSOLIDADA[Inv Fís Act],MATCH("AGROINSUMOSLAFINCA"&amp;Tabla_Buffers_Agroinsumos[[#This Row],[CODIGO ]],TABLACONSOLIDADA[Bodega]&amp;TABLACONSOLIDADA[Codigo],0)),"")</f>
        <v/>
      </c>
      <c r="EM456" s="160" t="str">
        <f t="array" ref="EM456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56" s="134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56" s="134">
        <f>IFERROR(SUM(Tabla_Buffers_Agroinsumos[[#This Row],[LF-MP]:[LF-VL]]),"")</f>
        <v>0</v>
      </c>
      <c r="EP456" s="92" t="str">
        <f>IFERROR(Tabla_Buffers_Agroinsumos[[#This Row],[INV FIS LF]]-Tabla_Buffers_Agroinsumos[[#This Row],[BUFFER LF]],"")</f>
        <v/>
      </c>
      <c r="EQ456" s="92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56" s="134"/>
      <c r="ES456" s="134"/>
      <c r="ET456" s="134"/>
      <c r="EU456" s="134"/>
      <c r="EV456" s="134"/>
      <c r="EW456" s="134"/>
      <c r="EX456" s="134"/>
      <c r="EY456" s="134"/>
      <c r="EZ456" s="134"/>
      <c r="FA456" s="134" t="str">
        <f t="array" ref="FA456">IFERROR(INDEX(TABLACONSOLIDADA[Buff Act],MATCH("AGROINSUMOSVERONICALEDESMA"&amp;Tabla_Buffers_Agroinsumos[[#This Row],[CODIGO ]],TABLACONSOLIDADA[Bodega]&amp;TABLACONSOLIDADA[Codigo],0)),"")</f>
        <v/>
      </c>
      <c r="FB456" s="19" t="str">
        <f t="array" ref="FB456">IFERROR(INDEX(TABLACONSOLIDADA[Inv Fís Act],MATCH("AGROINSUMOSVERONICALEDESMA"&amp;Tabla_Buffers_Agroinsumos[[#This Row],[CODIGO ]],TABLACONSOLIDADA[Bodega]&amp;TABLACONSOLIDADA[Codigo],0)),"")</f>
        <v/>
      </c>
      <c r="FC456" s="160" t="str">
        <f t="array" ref="FC456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56" s="134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56" s="134">
        <f>IFERROR(SUM(Tabla_Buffers_Agroinsumos[[#This Row],[VL-MP]:[VL-LF]]),"")</f>
        <v>0</v>
      </c>
      <c r="FF456" s="92" t="str">
        <f>IFERROR(Tabla_Buffers_Agroinsumos[[#This Row],[INV FIS VL]]-Tabla_Buffers_Agroinsumos[[#This Row],[BUFFER VL]],"")</f>
        <v/>
      </c>
      <c r="FG456" s="92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56" s="134"/>
      <c r="FI456" s="134"/>
      <c r="FJ456" s="134"/>
      <c r="FK456" s="134"/>
      <c r="FL456" s="134"/>
      <c r="FM456" s="134"/>
      <c r="FN456" s="134"/>
      <c r="FO456" s="134"/>
      <c r="FP456" s="134"/>
    </row>
    <row r="457" spans="1:172">
      <c r="A457" s="20" t="s">
        <v>1401</v>
      </c>
      <c r="B457" s="20" t="s">
        <v>1403</v>
      </c>
      <c r="C457" s="20"/>
      <c r="D457" s="20" t="s">
        <v>718</v>
      </c>
      <c r="E457" s="20" t="s">
        <v>863</v>
      </c>
      <c r="F457" s="111"/>
      <c r="G457" s="111" t="s">
        <v>802</v>
      </c>
      <c r="H457" s="111" t="e">
        <f>VLOOKUP(Tabla_Buffers_Agroinsumos[[#This Row],[CODIGO ]],TABLACONSOLIDADA[[Codigo]:[PV]],6,0)</f>
        <v>#N/A</v>
      </c>
      <c r="I457" s="111" t="e">
        <f>VLOOKUP(Tabla_Buffers_Agroinsumos[[#This Row],[CODIGO ]],TABLACONSOLIDADA[[Codigo]:[PV]],5,0)</f>
        <v>#N/A</v>
      </c>
      <c r="J457" s="111">
        <v>4</v>
      </c>
      <c r="K457" s="111">
        <v>4</v>
      </c>
      <c r="L457" s="111">
        <f>IFERROR(Tabla_Buffers_Agroinsumos[[#This Row],[BUFFER CENTRAL]]/((Tabla_Buffers_Agroinsumos[[#This Row],[TIEMPO REPOSICION ]]/Tabla_Buffers_Agroinsumos[[#This Row],[FRECUENCIA]])+1),0)</f>
        <v>0</v>
      </c>
      <c r="M457" s="111" t="str">
        <f t="array" ref="M457">IFERROR(INDEX(TABLACONSOLIDADA[Buff Act],MATCH("AGROINSUMOSMATERIAPRIMA"&amp;Tabla_Buffers_Agroinsumos[[#This Row],[CODIGO ]],TABLACONSOLIDADA[Bodega]&amp;TABLACONSOLIDADA[Codigo],0)),"")</f>
        <v/>
      </c>
      <c r="N457" s="111" t="str">
        <f t="array" ref="N457">IFERROR(INDEX(TABLACONSOLIDADA[Inv Fís Act],MATCH("AGROINSUMOSMATERIAPRIMA"&amp;Tabla_Buffers_Agroinsumos[[#This Row],[CODIGO ]],TABLACONSOLIDADA[Bodega]&amp;TABLACONSOLIDADA[Codigo],0)),"")</f>
        <v/>
      </c>
      <c r="O457" s="161" t="str">
        <f t="array" ref="O457">IFERROR(IFERROR(INDEX(TABLACONSOLIDADA[Inv Proy Act],MATCH("AGROINSUMOSMATERIAPRIMA"&amp;Tabla_Buffers_Agroinsumos[[#This Row],[CODIGO ]],TABLACONSOLIDADA[Bodega]&amp;TABLACONSOLIDADA[Codigo],0)),"")+Tabla_Buffers_Agroinsumos[[#This Row],[TRANSFERENCIAS A MATERIA PRIMA]]-Tabla_Buffers_Agroinsumos[[#This Row],[TRANSFERENCIAS DE MATERIA PRIMA]],"")</f>
        <v/>
      </c>
      <c r="P457" s="111">
        <f>IFERROR(Tabla_Buffers_Agroinsumos[[#This Row],[C-MP]]+Tabla_Buffers_Agroinsumos[[#This Row],[P-MP]]+Tabla_Buffers_Agroinsumos[[#This Row],[SD-MP]]+Tabla_Buffers_Agroinsumos[[#This Row],[ML-MP]]+Tabla_Buffers_Agroinsumos[[#This Row],[AL-MP]]+Tabla_Buffers_Agroinsumos[[#This Row],[AN-MP]]+Tabla_Buffers_Agroinsumos[[#This Row],[AS-MP]]+Tabla_Buffers_Agroinsumos[[#This Row],[LF-MP]]+Tabla_Buffers_Agroinsumos[[#This Row],[VL-MP]],"")</f>
        <v>0</v>
      </c>
      <c r="Q457" s="111">
        <f>IFERROR(SUM(Tabla_Buffers_Agroinsumos[[#This Row],[MP-C]:[MP-VL]]),"")</f>
        <v>0</v>
      </c>
      <c r="R457" s="154" t="str">
        <f>IFERROR(Tabla_Buffers_Agroinsumos[[#This Row],[INV FIS MATERIA PRIMA]]-Tabla_Buffers_Agroinsumos[[#This Row],[BUFFER MATERIA PRIMA]],"")</f>
        <v/>
      </c>
      <c r="S457" s="154" t="str">
        <f>IFERROR(Tabla_Buffers_Agroinsumos[[#This Row],[INV FIS MATERIA PRIMA]]+Tabla_Buffers_Agroinsumos[[#This Row],[TRANSFERENCIAS A MATERIA PRIMA]]-Tabla_Buffers_Agroinsumos[[#This Row],[BUFFER MATERIA PRIMA]]-Tabla_Buffers_Agroinsumos[[#This Row],[TRANSFERENCIAS DE MATERIA PRIMA]],"")</f>
        <v/>
      </c>
      <c r="T457" s="111"/>
      <c r="U457" s="111"/>
      <c r="V457" s="111"/>
      <c r="W457" s="111"/>
      <c r="X457" s="111"/>
      <c r="Y457" s="111"/>
      <c r="Z457" s="111"/>
      <c r="AA457" s="111"/>
      <c r="AB457" s="111"/>
      <c r="AC457" s="135" t="str">
        <f t="array" ref="AC457">IFERROR(INDEX(TABLACONSOLIDADA[Buff Act],MATCH("AGROINSUMOSCENTRAL"&amp;Tabla_Buffers_Agroinsumos[[#This Row],[CODIGO ]],TABLACONSOLIDADA[Bodega]&amp;TABLACONSOLIDADA[Codigo],0)),"")</f>
        <v/>
      </c>
      <c r="AD457" s="111" t="str">
        <f t="array" ref="AD457">IFERROR(INDEX(TABLACONSOLIDADA[Inv Fís Act],MATCH("AGROINSUMOSCENTRAL"&amp;Tabla_Buffers_Agroinsumos[[#This Row],[CODIGO ]],TABLACONSOLIDADA[Bodega]&amp;TABLACONSOLIDADA[Codigo],0)),"")</f>
        <v/>
      </c>
      <c r="AE457" s="161" t="str">
        <f t="array" ref="AE457">IFERROR(IFERROR(INDEX(TABLACONSOLIDADA[Inv Proy Act],MATCH("AGROINSUMOSCENTRAL"&amp;Tabla_Buffers_Agroinsumos[[#This Row],[CODIGO ]],TABLACONSOLIDADA[Bodega]&amp;TABLACONSOLIDADA[Codigo],0)),"")+Tabla_Buffers_Agroinsumos[[#This Row],[TRANSFERENCIAS A CENTRAL]]-Tabla_Buffers_Agroinsumos[[#This Row],[TRANSFERENCIAS DE CENTRAL]],"")</f>
        <v/>
      </c>
      <c r="AF457" s="153">
        <f>IFERROR(Tabla_Buffers_Agroinsumos[[#This Row],[MP-C]]+Tabla_Buffers_Agroinsumos[[#This Row],[P-C]]+Tabla_Buffers_Agroinsumos[[#This Row],[SD-C]]+Tabla_Buffers_Agroinsumos[[#This Row],[ML-C]]+Tabla_Buffers_Agroinsumos[[#This Row],[AL-C]]+Tabla_Buffers_Agroinsumos[[#This Row],[AN-C]]+Tabla_Buffers_Agroinsumos[[#This Row],[AS-C]]+Tabla_Buffers_Agroinsumos[[#This Row],[LF-C]]+Tabla_Buffers_Agroinsumos[[#This Row],[VL-C]],"")</f>
        <v>0</v>
      </c>
      <c r="AG457" s="153">
        <f>IFERROR(SUM(Tabla_Buffers_Agroinsumos[[#This Row],[C-MP]:[C-VL]]),"")</f>
        <v>0</v>
      </c>
      <c r="AH457" s="154" t="str">
        <f>IFERROR(Tabla_Buffers_Agroinsumos[[#This Row],[INV FIS CENTRAL]]-Tabla_Buffers_Agroinsumos[[#This Row],[BUFFER CENTRAL]],"")</f>
        <v/>
      </c>
      <c r="AI457" s="154" t="str">
        <f>IFERROR(Tabla_Buffers_Agroinsumos[[#This Row],[INV FIS CENTRAL]]+Tabla_Buffers_Agroinsumos[[#This Row],[TRANSFERENCIAS A CENTRAL]]-Tabla_Buffers_Agroinsumos[[#This Row],[BUFFER CENTRAL]]-Tabla_Buffers_Agroinsumos[[#This Row],[TRANSFERENCIAS DE CENTRAL]],"")</f>
        <v/>
      </c>
      <c r="AJ457" s="135"/>
      <c r="AK457" s="135"/>
      <c r="AL457" s="135"/>
      <c r="AM457" s="135"/>
      <c r="AN457" s="135"/>
      <c r="AO457" s="135"/>
      <c r="AP457" s="135"/>
      <c r="AQ457" s="135"/>
      <c r="AR457" s="135"/>
      <c r="AS457" s="135" t="str">
        <f t="array" ref="AS457">IFERROR(INDEX(TABLACONSOLIDADA[Buff Act],MATCH("AGROINSUMOScentralPROPIA"&amp;Tabla_Buffers_Agroinsumos[[#This Row],[CODIGO ]],TABLACONSOLIDADA[Bodega]&amp;TABLACONSOLIDADA[Codigo],0)),"")</f>
        <v/>
      </c>
      <c r="AT457" s="111" t="str">
        <f t="array" ref="AT457">IFERROR(INDEX(TABLACONSOLIDADA[Inv Fís Act],MATCH("AGROINSUMOScentralPROPIA"&amp;Tabla_Buffers_Agroinsumos[[#This Row],[CODIGO ]],TABLACONSOLIDADA[Bodega]&amp;TABLACONSOLIDADA[Codigo],0)),"")</f>
        <v/>
      </c>
      <c r="AU457" s="161" t="str">
        <f t="array" ref="AU457">IFERROR(IFERROR(INDEX(TABLACONSOLIDADA[Inv Proy Act],MATCH("AGROINSUMOScentralPROPIA"&amp;Tabla_Buffers_Agroinsumos[[#This Row],[CODIGO ]],TABLACONSOLIDADA[Bodega]&amp;TABLACONSOLIDADA[Codigo],0)),"")+Tabla_Buffers_Agroinsumos[[#This Row],[TRANSFERENCIAS A PROPIA]]-Tabla_Buffers_Agroinsumos[[#This Row],[TRANSFERENCIAS DE PROPIA]],"")</f>
        <v/>
      </c>
      <c r="AV457" s="135">
        <f>IFERROR(Tabla_Buffers_Agroinsumos[[#This Row],[MP-P]]+Tabla_Buffers_Agroinsumos[[#This Row],[C-P]]+Tabla_Buffers_Agroinsumos[[#This Row],[SD-P]]+Tabla_Buffers_Agroinsumos[[#This Row],[ML-P]]+Tabla_Buffers_Agroinsumos[[#This Row],[AL-P]]+Tabla_Buffers_Agroinsumos[[#This Row],[AN-P]]+Tabla_Buffers_Agroinsumos[[#This Row],[AS-P]]+Tabla_Buffers_Agroinsumos[[#This Row],[LF-P]]+Tabla_Buffers_Agroinsumos[[#This Row],[VL-P]],"")</f>
        <v>0</v>
      </c>
      <c r="AW457" s="135">
        <f>IFERROR(SUM(Tabla_Buffers_Agroinsumos[[#This Row],[P-MP]:[P-VL]]),"")</f>
        <v>0</v>
      </c>
      <c r="AX457" s="154" t="str">
        <f>IFERROR(Tabla_Buffers_Agroinsumos[[#This Row],[INV FIS PROPIA]]-Tabla_Buffers_Agroinsumos[[#This Row],[BUFFER PROPIA]],"")</f>
        <v/>
      </c>
      <c r="AY457" s="154" t="str">
        <f>IFERROR(Tabla_Buffers_Agroinsumos[[#This Row],[INV FIS PROPIA]]+Tabla_Buffers_Agroinsumos[[#This Row],[TRANSFERENCIAS A PROPIA]]-Tabla_Buffers_Agroinsumos[[#This Row],[BUFFER PROPIA]]-Tabla_Buffers_Agroinsumos[[#This Row],[TRANSFERENCIAS DE PROPIA]],"")</f>
        <v/>
      </c>
      <c r="AZ457" s="135"/>
      <c r="BA457" s="135"/>
      <c r="BB457" s="135"/>
      <c r="BC457" s="135"/>
      <c r="BD457" s="135"/>
      <c r="BE457" s="135"/>
      <c r="BF457" s="135"/>
      <c r="BG457" s="135"/>
      <c r="BH457" s="135"/>
      <c r="BI457" s="153" t="str">
        <f t="array" ref="BI457">IFERROR(INDEX(TABLACONSOLIDADA[Buff Act],MATCH("AGROINSUMOSSTODOMINGO"&amp;Tabla_Buffers_Agroinsumos[[#This Row],[CODIGO ]],TABLACONSOLIDADA[Bodega]&amp;TABLACONSOLIDADA[Codigo],0)),"")</f>
        <v/>
      </c>
      <c r="BJ457" s="111" t="str">
        <f t="array" ref="BJ457">IFERROR(INDEX(TABLACONSOLIDADA[Inv Fís Act],MATCH("AGROINSUMOSSTODOMINGO"&amp;Tabla_Buffers_Agroinsumos[[#This Row],[CODIGO ]],TABLACONSOLIDADA[Bodega]&amp;TABLACONSOLIDADA[Codigo],0)),"")</f>
        <v/>
      </c>
      <c r="BK457" s="161" t="str">
        <f t="array" ref="BK457">IFERROR(IFERROR(INDEX(TABLACONSOLIDADA[Inv Proy Act],MATCH("AGROINSUMOSSTODOMINGO"&amp;Tabla_Buffers_Agroinsumos[[#This Row],[CODIGO ]],TABLACONSOLIDADA[Bodega]&amp;TABLACONSOLIDADA[Codigo],0)),"")+Tabla_Buffers_Agroinsumos[[#This Row],[TRANSFERENCIAS A STODOMINGO]]-Tabla_Buffers_Agroinsumos[[#This Row],[TRANSFERENCIAS DE STODOMINGO]],"")</f>
        <v/>
      </c>
      <c r="BL457" s="153">
        <f>IFERROR(Tabla_Buffers_Agroinsumos[[#This Row],[MP-SD]]+Tabla_Buffers_Agroinsumos[[#This Row],[C-SD]]+Tabla_Buffers_Agroinsumos[[#This Row],[P-SD]]+Tabla_Buffers_Agroinsumos[[#This Row],[ML-SD]]+Tabla_Buffers_Agroinsumos[[#This Row],[AL-SD]]+Tabla_Buffers_Agroinsumos[[#This Row],[AN-SD]]+Tabla_Buffers_Agroinsumos[[#This Row],[AS-SD]]+Tabla_Buffers_Agroinsumos[[#This Row],[LF-SD]]+Tabla_Buffers_Agroinsumos[[#This Row],[VL-SD]],"")</f>
        <v>0</v>
      </c>
      <c r="BM457" s="153">
        <f>IFERROR(SUM(Tabla_Buffers_Agroinsumos[[#This Row],[SD-MP]:[SD-VL]]),"")</f>
        <v>0</v>
      </c>
      <c r="BN457" s="154"/>
      <c r="BO457" s="154"/>
      <c r="BP457" s="135"/>
      <c r="BQ457" s="135"/>
      <c r="BR457" s="135"/>
      <c r="BS457" s="135"/>
      <c r="BT457" s="135"/>
      <c r="BU457" s="135"/>
      <c r="BV457" s="135"/>
      <c r="BW457" s="135"/>
      <c r="BX457" s="135"/>
      <c r="BY457" s="135" t="str">
        <f t="array" ref="BY457">IFERROR(INDEX(TABLACONSOLIDADA[Buff Act],MATCH("AGROINSUMOSMONCAYOLOPEZ"&amp;Tabla_Buffers_Agroinsumos[[#This Row],[CODIGO ]],TABLACONSOLIDADA[Bodega]&amp;TABLACONSOLIDADA[Codigo],0)),"")</f>
        <v/>
      </c>
      <c r="BZ457" s="111" t="str">
        <f t="array" ref="BZ457">IFERROR(INDEX(TABLACONSOLIDADA[Inv Fís Act],MATCH("AGROINSUMOSMONCAYOLOPEZ"&amp;Tabla_Buffers_Agroinsumos[[#This Row],[CODIGO ]],TABLACONSOLIDADA[Bodega]&amp;TABLACONSOLIDADA[Codigo],0)),"")</f>
        <v/>
      </c>
      <c r="CA457" s="161" t="str">
        <f t="array" ref="CA457">IFERROR(IFERROR(INDEX(TABLACONSOLIDADA[Inv Proy Act],MATCH("AGROINSUMOSMONCAYOLOPEZ"&amp;Tabla_Buffers_Agroinsumos[[#This Row],[CODIGO ]],TABLACONSOLIDADA[Bodega]&amp;TABLACONSOLIDADA[Codigo],0)),"")+Tabla_Buffers_Agroinsumos[[#This Row],[TRANSFERENCIAS A ML]]-Tabla_Buffers_Agroinsumos[[#This Row],[TRANSFERENCIAS DE ML]],"")</f>
        <v/>
      </c>
      <c r="CB457" s="135">
        <f>IFERROR(Tabla_Buffers_Agroinsumos[[#This Row],[MP-ML]]+Tabla_Buffers_Agroinsumos[[#This Row],[C-ML]]+Tabla_Buffers_Agroinsumos[[#This Row],[P-ML]]+Tabla_Buffers_Agroinsumos[[#This Row],[SD-ML]]+Tabla_Buffers_Agroinsumos[[#This Row],[AL-ML]]+Tabla_Buffers_Agroinsumos[[#This Row],[AN-ML]]+Tabla_Buffers_Agroinsumos[[#This Row],[AS-ML]]+Tabla_Buffers_Agroinsumos[[#This Row],[LF-ML]]+Tabla_Buffers_Agroinsumos[[#This Row],[VL-ML]],"")</f>
        <v>0</v>
      </c>
      <c r="CC457" s="135">
        <f>IFERROR(SUM(Tabla_Buffers_Agroinsumos[[#This Row],[ML-MP]:[ML-VL]]),"")</f>
        <v>0</v>
      </c>
      <c r="CD457" s="154" t="str">
        <f>IFERROR(Tabla_Buffers_Agroinsumos[[#This Row],[INV FIS ML]]-Tabla_Buffers_Agroinsumos[[#This Row],[BUFFER ML]],"")</f>
        <v/>
      </c>
      <c r="CE457" s="154" t="str">
        <f>IFERROR(Tabla_Buffers_Agroinsumos[[#This Row],[INV FIS ML]]+Tabla_Buffers_Agroinsumos[[#This Row],[TRANSFERENCIAS A ML]]-Tabla_Buffers_Agroinsumos[[#This Row],[BUFFER ML]]-Tabla_Buffers_Agroinsumos[[#This Row],[TRANSFERENCIAS DE ML]],"")</f>
        <v/>
      </c>
      <c r="CF457" s="135"/>
      <c r="CG457" s="135"/>
      <c r="CH457" s="135"/>
      <c r="CI457" s="135"/>
      <c r="CJ457" s="135"/>
      <c r="CK457" s="135"/>
      <c r="CL457" s="135"/>
      <c r="CM457" s="135"/>
      <c r="CN457" s="135"/>
      <c r="CO457" s="135" t="str">
        <f t="array" ref="CO457">IFERROR(INDEX(TABLACONSOLIDADA[Buff Act],MATCH("AGROINSUMOSAGROHERMANOSLEON"&amp;Tabla_Buffers_Agroinsumos[[#This Row],[CODIGO ]],TABLACONSOLIDADA[Bodega]&amp;TABLACONSOLIDADA[Codigo],0)),"")</f>
        <v/>
      </c>
      <c r="CP457" s="111" t="str">
        <f t="array" ref="CP457">IFERROR(INDEX(TABLACONSOLIDADA[Inv Fís Act],MATCH("AGROINSUMOSAGROHERMANOSLEON"&amp;Tabla_Buffers_Agroinsumos[[#This Row],[CODIGO ]],TABLACONSOLIDADA[Bodega]&amp;TABLACONSOLIDADA[Codigo],0)),"")</f>
        <v/>
      </c>
      <c r="CQ457" s="161" t="str">
        <f t="array" ref="CQ457">IFERROR(IFERROR(INDEX(TABLACONSOLIDADA[Inv Proy Act],MATCH("AGROINSUMOSAGROHERMANOSLEON"&amp;Tabla_Buffers_Agroinsumos[[#This Row],[CODIGO ]],TABLACONSOLIDADA[Bodega]&amp;TABLACONSOLIDADA[Codigo],0)),"")+Tabla_Buffers_Agroinsumos[[#This Row],[TRANSFERENCIAS A AL]]-Tabla_Buffers_Agroinsumos[[#This Row],[TRANSFERENCIAS DE AL]],"")</f>
        <v/>
      </c>
      <c r="CR457" s="135">
        <f>IFERROR(Tabla_Buffers_Agroinsumos[[#This Row],[MP-AL]]+Tabla_Buffers_Agroinsumos[[#This Row],[C-AL]]+Tabla_Buffers_Agroinsumos[[#This Row],[P-AL]]+Tabla_Buffers_Agroinsumos[[#This Row],[SD-AL]]+Tabla_Buffers_Agroinsumos[[#This Row],[ML-AL]]+Tabla_Buffers_Agroinsumos[[#This Row],[AN-AL]]+Tabla_Buffers_Agroinsumos[[#This Row],[AS-AL]]+Tabla_Buffers_Agroinsumos[[#This Row],[LF-AL]]+Tabla_Buffers_Agroinsumos[[#This Row],[VL-AL]],"")</f>
        <v>0</v>
      </c>
      <c r="CS457" s="135">
        <f>IFERROR(SUM(Tabla_Buffers_Agroinsumos[[#This Row],[AL-MP]:[AL-VL]]),"")</f>
        <v>0</v>
      </c>
      <c r="CT457" s="154" t="str">
        <f>IFERROR(Tabla_Buffers_Agroinsumos[[#This Row],[INV FIS AL]]-Tabla_Buffers_Agroinsumos[[#This Row],[BUFFER AL]],"")</f>
        <v/>
      </c>
      <c r="CU457" s="154" t="str">
        <f>IFERROR(Tabla_Buffers_Agroinsumos[[#This Row],[INV FIS AL]]+Tabla_Buffers_Agroinsumos[[#This Row],[TRANSFERENCIAS A AL]]-Tabla_Buffers_Agroinsumos[[#This Row],[BUFFER AL]]-Tabla_Buffers_Agroinsumos[[#This Row],[TRANSFERENCIAS DE AL]],"")</f>
        <v/>
      </c>
      <c r="CV457" s="135"/>
      <c r="CW457" s="135"/>
      <c r="CX457" s="135"/>
      <c r="CY457" s="135"/>
      <c r="CZ457" s="135"/>
      <c r="DA457" s="135"/>
      <c r="DB457" s="135"/>
      <c r="DC457" s="135"/>
      <c r="DD457" s="135"/>
      <c r="DE457" s="135" t="str">
        <f t="array" ref="DE457">IFERROR(INDEX(TABLACONSOLIDADA[Buff Act],MATCH("AGROINSUMOSAGRONUEVO"&amp;Tabla_Buffers_Agroinsumos[[#This Row],[CODIGO ]],TABLACONSOLIDADA[Bodega]&amp;TABLACONSOLIDADA[Codigo],0)),"")</f>
        <v/>
      </c>
      <c r="DF457" s="111" t="str">
        <f t="array" ref="DF457">IFERROR(INDEX(TABLACONSOLIDADA[Inv Fís Act],MATCH("AGROINSUMOSAGRONUEVO"&amp;Tabla_Buffers_Agroinsumos[[#This Row],[CODIGO ]],TABLACONSOLIDADA[Bodega]&amp;TABLACONSOLIDADA[Codigo],0)),"")</f>
        <v/>
      </c>
      <c r="DG457" s="161" t="str">
        <f t="array" ref="DG457">IFERROR(IFERROR(INDEX(TABLACONSOLIDADA[Inv Proy Act],MATCH("AGROINSUMOSAGRONUEVO"&amp;Tabla_Buffers_Agroinsumos[[#This Row],[CODIGO ]],TABLACONSOLIDADA[Bodega]&amp;TABLACONSOLIDADA[Codigo],0)),"")+Tabla_Buffers_Agroinsumos[[#This Row],[TRANSFERENCIAS A AN]]-Tabla_Buffers_Agroinsumos[[#This Row],[TRANSFERENCIAS DE AN]],"")</f>
        <v/>
      </c>
      <c r="DH457" s="135">
        <f>IFERROR(Tabla_Buffers_Agroinsumos[[#This Row],[MP-AN]]+Tabla_Buffers_Agroinsumos[[#This Row],[C-AN]]+Tabla_Buffers_Agroinsumos[[#This Row],[P-AN]]+Tabla_Buffers_Agroinsumos[[#This Row],[SD-AN]]+Tabla_Buffers_Agroinsumos[[#This Row],[ML-AN]]+Tabla_Buffers_Agroinsumos[[#This Row],[AL-AN]]+Tabla_Buffers_Agroinsumos[[#This Row],[AS-AN]]+Tabla_Buffers_Agroinsumos[[#This Row],[LF-AN]]+Tabla_Buffers_Agroinsumos[[#This Row],[VL-AN]],"")</f>
        <v>0</v>
      </c>
      <c r="DI457" s="135">
        <f>IFERROR(SUM(Tabla_Buffers_Agroinsumos[[#This Row],[AN-MP]:[AN-VL]]),"")</f>
        <v>0</v>
      </c>
      <c r="DJ457" s="154" t="str">
        <f>IFERROR(Tabla_Buffers_Agroinsumos[[#This Row],[INV FIS AN]]-Tabla_Buffers_Agroinsumos[[#This Row],[BUFFER AN]],"")</f>
        <v/>
      </c>
      <c r="DK457" s="154" t="str">
        <f>IFERROR(Tabla_Buffers_Agroinsumos[[#This Row],[INV FIS AN]]+Tabla_Buffers_Agroinsumos[[#This Row],[TRANSFERENCIAS A AN]]-Tabla_Buffers_Agroinsumos[[#This Row],[BUFFER AN]]-Tabla_Buffers_Agroinsumos[[#This Row],[TRANSFERENCIAS DE AN]],"")</f>
        <v/>
      </c>
      <c r="DL457" s="135"/>
      <c r="DM457" s="135"/>
      <c r="DN457" s="135"/>
      <c r="DO457" s="135"/>
      <c r="DP457" s="135"/>
      <c r="DQ457" s="135"/>
      <c r="DR457" s="135"/>
      <c r="DS457" s="135"/>
      <c r="DT457" s="135"/>
      <c r="DU457" s="135" t="str">
        <f t="array" ref="DU457">IFERROR(INDEX(TABLACONSOLIDADA[Buff Act],MATCH("AGROINSUMOSAGROQUIMICOSSUR"&amp;Tabla_Buffers_Agroinsumos[[#This Row],[CODIGO ]],TABLACONSOLIDADA[Bodega]&amp;TABLACONSOLIDADA[Codigo],0)),"")</f>
        <v/>
      </c>
      <c r="DV457" s="111" t="str">
        <f t="array" ref="DV457">IFERROR(INDEX(TABLACONSOLIDADA[Inv Fís Act],MATCH("AGROINSUMOSAGROQUIMICOSSUR"&amp;Tabla_Buffers_Agroinsumos[[#This Row],[CODIGO ]],TABLACONSOLIDADA[Bodega]&amp;TABLACONSOLIDADA[Codigo],0)),"")</f>
        <v/>
      </c>
      <c r="DW457" s="161" t="str">
        <f t="array" ref="DW457">IFERROR(IFERROR(INDEX(TABLACONSOLIDADA[Inv Proy Act],MATCH("AGROINSUMOSAGROQUIMICOSSUR"&amp;Tabla_Buffers_Agroinsumos[[#This Row],[CODIGO ]],TABLACONSOLIDADA[Bodega]&amp;TABLACONSOLIDADA[Codigo],0)),"")+Tabla_Buffers_Agroinsumos[[#This Row],[TRANSFERENCIAS A AS]]-Tabla_Buffers_Agroinsumos[[#This Row],[TRANSFERENCIAS DE AS]],"")</f>
        <v/>
      </c>
      <c r="DX457" s="135">
        <f>IFERROR(Tabla_Buffers_Agroinsumos[[#This Row],[MP-AS]]+Tabla_Buffers_Agroinsumos[[#This Row],[C-AS]]+Tabla_Buffers_Agroinsumos[[#This Row],[P-AS]]+Tabla_Buffers_Agroinsumos[[#This Row],[SD-AS]]+Tabla_Buffers_Agroinsumos[[#This Row],[ML-AS]]+Tabla_Buffers_Agroinsumos[[#This Row],[AL-AS]]+Tabla_Buffers_Agroinsumos[[#This Row],[AN-AS]]+Tabla_Buffers_Agroinsumos[[#This Row],[LF-AS]]+Tabla_Buffers_Agroinsumos[[#This Row],[VL-AS]],"")</f>
        <v>0</v>
      </c>
      <c r="DY457" s="135">
        <f>IFERROR(SUM(Tabla_Buffers_Agroinsumos[[#This Row],[AS-MP]:[AS-VL]]),"")</f>
        <v>0</v>
      </c>
      <c r="DZ457" s="154" t="str">
        <f>IFERROR(Tabla_Buffers_Agroinsumos[[#This Row],[INV FIS AS]]-Tabla_Buffers_Agroinsumos[[#This Row],[BUFFER AS]],"")</f>
        <v/>
      </c>
      <c r="EA457" s="154" t="str">
        <f>IFERROR(Tabla_Buffers_Agroinsumos[[#This Row],[INV FIS AS]]+Tabla_Buffers_Agroinsumos[[#This Row],[TRANSFERENCIAS A AS]]-Tabla_Buffers_Agroinsumos[[#This Row],[BUFFER AS]]-Tabla_Buffers_Agroinsumos[[#This Row],[TRANSFERENCIAS DE AS]],"")</f>
        <v/>
      </c>
      <c r="EB457" s="135"/>
      <c r="EC457" s="135"/>
      <c r="ED457" s="135"/>
      <c r="EE457" s="135"/>
      <c r="EF457" s="135"/>
      <c r="EG457" s="135"/>
      <c r="EH457" s="135"/>
      <c r="EI457" s="135"/>
      <c r="EJ457" s="135"/>
      <c r="EK457" s="135" t="str">
        <f t="array" ref="EK457">IFERROR(INDEX(TABLACONSOLIDADA[Buff Act],MATCH("AGROINSUMOSLAFINCA"&amp;Tabla_Buffers_Agroinsumos[[#This Row],[CODIGO ]],TABLACONSOLIDADA[Bodega]&amp;TABLACONSOLIDADA[Codigo],0)),"")</f>
        <v/>
      </c>
      <c r="EL457" s="111" t="str">
        <f t="array" ref="EL457">IFERROR(INDEX(TABLACONSOLIDADA[Inv Fís Act],MATCH("AGROINSUMOSLAFINCA"&amp;Tabla_Buffers_Agroinsumos[[#This Row],[CODIGO ]],TABLACONSOLIDADA[Bodega]&amp;TABLACONSOLIDADA[Codigo],0)),"")</f>
        <v/>
      </c>
      <c r="EM457" s="161" t="str">
        <f t="array" ref="EM457">IFERROR(IFERROR(INDEX(TABLACONSOLIDADA[Inv Proy Act],MATCH("AGROINSUMOSLAFINCA"&amp;Tabla_Buffers_Agroinsumos[[#This Row],[CODIGO ]],TABLACONSOLIDADA[Bodega]&amp;TABLACONSOLIDADA[Codigo],0)),"")+Tabla_Buffers_Agroinsumos[[#This Row],[TRANSFERENCIAS A LF]]-Tabla_Buffers_Agroinsumos[[#This Row],[TRANSFERENCIAS DE LF]],"")</f>
        <v/>
      </c>
      <c r="EN457" s="135">
        <f>IFERROR(Tabla_Buffers_Agroinsumos[[#This Row],[MP-LF]]+Tabla_Buffers_Agroinsumos[[#This Row],[C-LF]]+Tabla_Buffers_Agroinsumos[[#This Row],[P-LF]]+Tabla_Buffers_Agroinsumos[[#This Row],[SD-LF]]+Tabla_Buffers_Agroinsumos[[#This Row],[ML-LF]]+Tabla_Buffers_Agroinsumos[[#This Row],[AL-LF]]+Tabla_Buffers_Agroinsumos[[#This Row],[AN-LF]]+Tabla_Buffers_Agroinsumos[[#This Row],[AS-LF]]+Tabla_Buffers_Agroinsumos[[#This Row],[VL-LF]],"")</f>
        <v>0</v>
      </c>
      <c r="EO457" s="135">
        <f>IFERROR(SUM(Tabla_Buffers_Agroinsumos[[#This Row],[LF-MP]:[LF-VL]]),"")</f>
        <v>0</v>
      </c>
      <c r="EP457" s="154" t="str">
        <f>IFERROR(Tabla_Buffers_Agroinsumos[[#This Row],[INV FIS LF]]-Tabla_Buffers_Agroinsumos[[#This Row],[BUFFER LF]],"")</f>
        <v/>
      </c>
      <c r="EQ457" s="154" t="str">
        <f>IFERROR(Tabla_Buffers_Agroinsumos[[#This Row],[INV FIS LF]]+Tabla_Buffers_Agroinsumos[[#This Row],[TRANSFERENCIAS A LF]]-Tabla_Buffers_Agroinsumos[[#This Row],[BUFFER LF]]-Tabla_Buffers_Agroinsumos[[#This Row],[TRANSFERENCIAS DE LF]],"")</f>
        <v/>
      </c>
      <c r="ER457" s="135"/>
      <c r="ES457" s="135"/>
      <c r="ET457" s="135"/>
      <c r="EU457" s="135"/>
      <c r="EV457" s="135"/>
      <c r="EW457" s="135"/>
      <c r="EX457" s="135"/>
      <c r="EY457" s="135"/>
      <c r="EZ457" s="135"/>
      <c r="FA457" s="135" t="str">
        <f t="array" ref="FA457">IFERROR(INDEX(TABLACONSOLIDADA[Buff Act],MATCH("AGROINSUMOSVERONICALEDESMA"&amp;Tabla_Buffers_Agroinsumos[[#This Row],[CODIGO ]],TABLACONSOLIDADA[Bodega]&amp;TABLACONSOLIDADA[Codigo],0)),"")</f>
        <v/>
      </c>
      <c r="FB457" s="111" t="str">
        <f t="array" ref="FB457">IFERROR(INDEX(TABLACONSOLIDADA[Inv Fís Act],MATCH("AGROINSUMOSVERONICALEDESMA"&amp;Tabla_Buffers_Agroinsumos[[#This Row],[CODIGO ]],TABLACONSOLIDADA[Bodega]&amp;TABLACONSOLIDADA[Codigo],0)),"")</f>
        <v/>
      </c>
      <c r="FC457" s="161" t="str">
        <f t="array" ref="FC457">IFERROR(IFERROR(INDEX(TABLACONSOLIDADA[Inv Proy Act],MATCH("AGROINSUMOSVERONICALEDESMA"&amp;Tabla_Buffers_Agroinsumos[[#This Row],[CODIGO ]],TABLACONSOLIDADA[Bodega]&amp;TABLACONSOLIDADA[Codigo],0)),"")+Tabla_Buffers_Agroinsumos[[#This Row],[TRANSFERENCIAS A VL]]-Tabla_Buffers_Agroinsumos[[#This Row],[TRANSFERENCIAS DE VL]],"")</f>
        <v/>
      </c>
      <c r="FD457" s="135">
        <f>IFERROR(Tabla_Buffers_Agroinsumos[[#This Row],[MP-VL]]+Tabla_Buffers_Agroinsumos[[#This Row],[C-VL]]+Tabla_Buffers_Agroinsumos[[#This Row],[P-VL]]+Tabla_Buffers_Agroinsumos[[#This Row],[SD-VL]]+Tabla_Buffers_Agroinsumos[[#This Row],[ML-VL]]+Tabla_Buffers_Agroinsumos[[#This Row],[AL-VL]]+Tabla_Buffers_Agroinsumos[[#This Row],[AN-VL]]+Tabla_Buffers_Agroinsumos[[#This Row],[AS-VL]]+Tabla_Buffers_Agroinsumos[[#This Row],[LF-VL]],"")</f>
        <v>0</v>
      </c>
      <c r="FE457" s="135">
        <f>IFERROR(SUM(Tabla_Buffers_Agroinsumos[[#This Row],[VL-MP]:[VL-LF]]),"")</f>
        <v>0</v>
      </c>
      <c r="FF457" s="154" t="str">
        <f>IFERROR(Tabla_Buffers_Agroinsumos[[#This Row],[INV FIS VL]]-Tabla_Buffers_Agroinsumos[[#This Row],[BUFFER VL]],"")</f>
        <v/>
      </c>
      <c r="FG457" s="154" t="str">
        <f>IFERROR(Tabla_Buffers_Agroinsumos[[#This Row],[INV FIS VL]]+Tabla_Buffers_Agroinsumos[[#This Row],[TRANSFERENCIAS A VL]]-Tabla_Buffers_Agroinsumos[[#This Row],[BUFFER VL]]-Tabla_Buffers_Agroinsumos[[#This Row],[TRANSFERENCIAS DE VL]],"")</f>
        <v/>
      </c>
      <c r="FH457" s="135"/>
      <c r="FI457" s="135"/>
      <c r="FJ457" s="135"/>
      <c r="FK457" s="135"/>
      <c r="FL457" s="135"/>
      <c r="FM457" s="135"/>
      <c r="FN457" s="135"/>
      <c r="FO457" s="135"/>
      <c r="FP457" s="135"/>
    </row>
  </sheetData>
  <conditionalFormatting sqref="AD2:AE457 N2:O457 AT2:AU457 BJ2:BK457 BZ2:CA457 CP2:CQ457 DF2:DG457 DV2:DW457 EL2:EM457 FB2:FC457">
    <cfRule type="expression" dxfId="368" priority="307">
      <formula>N2=0</formula>
    </cfRule>
  </conditionalFormatting>
  <conditionalFormatting sqref="AD2:AD457 N2:N457 AT2:AT457 BJ2:BJ457 BZ2:BZ457 CP2:CP457 DF2:DF457 DV2:DV457 EL2:EL457 FB2:FB457">
    <cfRule type="expression" dxfId="367" priority="206">
      <formula>OR(M2=0,M2="")</formula>
    </cfRule>
    <cfRule type="expression" dxfId="366" priority="312">
      <formula>N2&gt;M2</formula>
    </cfRule>
  </conditionalFormatting>
  <conditionalFormatting sqref="AD2:AD457 N2:N457 AT2:AT457 BJ2:BJ457 BZ2:BZ457 CP2:CP457 DF2:DF457 DV2:DV457 EL2:EL457 FB2:FB457">
    <cfRule type="expression" dxfId="365" priority="313">
      <formula>AND(N2&gt;=0.000001,N2&lt;=IF(M2=1,0.5,ROUND(M2*(1/3),0)))</formula>
    </cfRule>
    <cfRule type="expression" dxfId="364" priority="314">
      <formula>AND(N2&gt;=IF(M2=1,IF(M2=1,0.5,ROUND(M2*(1/3),0))+0.000001,ROUND(M2*(1/3),0)+0.000001),N2&lt;=IF(M2=2,2,ROUND(M2*(2/3),0)))</formula>
    </cfRule>
    <cfRule type="expression" dxfId="363" priority="315">
      <formula>AND(N2&gt;=IF(OR(M2=1,M2=2),0,IF(ROUND(M2*(2/3),0)+0.000001&gt;=M2,M2,ROUND(M2*(2/3),0)+0.000001)),N2&lt;=IF(OR(M2=1,M2=2),0,M2))</formula>
    </cfRule>
  </conditionalFormatting>
  <conditionalFormatting sqref="AE2:AE457 O2:O457 AU2:AU457 BK2:BK457 CA2:CA457 CQ2:CQ457 DG2:DG457 DW2:DW457 EM2:EM457 FC2:FC457">
    <cfRule type="expression" dxfId="362" priority="205">
      <formula>OR(M2=0,M2="")</formula>
    </cfRule>
    <cfRule type="expression" dxfId="361" priority="308">
      <formula>O2&gt;M2</formula>
    </cfRule>
  </conditionalFormatting>
  <conditionalFormatting sqref="AE2:AE457 O2:O457 AU2:AU457 BK2:BK457 CA2:CA457 CQ2:CQ457 DG2:DG457 DW2:DW457 EM2:EM457 FC2:FC457">
    <cfRule type="expression" dxfId="360" priority="309">
      <formula>AND(O2&gt;=0.000001,O2&lt;=IF(M2=1,0.5,ROUND(M2*(1/3),0)))</formula>
    </cfRule>
    <cfRule type="expression" dxfId="359" priority="310">
      <formula>AND(O2&gt;=IF(M2=1,IF(M2=1,0.5,ROUND(M2*(1/3),0))+0.000001,ROUND(M2*(1/3),0)+0.000001),O2&lt;=IF(M2=2,2,ROUND(M2*(2/3),0)))</formula>
    </cfRule>
    <cfRule type="expression" dxfId="358" priority="311">
      <formula>AND(O2&gt;=IF(OR(M2=1,M2=2),0,IF(ROUND(M2*(2/3),0)+0.000001&gt;=M2,M2,ROUND(M2*(2/3),0)+0.000001)),O2&lt;=IF(OR(M2=1,M2=2),0,M2))</formula>
    </cfRule>
  </conditionalFormatting>
  <conditionalFormatting sqref="A2:A457">
    <cfRule type="duplicateValues" dxfId="357" priority="536"/>
  </conditionalFormatting>
  <dataValidations count="2">
    <dataValidation allowBlank="1" showErrorMessage="1" errorTitle="Validación" error="Esta celda sólo puede alojar números mayores a cero, vuelva a intentar" promptTitle="Validación" sqref="BI2:BI457"/>
    <dataValidation type="list" allowBlank="1" showInputMessage="1" showErrorMessage="1" sqref="G2:G457">
      <formula1>RANGOTIPOCOMPRA</formula1>
    </dataValidation>
  </dataValidations>
  <pageMargins left="0.7" right="0.7" top="0.75" bottom="0.75" header="0.3" footer="0.3"/>
  <pageSetup paperSize="9" orientation="portrait" horizontalDpi="120" verticalDpi="72" r:id="rId1"/>
  <legacyDrawing r:id="rId2"/>
  <controls>
    <control shapeId="21505" r:id="rId3" name="cmd_Refrescar"/>
  </controls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3"/>
  <dimension ref="A1:S1793"/>
  <sheetViews>
    <sheetView workbookViewId="0"/>
  </sheetViews>
  <sheetFormatPr baseColWidth="10" defaultRowHeight="15"/>
  <cols>
    <col min="1" max="1" width="28.85546875" style="133" bestFit="1" customWidth="1"/>
    <col min="2" max="2" width="11.42578125" style="133"/>
    <col min="3" max="3" width="20.7109375" style="133" bestFit="1" customWidth="1"/>
    <col min="4" max="4" width="11.42578125" style="133"/>
    <col min="5" max="5" width="21.7109375" style="133" customWidth="1"/>
    <col min="6" max="6" width="25" style="133" customWidth="1"/>
    <col min="7" max="7" width="29.5703125" style="133" customWidth="1"/>
    <col min="8" max="16384" width="11.42578125" style="133"/>
  </cols>
  <sheetData>
    <row r="1" spans="1:19">
      <c r="A1" s="133" t="s">
        <v>976</v>
      </c>
      <c r="B1" s="133" t="s">
        <v>977</v>
      </c>
      <c r="C1" s="133" t="s">
        <v>978</v>
      </c>
      <c r="D1" s="133" t="s">
        <v>979</v>
      </c>
      <c r="E1" s="133" t="s">
        <v>980</v>
      </c>
      <c r="F1" s="133" t="s">
        <v>981</v>
      </c>
      <c r="G1" s="133" t="s">
        <v>982</v>
      </c>
      <c r="H1" s="133" t="s">
        <v>983</v>
      </c>
      <c r="I1" s="133" t="s">
        <v>984</v>
      </c>
      <c r="J1" s="133" t="s">
        <v>985</v>
      </c>
      <c r="K1" s="133" t="s">
        <v>986</v>
      </c>
      <c r="L1" s="133" t="s">
        <v>987</v>
      </c>
      <c r="M1" s="133" t="s">
        <v>988</v>
      </c>
      <c r="N1" s="133" t="s">
        <v>989</v>
      </c>
      <c r="O1" s="133" t="s">
        <v>990</v>
      </c>
      <c r="P1" s="133" t="s">
        <v>991</v>
      </c>
      <c r="Q1" s="133" t="s">
        <v>992</v>
      </c>
      <c r="R1" s="133" t="s">
        <v>993</v>
      </c>
      <c r="S1" s="133" t="s">
        <v>994</v>
      </c>
    </row>
    <row r="2" spans="1:19">
      <c r="A2" s="10" t="s">
        <v>1171</v>
      </c>
      <c r="B2" s="10" t="s">
        <v>802</v>
      </c>
      <c r="C2" s="10" t="s">
        <v>995</v>
      </c>
      <c r="D2" s="10" t="s">
        <v>62</v>
      </c>
      <c r="E2" s="10" t="s">
        <v>63</v>
      </c>
      <c r="F2" s="10" t="s">
        <v>707</v>
      </c>
      <c r="G2" s="10" t="s">
        <v>717</v>
      </c>
      <c r="H2" s="10">
        <v>1.57</v>
      </c>
      <c r="I2" s="10">
        <v>0</v>
      </c>
      <c r="J2" s="10">
        <v>1000000000</v>
      </c>
      <c r="K2" s="10">
        <v>0</v>
      </c>
      <c r="L2" s="10">
        <v>17</v>
      </c>
      <c r="M2" s="10" t="s">
        <v>1096</v>
      </c>
      <c r="N2" s="10">
        <v>0</v>
      </c>
      <c r="O2" s="10"/>
      <c r="P2" s="10">
        <v>0</v>
      </c>
      <c r="Q2" s="10">
        <v>17</v>
      </c>
      <c r="R2" s="10">
        <v>0</v>
      </c>
      <c r="S2" s="155"/>
    </row>
    <row r="3" spans="1:19">
      <c r="A3" s="133" t="s">
        <v>1171</v>
      </c>
      <c r="B3" s="133" t="s">
        <v>802</v>
      </c>
      <c r="C3" s="133" t="s">
        <v>995</v>
      </c>
      <c r="D3" s="133" t="s">
        <v>64</v>
      </c>
      <c r="E3" s="133" t="s">
        <v>65</v>
      </c>
      <c r="F3" s="133" t="s">
        <v>707</v>
      </c>
      <c r="G3" s="133" t="s">
        <v>717</v>
      </c>
      <c r="H3" s="133">
        <v>1.49</v>
      </c>
      <c r="I3" s="133">
        <v>0</v>
      </c>
      <c r="J3" s="133">
        <v>1000000000</v>
      </c>
      <c r="K3" s="133">
        <v>500</v>
      </c>
      <c r="L3" s="133">
        <v>500</v>
      </c>
      <c r="M3" s="133" t="s">
        <v>998</v>
      </c>
      <c r="N3" s="133">
        <v>0</v>
      </c>
      <c r="P3" s="133">
        <v>0</v>
      </c>
      <c r="Q3" s="133">
        <v>500</v>
      </c>
      <c r="R3" s="133">
        <v>0</v>
      </c>
      <c r="S3" s="156">
        <v>0</v>
      </c>
    </row>
    <row r="4" spans="1:19">
      <c r="A4" s="133" t="s">
        <v>1171</v>
      </c>
      <c r="B4" s="133" t="s">
        <v>802</v>
      </c>
      <c r="C4" s="133" t="s">
        <v>995</v>
      </c>
      <c r="D4" s="133" t="s">
        <v>66</v>
      </c>
      <c r="E4" s="133" t="s">
        <v>67</v>
      </c>
      <c r="F4" s="133" t="s">
        <v>707</v>
      </c>
      <c r="G4" s="133" t="s">
        <v>717</v>
      </c>
      <c r="H4" s="133">
        <v>1.55</v>
      </c>
      <c r="I4" s="133">
        <v>0</v>
      </c>
      <c r="J4" s="133">
        <v>1000000000</v>
      </c>
      <c r="K4" s="133">
        <v>500</v>
      </c>
      <c r="L4" s="133">
        <v>618</v>
      </c>
      <c r="M4" s="133" t="s">
        <v>997</v>
      </c>
      <c r="N4" s="133">
        <v>0</v>
      </c>
      <c r="P4" s="133">
        <v>0</v>
      </c>
      <c r="Q4" s="133">
        <v>618</v>
      </c>
      <c r="R4" s="133">
        <v>0</v>
      </c>
      <c r="S4" s="156">
        <v>-0.23599999999999999</v>
      </c>
    </row>
    <row r="5" spans="1:19">
      <c r="A5" s="133" t="s">
        <v>1171</v>
      </c>
      <c r="B5" s="133" t="s">
        <v>802</v>
      </c>
      <c r="C5" s="133" t="s">
        <v>995</v>
      </c>
      <c r="D5" s="133" t="s">
        <v>908</v>
      </c>
      <c r="E5" s="133" t="s">
        <v>909</v>
      </c>
      <c r="F5" s="133" t="s">
        <v>707</v>
      </c>
      <c r="G5" s="133" t="s">
        <v>717</v>
      </c>
      <c r="H5" s="133">
        <v>560</v>
      </c>
      <c r="I5" s="133">
        <v>0</v>
      </c>
      <c r="J5" s="133">
        <v>1000000000</v>
      </c>
      <c r="K5" s="133">
        <v>0</v>
      </c>
      <c r="L5" s="133">
        <v>1.1425000000000001</v>
      </c>
      <c r="M5" s="133" t="s">
        <v>1096</v>
      </c>
      <c r="N5" s="133">
        <v>0</v>
      </c>
      <c r="P5" s="133">
        <v>0</v>
      </c>
      <c r="Q5" s="133">
        <v>1.1425000000000001</v>
      </c>
      <c r="R5" s="133">
        <v>0</v>
      </c>
      <c r="S5" s="156"/>
    </row>
    <row r="6" spans="1:19">
      <c r="A6" s="133" t="s">
        <v>1171</v>
      </c>
      <c r="B6" s="133" t="s">
        <v>802</v>
      </c>
      <c r="C6" s="133" t="s">
        <v>995</v>
      </c>
      <c r="D6" s="133" t="s">
        <v>848</v>
      </c>
      <c r="E6" s="133" t="s">
        <v>936</v>
      </c>
      <c r="F6" s="133" t="s">
        <v>707</v>
      </c>
      <c r="G6" s="133" t="s">
        <v>717</v>
      </c>
      <c r="H6" s="133">
        <v>3.28</v>
      </c>
      <c r="I6" s="133">
        <v>0</v>
      </c>
      <c r="J6" s="133">
        <v>1000000000</v>
      </c>
      <c r="K6" s="133">
        <v>500</v>
      </c>
      <c r="L6" s="133">
        <v>514</v>
      </c>
      <c r="M6" s="133" t="s">
        <v>997</v>
      </c>
      <c r="N6" s="133">
        <v>0</v>
      </c>
      <c r="P6" s="133">
        <v>0</v>
      </c>
      <c r="Q6" s="133">
        <v>514</v>
      </c>
      <c r="R6" s="133">
        <v>0</v>
      </c>
      <c r="S6" s="156">
        <v>-2.8000000000000001E-2</v>
      </c>
    </row>
    <row r="7" spans="1:19">
      <c r="A7" s="133" t="s">
        <v>1171</v>
      </c>
      <c r="B7" s="133" t="s">
        <v>802</v>
      </c>
      <c r="C7" s="133" t="s">
        <v>995</v>
      </c>
      <c r="D7" s="133" t="s">
        <v>924</v>
      </c>
      <c r="E7" s="133" t="s">
        <v>930</v>
      </c>
      <c r="F7" s="133" t="s">
        <v>707</v>
      </c>
      <c r="G7" s="133" t="s">
        <v>717</v>
      </c>
      <c r="H7" s="133">
        <v>60.31</v>
      </c>
      <c r="I7" s="133">
        <v>0</v>
      </c>
      <c r="J7" s="133">
        <v>1000000000</v>
      </c>
      <c r="K7" s="133">
        <v>1</v>
      </c>
      <c r="L7" s="133">
        <v>5</v>
      </c>
      <c r="M7" s="133" t="s">
        <v>997</v>
      </c>
      <c r="N7" s="133">
        <v>0</v>
      </c>
      <c r="P7" s="133">
        <v>0</v>
      </c>
      <c r="Q7" s="133">
        <v>5</v>
      </c>
      <c r="R7" s="133">
        <v>0</v>
      </c>
      <c r="S7" s="156">
        <v>-4</v>
      </c>
    </row>
    <row r="8" spans="1:19">
      <c r="A8" s="133" t="s">
        <v>1171</v>
      </c>
      <c r="B8" s="133" t="s">
        <v>802</v>
      </c>
      <c r="C8" s="133" t="s">
        <v>995</v>
      </c>
      <c r="D8" s="133" t="s">
        <v>851</v>
      </c>
      <c r="E8" s="133" t="s">
        <v>937</v>
      </c>
      <c r="F8" s="133" t="s">
        <v>707</v>
      </c>
      <c r="G8" s="133" t="s">
        <v>717</v>
      </c>
      <c r="H8" s="133">
        <v>0</v>
      </c>
      <c r="I8" s="133">
        <v>0</v>
      </c>
      <c r="J8" s="133">
        <v>1000000000</v>
      </c>
      <c r="K8" s="133">
        <v>40</v>
      </c>
      <c r="L8" s="133">
        <v>0</v>
      </c>
      <c r="M8" s="133" t="s">
        <v>999</v>
      </c>
      <c r="N8" s="133">
        <v>0</v>
      </c>
      <c r="P8" s="133">
        <v>0</v>
      </c>
      <c r="Q8" s="133">
        <v>0</v>
      </c>
      <c r="R8" s="133">
        <v>40</v>
      </c>
      <c r="S8" s="156">
        <v>1</v>
      </c>
    </row>
    <row r="9" spans="1:19">
      <c r="A9" s="133" t="s">
        <v>1171</v>
      </c>
      <c r="B9" s="133" t="s">
        <v>802</v>
      </c>
      <c r="C9" s="133" t="s">
        <v>995</v>
      </c>
      <c r="D9" s="133" t="s">
        <v>68</v>
      </c>
      <c r="E9" s="133" t="s">
        <v>938</v>
      </c>
      <c r="F9" s="133" t="s">
        <v>707</v>
      </c>
      <c r="G9" s="133" t="s">
        <v>717</v>
      </c>
      <c r="H9" s="133">
        <v>1.79</v>
      </c>
      <c r="I9" s="133">
        <v>0</v>
      </c>
      <c r="J9" s="133">
        <v>1000000000</v>
      </c>
      <c r="K9" s="133">
        <v>800</v>
      </c>
      <c r="L9" s="133">
        <v>176</v>
      </c>
      <c r="M9" s="133" t="s">
        <v>996</v>
      </c>
      <c r="N9" s="133">
        <v>400</v>
      </c>
      <c r="P9" s="133">
        <v>0</v>
      </c>
      <c r="Q9" s="133">
        <v>576</v>
      </c>
      <c r="R9" s="133">
        <v>224</v>
      </c>
      <c r="S9" s="156">
        <v>0.78</v>
      </c>
    </row>
    <row r="10" spans="1:19">
      <c r="A10" s="133" t="s">
        <v>1171</v>
      </c>
      <c r="B10" s="133" t="s">
        <v>802</v>
      </c>
      <c r="C10" s="133" t="s">
        <v>995</v>
      </c>
      <c r="D10" s="133" t="s">
        <v>69</v>
      </c>
      <c r="E10" s="133" t="s">
        <v>70</v>
      </c>
      <c r="F10" s="133" t="s">
        <v>707</v>
      </c>
      <c r="G10" s="133" t="s">
        <v>717</v>
      </c>
      <c r="H10" s="133">
        <v>1.55</v>
      </c>
      <c r="I10" s="133">
        <v>0</v>
      </c>
      <c r="J10" s="133">
        <v>1000000000</v>
      </c>
      <c r="K10" s="133">
        <v>600</v>
      </c>
      <c r="L10" s="133">
        <v>240</v>
      </c>
      <c r="M10" s="133" t="s">
        <v>714</v>
      </c>
      <c r="N10" s="133">
        <v>300</v>
      </c>
      <c r="P10" s="133">
        <v>0</v>
      </c>
      <c r="Q10" s="133">
        <v>540</v>
      </c>
      <c r="R10" s="133">
        <v>60</v>
      </c>
      <c r="S10" s="156">
        <v>0.6</v>
      </c>
    </row>
    <row r="11" spans="1:19">
      <c r="A11" s="133" t="s">
        <v>1171</v>
      </c>
      <c r="B11" s="133" t="s">
        <v>802</v>
      </c>
      <c r="C11" s="133" t="s">
        <v>995</v>
      </c>
      <c r="D11" s="133" t="s">
        <v>71</v>
      </c>
      <c r="E11" s="133" t="s">
        <v>72</v>
      </c>
      <c r="F11" s="133" t="s">
        <v>707</v>
      </c>
      <c r="G11" s="133" t="s">
        <v>717</v>
      </c>
      <c r="H11" s="133">
        <v>1.4</v>
      </c>
      <c r="I11" s="133">
        <v>0</v>
      </c>
      <c r="J11" s="133">
        <v>1000000000</v>
      </c>
      <c r="K11" s="133">
        <v>500</v>
      </c>
      <c r="L11" s="133">
        <v>548</v>
      </c>
      <c r="M11" s="133" t="s">
        <v>997</v>
      </c>
      <c r="N11" s="133">
        <v>0</v>
      </c>
      <c r="P11" s="133">
        <v>0</v>
      </c>
      <c r="Q11" s="133">
        <v>548</v>
      </c>
      <c r="R11" s="133">
        <v>0</v>
      </c>
      <c r="S11" s="156">
        <v>-9.6000000000000002E-2</v>
      </c>
    </row>
    <row r="12" spans="1:19">
      <c r="A12" s="133" t="s">
        <v>1171</v>
      </c>
      <c r="B12" s="133" t="s">
        <v>802</v>
      </c>
      <c r="C12" s="133" t="s">
        <v>995</v>
      </c>
      <c r="D12" s="133" t="s">
        <v>73</v>
      </c>
      <c r="E12" s="133" t="s">
        <v>74</v>
      </c>
      <c r="F12" s="133" t="s">
        <v>707</v>
      </c>
      <c r="G12" s="133" t="s">
        <v>717</v>
      </c>
      <c r="H12" s="133">
        <v>1.63</v>
      </c>
      <c r="I12" s="133">
        <v>0</v>
      </c>
      <c r="J12" s="133">
        <v>1000000000</v>
      </c>
      <c r="K12" s="133">
        <v>500</v>
      </c>
      <c r="L12" s="133">
        <v>1099</v>
      </c>
      <c r="M12" s="133" t="s">
        <v>997</v>
      </c>
      <c r="N12" s="133">
        <v>0</v>
      </c>
      <c r="P12" s="133">
        <v>0</v>
      </c>
      <c r="Q12" s="133">
        <v>1099</v>
      </c>
      <c r="R12" s="133">
        <v>0</v>
      </c>
      <c r="S12" s="156">
        <v>-1.198</v>
      </c>
    </row>
    <row r="13" spans="1:19">
      <c r="A13" s="133" t="s">
        <v>1171</v>
      </c>
      <c r="B13" s="133" t="s">
        <v>802</v>
      </c>
      <c r="C13" s="133" t="s">
        <v>995</v>
      </c>
      <c r="D13" s="133" t="s">
        <v>81</v>
      </c>
      <c r="E13" s="133" t="s">
        <v>82</v>
      </c>
      <c r="F13" s="133" t="s">
        <v>707</v>
      </c>
      <c r="G13" s="133" t="s">
        <v>761</v>
      </c>
      <c r="H13" s="133">
        <v>37.57</v>
      </c>
      <c r="I13" s="133">
        <v>0</v>
      </c>
      <c r="J13" s="133">
        <v>1000000000</v>
      </c>
      <c r="K13" s="133">
        <v>0</v>
      </c>
      <c r="L13" s="133">
        <v>30</v>
      </c>
      <c r="M13" s="133" t="s">
        <v>1096</v>
      </c>
      <c r="N13" s="133">
        <v>0</v>
      </c>
      <c r="P13" s="133">
        <v>0</v>
      </c>
      <c r="Q13" s="133">
        <v>30</v>
      </c>
      <c r="R13" s="133">
        <v>0</v>
      </c>
      <c r="S13" s="156"/>
    </row>
    <row r="14" spans="1:19">
      <c r="A14" s="133" t="s">
        <v>1171</v>
      </c>
      <c r="B14" s="133" t="s">
        <v>802</v>
      </c>
      <c r="C14" s="133" t="s">
        <v>995</v>
      </c>
      <c r="D14" s="133" t="s">
        <v>83</v>
      </c>
      <c r="E14" s="133" t="s">
        <v>84</v>
      </c>
      <c r="F14" s="133" t="s">
        <v>707</v>
      </c>
      <c r="G14" s="133" t="s">
        <v>717</v>
      </c>
      <c r="H14" s="133">
        <v>602.66</v>
      </c>
      <c r="I14" s="133">
        <v>0</v>
      </c>
      <c r="J14" s="133">
        <v>1000000000</v>
      </c>
      <c r="K14" s="133">
        <v>2</v>
      </c>
      <c r="L14" s="133">
        <v>2.4468100000000002</v>
      </c>
      <c r="M14" s="133" t="s">
        <v>997</v>
      </c>
      <c r="N14" s="133">
        <v>0</v>
      </c>
      <c r="P14" s="133">
        <v>0</v>
      </c>
      <c r="Q14" s="133">
        <v>2.4468100000000002</v>
      </c>
      <c r="R14" s="133">
        <v>0</v>
      </c>
      <c r="S14" s="156">
        <v>-0.22340500000000008</v>
      </c>
    </row>
    <row r="15" spans="1:19">
      <c r="A15" s="133" t="s">
        <v>1171</v>
      </c>
      <c r="B15" s="133" t="s">
        <v>802</v>
      </c>
      <c r="C15" s="133" t="s">
        <v>995</v>
      </c>
      <c r="D15" s="133" t="s">
        <v>136</v>
      </c>
      <c r="E15" s="133" t="s">
        <v>137</v>
      </c>
      <c r="F15" s="133" t="s">
        <v>709</v>
      </c>
      <c r="G15" s="133" t="s">
        <v>761</v>
      </c>
      <c r="H15" s="133">
        <v>62.27</v>
      </c>
      <c r="I15" s="133">
        <v>0</v>
      </c>
      <c r="J15" s="133">
        <v>1000000000</v>
      </c>
      <c r="K15" s="133">
        <v>0</v>
      </c>
      <c r="L15" s="133">
        <v>23.75</v>
      </c>
      <c r="M15" s="133" t="s">
        <v>1096</v>
      </c>
      <c r="N15" s="133">
        <v>0</v>
      </c>
      <c r="P15" s="133">
        <v>0</v>
      </c>
      <c r="Q15" s="133">
        <v>23.75</v>
      </c>
      <c r="R15" s="133">
        <v>0</v>
      </c>
      <c r="S15" s="156"/>
    </row>
    <row r="16" spans="1:19">
      <c r="A16" s="133" t="s">
        <v>1171</v>
      </c>
      <c r="B16" s="133" t="s">
        <v>802</v>
      </c>
      <c r="C16" s="133" t="s">
        <v>995</v>
      </c>
      <c r="D16" s="133" t="s">
        <v>766</v>
      </c>
      <c r="E16" s="133" t="s">
        <v>797</v>
      </c>
      <c r="F16" s="133" t="s">
        <v>712</v>
      </c>
      <c r="G16" s="133" t="s">
        <v>761</v>
      </c>
      <c r="H16" s="133">
        <v>5100</v>
      </c>
      <c r="I16" s="133">
        <v>0</v>
      </c>
      <c r="J16" s="133">
        <v>1000000000</v>
      </c>
      <c r="K16" s="133">
        <v>1</v>
      </c>
      <c r="L16" s="133">
        <v>1.44</v>
      </c>
      <c r="M16" s="133" t="s">
        <v>997</v>
      </c>
      <c r="N16" s="133">
        <v>0</v>
      </c>
      <c r="P16" s="133">
        <v>0</v>
      </c>
      <c r="Q16" s="133">
        <v>1.44</v>
      </c>
      <c r="R16" s="133">
        <v>0</v>
      </c>
      <c r="S16" s="156">
        <v>-0.43999999999999995</v>
      </c>
    </row>
    <row r="17" spans="1:19">
      <c r="A17" s="133" t="s">
        <v>1171</v>
      </c>
      <c r="B17" s="133" t="s">
        <v>802</v>
      </c>
      <c r="C17" s="133" t="s">
        <v>995</v>
      </c>
      <c r="D17" s="133" t="s">
        <v>168</v>
      </c>
      <c r="E17" s="133" t="s">
        <v>169</v>
      </c>
      <c r="F17" s="133" t="s">
        <v>174</v>
      </c>
      <c r="G17" s="133" t="s">
        <v>718</v>
      </c>
      <c r="H17" s="133">
        <v>0.35</v>
      </c>
      <c r="I17" s="133">
        <v>0</v>
      </c>
      <c r="J17" s="133">
        <v>1000000000</v>
      </c>
      <c r="K17" s="133">
        <v>700</v>
      </c>
      <c r="L17" s="133">
        <v>1609</v>
      </c>
      <c r="M17" s="133" t="s">
        <v>997</v>
      </c>
      <c r="N17" s="133">
        <v>0</v>
      </c>
      <c r="P17" s="133">
        <v>0</v>
      </c>
      <c r="Q17" s="133">
        <v>1609</v>
      </c>
      <c r="R17" s="133">
        <v>0</v>
      </c>
      <c r="S17" s="156">
        <v>-1.2985714285714285</v>
      </c>
    </row>
    <row r="18" spans="1:19">
      <c r="A18" s="133" t="s">
        <v>1171</v>
      </c>
      <c r="B18" s="133" t="s">
        <v>802</v>
      </c>
      <c r="C18" s="133" t="s">
        <v>995</v>
      </c>
      <c r="D18" s="133" t="s">
        <v>170</v>
      </c>
      <c r="E18" s="133" t="s">
        <v>171</v>
      </c>
      <c r="F18" s="133" t="s">
        <v>174</v>
      </c>
      <c r="G18" s="133" t="s">
        <v>718</v>
      </c>
      <c r="H18" s="133">
        <v>0.5</v>
      </c>
      <c r="I18" s="133">
        <v>0</v>
      </c>
      <c r="J18" s="133">
        <v>1000000000</v>
      </c>
      <c r="K18" s="133">
        <v>800</v>
      </c>
      <c r="L18" s="133">
        <v>2070</v>
      </c>
      <c r="M18" s="133" t="s">
        <v>997</v>
      </c>
      <c r="N18" s="133">
        <v>0</v>
      </c>
      <c r="P18" s="133">
        <v>0</v>
      </c>
      <c r="Q18" s="133">
        <v>2070</v>
      </c>
      <c r="R18" s="133">
        <v>0</v>
      </c>
      <c r="S18" s="156">
        <v>-1.5874999999999999</v>
      </c>
    </row>
    <row r="19" spans="1:19">
      <c r="A19" s="133" t="s">
        <v>1171</v>
      </c>
      <c r="B19" s="133" t="s">
        <v>802</v>
      </c>
      <c r="C19" s="133" t="s">
        <v>995</v>
      </c>
      <c r="D19" s="133" t="s">
        <v>172</v>
      </c>
      <c r="E19" s="133" t="s">
        <v>173</v>
      </c>
      <c r="F19" s="133" t="s">
        <v>174</v>
      </c>
      <c r="G19" s="133" t="s">
        <v>718</v>
      </c>
      <c r="H19" s="133">
        <v>0.81</v>
      </c>
      <c r="I19" s="133">
        <v>0</v>
      </c>
      <c r="J19" s="133">
        <v>1000000000</v>
      </c>
      <c r="K19" s="133">
        <v>600</v>
      </c>
      <c r="L19" s="133">
        <v>2681</v>
      </c>
      <c r="M19" s="133" t="s">
        <v>997</v>
      </c>
      <c r="N19" s="133">
        <v>0</v>
      </c>
      <c r="P19" s="133">
        <v>0</v>
      </c>
      <c r="Q19" s="133">
        <v>2681</v>
      </c>
      <c r="R19" s="133">
        <v>0</v>
      </c>
      <c r="S19" s="156">
        <v>-3.4683333333333333</v>
      </c>
    </row>
    <row r="20" spans="1:19">
      <c r="A20" s="133" t="s">
        <v>1171</v>
      </c>
      <c r="B20" s="133" t="s">
        <v>802</v>
      </c>
      <c r="C20" s="133" t="s">
        <v>995</v>
      </c>
      <c r="D20" s="133" t="s">
        <v>175</v>
      </c>
      <c r="E20" s="133" t="s">
        <v>176</v>
      </c>
      <c r="F20" s="133" t="s">
        <v>787</v>
      </c>
      <c r="G20" s="133" t="s">
        <v>718</v>
      </c>
      <c r="H20" s="133">
        <v>0.32</v>
      </c>
      <c r="I20" s="133">
        <v>0</v>
      </c>
      <c r="J20" s="133">
        <v>1000000000</v>
      </c>
      <c r="K20" s="133">
        <v>1000</v>
      </c>
      <c r="L20" s="133">
        <v>2022</v>
      </c>
      <c r="M20" s="133" t="s">
        <v>997</v>
      </c>
      <c r="N20" s="133">
        <v>0</v>
      </c>
      <c r="P20" s="133">
        <v>0</v>
      </c>
      <c r="Q20" s="133">
        <v>2022</v>
      </c>
      <c r="R20" s="133">
        <v>0</v>
      </c>
      <c r="S20" s="156">
        <v>-1.022</v>
      </c>
    </row>
    <row r="21" spans="1:19">
      <c r="A21" s="133" t="s">
        <v>1171</v>
      </c>
      <c r="B21" s="133" t="s">
        <v>802</v>
      </c>
      <c r="C21" s="133" t="s">
        <v>995</v>
      </c>
      <c r="D21" s="133" t="s">
        <v>1100</v>
      </c>
      <c r="E21" s="133" t="s">
        <v>1101</v>
      </c>
      <c r="F21" s="133" t="s">
        <v>1189</v>
      </c>
      <c r="G21" s="133" t="s">
        <v>718</v>
      </c>
      <c r="H21" s="133">
        <v>0.97</v>
      </c>
      <c r="I21" s="133">
        <v>0</v>
      </c>
      <c r="J21" s="133">
        <v>1000000000</v>
      </c>
      <c r="K21" s="133">
        <v>1000</v>
      </c>
      <c r="L21" s="133">
        <v>1125</v>
      </c>
      <c r="M21" s="133" t="s">
        <v>997</v>
      </c>
      <c r="N21" s="133">
        <v>0</v>
      </c>
      <c r="P21" s="133">
        <v>0</v>
      </c>
      <c r="Q21" s="133">
        <v>1125</v>
      </c>
      <c r="R21" s="133">
        <v>0</v>
      </c>
      <c r="S21" s="156">
        <v>-0.125</v>
      </c>
    </row>
    <row r="22" spans="1:19">
      <c r="A22" s="133" t="s">
        <v>1171</v>
      </c>
      <c r="B22" s="133" t="s">
        <v>802</v>
      </c>
      <c r="C22" s="133" t="s">
        <v>995</v>
      </c>
      <c r="D22" s="133" t="s">
        <v>177</v>
      </c>
      <c r="E22" s="133" t="s">
        <v>178</v>
      </c>
      <c r="F22" s="133" t="s">
        <v>787</v>
      </c>
      <c r="G22" s="133" t="s">
        <v>718</v>
      </c>
      <c r="H22" s="133">
        <v>0.53</v>
      </c>
      <c r="I22" s="133">
        <v>0</v>
      </c>
      <c r="J22" s="133">
        <v>1000000000</v>
      </c>
      <c r="K22" s="133">
        <v>500</v>
      </c>
      <c r="L22" s="133">
        <v>516</v>
      </c>
      <c r="M22" s="133" t="s">
        <v>997</v>
      </c>
      <c r="N22" s="133">
        <v>0</v>
      </c>
      <c r="P22" s="133">
        <v>0</v>
      </c>
      <c r="Q22" s="133">
        <v>516</v>
      </c>
      <c r="R22" s="133">
        <v>0</v>
      </c>
      <c r="S22" s="156">
        <v>-3.2000000000000001E-2</v>
      </c>
    </row>
    <row r="23" spans="1:19">
      <c r="A23" s="133" t="s">
        <v>1171</v>
      </c>
      <c r="B23" s="133" t="s">
        <v>802</v>
      </c>
      <c r="C23" s="133" t="s">
        <v>995</v>
      </c>
      <c r="D23" s="133" t="s">
        <v>877</v>
      </c>
      <c r="E23" s="133" t="s">
        <v>933</v>
      </c>
      <c r="F23" s="133" t="s">
        <v>710</v>
      </c>
      <c r="G23" s="133" t="s">
        <v>718</v>
      </c>
      <c r="H23" s="133">
        <v>0.98</v>
      </c>
      <c r="I23" s="133">
        <v>0</v>
      </c>
      <c r="J23" s="133">
        <v>1000000000</v>
      </c>
      <c r="K23" s="133">
        <v>200</v>
      </c>
      <c r="L23" s="133">
        <v>1065</v>
      </c>
      <c r="M23" s="133" t="s">
        <v>997</v>
      </c>
      <c r="N23" s="133">
        <v>0</v>
      </c>
      <c r="P23" s="133">
        <v>0</v>
      </c>
      <c r="Q23" s="133">
        <v>1065</v>
      </c>
      <c r="R23" s="133">
        <v>0</v>
      </c>
      <c r="S23" s="156">
        <v>-4.3250000000000002</v>
      </c>
    </row>
    <row r="24" spans="1:19">
      <c r="A24" s="133" t="s">
        <v>1171</v>
      </c>
      <c r="B24" s="133" t="s">
        <v>802</v>
      </c>
      <c r="C24" s="133" t="s">
        <v>995</v>
      </c>
      <c r="D24" s="133" t="s">
        <v>179</v>
      </c>
      <c r="E24" s="133" t="s">
        <v>180</v>
      </c>
      <c r="F24" s="133" t="s">
        <v>787</v>
      </c>
      <c r="G24" s="133" t="s">
        <v>718</v>
      </c>
      <c r="H24" s="133">
        <v>0.66</v>
      </c>
      <c r="I24" s="133">
        <v>0</v>
      </c>
      <c r="J24" s="133">
        <v>1000000000</v>
      </c>
      <c r="K24" s="133">
        <v>500</v>
      </c>
      <c r="L24" s="133">
        <v>1018</v>
      </c>
      <c r="M24" s="133" t="s">
        <v>997</v>
      </c>
      <c r="N24" s="133">
        <v>0</v>
      </c>
      <c r="P24" s="133">
        <v>0</v>
      </c>
      <c r="Q24" s="133">
        <v>1018</v>
      </c>
      <c r="R24" s="133">
        <v>0</v>
      </c>
      <c r="S24" s="156">
        <v>-1.036</v>
      </c>
    </row>
    <row r="25" spans="1:19">
      <c r="A25" s="133" t="s">
        <v>1171</v>
      </c>
      <c r="B25" s="133" t="s">
        <v>802</v>
      </c>
      <c r="C25" s="133" t="s">
        <v>995</v>
      </c>
      <c r="D25" s="133" t="s">
        <v>852</v>
      </c>
      <c r="E25" s="133" t="s">
        <v>928</v>
      </c>
      <c r="F25" s="133" t="s">
        <v>787</v>
      </c>
      <c r="G25" s="133" t="s">
        <v>718</v>
      </c>
      <c r="H25" s="133">
        <v>0.74</v>
      </c>
      <c r="I25" s="133">
        <v>0</v>
      </c>
      <c r="J25" s="133">
        <v>1000000000</v>
      </c>
      <c r="K25" s="133">
        <v>500</v>
      </c>
      <c r="L25" s="133">
        <v>1306</v>
      </c>
      <c r="M25" s="133" t="s">
        <v>997</v>
      </c>
      <c r="N25" s="133">
        <v>0</v>
      </c>
      <c r="P25" s="133">
        <v>0</v>
      </c>
      <c r="Q25" s="133">
        <v>1306</v>
      </c>
      <c r="R25" s="133">
        <v>0</v>
      </c>
      <c r="S25" s="156">
        <v>-1.6120000000000001</v>
      </c>
    </row>
    <row r="26" spans="1:19">
      <c r="A26" s="133" t="s">
        <v>1171</v>
      </c>
      <c r="B26" s="133" t="s">
        <v>802</v>
      </c>
      <c r="C26" s="133" t="s">
        <v>995</v>
      </c>
      <c r="D26" s="133" t="s">
        <v>181</v>
      </c>
      <c r="E26" s="133" t="s">
        <v>182</v>
      </c>
      <c r="F26" s="133" t="s">
        <v>787</v>
      </c>
      <c r="G26" s="133" t="s">
        <v>718</v>
      </c>
      <c r="H26" s="133">
        <v>0.86</v>
      </c>
      <c r="I26" s="133">
        <v>0</v>
      </c>
      <c r="J26" s="133">
        <v>1000000000</v>
      </c>
      <c r="K26" s="133">
        <v>250</v>
      </c>
      <c r="L26" s="133">
        <v>942</v>
      </c>
      <c r="M26" s="133" t="s">
        <v>997</v>
      </c>
      <c r="N26" s="133">
        <v>0</v>
      </c>
      <c r="P26" s="133">
        <v>0</v>
      </c>
      <c r="Q26" s="133">
        <v>942</v>
      </c>
      <c r="R26" s="133">
        <v>0</v>
      </c>
      <c r="S26" s="156">
        <v>-2.7679999999999998</v>
      </c>
    </row>
    <row r="27" spans="1:19">
      <c r="A27" s="133" t="s">
        <v>1171</v>
      </c>
      <c r="B27" s="133" t="s">
        <v>802</v>
      </c>
      <c r="C27" s="133" t="s">
        <v>995</v>
      </c>
      <c r="D27" s="133" t="s">
        <v>183</v>
      </c>
      <c r="E27" s="133" t="s">
        <v>184</v>
      </c>
      <c r="F27" s="133" t="s">
        <v>787</v>
      </c>
      <c r="G27" s="133" t="s">
        <v>718</v>
      </c>
      <c r="H27" s="133">
        <v>0.86</v>
      </c>
      <c r="I27" s="133">
        <v>0</v>
      </c>
      <c r="J27" s="133">
        <v>1000000000</v>
      </c>
      <c r="K27" s="133">
        <v>250</v>
      </c>
      <c r="L27" s="133">
        <v>360</v>
      </c>
      <c r="M27" s="133" t="s">
        <v>997</v>
      </c>
      <c r="N27" s="133">
        <v>0</v>
      </c>
      <c r="P27" s="133">
        <v>0</v>
      </c>
      <c r="Q27" s="133">
        <v>360</v>
      </c>
      <c r="R27" s="133">
        <v>0</v>
      </c>
      <c r="S27" s="156">
        <v>-0.44</v>
      </c>
    </row>
    <row r="28" spans="1:19">
      <c r="A28" s="133" t="s">
        <v>1171</v>
      </c>
      <c r="B28" s="133" t="s">
        <v>802</v>
      </c>
      <c r="C28" s="133" t="s">
        <v>995</v>
      </c>
      <c r="D28" s="133" t="s">
        <v>1097</v>
      </c>
      <c r="E28" s="133" t="s">
        <v>1098</v>
      </c>
      <c r="F28" s="133" t="s">
        <v>1189</v>
      </c>
      <c r="G28" s="133" t="s">
        <v>718</v>
      </c>
      <c r="H28" s="133">
        <v>0.97</v>
      </c>
      <c r="I28" s="133">
        <v>0</v>
      </c>
      <c r="J28" s="133">
        <v>1000000000</v>
      </c>
      <c r="K28" s="133">
        <v>1000</v>
      </c>
      <c r="L28" s="133">
        <v>1014</v>
      </c>
      <c r="M28" s="133" t="s">
        <v>997</v>
      </c>
      <c r="N28" s="133">
        <v>0</v>
      </c>
      <c r="P28" s="133">
        <v>0</v>
      </c>
      <c r="Q28" s="133">
        <v>1014</v>
      </c>
      <c r="R28" s="133">
        <v>0</v>
      </c>
      <c r="S28" s="156">
        <v>-1.4E-2</v>
      </c>
    </row>
    <row r="29" spans="1:19">
      <c r="A29" s="133" t="s">
        <v>1171</v>
      </c>
      <c r="B29" s="133" t="s">
        <v>802</v>
      </c>
      <c r="C29" s="133" t="s">
        <v>995</v>
      </c>
      <c r="D29" s="133" t="s">
        <v>829</v>
      </c>
      <c r="E29" s="133" t="s">
        <v>888</v>
      </c>
      <c r="F29" s="133" t="s">
        <v>787</v>
      </c>
      <c r="G29" s="133" t="s">
        <v>718</v>
      </c>
      <c r="H29" s="133">
        <v>0.88</v>
      </c>
      <c r="I29" s="133">
        <v>0</v>
      </c>
      <c r="J29" s="133">
        <v>1000000000</v>
      </c>
      <c r="K29" s="133">
        <v>500</v>
      </c>
      <c r="L29" s="133">
        <v>1218</v>
      </c>
      <c r="M29" s="133" t="s">
        <v>997</v>
      </c>
      <c r="N29" s="133">
        <v>0</v>
      </c>
      <c r="P29" s="133">
        <v>0</v>
      </c>
      <c r="Q29" s="133">
        <v>1218</v>
      </c>
      <c r="R29" s="133">
        <v>0</v>
      </c>
      <c r="S29" s="156">
        <v>-1.4359999999999999</v>
      </c>
    </row>
    <row r="30" spans="1:19">
      <c r="A30" s="133" t="s">
        <v>1171</v>
      </c>
      <c r="B30" s="133" t="s">
        <v>802</v>
      </c>
      <c r="C30" s="133" t="s">
        <v>995</v>
      </c>
      <c r="D30" s="133" t="s">
        <v>185</v>
      </c>
      <c r="E30" s="133" t="s">
        <v>186</v>
      </c>
      <c r="F30" s="133" t="s">
        <v>787</v>
      </c>
      <c r="G30" s="133" t="s">
        <v>718</v>
      </c>
      <c r="H30" s="133">
        <v>1.1499999999999999</v>
      </c>
      <c r="I30" s="133">
        <v>0</v>
      </c>
      <c r="J30" s="133">
        <v>1000000000</v>
      </c>
      <c r="K30" s="133">
        <v>250</v>
      </c>
      <c r="L30" s="133">
        <v>811</v>
      </c>
      <c r="M30" s="133" t="s">
        <v>997</v>
      </c>
      <c r="N30" s="133">
        <v>0</v>
      </c>
      <c r="P30" s="133">
        <v>0</v>
      </c>
      <c r="Q30" s="133">
        <v>811</v>
      </c>
      <c r="R30" s="133">
        <v>0</v>
      </c>
      <c r="S30" s="156">
        <v>-2.2440000000000002</v>
      </c>
    </row>
    <row r="31" spans="1:19">
      <c r="A31" s="133" t="s">
        <v>1171</v>
      </c>
      <c r="B31" s="133" t="s">
        <v>802</v>
      </c>
      <c r="C31" s="133" t="s">
        <v>995</v>
      </c>
      <c r="D31" s="133" t="s">
        <v>187</v>
      </c>
      <c r="E31" s="133" t="s">
        <v>188</v>
      </c>
      <c r="F31" s="133" t="s">
        <v>174</v>
      </c>
      <c r="G31" s="133" t="s">
        <v>718</v>
      </c>
      <c r="H31" s="133">
        <v>0.83</v>
      </c>
      <c r="I31" s="133">
        <v>0</v>
      </c>
      <c r="J31" s="133">
        <v>1000000000</v>
      </c>
      <c r="K31" s="133">
        <v>1000</v>
      </c>
      <c r="L31" s="133">
        <v>1662</v>
      </c>
      <c r="M31" s="133" t="s">
        <v>997</v>
      </c>
      <c r="N31" s="133">
        <v>0</v>
      </c>
      <c r="P31" s="133">
        <v>0</v>
      </c>
      <c r="Q31" s="133">
        <v>1662</v>
      </c>
      <c r="R31" s="133">
        <v>0</v>
      </c>
      <c r="S31" s="156">
        <v>-0.66200000000000003</v>
      </c>
    </row>
    <row r="32" spans="1:19">
      <c r="A32" s="133" t="s">
        <v>1171</v>
      </c>
      <c r="B32" s="133" t="s">
        <v>802</v>
      </c>
      <c r="C32" s="133" t="s">
        <v>995</v>
      </c>
      <c r="D32" s="133" t="s">
        <v>189</v>
      </c>
      <c r="E32" s="133" t="s">
        <v>190</v>
      </c>
      <c r="F32" s="133" t="s">
        <v>707</v>
      </c>
      <c r="G32" s="133" t="s">
        <v>717</v>
      </c>
      <c r="H32" s="133">
        <v>400</v>
      </c>
      <c r="I32" s="133">
        <v>0</v>
      </c>
      <c r="J32" s="133">
        <v>1000000000</v>
      </c>
      <c r="K32" s="133">
        <v>3</v>
      </c>
      <c r="L32" s="133">
        <v>2.41954</v>
      </c>
      <c r="M32" s="133" t="s">
        <v>998</v>
      </c>
      <c r="N32" s="133">
        <v>0</v>
      </c>
      <c r="P32" s="133">
        <v>0</v>
      </c>
      <c r="Q32" s="133">
        <v>2.41954</v>
      </c>
      <c r="R32" s="133">
        <v>0.57999999999999996</v>
      </c>
      <c r="S32" s="156">
        <v>0.19348666666666667</v>
      </c>
    </row>
    <row r="33" spans="1:19">
      <c r="A33" s="133" t="s">
        <v>1171</v>
      </c>
      <c r="B33" s="133" t="s">
        <v>802</v>
      </c>
      <c r="C33" s="133" t="s">
        <v>995</v>
      </c>
      <c r="D33" s="133" t="s">
        <v>207</v>
      </c>
      <c r="E33" s="133" t="s">
        <v>208</v>
      </c>
      <c r="F33" s="133" t="s">
        <v>174</v>
      </c>
      <c r="G33" s="133" t="s">
        <v>718</v>
      </c>
      <c r="H33" s="133">
        <v>0.85</v>
      </c>
      <c r="I33" s="133">
        <v>0</v>
      </c>
      <c r="J33" s="133">
        <v>1000000000</v>
      </c>
      <c r="K33" s="133">
        <v>0</v>
      </c>
      <c r="L33" s="133">
        <v>0</v>
      </c>
      <c r="M33" s="133" t="s">
        <v>1096</v>
      </c>
      <c r="N33" s="133">
        <v>0</v>
      </c>
      <c r="P33" s="133">
        <v>0</v>
      </c>
      <c r="Q33" s="133">
        <v>0</v>
      </c>
      <c r="R33" s="133">
        <v>0</v>
      </c>
      <c r="S33" s="156"/>
    </row>
    <row r="34" spans="1:19">
      <c r="A34" s="133" t="s">
        <v>1171</v>
      </c>
      <c r="B34" s="133" t="s">
        <v>802</v>
      </c>
      <c r="C34" s="133" t="s">
        <v>995</v>
      </c>
      <c r="D34" s="133" t="s">
        <v>223</v>
      </c>
      <c r="E34" s="133" t="s">
        <v>224</v>
      </c>
      <c r="F34" s="133" t="s">
        <v>867</v>
      </c>
      <c r="G34" s="133" t="s">
        <v>717</v>
      </c>
      <c r="H34" s="133">
        <v>1200</v>
      </c>
      <c r="I34" s="133">
        <v>0</v>
      </c>
      <c r="J34" s="133">
        <v>1000000000</v>
      </c>
      <c r="K34" s="133">
        <v>2</v>
      </c>
      <c r="L34" s="133">
        <v>2.1575000000000002</v>
      </c>
      <c r="M34" s="133" t="s">
        <v>997</v>
      </c>
      <c r="N34" s="133">
        <v>0</v>
      </c>
      <c r="P34" s="133">
        <v>0</v>
      </c>
      <c r="Q34" s="133">
        <v>2.1575000000000002</v>
      </c>
      <c r="R34" s="133">
        <v>0</v>
      </c>
      <c r="S34" s="156">
        <v>-7.8750000000000098E-2</v>
      </c>
    </row>
    <row r="35" spans="1:19">
      <c r="A35" s="133" t="s">
        <v>1171</v>
      </c>
      <c r="B35" s="133" t="s">
        <v>802</v>
      </c>
      <c r="C35" s="133" t="s">
        <v>995</v>
      </c>
      <c r="D35" s="133" t="s">
        <v>231</v>
      </c>
      <c r="E35" s="133" t="s">
        <v>232</v>
      </c>
      <c r="F35" s="133" t="s">
        <v>712</v>
      </c>
      <c r="G35" s="133" t="s">
        <v>717</v>
      </c>
      <c r="H35" s="133">
        <v>5167.33</v>
      </c>
      <c r="I35" s="133">
        <v>0</v>
      </c>
      <c r="J35" s="133">
        <v>1000000000</v>
      </c>
      <c r="K35" s="133">
        <v>7</v>
      </c>
      <c r="L35" s="133">
        <v>1.06501</v>
      </c>
      <c r="M35" s="133" t="s">
        <v>996</v>
      </c>
      <c r="N35" s="133">
        <v>4.5</v>
      </c>
      <c r="P35" s="133">
        <v>0</v>
      </c>
      <c r="Q35" s="133">
        <v>5.56501</v>
      </c>
      <c r="R35" s="133">
        <v>1.43</v>
      </c>
      <c r="S35" s="156">
        <v>0.84785571428571427</v>
      </c>
    </row>
    <row r="36" spans="1:19">
      <c r="A36" s="133" t="s">
        <v>1171</v>
      </c>
      <c r="B36" s="133" t="s">
        <v>802</v>
      </c>
      <c r="C36" s="133" t="s">
        <v>995</v>
      </c>
      <c r="D36" s="133" t="s">
        <v>233</v>
      </c>
      <c r="E36" s="133" t="s">
        <v>234</v>
      </c>
      <c r="F36" s="133" t="s">
        <v>712</v>
      </c>
      <c r="G36" s="133" t="s">
        <v>717</v>
      </c>
      <c r="H36" s="133">
        <v>380</v>
      </c>
      <c r="I36" s="133">
        <v>0</v>
      </c>
      <c r="J36" s="133">
        <v>1000000000</v>
      </c>
      <c r="K36" s="133">
        <v>0</v>
      </c>
      <c r="L36" s="133">
        <v>7</v>
      </c>
      <c r="M36" s="133" t="s">
        <v>1096</v>
      </c>
      <c r="N36" s="133">
        <v>0</v>
      </c>
      <c r="P36" s="133">
        <v>0</v>
      </c>
      <c r="Q36" s="133">
        <v>7</v>
      </c>
      <c r="R36" s="133">
        <v>0</v>
      </c>
      <c r="S36" s="156"/>
    </row>
    <row r="37" spans="1:19">
      <c r="A37" s="133" t="s">
        <v>1171</v>
      </c>
      <c r="B37" s="133" t="s">
        <v>802</v>
      </c>
      <c r="C37" s="133" t="s">
        <v>995</v>
      </c>
      <c r="D37" s="133" t="s">
        <v>235</v>
      </c>
      <c r="E37" s="133" t="s">
        <v>236</v>
      </c>
      <c r="F37" s="133" t="s">
        <v>712</v>
      </c>
      <c r="G37" s="133" t="s">
        <v>717</v>
      </c>
      <c r="H37" s="133">
        <v>20.5</v>
      </c>
      <c r="I37" s="133">
        <v>0</v>
      </c>
      <c r="J37" s="133">
        <v>1000000000</v>
      </c>
      <c r="K37" s="133">
        <v>0</v>
      </c>
      <c r="L37" s="133">
        <v>0</v>
      </c>
      <c r="M37" s="133" t="s">
        <v>1096</v>
      </c>
      <c r="N37" s="133">
        <v>0</v>
      </c>
      <c r="P37" s="133">
        <v>0</v>
      </c>
      <c r="Q37" s="133">
        <v>0</v>
      </c>
      <c r="R37" s="133">
        <v>0</v>
      </c>
      <c r="S37" s="156"/>
    </row>
    <row r="38" spans="1:19">
      <c r="A38" s="133" t="s">
        <v>1171</v>
      </c>
      <c r="B38" s="133" t="s">
        <v>802</v>
      </c>
      <c r="C38" s="133" t="s">
        <v>995</v>
      </c>
      <c r="D38" s="133" t="s">
        <v>237</v>
      </c>
      <c r="E38" s="133" t="s">
        <v>238</v>
      </c>
      <c r="F38" s="133" t="s">
        <v>710</v>
      </c>
      <c r="G38" s="133" t="s">
        <v>718</v>
      </c>
      <c r="H38" s="133">
        <v>0.31</v>
      </c>
      <c r="I38" s="133">
        <v>0</v>
      </c>
      <c r="J38" s="133">
        <v>1000000000</v>
      </c>
      <c r="K38" s="133">
        <v>0</v>
      </c>
      <c r="L38" s="133">
        <v>1538</v>
      </c>
      <c r="M38" s="133" t="s">
        <v>1096</v>
      </c>
      <c r="N38" s="133">
        <v>0</v>
      </c>
      <c r="P38" s="133">
        <v>0</v>
      </c>
      <c r="Q38" s="133">
        <v>1538</v>
      </c>
      <c r="R38" s="133">
        <v>0</v>
      </c>
      <c r="S38" s="156"/>
    </row>
    <row r="39" spans="1:19">
      <c r="A39" s="133" t="s">
        <v>1171</v>
      </c>
      <c r="B39" s="133" t="s">
        <v>802</v>
      </c>
      <c r="C39" s="133" t="s">
        <v>995</v>
      </c>
      <c r="D39" s="133" t="s">
        <v>239</v>
      </c>
      <c r="E39" s="133" t="s">
        <v>240</v>
      </c>
      <c r="F39" s="133" t="s">
        <v>710</v>
      </c>
      <c r="G39" s="133" t="s">
        <v>718</v>
      </c>
      <c r="H39" s="133">
        <v>0.27</v>
      </c>
      <c r="I39" s="133">
        <v>0</v>
      </c>
      <c r="J39" s="133">
        <v>1000000000</v>
      </c>
      <c r="K39" s="133">
        <v>0</v>
      </c>
      <c r="L39" s="133">
        <v>1</v>
      </c>
      <c r="M39" s="133" t="s">
        <v>1096</v>
      </c>
      <c r="N39" s="133">
        <v>0</v>
      </c>
      <c r="P39" s="133">
        <v>0</v>
      </c>
      <c r="Q39" s="133">
        <v>1</v>
      </c>
      <c r="R39" s="133">
        <v>0</v>
      </c>
      <c r="S39" s="156"/>
    </row>
    <row r="40" spans="1:19">
      <c r="A40" s="133" t="s">
        <v>1171</v>
      </c>
      <c r="B40" s="133" t="s">
        <v>802</v>
      </c>
      <c r="C40" s="133" t="s">
        <v>995</v>
      </c>
      <c r="D40" s="133" t="s">
        <v>241</v>
      </c>
      <c r="E40" s="133" t="s">
        <v>242</v>
      </c>
      <c r="F40" s="133" t="s">
        <v>710</v>
      </c>
      <c r="G40" s="133" t="s">
        <v>718</v>
      </c>
      <c r="H40" s="133">
        <v>0.39</v>
      </c>
      <c r="I40" s="133">
        <v>0</v>
      </c>
      <c r="J40" s="133">
        <v>1000000000</v>
      </c>
      <c r="K40" s="133">
        <v>0</v>
      </c>
      <c r="L40" s="133">
        <v>410</v>
      </c>
      <c r="M40" s="133" t="s">
        <v>1096</v>
      </c>
      <c r="N40" s="133">
        <v>0</v>
      </c>
      <c r="P40" s="133">
        <v>0</v>
      </c>
      <c r="Q40" s="133">
        <v>410</v>
      </c>
      <c r="R40" s="133">
        <v>0</v>
      </c>
      <c r="S40" s="156"/>
    </row>
    <row r="41" spans="1:19">
      <c r="A41" s="133" t="s">
        <v>1171</v>
      </c>
      <c r="B41" s="133" t="s">
        <v>802</v>
      </c>
      <c r="C41" s="133" t="s">
        <v>995</v>
      </c>
      <c r="D41" s="133" t="s">
        <v>243</v>
      </c>
      <c r="E41" s="133" t="s">
        <v>244</v>
      </c>
      <c r="F41" s="133" t="s">
        <v>710</v>
      </c>
      <c r="G41" s="133" t="s">
        <v>718</v>
      </c>
      <c r="H41" s="133">
        <v>0.31</v>
      </c>
      <c r="I41" s="133">
        <v>0</v>
      </c>
      <c r="J41" s="133">
        <v>1000000000</v>
      </c>
      <c r="K41" s="133">
        <v>0</v>
      </c>
      <c r="L41" s="133">
        <v>423</v>
      </c>
      <c r="M41" s="133" t="s">
        <v>1096</v>
      </c>
      <c r="N41" s="133">
        <v>0</v>
      </c>
      <c r="P41" s="133">
        <v>0</v>
      </c>
      <c r="Q41" s="133">
        <v>423</v>
      </c>
      <c r="R41" s="133">
        <v>0</v>
      </c>
      <c r="S41" s="156"/>
    </row>
    <row r="42" spans="1:19">
      <c r="A42" s="133" t="s">
        <v>1171</v>
      </c>
      <c r="B42" s="133" t="s">
        <v>802</v>
      </c>
      <c r="C42" s="133" t="s">
        <v>995</v>
      </c>
      <c r="D42" s="133" t="s">
        <v>245</v>
      </c>
      <c r="E42" s="133" t="s">
        <v>246</v>
      </c>
      <c r="F42" s="133" t="s">
        <v>710</v>
      </c>
      <c r="G42" s="133" t="s">
        <v>718</v>
      </c>
      <c r="H42" s="133">
        <v>1.1399999999999999</v>
      </c>
      <c r="I42" s="133">
        <v>0</v>
      </c>
      <c r="J42" s="133">
        <v>1000000000</v>
      </c>
      <c r="K42" s="133">
        <v>150</v>
      </c>
      <c r="L42" s="133">
        <v>230</v>
      </c>
      <c r="M42" s="133" t="s">
        <v>997</v>
      </c>
      <c r="N42" s="133">
        <v>0</v>
      </c>
      <c r="P42" s="133">
        <v>0</v>
      </c>
      <c r="Q42" s="133">
        <v>230</v>
      </c>
      <c r="R42" s="133">
        <v>0</v>
      </c>
      <c r="S42" s="156">
        <v>-0.53333333333333333</v>
      </c>
    </row>
    <row r="43" spans="1:19">
      <c r="A43" s="133" t="s">
        <v>1171</v>
      </c>
      <c r="B43" s="133" t="s">
        <v>802</v>
      </c>
      <c r="C43" s="133" t="s">
        <v>995</v>
      </c>
      <c r="D43" s="133" t="s">
        <v>253</v>
      </c>
      <c r="E43" s="133" t="s">
        <v>254</v>
      </c>
      <c r="F43" s="133" t="s">
        <v>710</v>
      </c>
      <c r="G43" s="133" t="s">
        <v>718</v>
      </c>
      <c r="H43" s="133">
        <v>0.18</v>
      </c>
      <c r="I43" s="133">
        <v>0</v>
      </c>
      <c r="J43" s="133">
        <v>1000000000</v>
      </c>
      <c r="K43" s="133">
        <v>10000</v>
      </c>
      <c r="L43" s="133">
        <v>5343</v>
      </c>
      <c r="M43" s="133" t="s">
        <v>714</v>
      </c>
      <c r="N43" s="133">
        <v>3600</v>
      </c>
      <c r="P43" s="133">
        <v>0</v>
      </c>
      <c r="Q43" s="133">
        <v>8943</v>
      </c>
      <c r="R43" s="133">
        <v>1057</v>
      </c>
      <c r="S43" s="156">
        <v>0.4657</v>
      </c>
    </row>
    <row r="44" spans="1:19">
      <c r="A44" s="133" t="s">
        <v>1171</v>
      </c>
      <c r="B44" s="133" t="s">
        <v>802</v>
      </c>
      <c r="C44" s="133" t="s">
        <v>995</v>
      </c>
      <c r="D44" s="133" t="s">
        <v>255</v>
      </c>
      <c r="E44" s="133" t="s">
        <v>256</v>
      </c>
      <c r="F44" s="133" t="s">
        <v>710</v>
      </c>
      <c r="G44" s="133" t="s">
        <v>718</v>
      </c>
      <c r="H44" s="133">
        <v>0.08</v>
      </c>
      <c r="I44" s="133">
        <v>0</v>
      </c>
      <c r="J44" s="133">
        <v>1000000000</v>
      </c>
      <c r="K44" s="133">
        <v>1000</v>
      </c>
      <c r="L44" s="133">
        <v>2834</v>
      </c>
      <c r="M44" s="133" t="s">
        <v>997</v>
      </c>
      <c r="N44" s="133">
        <v>0</v>
      </c>
      <c r="P44" s="133">
        <v>0</v>
      </c>
      <c r="Q44" s="133">
        <v>2834</v>
      </c>
      <c r="R44" s="133">
        <v>0</v>
      </c>
      <c r="S44" s="156">
        <v>-1.8340000000000001</v>
      </c>
    </row>
    <row r="45" spans="1:19">
      <c r="A45" s="133" t="s">
        <v>1171</v>
      </c>
      <c r="B45" s="133" t="s">
        <v>802</v>
      </c>
      <c r="C45" s="133" t="s">
        <v>995</v>
      </c>
      <c r="D45" s="133" t="s">
        <v>259</v>
      </c>
      <c r="E45" s="133" t="s">
        <v>260</v>
      </c>
      <c r="F45" s="133" t="s">
        <v>710</v>
      </c>
      <c r="G45" s="133" t="s">
        <v>718</v>
      </c>
      <c r="H45" s="133">
        <v>0.2</v>
      </c>
      <c r="I45" s="133">
        <v>0</v>
      </c>
      <c r="J45" s="133">
        <v>1000000000</v>
      </c>
      <c r="K45" s="133">
        <v>10000</v>
      </c>
      <c r="L45" s="133">
        <v>553</v>
      </c>
      <c r="M45" s="133" t="s">
        <v>996</v>
      </c>
      <c r="N45" s="133">
        <v>6200</v>
      </c>
      <c r="P45" s="133">
        <v>0</v>
      </c>
      <c r="Q45" s="133">
        <v>6753</v>
      </c>
      <c r="R45" s="133">
        <v>3247</v>
      </c>
      <c r="S45" s="156">
        <v>0.94469999999999998</v>
      </c>
    </row>
    <row r="46" spans="1:19">
      <c r="A46" s="133" t="s">
        <v>1171</v>
      </c>
      <c r="B46" s="133" t="s">
        <v>802</v>
      </c>
      <c r="C46" s="133" t="s">
        <v>995</v>
      </c>
      <c r="D46" s="133" t="s">
        <v>261</v>
      </c>
      <c r="E46" s="133" t="s">
        <v>262</v>
      </c>
      <c r="F46" s="133" t="s">
        <v>710</v>
      </c>
      <c r="G46" s="133" t="s">
        <v>718</v>
      </c>
      <c r="H46" s="133">
        <v>0.26</v>
      </c>
      <c r="I46" s="133">
        <v>0</v>
      </c>
      <c r="J46" s="133">
        <v>1000000000</v>
      </c>
      <c r="K46" s="133">
        <v>4000</v>
      </c>
      <c r="L46" s="133">
        <v>3969</v>
      </c>
      <c r="M46" s="133" t="s">
        <v>998</v>
      </c>
      <c r="N46" s="133">
        <v>500</v>
      </c>
      <c r="P46" s="133">
        <v>0</v>
      </c>
      <c r="Q46" s="133">
        <v>4469</v>
      </c>
      <c r="R46" s="133">
        <v>0</v>
      </c>
      <c r="S46" s="156">
        <v>7.7499999999999999E-3</v>
      </c>
    </row>
    <row r="47" spans="1:19">
      <c r="A47" s="133" t="s">
        <v>1171</v>
      </c>
      <c r="B47" s="133" t="s">
        <v>802</v>
      </c>
      <c r="C47" s="133" t="s">
        <v>995</v>
      </c>
      <c r="D47" s="133" t="s">
        <v>263</v>
      </c>
      <c r="E47" s="133" t="s">
        <v>264</v>
      </c>
      <c r="F47" s="133" t="s">
        <v>710</v>
      </c>
      <c r="G47" s="133" t="s">
        <v>718</v>
      </c>
      <c r="H47" s="133">
        <v>0.34</v>
      </c>
      <c r="I47" s="133">
        <v>0</v>
      </c>
      <c r="J47" s="133">
        <v>1000000000</v>
      </c>
      <c r="K47" s="133">
        <v>5000</v>
      </c>
      <c r="L47" s="133">
        <v>4392</v>
      </c>
      <c r="M47" s="133" t="s">
        <v>998</v>
      </c>
      <c r="N47" s="133">
        <v>1500</v>
      </c>
      <c r="P47" s="133">
        <v>0</v>
      </c>
      <c r="Q47" s="133">
        <v>5892</v>
      </c>
      <c r="R47" s="133">
        <v>0</v>
      </c>
      <c r="S47" s="156">
        <v>0.1216</v>
      </c>
    </row>
    <row r="48" spans="1:19">
      <c r="A48" s="133" t="s">
        <v>1171</v>
      </c>
      <c r="B48" s="133" t="s">
        <v>802</v>
      </c>
      <c r="C48" s="133" t="s">
        <v>995</v>
      </c>
      <c r="D48" s="133" t="s">
        <v>275</v>
      </c>
      <c r="E48" s="133" t="s">
        <v>276</v>
      </c>
      <c r="F48" s="133" t="s">
        <v>710</v>
      </c>
      <c r="G48" s="133" t="s">
        <v>718</v>
      </c>
      <c r="H48" s="133">
        <v>8.2100000000000009</v>
      </c>
      <c r="I48" s="133">
        <v>0</v>
      </c>
      <c r="J48" s="133">
        <v>1000000000</v>
      </c>
      <c r="K48" s="133">
        <v>10</v>
      </c>
      <c r="L48" s="133">
        <v>37</v>
      </c>
      <c r="M48" s="133" t="s">
        <v>997</v>
      </c>
      <c r="N48" s="133">
        <v>0</v>
      </c>
      <c r="P48" s="133">
        <v>0</v>
      </c>
      <c r="Q48" s="133">
        <v>37</v>
      </c>
      <c r="R48" s="133">
        <v>0</v>
      </c>
      <c r="S48" s="156">
        <v>-2.7</v>
      </c>
    </row>
    <row r="49" spans="1:19">
      <c r="A49" s="133" t="s">
        <v>1171</v>
      </c>
      <c r="B49" s="133" t="s">
        <v>802</v>
      </c>
      <c r="C49" s="133" t="s">
        <v>995</v>
      </c>
      <c r="D49" s="133" t="s">
        <v>281</v>
      </c>
      <c r="E49" s="133" t="s">
        <v>282</v>
      </c>
      <c r="F49" s="133" t="s">
        <v>716</v>
      </c>
      <c r="G49" s="133" t="s">
        <v>718</v>
      </c>
      <c r="H49" s="133">
        <v>0.14000000000000001</v>
      </c>
      <c r="I49" s="133">
        <v>0</v>
      </c>
      <c r="J49" s="133">
        <v>1000000000</v>
      </c>
      <c r="K49" s="133">
        <v>300</v>
      </c>
      <c r="L49" s="133">
        <v>1006</v>
      </c>
      <c r="M49" s="133" t="s">
        <v>997</v>
      </c>
      <c r="N49" s="133">
        <v>0</v>
      </c>
      <c r="P49" s="133">
        <v>0</v>
      </c>
      <c r="Q49" s="133">
        <v>1006</v>
      </c>
      <c r="R49" s="133">
        <v>0</v>
      </c>
      <c r="S49" s="156">
        <v>-2.3533333333333335</v>
      </c>
    </row>
    <row r="50" spans="1:19">
      <c r="A50" s="133" t="s">
        <v>1171</v>
      </c>
      <c r="B50" s="133" t="s">
        <v>802</v>
      </c>
      <c r="C50" s="133" t="s">
        <v>995</v>
      </c>
      <c r="D50" s="133" t="s">
        <v>283</v>
      </c>
      <c r="E50" s="133" t="s">
        <v>284</v>
      </c>
      <c r="F50" s="133" t="s">
        <v>716</v>
      </c>
      <c r="G50" s="133" t="s">
        <v>718</v>
      </c>
      <c r="H50" s="133">
        <v>0.11</v>
      </c>
      <c r="I50" s="133">
        <v>0</v>
      </c>
      <c r="J50" s="133">
        <v>1000000000</v>
      </c>
      <c r="K50" s="133">
        <v>700</v>
      </c>
      <c r="L50" s="133">
        <v>954</v>
      </c>
      <c r="M50" s="133" t="s">
        <v>997</v>
      </c>
      <c r="N50" s="133">
        <v>0</v>
      </c>
      <c r="P50" s="133">
        <v>0</v>
      </c>
      <c r="Q50" s="133">
        <v>954</v>
      </c>
      <c r="R50" s="133">
        <v>0</v>
      </c>
      <c r="S50" s="156">
        <v>-0.36285714285714288</v>
      </c>
    </row>
    <row r="51" spans="1:19">
      <c r="A51" s="133" t="s">
        <v>1171</v>
      </c>
      <c r="B51" s="133" t="s">
        <v>802</v>
      </c>
      <c r="C51" s="133" t="s">
        <v>995</v>
      </c>
      <c r="D51" s="133" t="s">
        <v>285</v>
      </c>
      <c r="E51" s="133" t="s">
        <v>286</v>
      </c>
      <c r="F51" s="133" t="s">
        <v>716</v>
      </c>
      <c r="G51" s="133" t="s">
        <v>718</v>
      </c>
      <c r="H51" s="133">
        <v>7.0000000000000007E-2</v>
      </c>
      <c r="I51" s="133">
        <v>0</v>
      </c>
      <c r="J51" s="133">
        <v>1000000000</v>
      </c>
      <c r="K51" s="133">
        <v>300</v>
      </c>
      <c r="L51" s="133">
        <v>417</v>
      </c>
      <c r="M51" s="133" t="s">
        <v>997</v>
      </c>
      <c r="N51" s="133">
        <v>0</v>
      </c>
      <c r="P51" s="133">
        <v>0</v>
      </c>
      <c r="Q51" s="133">
        <v>417</v>
      </c>
      <c r="R51" s="133">
        <v>0</v>
      </c>
      <c r="S51" s="156">
        <v>-0.39</v>
      </c>
    </row>
    <row r="52" spans="1:19">
      <c r="A52" s="133" t="s">
        <v>1171</v>
      </c>
      <c r="B52" s="133" t="s">
        <v>802</v>
      </c>
      <c r="C52" s="133" t="s">
        <v>995</v>
      </c>
      <c r="D52" s="133" t="s">
        <v>287</v>
      </c>
      <c r="E52" s="133" t="s">
        <v>288</v>
      </c>
      <c r="F52" s="133" t="s">
        <v>716</v>
      </c>
      <c r="G52" s="133" t="s">
        <v>718</v>
      </c>
      <c r="H52" s="133">
        <v>0.26</v>
      </c>
      <c r="I52" s="133">
        <v>0</v>
      </c>
      <c r="J52" s="133">
        <v>1000000000</v>
      </c>
      <c r="K52" s="133">
        <v>0</v>
      </c>
      <c r="L52" s="133">
        <v>0</v>
      </c>
      <c r="M52" s="133" t="s">
        <v>1096</v>
      </c>
      <c r="N52" s="133">
        <v>0</v>
      </c>
      <c r="P52" s="133">
        <v>0</v>
      </c>
      <c r="Q52" s="133">
        <v>0</v>
      </c>
      <c r="R52" s="133">
        <v>0</v>
      </c>
      <c r="S52" s="156"/>
    </row>
    <row r="53" spans="1:19">
      <c r="A53" s="133" t="s">
        <v>1171</v>
      </c>
      <c r="B53" s="133" t="s">
        <v>802</v>
      </c>
      <c r="C53" s="133" t="s">
        <v>995</v>
      </c>
      <c r="D53" s="133" t="s">
        <v>289</v>
      </c>
      <c r="E53" s="133" t="s">
        <v>290</v>
      </c>
      <c r="F53" s="133" t="s">
        <v>716</v>
      </c>
      <c r="G53" s="133" t="s">
        <v>718</v>
      </c>
      <c r="H53" s="133">
        <v>0.13</v>
      </c>
      <c r="I53" s="133">
        <v>0</v>
      </c>
      <c r="J53" s="133">
        <v>1000000000</v>
      </c>
      <c r="K53" s="133">
        <v>500</v>
      </c>
      <c r="L53" s="133">
        <v>794</v>
      </c>
      <c r="M53" s="133" t="s">
        <v>997</v>
      </c>
      <c r="N53" s="133">
        <v>0</v>
      </c>
      <c r="P53" s="133">
        <v>0</v>
      </c>
      <c r="Q53" s="133">
        <v>794</v>
      </c>
      <c r="R53" s="133">
        <v>0</v>
      </c>
      <c r="S53" s="156">
        <v>-0.58799999999999997</v>
      </c>
    </row>
    <row r="54" spans="1:19">
      <c r="A54" s="133" t="s">
        <v>1171</v>
      </c>
      <c r="B54" s="133" t="s">
        <v>802</v>
      </c>
      <c r="C54" s="133" t="s">
        <v>995</v>
      </c>
      <c r="D54" s="133" t="s">
        <v>291</v>
      </c>
      <c r="E54" s="133" t="s">
        <v>292</v>
      </c>
      <c r="F54" s="133" t="s">
        <v>716</v>
      </c>
      <c r="G54" s="133" t="s">
        <v>718</v>
      </c>
      <c r="H54" s="133">
        <v>0.18</v>
      </c>
      <c r="I54" s="133">
        <v>0</v>
      </c>
      <c r="J54" s="133">
        <v>1000000000</v>
      </c>
      <c r="K54" s="133">
        <v>300</v>
      </c>
      <c r="L54" s="133">
        <v>1301</v>
      </c>
      <c r="M54" s="133" t="s">
        <v>997</v>
      </c>
      <c r="N54" s="133">
        <v>0</v>
      </c>
      <c r="P54" s="133">
        <v>0</v>
      </c>
      <c r="Q54" s="133">
        <v>1301</v>
      </c>
      <c r="R54" s="133">
        <v>0</v>
      </c>
      <c r="S54" s="156">
        <v>-3.3366666666666664</v>
      </c>
    </row>
    <row r="55" spans="1:19">
      <c r="A55" s="133" t="s">
        <v>1171</v>
      </c>
      <c r="B55" s="133" t="s">
        <v>802</v>
      </c>
      <c r="C55" s="133" t="s">
        <v>995</v>
      </c>
      <c r="D55" s="133" t="s">
        <v>293</v>
      </c>
      <c r="E55" s="133" t="s">
        <v>294</v>
      </c>
      <c r="F55" s="133" t="s">
        <v>716</v>
      </c>
      <c r="G55" s="133" t="s">
        <v>718</v>
      </c>
      <c r="H55" s="133">
        <v>0.11</v>
      </c>
      <c r="I55" s="133">
        <v>0</v>
      </c>
      <c r="J55" s="133">
        <v>1000000000</v>
      </c>
      <c r="K55" s="133">
        <v>300</v>
      </c>
      <c r="L55" s="133">
        <v>414</v>
      </c>
      <c r="M55" s="133" t="s">
        <v>997</v>
      </c>
      <c r="N55" s="133">
        <v>0</v>
      </c>
      <c r="P55" s="133">
        <v>0</v>
      </c>
      <c r="Q55" s="133">
        <v>414</v>
      </c>
      <c r="R55" s="133">
        <v>0</v>
      </c>
      <c r="S55" s="156">
        <v>-0.38</v>
      </c>
    </row>
    <row r="56" spans="1:19">
      <c r="A56" s="133" t="s">
        <v>1171</v>
      </c>
      <c r="B56" s="133" t="s">
        <v>802</v>
      </c>
      <c r="C56" s="133" t="s">
        <v>995</v>
      </c>
      <c r="D56" s="133" t="s">
        <v>295</v>
      </c>
      <c r="E56" s="133" t="s">
        <v>296</v>
      </c>
      <c r="F56" s="133" t="s">
        <v>716</v>
      </c>
      <c r="G56" s="133" t="s">
        <v>718</v>
      </c>
      <c r="H56" s="133">
        <v>0.15</v>
      </c>
      <c r="I56" s="133">
        <v>0</v>
      </c>
      <c r="J56" s="133">
        <v>1000000000</v>
      </c>
      <c r="K56" s="133">
        <v>300</v>
      </c>
      <c r="L56" s="133">
        <v>442</v>
      </c>
      <c r="M56" s="133" t="s">
        <v>997</v>
      </c>
      <c r="N56" s="133">
        <v>0</v>
      </c>
      <c r="P56" s="133">
        <v>0</v>
      </c>
      <c r="Q56" s="133">
        <v>442</v>
      </c>
      <c r="R56" s="133">
        <v>0</v>
      </c>
      <c r="S56" s="156">
        <v>-0.47333333333333333</v>
      </c>
    </row>
    <row r="57" spans="1:19">
      <c r="A57" s="133" t="s">
        <v>1171</v>
      </c>
      <c r="B57" s="133" t="s">
        <v>802</v>
      </c>
      <c r="C57" s="133" t="s">
        <v>995</v>
      </c>
      <c r="D57" s="133" t="s">
        <v>297</v>
      </c>
      <c r="E57" s="133" t="s">
        <v>298</v>
      </c>
      <c r="F57" s="133" t="s">
        <v>716</v>
      </c>
      <c r="G57" s="133" t="s">
        <v>718</v>
      </c>
      <c r="H57" s="133">
        <v>0.23</v>
      </c>
      <c r="I57" s="133">
        <v>0</v>
      </c>
      <c r="J57" s="133">
        <v>1000000000</v>
      </c>
      <c r="K57" s="133">
        <v>500</v>
      </c>
      <c r="L57" s="133">
        <v>739</v>
      </c>
      <c r="M57" s="133" t="s">
        <v>997</v>
      </c>
      <c r="N57" s="133">
        <v>0</v>
      </c>
      <c r="P57" s="133">
        <v>0</v>
      </c>
      <c r="Q57" s="133">
        <v>739</v>
      </c>
      <c r="R57" s="133">
        <v>0</v>
      </c>
      <c r="S57" s="156">
        <v>-0.47799999999999998</v>
      </c>
    </row>
    <row r="58" spans="1:19">
      <c r="A58" s="133" t="s">
        <v>1171</v>
      </c>
      <c r="B58" s="133" t="s">
        <v>802</v>
      </c>
      <c r="C58" s="133" t="s">
        <v>995</v>
      </c>
      <c r="D58" s="133" t="s">
        <v>299</v>
      </c>
      <c r="E58" s="133" t="s">
        <v>300</v>
      </c>
      <c r="F58" s="133" t="s">
        <v>716</v>
      </c>
      <c r="G58" s="133" t="s">
        <v>718</v>
      </c>
      <c r="H58" s="133">
        <v>0.14000000000000001</v>
      </c>
      <c r="I58" s="133">
        <v>0</v>
      </c>
      <c r="J58" s="133">
        <v>1000000000</v>
      </c>
      <c r="K58" s="133">
        <v>300</v>
      </c>
      <c r="L58" s="133">
        <v>519</v>
      </c>
      <c r="M58" s="133" t="s">
        <v>997</v>
      </c>
      <c r="N58" s="133">
        <v>0</v>
      </c>
      <c r="P58" s="133">
        <v>0</v>
      </c>
      <c r="Q58" s="133">
        <v>519</v>
      </c>
      <c r="R58" s="133">
        <v>0</v>
      </c>
      <c r="S58" s="156">
        <v>-0.73</v>
      </c>
    </row>
    <row r="59" spans="1:19">
      <c r="A59" s="133" t="s">
        <v>1171</v>
      </c>
      <c r="B59" s="133" t="s">
        <v>802</v>
      </c>
      <c r="C59" s="133" t="s">
        <v>995</v>
      </c>
      <c r="D59" s="133" t="s">
        <v>301</v>
      </c>
      <c r="E59" s="133" t="s">
        <v>302</v>
      </c>
      <c r="F59" s="133" t="s">
        <v>716</v>
      </c>
      <c r="G59" s="133" t="s">
        <v>718</v>
      </c>
      <c r="H59" s="133">
        <v>0.19</v>
      </c>
      <c r="I59" s="133">
        <v>0</v>
      </c>
      <c r="J59" s="133">
        <v>1000000000</v>
      </c>
      <c r="K59" s="133">
        <v>500</v>
      </c>
      <c r="L59" s="133">
        <v>718</v>
      </c>
      <c r="M59" s="133" t="s">
        <v>997</v>
      </c>
      <c r="N59" s="133">
        <v>0</v>
      </c>
      <c r="P59" s="133">
        <v>0</v>
      </c>
      <c r="Q59" s="133">
        <v>718</v>
      </c>
      <c r="R59" s="133">
        <v>0</v>
      </c>
      <c r="S59" s="156">
        <v>-0.436</v>
      </c>
    </row>
    <row r="60" spans="1:19">
      <c r="A60" s="133" t="s">
        <v>1171</v>
      </c>
      <c r="B60" s="133" t="s">
        <v>802</v>
      </c>
      <c r="C60" s="133" t="s">
        <v>995</v>
      </c>
      <c r="D60" s="133" t="s">
        <v>303</v>
      </c>
      <c r="E60" s="133" t="s">
        <v>304</v>
      </c>
      <c r="F60" s="133" t="s">
        <v>716</v>
      </c>
      <c r="G60" s="133" t="s">
        <v>718</v>
      </c>
      <c r="H60" s="133">
        <v>7.0000000000000007E-2</v>
      </c>
      <c r="I60" s="133">
        <v>0</v>
      </c>
      <c r="J60" s="133">
        <v>1000000000</v>
      </c>
      <c r="K60" s="133">
        <v>300</v>
      </c>
      <c r="L60" s="133">
        <v>1110</v>
      </c>
      <c r="M60" s="133" t="s">
        <v>997</v>
      </c>
      <c r="N60" s="133">
        <v>0</v>
      </c>
      <c r="P60" s="133">
        <v>0</v>
      </c>
      <c r="Q60" s="133">
        <v>1110</v>
      </c>
      <c r="R60" s="133">
        <v>0</v>
      </c>
      <c r="S60" s="156">
        <v>-2.7</v>
      </c>
    </row>
    <row r="61" spans="1:19">
      <c r="A61" s="133" t="s">
        <v>1171</v>
      </c>
      <c r="B61" s="133" t="s">
        <v>802</v>
      </c>
      <c r="C61" s="133" t="s">
        <v>995</v>
      </c>
      <c r="D61" s="133" t="s">
        <v>305</v>
      </c>
      <c r="E61" s="133" t="s">
        <v>306</v>
      </c>
      <c r="F61" s="133" t="s">
        <v>716</v>
      </c>
      <c r="G61" s="133" t="s">
        <v>718</v>
      </c>
      <c r="H61" s="133">
        <v>0.25</v>
      </c>
      <c r="I61" s="133">
        <v>0</v>
      </c>
      <c r="J61" s="133">
        <v>1000000000</v>
      </c>
      <c r="K61" s="133">
        <v>0</v>
      </c>
      <c r="L61" s="133">
        <v>0</v>
      </c>
      <c r="M61" s="133" t="s">
        <v>1096</v>
      </c>
      <c r="N61" s="133">
        <v>0</v>
      </c>
      <c r="P61" s="133">
        <v>0</v>
      </c>
      <c r="Q61" s="133">
        <v>0</v>
      </c>
      <c r="R61" s="133">
        <v>0</v>
      </c>
      <c r="S61" s="156"/>
    </row>
    <row r="62" spans="1:19">
      <c r="A62" s="133" t="s">
        <v>1171</v>
      </c>
      <c r="B62" s="133" t="s">
        <v>802</v>
      </c>
      <c r="C62" s="133" t="s">
        <v>995</v>
      </c>
      <c r="D62" s="133" t="s">
        <v>307</v>
      </c>
      <c r="E62" s="133" t="s">
        <v>308</v>
      </c>
      <c r="F62" s="133" t="s">
        <v>716</v>
      </c>
      <c r="G62" s="133" t="s">
        <v>718</v>
      </c>
      <c r="H62" s="133">
        <v>0.12</v>
      </c>
      <c r="I62" s="133">
        <v>0</v>
      </c>
      <c r="J62" s="133">
        <v>1000000000</v>
      </c>
      <c r="K62" s="133">
        <v>500</v>
      </c>
      <c r="L62" s="133">
        <v>641</v>
      </c>
      <c r="M62" s="133" t="s">
        <v>997</v>
      </c>
      <c r="N62" s="133">
        <v>0</v>
      </c>
      <c r="P62" s="133">
        <v>0</v>
      </c>
      <c r="Q62" s="133">
        <v>641</v>
      </c>
      <c r="R62" s="133">
        <v>0</v>
      </c>
      <c r="S62" s="156">
        <v>-0.28199999999999997</v>
      </c>
    </row>
    <row r="63" spans="1:19">
      <c r="A63" s="133" t="s">
        <v>1171</v>
      </c>
      <c r="B63" s="133" t="s">
        <v>802</v>
      </c>
      <c r="C63" s="133" t="s">
        <v>995</v>
      </c>
      <c r="D63" s="133" t="s">
        <v>312</v>
      </c>
      <c r="E63" s="133" t="s">
        <v>313</v>
      </c>
      <c r="F63" s="133" t="s">
        <v>716</v>
      </c>
      <c r="G63" s="133" t="s">
        <v>718</v>
      </c>
      <c r="H63" s="133">
        <v>0.12</v>
      </c>
      <c r="I63" s="133">
        <v>0</v>
      </c>
      <c r="J63" s="133">
        <v>1000000000</v>
      </c>
      <c r="K63" s="133">
        <v>1500</v>
      </c>
      <c r="L63" s="133">
        <v>511</v>
      </c>
      <c r="M63" s="133" t="s">
        <v>714</v>
      </c>
      <c r="N63" s="133">
        <v>800</v>
      </c>
      <c r="P63" s="133">
        <v>0</v>
      </c>
      <c r="Q63" s="133">
        <v>1311</v>
      </c>
      <c r="R63" s="133">
        <v>189</v>
      </c>
      <c r="S63" s="156">
        <v>0.65933333333333333</v>
      </c>
    </row>
    <row r="64" spans="1:19">
      <c r="A64" s="133" t="s">
        <v>1171</v>
      </c>
      <c r="B64" s="133" t="s">
        <v>802</v>
      </c>
      <c r="C64" s="133" t="s">
        <v>995</v>
      </c>
      <c r="D64" s="133" t="s">
        <v>314</v>
      </c>
      <c r="E64" s="133" t="s">
        <v>315</v>
      </c>
      <c r="F64" s="133" t="s">
        <v>716</v>
      </c>
      <c r="G64" s="133" t="s">
        <v>718</v>
      </c>
      <c r="H64" s="133">
        <v>0.13</v>
      </c>
      <c r="I64" s="133">
        <v>0</v>
      </c>
      <c r="J64" s="133">
        <v>1000000000</v>
      </c>
      <c r="K64" s="133">
        <v>1500</v>
      </c>
      <c r="L64" s="133">
        <v>1721</v>
      </c>
      <c r="M64" s="133" t="s">
        <v>997</v>
      </c>
      <c r="N64" s="133">
        <v>0</v>
      </c>
      <c r="P64" s="133">
        <v>0</v>
      </c>
      <c r="Q64" s="133">
        <v>1721</v>
      </c>
      <c r="R64" s="133">
        <v>0</v>
      </c>
      <c r="S64" s="156">
        <v>-0.14733333333333334</v>
      </c>
    </row>
    <row r="65" spans="1:19">
      <c r="A65" s="133" t="s">
        <v>1171</v>
      </c>
      <c r="B65" s="133" t="s">
        <v>802</v>
      </c>
      <c r="C65" s="133" t="s">
        <v>995</v>
      </c>
      <c r="D65" s="133" t="s">
        <v>316</v>
      </c>
      <c r="E65" s="133" t="s">
        <v>317</v>
      </c>
      <c r="F65" s="133" t="s">
        <v>716</v>
      </c>
      <c r="G65" s="133" t="s">
        <v>718</v>
      </c>
      <c r="H65" s="133">
        <v>0.08</v>
      </c>
      <c r="I65" s="133">
        <v>0</v>
      </c>
      <c r="J65" s="133">
        <v>1000000000</v>
      </c>
      <c r="K65" s="133">
        <v>1500</v>
      </c>
      <c r="L65" s="133">
        <v>9</v>
      </c>
      <c r="M65" s="133" t="s">
        <v>996</v>
      </c>
      <c r="N65" s="133">
        <v>1500</v>
      </c>
      <c r="P65" s="133">
        <v>0</v>
      </c>
      <c r="Q65" s="133">
        <v>1509</v>
      </c>
      <c r="R65" s="133">
        <v>0</v>
      </c>
      <c r="S65" s="156">
        <v>0.99399999999999999</v>
      </c>
    </row>
    <row r="66" spans="1:19">
      <c r="A66" s="133" t="s">
        <v>1171</v>
      </c>
      <c r="B66" s="133" t="s">
        <v>802</v>
      </c>
      <c r="C66" s="133" t="s">
        <v>995</v>
      </c>
      <c r="D66" s="133" t="s">
        <v>318</v>
      </c>
      <c r="E66" s="133" t="s">
        <v>319</v>
      </c>
      <c r="F66" s="133" t="s">
        <v>716</v>
      </c>
      <c r="G66" s="133" t="s">
        <v>718</v>
      </c>
      <c r="H66" s="133">
        <v>0.1</v>
      </c>
      <c r="I66" s="133">
        <v>0</v>
      </c>
      <c r="J66" s="133">
        <v>1000000000</v>
      </c>
      <c r="K66" s="133">
        <v>600</v>
      </c>
      <c r="L66" s="133">
        <v>1059</v>
      </c>
      <c r="M66" s="133" t="s">
        <v>997</v>
      </c>
      <c r="N66" s="133">
        <v>0</v>
      </c>
      <c r="P66" s="133">
        <v>0</v>
      </c>
      <c r="Q66" s="133">
        <v>1059</v>
      </c>
      <c r="R66" s="133">
        <v>0</v>
      </c>
      <c r="S66" s="156">
        <v>-0.76500000000000001</v>
      </c>
    </row>
    <row r="67" spans="1:19">
      <c r="A67" s="133" t="s">
        <v>1171</v>
      </c>
      <c r="B67" s="133" t="s">
        <v>802</v>
      </c>
      <c r="C67" s="133" t="s">
        <v>995</v>
      </c>
      <c r="D67" s="133" t="s">
        <v>320</v>
      </c>
      <c r="E67" s="133" t="s">
        <v>321</v>
      </c>
      <c r="F67" s="133" t="s">
        <v>716</v>
      </c>
      <c r="G67" s="133" t="s">
        <v>718</v>
      </c>
      <c r="H67" s="133">
        <v>0.27</v>
      </c>
      <c r="I67" s="133">
        <v>0</v>
      </c>
      <c r="J67" s="133">
        <v>1000000000</v>
      </c>
      <c r="K67" s="133">
        <v>500</v>
      </c>
      <c r="L67" s="133">
        <v>737</v>
      </c>
      <c r="M67" s="133" t="s">
        <v>997</v>
      </c>
      <c r="N67" s="133">
        <v>0</v>
      </c>
      <c r="P67" s="133">
        <v>0</v>
      </c>
      <c r="Q67" s="133">
        <v>737</v>
      </c>
      <c r="R67" s="133">
        <v>0</v>
      </c>
      <c r="S67" s="156">
        <v>-0.47399999999999998</v>
      </c>
    </row>
    <row r="68" spans="1:19">
      <c r="A68" s="133" t="s">
        <v>1171</v>
      </c>
      <c r="B68" s="133" t="s">
        <v>802</v>
      </c>
      <c r="C68" s="133" t="s">
        <v>995</v>
      </c>
      <c r="D68" s="133" t="s">
        <v>322</v>
      </c>
      <c r="E68" s="133" t="s">
        <v>323</v>
      </c>
      <c r="F68" s="133" t="s">
        <v>716</v>
      </c>
      <c r="G68" s="133" t="s">
        <v>718</v>
      </c>
      <c r="H68" s="133">
        <v>0.19</v>
      </c>
      <c r="I68" s="133">
        <v>0</v>
      </c>
      <c r="J68" s="133">
        <v>1000000000</v>
      </c>
      <c r="K68" s="133">
        <v>500</v>
      </c>
      <c r="L68" s="133">
        <v>985</v>
      </c>
      <c r="M68" s="133" t="s">
        <v>997</v>
      </c>
      <c r="N68" s="133">
        <v>0</v>
      </c>
      <c r="P68" s="133">
        <v>0</v>
      </c>
      <c r="Q68" s="133">
        <v>985</v>
      </c>
      <c r="R68" s="133">
        <v>0</v>
      </c>
      <c r="S68" s="156">
        <v>-0.97</v>
      </c>
    </row>
    <row r="69" spans="1:19">
      <c r="A69" s="133" t="s">
        <v>1171</v>
      </c>
      <c r="B69" s="133" t="s">
        <v>802</v>
      </c>
      <c r="C69" s="133" t="s">
        <v>995</v>
      </c>
      <c r="D69" s="133" t="s">
        <v>324</v>
      </c>
      <c r="E69" s="133" t="s">
        <v>325</v>
      </c>
      <c r="F69" s="133" t="s">
        <v>716</v>
      </c>
      <c r="G69" s="133" t="s">
        <v>718</v>
      </c>
      <c r="H69" s="133">
        <v>0.14000000000000001</v>
      </c>
      <c r="I69" s="133">
        <v>0</v>
      </c>
      <c r="J69" s="133">
        <v>1000000000</v>
      </c>
      <c r="K69" s="133">
        <v>500</v>
      </c>
      <c r="L69" s="133">
        <v>749</v>
      </c>
      <c r="M69" s="133" t="s">
        <v>997</v>
      </c>
      <c r="N69" s="133">
        <v>0</v>
      </c>
      <c r="P69" s="133">
        <v>0</v>
      </c>
      <c r="Q69" s="133">
        <v>749</v>
      </c>
      <c r="R69" s="133">
        <v>0</v>
      </c>
      <c r="S69" s="156">
        <v>-0.498</v>
      </c>
    </row>
    <row r="70" spans="1:19">
      <c r="A70" s="133" t="s">
        <v>1171</v>
      </c>
      <c r="B70" s="133" t="s">
        <v>802</v>
      </c>
      <c r="C70" s="133" t="s">
        <v>995</v>
      </c>
      <c r="D70" s="133" t="s">
        <v>326</v>
      </c>
      <c r="E70" s="133" t="s">
        <v>327</v>
      </c>
      <c r="F70" s="133" t="s">
        <v>716</v>
      </c>
      <c r="G70" s="133" t="s">
        <v>718</v>
      </c>
      <c r="H70" s="133">
        <v>0.12</v>
      </c>
      <c r="I70" s="133">
        <v>0</v>
      </c>
      <c r="J70" s="133">
        <v>1000000000</v>
      </c>
      <c r="K70" s="133">
        <v>700</v>
      </c>
      <c r="L70" s="133">
        <v>361</v>
      </c>
      <c r="M70" s="133" t="s">
        <v>714</v>
      </c>
      <c r="N70" s="133">
        <v>500</v>
      </c>
      <c r="P70" s="133">
        <v>0</v>
      </c>
      <c r="Q70" s="133">
        <v>861</v>
      </c>
      <c r="R70" s="133">
        <v>0</v>
      </c>
      <c r="S70" s="156">
        <v>0.48428571428571426</v>
      </c>
    </row>
    <row r="71" spans="1:19">
      <c r="A71" s="133" t="s">
        <v>1171</v>
      </c>
      <c r="B71" s="133" t="s">
        <v>802</v>
      </c>
      <c r="C71" s="133" t="s">
        <v>995</v>
      </c>
      <c r="D71" s="133" t="s">
        <v>328</v>
      </c>
      <c r="E71" s="133" t="s">
        <v>329</v>
      </c>
      <c r="F71" s="133" t="s">
        <v>716</v>
      </c>
      <c r="G71" s="133" t="s">
        <v>718</v>
      </c>
      <c r="H71" s="133">
        <v>0.13</v>
      </c>
      <c r="I71" s="133">
        <v>0</v>
      </c>
      <c r="J71" s="133">
        <v>1000000000</v>
      </c>
      <c r="K71" s="133">
        <v>600</v>
      </c>
      <c r="L71" s="133">
        <v>664</v>
      </c>
      <c r="M71" s="133" t="s">
        <v>997</v>
      </c>
      <c r="N71" s="133">
        <v>0</v>
      </c>
      <c r="P71" s="133">
        <v>0</v>
      </c>
      <c r="Q71" s="133">
        <v>664</v>
      </c>
      <c r="R71" s="133">
        <v>0</v>
      </c>
      <c r="S71" s="156">
        <v>-0.10666666666666667</v>
      </c>
    </row>
    <row r="72" spans="1:19">
      <c r="A72" s="133" t="s">
        <v>1171</v>
      </c>
      <c r="B72" s="133" t="s">
        <v>802</v>
      </c>
      <c r="C72" s="133" t="s">
        <v>995</v>
      </c>
      <c r="D72" s="133" t="s">
        <v>330</v>
      </c>
      <c r="E72" s="133" t="s">
        <v>331</v>
      </c>
      <c r="F72" s="133" t="s">
        <v>716</v>
      </c>
      <c r="G72" s="133" t="s">
        <v>718</v>
      </c>
      <c r="H72" s="133">
        <v>0.19</v>
      </c>
      <c r="I72" s="133">
        <v>0</v>
      </c>
      <c r="J72" s="133">
        <v>1000000000</v>
      </c>
      <c r="K72" s="133">
        <v>500</v>
      </c>
      <c r="L72" s="133">
        <v>789</v>
      </c>
      <c r="M72" s="133" t="s">
        <v>997</v>
      </c>
      <c r="N72" s="133">
        <v>0</v>
      </c>
      <c r="P72" s="133">
        <v>0</v>
      </c>
      <c r="Q72" s="133">
        <v>789</v>
      </c>
      <c r="R72" s="133">
        <v>0</v>
      </c>
      <c r="S72" s="156">
        <v>-0.57799999999999996</v>
      </c>
    </row>
    <row r="73" spans="1:19">
      <c r="A73" s="133" t="s">
        <v>1171</v>
      </c>
      <c r="B73" s="133" t="s">
        <v>802</v>
      </c>
      <c r="C73" s="133" t="s">
        <v>995</v>
      </c>
      <c r="D73" s="133" t="s">
        <v>332</v>
      </c>
      <c r="E73" s="133" t="s">
        <v>333</v>
      </c>
      <c r="F73" s="133" t="s">
        <v>716</v>
      </c>
      <c r="G73" s="133" t="s">
        <v>718</v>
      </c>
      <c r="H73" s="133">
        <v>7.0000000000000007E-2</v>
      </c>
      <c r="I73" s="133">
        <v>0</v>
      </c>
      <c r="J73" s="133">
        <v>1000000000</v>
      </c>
      <c r="K73" s="133">
        <v>200</v>
      </c>
      <c r="L73" s="133">
        <v>1048</v>
      </c>
      <c r="M73" s="133" t="s">
        <v>997</v>
      </c>
      <c r="N73" s="133">
        <v>0</v>
      </c>
      <c r="P73" s="133">
        <v>0</v>
      </c>
      <c r="Q73" s="133">
        <v>1048</v>
      </c>
      <c r="R73" s="133">
        <v>0</v>
      </c>
      <c r="S73" s="156">
        <v>-4.24</v>
      </c>
    </row>
    <row r="74" spans="1:19">
      <c r="A74" s="133" t="s">
        <v>1171</v>
      </c>
      <c r="B74" s="133" t="s">
        <v>802</v>
      </c>
      <c r="C74" s="133" t="s">
        <v>995</v>
      </c>
      <c r="D74" s="133" t="s">
        <v>334</v>
      </c>
      <c r="E74" s="133" t="s">
        <v>335</v>
      </c>
      <c r="F74" s="133" t="s">
        <v>716</v>
      </c>
      <c r="G74" s="133" t="s">
        <v>718</v>
      </c>
      <c r="H74" s="133">
        <v>0.12</v>
      </c>
      <c r="I74" s="133">
        <v>0</v>
      </c>
      <c r="J74" s="133">
        <v>1000000000</v>
      </c>
      <c r="K74" s="133">
        <v>200</v>
      </c>
      <c r="L74" s="133">
        <v>1574</v>
      </c>
      <c r="M74" s="133" t="s">
        <v>997</v>
      </c>
      <c r="N74" s="133">
        <v>0</v>
      </c>
      <c r="P74" s="133">
        <v>0</v>
      </c>
      <c r="Q74" s="133">
        <v>1574</v>
      </c>
      <c r="R74" s="133">
        <v>0</v>
      </c>
      <c r="S74" s="156">
        <v>-6.87</v>
      </c>
    </row>
    <row r="75" spans="1:19">
      <c r="A75" s="133" t="s">
        <v>1171</v>
      </c>
      <c r="B75" s="133" t="s">
        <v>802</v>
      </c>
      <c r="C75" s="133" t="s">
        <v>995</v>
      </c>
      <c r="D75" s="133" t="s">
        <v>336</v>
      </c>
      <c r="E75" s="133" t="s">
        <v>337</v>
      </c>
      <c r="F75" s="133" t="s">
        <v>716</v>
      </c>
      <c r="G75" s="133" t="s">
        <v>718</v>
      </c>
      <c r="H75" s="133">
        <v>0.09</v>
      </c>
      <c r="I75" s="133">
        <v>0</v>
      </c>
      <c r="J75" s="133">
        <v>1000000000</v>
      </c>
      <c r="K75" s="133">
        <v>500</v>
      </c>
      <c r="L75" s="133">
        <v>905</v>
      </c>
      <c r="M75" s="133" t="s">
        <v>997</v>
      </c>
      <c r="N75" s="133">
        <v>0</v>
      </c>
      <c r="P75" s="133">
        <v>0</v>
      </c>
      <c r="Q75" s="133">
        <v>905</v>
      </c>
      <c r="R75" s="133">
        <v>0</v>
      </c>
      <c r="S75" s="156">
        <v>-0.81</v>
      </c>
    </row>
    <row r="76" spans="1:19">
      <c r="A76" s="133" t="s">
        <v>1171</v>
      </c>
      <c r="B76" s="133" t="s">
        <v>802</v>
      </c>
      <c r="C76" s="133" t="s">
        <v>995</v>
      </c>
      <c r="D76" s="133" t="s">
        <v>338</v>
      </c>
      <c r="E76" s="133" t="s">
        <v>339</v>
      </c>
      <c r="F76" s="133" t="s">
        <v>716</v>
      </c>
      <c r="G76" s="133" t="s">
        <v>718</v>
      </c>
      <c r="H76" s="133">
        <v>0.14000000000000001</v>
      </c>
      <c r="I76" s="133">
        <v>0</v>
      </c>
      <c r="J76" s="133">
        <v>1000000000</v>
      </c>
      <c r="K76" s="133">
        <v>200</v>
      </c>
      <c r="L76" s="133">
        <v>1329</v>
      </c>
      <c r="M76" s="133" t="s">
        <v>997</v>
      </c>
      <c r="N76" s="133">
        <v>0</v>
      </c>
      <c r="P76" s="133">
        <v>0</v>
      </c>
      <c r="Q76" s="133">
        <v>1329</v>
      </c>
      <c r="R76" s="133">
        <v>0</v>
      </c>
      <c r="S76" s="156">
        <v>-5.6449999999999996</v>
      </c>
    </row>
    <row r="77" spans="1:19">
      <c r="A77" s="133" t="s">
        <v>1171</v>
      </c>
      <c r="B77" s="133" t="s">
        <v>802</v>
      </c>
      <c r="C77" s="133" t="s">
        <v>995</v>
      </c>
      <c r="D77" s="133" t="s">
        <v>340</v>
      </c>
      <c r="E77" s="133" t="s">
        <v>341</v>
      </c>
      <c r="F77" s="133" t="s">
        <v>716</v>
      </c>
      <c r="G77" s="133" t="s">
        <v>718</v>
      </c>
      <c r="H77" s="133">
        <v>0.09</v>
      </c>
      <c r="I77" s="133">
        <v>0</v>
      </c>
      <c r="J77" s="133">
        <v>1000000000</v>
      </c>
      <c r="K77" s="133">
        <v>500</v>
      </c>
      <c r="L77" s="133">
        <v>983</v>
      </c>
      <c r="M77" s="133" t="s">
        <v>997</v>
      </c>
      <c r="N77" s="133">
        <v>0</v>
      </c>
      <c r="P77" s="133">
        <v>0</v>
      </c>
      <c r="Q77" s="133">
        <v>983</v>
      </c>
      <c r="R77" s="133">
        <v>0</v>
      </c>
      <c r="S77" s="156">
        <v>-0.96599999999999997</v>
      </c>
    </row>
    <row r="78" spans="1:19">
      <c r="A78" s="133" t="s">
        <v>1171</v>
      </c>
      <c r="B78" s="133" t="s">
        <v>802</v>
      </c>
      <c r="C78" s="133" t="s">
        <v>995</v>
      </c>
      <c r="D78" s="133" t="s">
        <v>342</v>
      </c>
      <c r="E78" s="133" t="s">
        <v>343</v>
      </c>
      <c r="F78" s="133" t="s">
        <v>716</v>
      </c>
      <c r="G78" s="133" t="s">
        <v>718</v>
      </c>
      <c r="H78" s="133">
        <v>0.25</v>
      </c>
      <c r="I78" s="133">
        <v>0</v>
      </c>
      <c r="J78" s="133">
        <v>1000000000</v>
      </c>
      <c r="K78" s="133">
        <v>200</v>
      </c>
      <c r="L78" s="133">
        <v>442</v>
      </c>
      <c r="M78" s="133" t="s">
        <v>997</v>
      </c>
      <c r="N78" s="133">
        <v>0</v>
      </c>
      <c r="P78" s="133">
        <v>0</v>
      </c>
      <c r="Q78" s="133">
        <v>442</v>
      </c>
      <c r="R78" s="133">
        <v>0</v>
      </c>
      <c r="S78" s="156">
        <v>-1.21</v>
      </c>
    </row>
    <row r="79" spans="1:19">
      <c r="A79" s="133" t="s">
        <v>1171</v>
      </c>
      <c r="B79" s="133" t="s">
        <v>802</v>
      </c>
      <c r="C79" s="133" t="s">
        <v>995</v>
      </c>
      <c r="D79" s="133" t="s">
        <v>344</v>
      </c>
      <c r="E79" s="133" t="s">
        <v>345</v>
      </c>
      <c r="F79" s="133" t="s">
        <v>716</v>
      </c>
      <c r="G79" s="133" t="s">
        <v>718</v>
      </c>
      <c r="H79" s="133">
        <v>0.15</v>
      </c>
      <c r="I79" s="133">
        <v>0</v>
      </c>
      <c r="J79" s="133">
        <v>1000000000</v>
      </c>
      <c r="K79" s="133">
        <v>400</v>
      </c>
      <c r="L79" s="133">
        <v>878</v>
      </c>
      <c r="M79" s="133" t="s">
        <v>997</v>
      </c>
      <c r="N79" s="133">
        <v>0</v>
      </c>
      <c r="P79" s="133">
        <v>0</v>
      </c>
      <c r="Q79" s="133">
        <v>878</v>
      </c>
      <c r="R79" s="133">
        <v>0</v>
      </c>
      <c r="S79" s="156">
        <v>-1.1950000000000001</v>
      </c>
    </row>
    <row r="80" spans="1:19">
      <c r="A80" s="133" t="s">
        <v>1171</v>
      </c>
      <c r="B80" s="133" t="s">
        <v>802</v>
      </c>
      <c r="C80" s="133" t="s">
        <v>995</v>
      </c>
      <c r="D80" s="133" t="s">
        <v>346</v>
      </c>
      <c r="E80" s="133" t="s">
        <v>347</v>
      </c>
      <c r="F80" s="133" t="s">
        <v>716</v>
      </c>
      <c r="G80" s="133" t="s">
        <v>718</v>
      </c>
      <c r="H80" s="133">
        <v>0.15</v>
      </c>
      <c r="I80" s="133">
        <v>0</v>
      </c>
      <c r="J80" s="133">
        <v>1000000000</v>
      </c>
      <c r="K80" s="133">
        <v>500</v>
      </c>
      <c r="L80" s="133">
        <v>679</v>
      </c>
      <c r="M80" s="133" t="s">
        <v>997</v>
      </c>
      <c r="N80" s="133">
        <v>0</v>
      </c>
      <c r="P80" s="133">
        <v>0</v>
      </c>
      <c r="Q80" s="133">
        <v>679</v>
      </c>
      <c r="R80" s="133">
        <v>0</v>
      </c>
      <c r="S80" s="156">
        <v>-0.35799999999999998</v>
      </c>
    </row>
    <row r="81" spans="1:19">
      <c r="A81" s="133" t="s">
        <v>1171</v>
      </c>
      <c r="B81" s="133" t="s">
        <v>802</v>
      </c>
      <c r="C81" s="133" t="s">
        <v>995</v>
      </c>
      <c r="D81" s="133" t="s">
        <v>348</v>
      </c>
      <c r="E81" s="133" t="s">
        <v>349</v>
      </c>
      <c r="F81" s="133" t="s">
        <v>716</v>
      </c>
      <c r="G81" s="133" t="s">
        <v>718</v>
      </c>
      <c r="H81" s="133">
        <v>0.14000000000000001</v>
      </c>
      <c r="I81" s="133">
        <v>0</v>
      </c>
      <c r="J81" s="133">
        <v>1000000000</v>
      </c>
      <c r="K81" s="133">
        <v>0</v>
      </c>
      <c r="L81" s="133">
        <v>337</v>
      </c>
      <c r="M81" s="133" t="s">
        <v>1096</v>
      </c>
      <c r="N81" s="133">
        <v>0</v>
      </c>
      <c r="P81" s="133">
        <v>0</v>
      </c>
      <c r="Q81" s="133">
        <v>337</v>
      </c>
      <c r="R81" s="133">
        <v>0</v>
      </c>
      <c r="S81" s="156"/>
    </row>
    <row r="82" spans="1:19">
      <c r="A82" s="133" t="s">
        <v>1171</v>
      </c>
      <c r="B82" s="133" t="s">
        <v>802</v>
      </c>
      <c r="C82" s="133" t="s">
        <v>995</v>
      </c>
      <c r="D82" s="133" t="s">
        <v>350</v>
      </c>
      <c r="E82" s="133" t="s">
        <v>351</v>
      </c>
      <c r="F82" s="133" t="s">
        <v>716</v>
      </c>
      <c r="G82" s="133" t="s">
        <v>718</v>
      </c>
      <c r="H82" s="133">
        <v>0.11</v>
      </c>
      <c r="I82" s="133">
        <v>0</v>
      </c>
      <c r="J82" s="133">
        <v>1000000000</v>
      </c>
      <c r="K82" s="133">
        <v>0</v>
      </c>
      <c r="L82" s="133">
        <v>0</v>
      </c>
      <c r="M82" s="133" t="s">
        <v>1096</v>
      </c>
      <c r="N82" s="133">
        <v>0</v>
      </c>
      <c r="P82" s="133">
        <v>0</v>
      </c>
      <c r="Q82" s="133">
        <v>0</v>
      </c>
      <c r="R82" s="133">
        <v>0</v>
      </c>
      <c r="S82" s="156"/>
    </row>
    <row r="83" spans="1:19">
      <c r="A83" s="133" t="s">
        <v>1171</v>
      </c>
      <c r="B83" s="133" t="s">
        <v>802</v>
      </c>
      <c r="C83" s="133" t="s">
        <v>995</v>
      </c>
      <c r="D83" s="133" t="s">
        <v>352</v>
      </c>
      <c r="E83" s="133" t="s">
        <v>353</v>
      </c>
      <c r="F83" s="133" t="s">
        <v>716</v>
      </c>
      <c r="G83" s="133" t="s">
        <v>718</v>
      </c>
      <c r="H83" s="133">
        <v>0.11</v>
      </c>
      <c r="I83" s="133">
        <v>0</v>
      </c>
      <c r="J83" s="133">
        <v>1000000000</v>
      </c>
      <c r="K83" s="133">
        <v>0</v>
      </c>
      <c r="L83" s="133">
        <v>0</v>
      </c>
      <c r="M83" s="133" t="s">
        <v>1096</v>
      </c>
      <c r="N83" s="133">
        <v>0</v>
      </c>
      <c r="P83" s="133">
        <v>0</v>
      </c>
      <c r="Q83" s="133">
        <v>0</v>
      </c>
      <c r="R83" s="133">
        <v>0</v>
      </c>
      <c r="S83" s="156"/>
    </row>
    <row r="84" spans="1:19">
      <c r="A84" s="133" t="s">
        <v>1171</v>
      </c>
      <c r="B84" s="133" t="s">
        <v>802</v>
      </c>
      <c r="C84" s="133" t="s">
        <v>995</v>
      </c>
      <c r="D84" s="133" t="s">
        <v>354</v>
      </c>
      <c r="E84" s="133" t="s">
        <v>355</v>
      </c>
      <c r="F84" s="133" t="s">
        <v>716</v>
      </c>
      <c r="G84" s="133" t="s">
        <v>718</v>
      </c>
      <c r="H84" s="133">
        <v>0.17</v>
      </c>
      <c r="I84" s="133">
        <v>0</v>
      </c>
      <c r="J84" s="133">
        <v>1000000000</v>
      </c>
      <c r="K84" s="133">
        <v>0</v>
      </c>
      <c r="L84" s="133">
        <v>0</v>
      </c>
      <c r="M84" s="133" t="s">
        <v>1096</v>
      </c>
      <c r="N84" s="133">
        <v>0</v>
      </c>
      <c r="P84" s="133">
        <v>0</v>
      </c>
      <c r="Q84" s="133">
        <v>0</v>
      </c>
      <c r="R84" s="133">
        <v>0</v>
      </c>
      <c r="S84" s="156"/>
    </row>
    <row r="85" spans="1:19">
      <c r="A85" s="133" t="s">
        <v>1171</v>
      </c>
      <c r="B85" s="133" t="s">
        <v>802</v>
      </c>
      <c r="C85" s="133" t="s">
        <v>995</v>
      </c>
      <c r="D85" s="133" t="s">
        <v>356</v>
      </c>
      <c r="E85" s="133" t="s">
        <v>357</v>
      </c>
      <c r="F85" s="133" t="s">
        <v>716</v>
      </c>
      <c r="G85" s="133" t="s">
        <v>718</v>
      </c>
      <c r="H85" s="133">
        <v>0.09</v>
      </c>
      <c r="I85" s="133">
        <v>0</v>
      </c>
      <c r="J85" s="133">
        <v>1000000000</v>
      </c>
      <c r="K85" s="133">
        <v>500</v>
      </c>
      <c r="L85" s="133">
        <v>1008</v>
      </c>
      <c r="M85" s="133" t="s">
        <v>997</v>
      </c>
      <c r="N85" s="133">
        <v>0</v>
      </c>
      <c r="P85" s="133">
        <v>0</v>
      </c>
      <c r="Q85" s="133">
        <v>1008</v>
      </c>
      <c r="R85" s="133">
        <v>0</v>
      </c>
      <c r="S85" s="156">
        <v>-1.016</v>
      </c>
    </row>
    <row r="86" spans="1:19">
      <c r="A86" s="133" t="s">
        <v>1171</v>
      </c>
      <c r="B86" s="133" t="s">
        <v>802</v>
      </c>
      <c r="C86" s="133" t="s">
        <v>995</v>
      </c>
      <c r="D86" s="133" t="s">
        <v>358</v>
      </c>
      <c r="E86" s="133" t="s">
        <v>359</v>
      </c>
      <c r="F86" s="133" t="s">
        <v>716</v>
      </c>
      <c r="G86" s="133" t="s">
        <v>718</v>
      </c>
      <c r="H86" s="133">
        <v>0.09</v>
      </c>
      <c r="I86" s="133">
        <v>0</v>
      </c>
      <c r="J86" s="133">
        <v>1000000000</v>
      </c>
      <c r="K86" s="133">
        <v>500</v>
      </c>
      <c r="L86" s="133">
        <v>226</v>
      </c>
      <c r="M86" s="133" t="s">
        <v>714</v>
      </c>
      <c r="N86" s="133">
        <v>500</v>
      </c>
      <c r="P86" s="133">
        <v>0</v>
      </c>
      <c r="Q86" s="133">
        <v>726</v>
      </c>
      <c r="R86" s="133">
        <v>0</v>
      </c>
      <c r="S86" s="156">
        <v>0.54800000000000004</v>
      </c>
    </row>
    <row r="87" spans="1:19">
      <c r="A87" s="133" t="s">
        <v>1171</v>
      </c>
      <c r="B87" s="133" t="s">
        <v>802</v>
      </c>
      <c r="C87" s="133" t="s">
        <v>995</v>
      </c>
      <c r="D87" s="133" t="s">
        <v>360</v>
      </c>
      <c r="E87" s="133" t="s">
        <v>361</v>
      </c>
      <c r="F87" s="133" t="s">
        <v>716</v>
      </c>
      <c r="G87" s="133" t="s">
        <v>718</v>
      </c>
      <c r="H87" s="133">
        <v>0.38</v>
      </c>
      <c r="I87" s="133">
        <v>0</v>
      </c>
      <c r="J87" s="133">
        <v>1000000000</v>
      </c>
      <c r="K87" s="133">
        <v>0</v>
      </c>
      <c r="L87" s="133">
        <v>0</v>
      </c>
      <c r="M87" s="133" t="s">
        <v>1096</v>
      </c>
      <c r="N87" s="133">
        <v>0</v>
      </c>
      <c r="P87" s="133">
        <v>0</v>
      </c>
      <c r="Q87" s="133">
        <v>0</v>
      </c>
      <c r="R87" s="133">
        <v>0</v>
      </c>
      <c r="S87" s="156"/>
    </row>
    <row r="88" spans="1:19">
      <c r="A88" s="133" t="s">
        <v>1171</v>
      </c>
      <c r="B88" s="133" t="s">
        <v>802</v>
      </c>
      <c r="C88" s="133" t="s">
        <v>995</v>
      </c>
      <c r="D88" s="133" t="s">
        <v>362</v>
      </c>
      <c r="E88" s="133" t="s">
        <v>363</v>
      </c>
      <c r="F88" s="133" t="s">
        <v>716</v>
      </c>
      <c r="G88" s="133" t="s">
        <v>718</v>
      </c>
      <c r="H88" s="133">
        <v>0.13</v>
      </c>
      <c r="I88" s="133">
        <v>0</v>
      </c>
      <c r="J88" s="133">
        <v>1000000000</v>
      </c>
      <c r="K88" s="133">
        <v>0</v>
      </c>
      <c r="L88" s="133">
        <v>0</v>
      </c>
      <c r="M88" s="133" t="s">
        <v>1096</v>
      </c>
      <c r="N88" s="133">
        <v>0</v>
      </c>
      <c r="P88" s="133">
        <v>0</v>
      </c>
      <c r="Q88" s="133">
        <v>0</v>
      </c>
      <c r="R88" s="133">
        <v>0</v>
      </c>
      <c r="S88" s="156"/>
    </row>
    <row r="89" spans="1:19">
      <c r="A89" s="133" t="s">
        <v>1171</v>
      </c>
      <c r="B89" s="133" t="s">
        <v>802</v>
      </c>
      <c r="C89" s="133" t="s">
        <v>995</v>
      </c>
      <c r="D89" s="133" t="s">
        <v>364</v>
      </c>
      <c r="E89" s="133" t="s">
        <v>365</v>
      </c>
      <c r="F89" s="133" t="s">
        <v>716</v>
      </c>
      <c r="G89" s="133" t="s">
        <v>718</v>
      </c>
      <c r="H89" s="133">
        <v>0.15</v>
      </c>
      <c r="I89" s="133">
        <v>0</v>
      </c>
      <c r="J89" s="133">
        <v>1000000000</v>
      </c>
      <c r="K89" s="133">
        <v>0</v>
      </c>
      <c r="L89" s="133">
        <v>1922</v>
      </c>
      <c r="M89" s="133" t="s">
        <v>1096</v>
      </c>
      <c r="N89" s="133">
        <v>0</v>
      </c>
      <c r="P89" s="133">
        <v>0</v>
      </c>
      <c r="Q89" s="133">
        <v>1922</v>
      </c>
      <c r="R89" s="133">
        <v>0</v>
      </c>
      <c r="S89" s="156"/>
    </row>
    <row r="90" spans="1:19">
      <c r="A90" s="133" t="s">
        <v>1171</v>
      </c>
      <c r="B90" s="133" t="s">
        <v>802</v>
      </c>
      <c r="C90" s="133" t="s">
        <v>995</v>
      </c>
      <c r="D90" s="133" t="s">
        <v>366</v>
      </c>
      <c r="E90" s="133" t="s">
        <v>367</v>
      </c>
      <c r="F90" s="133" t="s">
        <v>716</v>
      </c>
      <c r="G90" s="133" t="s">
        <v>718</v>
      </c>
      <c r="H90" s="133">
        <v>0.12</v>
      </c>
      <c r="I90" s="133">
        <v>0</v>
      </c>
      <c r="J90" s="133">
        <v>1000000000</v>
      </c>
      <c r="K90" s="133">
        <v>700</v>
      </c>
      <c r="L90" s="133">
        <v>805</v>
      </c>
      <c r="M90" s="133" t="s">
        <v>997</v>
      </c>
      <c r="N90" s="133">
        <v>0</v>
      </c>
      <c r="P90" s="133">
        <v>0</v>
      </c>
      <c r="Q90" s="133">
        <v>805</v>
      </c>
      <c r="R90" s="133">
        <v>0</v>
      </c>
      <c r="S90" s="156">
        <v>-0.15</v>
      </c>
    </row>
    <row r="91" spans="1:19">
      <c r="A91" s="133" t="s">
        <v>1171</v>
      </c>
      <c r="B91" s="133" t="s">
        <v>802</v>
      </c>
      <c r="C91" s="133" t="s">
        <v>995</v>
      </c>
      <c r="D91" s="133" t="s">
        <v>368</v>
      </c>
      <c r="E91" s="133" t="s">
        <v>369</v>
      </c>
      <c r="F91" s="133" t="s">
        <v>716</v>
      </c>
      <c r="G91" s="133" t="s">
        <v>718</v>
      </c>
      <c r="H91" s="133">
        <v>0.25</v>
      </c>
      <c r="I91" s="133">
        <v>0</v>
      </c>
      <c r="J91" s="133">
        <v>1000000000</v>
      </c>
      <c r="K91" s="133">
        <v>500</v>
      </c>
      <c r="L91" s="133">
        <v>652</v>
      </c>
      <c r="M91" s="133" t="s">
        <v>997</v>
      </c>
      <c r="N91" s="133">
        <v>0</v>
      </c>
      <c r="P91" s="133">
        <v>0</v>
      </c>
      <c r="Q91" s="133">
        <v>652</v>
      </c>
      <c r="R91" s="133">
        <v>0</v>
      </c>
      <c r="S91" s="156">
        <v>-0.30399999999999999</v>
      </c>
    </row>
    <row r="92" spans="1:19">
      <c r="A92" s="133" t="s">
        <v>1171</v>
      </c>
      <c r="B92" s="133" t="s">
        <v>802</v>
      </c>
      <c r="C92" s="133" t="s">
        <v>995</v>
      </c>
      <c r="D92" s="133" t="s">
        <v>372</v>
      </c>
      <c r="E92" s="133" t="s">
        <v>798</v>
      </c>
      <c r="F92" s="133" t="s">
        <v>716</v>
      </c>
      <c r="G92" s="133" t="s">
        <v>718</v>
      </c>
      <c r="H92" s="133">
        <v>0.15</v>
      </c>
      <c r="I92" s="133">
        <v>0</v>
      </c>
      <c r="J92" s="133">
        <v>1000000000</v>
      </c>
      <c r="K92" s="133">
        <v>0</v>
      </c>
      <c r="L92" s="133">
        <v>80</v>
      </c>
      <c r="M92" s="133" t="s">
        <v>1096</v>
      </c>
      <c r="N92" s="133">
        <v>0</v>
      </c>
      <c r="P92" s="133">
        <v>0</v>
      </c>
      <c r="Q92" s="133">
        <v>80</v>
      </c>
      <c r="R92" s="133">
        <v>0</v>
      </c>
      <c r="S92" s="156"/>
    </row>
    <row r="93" spans="1:19">
      <c r="A93" s="133" t="s">
        <v>1171</v>
      </c>
      <c r="B93" s="133" t="s">
        <v>802</v>
      </c>
      <c r="C93" s="133" t="s">
        <v>995</v>
      </c>
      <c r="D93" s="133" t="s">
        <v>370</v>
      </c>
      <c r="E93" s="133" t="s">
        <v>371</v>
      </c>
      <c r="F93" s="133" t="s">
        <v>716</v>
      </c>
      <c r="G93" s="133" t="s">
        <v>718</v>
      </c>
      <c r="H93" s="133">
        <v>0.16</v>
      </c>
      <c r="I93" s="133">
        <v>0</v>
      </c>
      <c r="J93" s="133">
        <v>1000000000</v>
      </c>
      <c r="K93" s="133">
        <v>0</v>
      </c>
      <c r="L93" s="133">
        <v>0</v>
      </c>
      <c r="M93" s="133" t="s">
        <v>1096</v>
      </c>
      <c r="N93" s="133">
        <v>0</v>
      </c>
      <c r="P93" s="133">
        <v>0</v>
      </c>
      <c r="Q93" s="133">
        <v>0</v>
      </c>
      <c r="R93" s="133">
        <v>0</v>
      </c>
      <c r="S93" s="156"/>
    </row>
    <row r="94" spans="1:19">
      <c r="A94" s="133" t="s">
        <v>1171</v>
      </c>
      <c r="B94" s="133" t="s">
        <v>802</v>
      </c>
      <c r="C94" s="133" t="s">
        <v>995</v>
      </c>
      <c r="D94" s="133" t="s">
        <v>373</v>
      </c>
      <c r="E94" s="133" t="s">
        <v>374</v>
      </c>
      <c r="F94" s="133" t="s">
        <v>716</v>
      </c>
      <c r="G94" s="133" t="s">
        <v>718</v>
      </c>
      <c r="H94" s="133">
        <v>0.14000000000000001</v>
      </c>
      <c r="I94" s="133">
        <v>0</v>
      </c>
      <c r="J94" s="133">
        <v>1000000000</v>
      </c>
      <c r="K94" s="133">
        <v>500</v>
      </c>
      <c r="L94" s="133">
        <v>1311</v>
      </c>
      <c r="M94" s="133" t="s">
        <v>997</v>
      </c>
      <c r="N94" s="133">
        <v>0</v>
      </c>
      <c r="P94" s="133">
        <v>0</v>
      </c>
      <c r="Q94" s="133">
        <v>1311</v>
      </c>
      <c r="R94" s="133">
        <v>0</v>
      </c>
      <c r="S94" s="156">
        <v>-1.6220000000000001</v>
      </c>
    </row>
    <row r="95" spans="1:19">
      <c r="A95" s="133" t="s">
        <v>1171</v>
      </c>
      <c r="B95" s="133" t="s">
        <v>802</v>
      </c>
      <c r="C95" s="133" t="s">
        <v>995</v>
      </c>
      <c r="D95" s="133" t="s">
        <v>381</v>
      </c>
      <c r="E95" s="133" t="s">
        <v>382</v>
      </c>
      <c r="F95" s="133" t="s">
        <v>716</v>
      </c>
      <c r="G95" s="133" t="s">
        <v>718</v>
      </c>
      <c r="H95" s="133">
        <v>0.2</v>
      </c>
      <c r="I95" s="133">
        <v>0</v>
      </c>
      <c r="J95" s="133">
        <v>1000000000</v>
      </c>
      <c r="K95" s="133">
        <v>1200</v>
      </c>
      <c r="L95" s="133">
        <v>1708</v>
      </c>
      <c r="M95" s="133" t="s">
        <v>997</v>
      </c>
      <c r="N95" s="133">
        <v>0</v>
      </c>
      <c r="P95" s="133">
        <v>0</v>
      </c>
      <c r="Q95" s="133">
        <v>1708</v>
      </c>
      <c r="R95" s="133">
        <v>0</v>
      </c>
      <c r="S95" s="156">
        <v>-0.42333333333333334</v>
      </c>
    </row>
    <row r="96" spans="1:19">
      <c r="A96" s="133" t="s">
        <v>1171</v>
      </c>
      <c r="B96" s="133" t="s">
        <v>802</v>
      </c>
      <c r="C96" s="133" t="s">
        <v>995</v>
      </c>
      <c r="D96" s="133" t="s">
        <v>383</v>
      </c>
      <c r="E96" s="133" t="s">
        <v>384</v>
      </c>
      <c r="F96" s="133" t="s">
        <v>716</v>
      </c>
      <c r="G96" s="133" t="s">
        <v>718</v>
      </c>
      <c r="H96" s="133">
        <v>0.13</v>
      </c>
      <c r="I96" s="133">
        <v>0</v>
      </c>
      <c r="J96" s="133">
        <v>1000000000</v>
      </c>
      <c r="K96" s="133">
        <v>1000</v>
      </c>
      <c r="L96" s="133">
        <v>2788</v>
      </c>
      <c r="M96" s="133" t="s">
        <v>997</v>
      </c>
      <c r="N96" s="133">
        <v>0</v>
      </c>
      <c r="P96" s="133">
        <v>0</v>
      </c>
      <c r="Q96" s="133">
        <v>2788</v>
      </c>
      <c r="R96" s="133">
        <v>0</v>
      </c>
      <c r="S96" s="156">
        <v>-1.788</v>
      </c>
    </row>
    <row r="97" spans="1:19">
      <c r="A97" s="133" t="s">
        <v>1171</v>
      </c>
      <c r="B97" s="133" t="s">
        <v>802</v>
      </c>
      <c r="C97" s="133" t="s">
        <v>995</v>
      </c>
      <c r="D97" s="133" t="s">
        <v>385</v>
      </c>
      <c r="E97" s="133" t="s">
        <v>386</v>
      </c>
      <c r="F97" s="133" t="s">
        <v>716</v>
      </c>
      <c r="G97" s="133" t="s">
        <v>718</v>
      </c>
      <c r="H97" s="133">
        <v>0.1</v>
      </c>
      <c r="I97" s="133">
        <v>0</v>
      </c>
      <c r="J97" s="133">
        <v>1000000000</v>
      </c>
      <c r="K97" s="133">
        <v>500</v>
      </c>
      <c r="L97" s="133">
        <v>758</v>
      </c>
      <c r="M97" s="133" t="s">
        <v>997</v>
      </c>
      <c r="N97" s="133">
        <v>0</v>
      </c>
      <c r="P97" s="133">
        <v>0</v>
      </c>
      <c r="Q97" s="133">
        <v>758</v>
      </c>
      <c r="R97" s="133">
        <v>0</v>
      </c>
      <c r="S97" s="156">
        <v>-0.51600000000000001</v>
      </c>
    </row>
    <row r="98" spans="1:19">
      <c r="A98" s="133" t="s">
        <v>1171</v>
      </c>
      <c r="B98" s="133" t="s">
        <v>802</v>
      </c>
      <c r="C98" s="133" t="s">
        <v>995</v>
      </c>
      <c r="D98" s="133" t="s">
        <v>387</v>
      </c>
      <c r="E98" s="133" t="s">
        <v>388</v>
      </c>
      <c r="F98" s="133" t="s">
        <v>716</v>
      </c>
      <c r="G98" s="133" t="s">
        <v>718</v>
      </c>
      <c r="H98" s="133">
        <v>0.14000000000000001</v>
      </c>
      <c r="I98" s="133">
        <v>0</v>
      </c>
      <c r="J98" s="133">
        <v>1000000000</v>
      </c>
      <c r="K98" s="133">
        <v>200</v>
      </c>
      <c r="L98" s="133">
        <v>264</v>
      </c>
      <c r="M98" s="133" t="s">
        <v>997</v>
      </c>
      <c r="N98" s="133">
        <v>0</v>
      </c>
      <c r="P98" s="133">
        <v>0</v>
      </c>
      <c r="Q98" s="133">
        <v>264</v>
      </c>
      <c r="R98" s="133">
        <v>0</v>
      </c>
      <c r="S98" s="156">
        <v>-0.32</v>
      </c>
    </row>
    <row r="99" spans="1:19">
      <c r="A99" s="133" t="s">
        <v>1171</v>
      </c>
      <c r="B99" s="133" t="s">
        <v>802</v>
      </c>
      <c r="C99" s="133" t="s">
        <v>995</v>
      </c>
      <c r="D99" s="133" t="s">
        <v>389</v>
      </c>
      <c r="E99" s="133" t="s">
        <v>390</v>
      </c>
      <c r="F99" s="133" t="s">
        <v>716</v>
      </c>
      <c r="G99" s="133" t="s">
        <v>718</v>
      </c>
      <c r="H99" s="133">
        <v>0.13</v>
      </c>
      <c r="I99" s="133">
        <v>0</v>
      </c>
      <c r="J99" s="133">
        <v>1000000000</v>
      </c>
      <c r="K99" s="133">
        <v>500</v>
      </c>
      <c r="L99" s="133">
        <v>1236</v>
      </c>
      <c r="M99" s="133" t="s">
        <v>997</v>
      </c>
      <c r="N99" s="133">
        <v>0</v>
      </c>
      <c r="P99" s="133">
        <v>0</v>
      </c>
      <c r="Q99" s="133">
        <v>1236</v>
      </c>
      <c r="R99" s="133">
        <v>0</v>
      </c>
      <c r="S99" s="156">
        <v>-1.472</v>
      </c>
    </row>
    <row r="100" spans="1:19">
      <c r="A100" s="133" t="s">
        <v>1171</v>
      </c>
      <c r="B100" s="133" t="s">
        <v>802</v>
      </c>
      <c r="C100" s="133" t="s">
        <v>995</v>
      </c>
      <c r="D100" s="133" t="s">
        <v>391</v>
      </c>
      <c r="E100" s="133" t="s">
        <v>392</v>
      </c>
      <c r="F100" s="133" t="s">
        <v>716</v>
      </c>
      <c r="G100" s="133" t="s">
        <v>718</v>
      </c>
      <c r="H100" s="133">
        <v>0.24</v>
      </c>
      <c r="I100" s="133">
        <v>0</v>
      </c>
      <c r="J100" s="133">
        <v>1000000000</v>
      </c>
      <c r="K100" s="133">
        <v>500</v>
      </c>
      <c r="L100" s="133">
        <v>652</v>
      </c>
      <c r="M100" s="133" t="s">
        <v>997</v>
      </c>
      <c r="N100" s="133">
        <v>0</v>
      </c>
      <c r="P100" s="133">
        <v>0</v>
      </c>
      <c r="Q100" s="133">
        <v>652</v>
      </c>
      <c r="R100" s="133">
        <v>0</v>
      </c>
      <c r="S100" s="156">
        <v>-0.30399999999999999</v>
      </c>
    </row>
    <row r="101" spans="1:19">
      <c r="A101" s="133" t="s">
        <v>1171</v>
      </c>
      <c r="B101" s="133" t="s">
        <v>802</v>
      </c>
      <c r="C101" s="133" t="s">
        <v>995</v>
      </c>
      <c r="D101" s="133" t="s">
        <v>393</v>
      </c>
      <c r="E101" s="133" t="s">
        <v>394</v>
      </c>
      <c r="F101" s="133" t="s">
        <v>716</v>
      </c>
      <c r="G101" s="133" t="s">
        <v>718</v>
      </c>
      <c r="H101" s="133">
        <v>0.15</v>
      </c>
      <c r="I101" s="133">
        <v>0</v>
      </c>
      <c r="J101" s="133">
        <v>1000000000</v>
      </c>
      <c r="K101" s="133">
        <v>500</v>
      </c>
      <c r="L101" s="133">
        <v>355.99995999999999</v>
      </c>
      <c r="M101" s="133" t="s">
        <v>998</v>
      </c>
      <c r="N101" s="133">
        <v>0</v>
      </c>
      <c r="P101" s="133">
        <v>0</v>
      </c>
      <c r="Q101" s="133">
        <v>355.99995999999999</v>
      </c>
      <c r="R101" s="133">
        <v>144</v>
      </c>
      <c r="S101" s="156">
        <v>0.28800008000000005</v>
      </c>
    </row>
    <row r="102" spans="1:19">
      <c r="A102" s="133" t="s">
        <v>1171</v>
      </c>
      <c r="B102" s="133" t="s">
        <v>802</v>
      </c>
      <c r="C102" s="133" t="s">
        <v>995</v>
      </c>
      <c r="D102" s="133" t="s">
        <v>878</v>
      </c>
      <c r="E102" s="133" t="s">
        <v>918</v>
      </c>
      <c r="F102" s="133" t="s">
        <v>716</v>
      </c>
      <c r="G102" s="133" t="s">
        <v>718</v>
      </c>
      <c r="H102" s="133">
        <v>0.25</v>
      </c>
      <c r="I102" s="133">
        <v>0</v>
      </c>
      <c r="J102" s="133">
        <v>1000000000</v>
      </c>
      <c r="K102" s="133">
        <v>500</v>
      </c>
      <c r="L102" s="133">
        <v>877</v>
      </c>
      <c r="M102" s="133" t="s">
        <v>997</v>
      </c>
      <c r="N102" s="133">
        <v>0</v>
      </c>
      <c r="P102" s="133">
        <v>0</v>
      </c>
      <c r="Q102" s="133">
        <v>877</v>
      </c>
      <c r="R102" s="133">
        <v>0</v>
      </c>
      <c r="S102" s="156">
        <v>-0.754</v>
      </c>
    </row>
    <row r="103" spans="1:19">
      <c r="A103" s="133" t="s">
        <v>1171</v>
      </c>
      <c r="B103" s="133" t="s">
        <v>802</v>
      </c>
      <c r="C103" s="133" t="s">
        <v>995</v>
      </c>
      <c r="D103" s="133" t="s">
        <v>879</v>
      </c>
      <c r="E103" s="133" t="s">
        <v>919</v>
      </c>
      <c r="F103" s="133" t="s">
        <v>716</v>
      </c>
      <c r="G103" s="133" t="s">
        <v>718</v>
      </c>
      <c r="H103" s="133">
        <v>0.23</v>
      </c>
      <c r="I103" s="133">
        <v>0</v>
      </c>
      <c r="J103" s="133">
        <v>1000000000</v>
      </c>
      <c r="K103" s="133">
        <v>500</v>
      </c>
      <c r="L103" s="133">
        <v>1296</v>
      </c>
      <c r="M103" s="133" t="s">
        <v>997</v>
      </c>
      <c r="N103" s="133">
        <v>0</v>
      </c>
      <c r="P103" s="133">
        <v>0</v>
      </c>
      <c r="Q103" s="133">
        <v>1296</v>
      </c>
      <c r="R103" s="133">
        <v>0</v>
      </c>
      <c r="S103" s="156">
        <v>-1.5920000000000001</v>
      </c>
    </row>
    <row r="104" spans="1:19">
      <c r="A104" s="133" t="s">
        <v>1171</v>
      </c>
      <c r="B104" s="133" t="s">
        <v>802</v>
      </c>
      <c r="C104" s="133" t="s">
        <v>995</v>
      </c>
      <c r="D104" s="133" t="s">
        <v>395</v>
      </c>
      <c r="E104" s="133" t="s">
        <v>396</v>
      </c>
      <c r="F104" s="133" t="s">
        <v>716</v>
      </c>
      <c r="G104" s="133" t="s">
        <v>718</v>
      </c>
      <c r="H104" s="133">
        <v>0.12</v>
      </c>
      <c r="I104" s="133">
        <v>0</v>
      </c>
      <c r="J104" s="133">
        <v>1000000000</v>
      </c>
      <c r="K104" s="133">
        <v>0</v>
      </c>
      <c r="L104" s="133">
        <v>0</v>
      </c>
      <c r="M104" s="133" t="s">
        <v>1096</v>
      </c>
      <c r="N104" s="133">
        <v>0</v>
      </c>
      <c r="P104" s="133">
        <v>0</v>
      </c>
      <c r="Q104" s="133">
        <v>0</v>
      </c>
      <c r="R104" s="133">
        <v>0</v>
      </c>
      <c r="S104" s="156"/>
    </row>
    <row r="105" spans="1:19">
      <c r="A105" s="133" t="s">
        <v>1171</v>
      </c>
      <c r="B105" s="133" t="s">
        <v>802</v>
      </c>
      <c r="C105" s="133" t="s">
        <v>995</v>
      </c>
      <c r="D105" s="133" t="s">
        <v>397</v>
      </c>
      <c r="E105" s="133" t="s">
        <v>398</v>
      </c>
      <c r="F105" s="133" t="s">
        <v>716</v>
      </c>
      <c r="G105" s="133" t="s">
        <v>718</v>
      </c>
      <c r="H105" s="133">
        <v>0.12</v>
      </c>
      <c r="I105" s="133">
        <v>0</v>
      </c>
      <c r="J105" s="133">
        <v>1000000000</v>
      </c>
      <c r="K105" s="133">
        <v>0</v>
      </c>
      <c r="L105" s="133">
        <v>0</v>
      </c>
      <c r="M105" s="133" t="s">
        <v>1096</v>
      </c>
      <c r="N105" s="133">
        <v>0</v>
      </c>
      <c r="P105" s="133">
        <v>0</v>
      </c>
      <c r="Q105" s="133">
        <v>0</v>
      </c>
      <c r="R105" s="133">
        <v>0</v>
      </c>
      <c r="S105" s="156"/>
    </row>
    <row r="106" spans="1:19">
      <c r="A106" s="133" t="s">
        <v>1171</v>
      </c>
      <c r="B106" s="133" t="s">
        <v>802</v>
      </c>
      <c r="C106" s="133" t="s">
        <v>995</v>
      </c>
      <c r="D106" s="133" t="s">
        <v>399</v>
      </c>
      <c r="E106" s="133" t="s">
        <v>400</v>
      </c>
      <c r="F106" s="133" t="s">
        <v>716</v>
      </c>
      <c r="G106" s="133" t="s">
        <v>718</v>
      </c>
      <c r="H106" s="133">
        <v>0.12</v>
      </c>
      <c r="I106" s="133">
        <v>0</v>
      </c>
      <c r="J106" s="133">
        <v>1000000000</v>
      </c>
      <c r="K106" s="133">
        <v>0</v>
      </c>
      <c r="L106" s="133">
        <v>0</v>
      </c>
      <c r="M106" s="133" t="s">
        <v>1096</v>
      </c>
      <c r="N106" s="133">
        <v>0</v>
      </c>
      <c r="P106" s="133">
        <v>0</v>
      </c>
      <c r="Q106" s="133">
        <v>0</v>
      </c>
      <c r="R106" s="133">
        <v>0</v>
      </c>
      <c r="S106" s="156"/>
    </row>
    <row r="107" spans="1:19">
      <c r="A107" s="133" t="s">
        <v>1171</v>
      </c>
      <c r="B107" s="133" t="s">
        <v>802</v>
      </c>
      <c r="C107" s="133" t="s">
        <v>995</v>
      </c>
      <c r="D107" s="133" t="s">
        <v>401</v>
      </c>
      <c r="E107" s="133" t="s">
        <v>402</v>
      </c>
      <c r="F107" s="133" t="s">
        <v>716</v>
      </c>
      <c r="G107" s="133" t="s">
        <v>718</v>
      </c>
      <c r="H107" s="133">
        <v>0.25</v>
      </c>
      <c r="I107" s="133">
        <v>0</v>
      </c>
      <c r="J107" s="133">
        <v>1000000000</v>
      </c>
      <c r="K107" s="133">
        <v>0</v>
      </c>
      <c r="L107" s="133">
        <v>0</v>
      </c>
      <c r="M107" s="133" t="s">
        <v>1096</v>
      </c>
      <c r="N107" s="133">
        <v>0</v>
      </c>
      <c r="P107" s="133">
        <v>0</v>
      </c>
      <c r="Q107" s="133">
        <v>0</v>
      </c>
      <c r="R107" s="133">
        <v>0</v>
      </c>
      <c r="S107" s="156"/>
    </row>
    <row r="108" spans="1:19">
      <c r="A108" s="133" t="s">
        <v>1171</v>
      </c>
      <c r="B108" s="133" t="s">
        <v>802</v>
      </c>
      <c r="C108" s="133" t="s">
        <v>995</v>
      </c>
      <c r="D108" s="133" t="s">
        <v>403</v>
      </c>
      <c r="E108" s="133" t="s">
        <v>404</v>
      </c>
      <c r="F108" s="133" t="s">
        <v>716</v>
      </c>
      <c r="G108" s="133" t="s">
        <v>718</v>
      </c>
      <c r="H108" s="133">
        <v>0.17</v>
      </c>
      <c r="I108" s="133">
        <v>0</v>
      </c>
      <c r="J108" s="133">
        <v>1000000000</v>
      </c>
      <c r="K108" s="133">
        <v>800</v>
      </c>
      <c r="L108" s="133">
        <v>787</v>
      </c>
      <c r="M108" s="133" t="s">
        <v>998</v>
      </c>
      <c r="N108" s="133">
        <v>0</v>
      </c>
      <c r="P108" s="133">
        <v>0</v>
      </c>
      <c r="Q108" s="133">
        <v>787</v>
      </c>
      <c r="R108" s="133">
        <v>13</v>
      </c>
      <c r="S108" s="156">
        <v>1.6250000000000001E-2</v>
      </c>
    </row>
    <row r="109" spans="1:19">
      <c r="A109" s="133" t="s">
        <v>1171</v>
      </c>
      <c r="B109" s="133" t="s">
        <v>802</v>
      </c>
      <c r="C109" s="133" t="s">
        <v>995</v>
      </c>
      <c r="D109" s="133" t="s">
        <v>405</v>
      </c>
      <c r="E109" s="133" t="s">
        <v>406</v>
      </c>
      <c r="F109" s="133" t="s">
        <v>716</v>
      </c>
      <c r="G109" s="133" t="s">
        <v>718</v>
      </c>
      <c r="H109" s="133">
        <v>0.24</v>
      </c>
      <c r="I109" s="133">
        <v>0</v>
      </c>
      <c r="J109" s="133">
        <v>1000000000</v>
      </c>
      <c r="K109" s="133">
        <v>500</v>
      </c>
      <c r="L109" s="133">
        <v>566</v>
      </c>
      <c r="M109" s="133" t="s">
        <v>997</v>
      </c>
      <c r="N109" s="133">
        <v>0</v>
      </c>
      <c r="P109" s="133">
        <v>0</v>
      </c>
      <c r="Q109" s="133">
        <v>566</v>
      </c>
      <c r="R109" s="133">
        <v>0</v>
      </c>
      <c r="S109" s="156">
        <v>-0.13200000000000001</v>
      </c>
    </row>
    <row r="110" spans="1:19">
      <c r="A110" s="133" t="s">
        <v>1171</v>
      </c>
      <c r="B110" s="133" t="s">
        <v>802</v>
      </c>
      <c r="C110" s="133" t="s">
        <v>995</v>
      </c>
      <c r="D110" s="133" t="s">
        <v>880</v>
      </c>
      <c r="E110" s="133" t="s">
        <v>915</v>
      </c>
      <c r="F110" s="133" t="s">
        <v>716</v>
      </c>
      <c r="G110" s="133" t="s">
        <v>718</v>
      </c>
      <c r="H110" s="133">
        <v>0.11</v>
      </c>
      <c r="I110" s="133">
        <v>0</v>
      </c>
      <c r="J110" s="133">
        <v>1000000000</v>
      </c>
      <c r="K110" s="133">
        <v>500</v>
      </c>
      <c r="L110" s="133">
        <v>328</v>
      </c>
      <c r="M110" s="133" t="s">
        <v>714</v>
      </c>
      <c r="N110" s="133">
        <v>500</v>
      </c>
      <c r="P110" s="133">
        <v>0</v>
      </c>
      <c r="Q110" s="133">
        <v>828</v>
      </c>
      <c r="R110" s="133">
        <v>0</v>
      </c>
      <c r="S110" s="156">
        <v>0.34399999999999997</v>
      </c>
    </row>
    <row r="111" spans="1:19">
      <c r="A111" s="133" t="s">
        <v>1171</v>
      </c>
      <c r="B111" s="133" t="s">
        <v>802</v>
      </c>
      <c r="C111" s="133" t="s">
        <v>995</v>
      </c>
      <c r="D111" s="133" t="s">
        <v>881</v>
      </c>
      <c r="E111" s="133" t="s">
        <v>916</v>
      </c>
      <c r="F111" s="133" t="s">
        <v>716</v>
      </c>
      <c r="G111" s="133" t="s">
        <v>718</v>
      </c>
      <c r="H111" s="133">
        <v>0.12</v>
      </c>
      <c r="I111" s="133">
        <v>0</v>
      </c>
      <c r="J111" s="133">
        <v>1000000000</v>
      </c>
      <c r="K111" s="133">
        <v>500</v>
      </c>
      <c r="L111" s="133">
        <v>741</v>
      </c>
      <c r="M111" s="133" t="s">
        <v>997</v>
      </c>
      <c r="N111" s="133">
        <v>0</v>
      </c>
      <c r="P111" s="133">
        <v>0</v>
      </c>
      <c r="Q111" s="133">
        <v>741</v>
      </c>
      <c r="R111" s="133">
        <v>0</v>
      </c>
      <c r="S111" s="156">
        <v>-0.48199999999999998</v>
      </c>
    </row>
    <row r="112" spans="1:19">
      <c r="A112" s="133" t="s">
        <v>1171</v>
      </c>
      <c r="B112" s="133" t="s">
        <v>802</v>
      </c>
      <c r="C112" s="133" t="s">
        <v>995</v>
      </c>
      <c r="D112" s="133" t="s">
        <v>882</v>
      </c>
      <c r="E112" s="133" t="s">
        <v>917</v>
      </c>
      <c r="F112" s="133" t="s">
        <v>716</v>
      </c>
      <c r="G112" s="133" t="s">
        <v>718</v>
      </c>
      <c r="H112" s="133">
        <v>0.19</v>
      </c>
      <c r="I112" s="133">
        <v>0</v>
      </c>
      <c r="J112" s="133">
        <v>1000000000</v>
      </c>
      <c r="K112" s="133">
        <v>500</v>
      </c>
      <c r="L112" s="133">
        <v>1487</v>
      </c>
      <c r="M112" s="133" t="s">
        <v>997</v>
      </c>
      <c r="N112" s="133">
        <v>0</v>
      </c>
      <c r="P112" s="133">
        <v>0</v>
      </c>
      <c r="Q112" s="133">
        <v>1487</v>
      </c>
      <c r="R112" s="133">
        <v>0</v>
      </c>
      <c r="S112" s="156">
        <v>-1.974</v>
      </c>
    </row>
    <row r="113" spans="1:19">
      <c r="A113" s="133" t="s">
        <v>1171</v>
      </c>
      <c r="B113" s="133" t="s">
        <v>802</v>
      </c>
      <c r="C113" s="133" t="s">
        <v>995</v>
      </c>
      <c r="D113" s="133" t="s">
        <v>407</v>
      </c>
      <c r="E113" s="133" t="s">
        <v>408</v>
      </c>
      <c r="F113" s="133" t="s">
        <v>716</v>
      </c>
      <c r="G113" s="133" t="s">
        <v>718</v>
      </c>
      <c r="H113" s="133">
        <v>0.16</v>
      </c>
      <c r="I113" s="133">
        <v>0</v>
      </c>
      <c r="J113" s="133">
        <v>1000000000</v>
      </c>
      <c r="K113" s="133">
        <v>1600</v>
      </c>
      <c r="L113" s="133">
        <v>2403</v>
      </c>
      <c r="M113" s="133" t="s">
        <v>997</v>
      </c>
      <c r="N113" s="133">
        <v>0</v>
      </c>
      <c r="P113" s="133">
        <v>0</v>
      </c>
      <c r="Q113" s="133">
        <v>2403</v>
      </c>
      <c r="R113" s="133">
        <v>0</v>
      </c>
      <c r="S113" s="156">
        <v>-0.50187499999999996</v>
      </c>
    </row>
    <row r="114" spans="1:19">
      <c r="A114" s="133" t="s">
        <v>1171</v>
      </c>
      <c r="B114" s="133" t="s">
        <v>802</v>
      </c>
      <c r="C114" s="133" t="s">
        <v>995</v>
      </c>
      <c r="D114" s="133" t="s">
        <v>409</v>
      </c>
      <c r="E114" s="133" t="s">
        <v>410</v>
      </c>
      <c r="F114" s="133" t="s">
        <v>716</v>
      </c>
      <c r="G114" s="133" t="s">
        <v>718</v>
      </c>
      <c r="H114" s="133">
        <v>0.17</v>
      </c>
      <c r="I114" s="133">
        <v>0</v>
      </c>
      <c r="J114" s="133">
        <v>1000000000</v>
      </c>
      <c r="K114" s="133">
        <v>1200</v>
      </c>
      <c r="L114" s="133">
        <v>2385</v>
      </c>
      <c r="M114" s="133" t="s">
        <v>997</v>
      </c>
      <c r="N114" s="133">
        <v>0</v>
      </c>
      <c r="P114" s="133">
        <v>0</v>
      </c>
      <c r="Q114" s="133">
        <v>2385</v>
      </c>
      <c r="R114" s="133">
        <v>0</v>
      </c>
      <c r="S114" s="156">
        <v>-0.98750000000000004</v>
      </c>
    </row>
    <row r="115" spans="1:19">
      <c r="A115" s="133" t="s">
        <v>1171</v>
      </c>
      <c r="B115" s="133" t="s">
        <v>802</v>
      </c>
      <c r="C115" s="133" t="s">
        <v>995</v>
      </c>
      <c r="D115" s="133" t="s">
        <v>411</v>
      </c>
      <c r="E115" s="133" t="s">
        <v>412</v>
      </c>
      <c r="F115" s="133" t="s">
        <v>939</v>
      </c>
      <c r="G115" s="133" t="s">
        <v>718</v>
      </c>
      <c r="H115" s="133">
        <v>0.11</v>
      </c>
      <c r="I115" s="133">
        <v>0</v>
      </c>
      <c r="J115" s="133">
        <v>1000000000</v>
      </c>
      <c r="K115" s="133">
        <v>1000</v>
      </c>
      <c r="L115" s="133">
        <v>1890</v>
      </c>
      <c r="M115" s="133" t="s">
        <v>997</v>
      </c>
      <c r="N115" s="133">
        <v>0</v>
      </c>
      <c r="P115" s="133">
        <v>0</v>
      </c>
      <c r="Q115" s="133">
        <v>1890</v>
      </c>
      <c r="R115" s="133">
        <v>0</v>
      </c>
      <c r="S115" s="156">
        <v>-0.89</v>
      </c>
    </row>
    <row r="116" spans="1:19">
      <c r="A116" s="133" t="s">
        <v>1171</v>
      </c>
      <c r="B116" s="133" t="s">
        <v>802</v>
      </c>
      <c r="C116" s="133" t="s">
        <v>995</v>
      </c>
      <c r="D116" s="133" t="s">
        <v>413</v>
      </c>
      <c r="E116" s="133" t="s">
        <v>414</v>
      </c>
      <c r="F116" s="133" t="s">
        <v>716</v>
      </c>
      <c r="G116" s="133" t="s">
        <v>718</v>
      </c>
      <c r="H116" s="133">
        <v>0.16</v>
      </c>
      <c r="I116" s="133">
        <v>0</v>
      </c>
      <c r="J116" s="133">
        <v>1000000000</v>
      </c>
      <c r="K116" s="133">
        <v>800</v>
      </c>
      <c r="L116" s="133">
        <v>951</v>
      </c>
      <c r="M116" s="133" t="s">
        <v>997</v>
      </c>
      <c r="N116" s="133">
        <v>0</v>
      </c>
      <c r="P116" s="133">
        <v>0</v>
      </c>
      <c r="Q116" s="133">
        <v>951</v>
      </c>
      <c r="R116" s="133">
        <v>0</v>
      </c>
      <c r="S116" s="156">
        <v>-0.18875</v>
      </c>
    </row>
    <row r="117" spans="1:19">
      <c r="A117" s="133" t="s">
        <v>1171</v>
      </c>
      <c r="B117" s="133" t="s">
        <v>802</v>
      </c>
      <c r="C117" s="133" t="s">
        <v>995</v>
      </c>
      <c r="D117" s="133" t="s">
        <v>415</v>
      </c>
      <c r="E117" s="133" t="s">
        <v>796</v>
      </c>
      <c r="F117" s="133" t="s">
        <v>716</v>
      </c>
      <c r="G117" s="133" t="s">
        <v>718</v>
      </c>
      <c r="H117" s="133">
        <v>0.11</v>
      </c>
      <c r="I117" s="133">
        <v>0</v>
      </c>
      <c r="J117" s="133">
        <v>1000000000</v>
      </c>
      <c r="K117" s="133">
        <v>0</v>
      </c>
      <c r="L117" s="133">
        <v>620</v>
      </c>
      <c r="M117" s="133" t="s">
        <v>1096</v>
      </c>
      <c r="N117" s="133">
        <v>0</v>
      </c>
      <c r="P117" s="133">
        <v>0</v>
      </c>
      <c r="Q117" s="133">
        <v>620</v>
      </c>
      <c r="R117" s="133">
        <v>0</v>
      </c>
      <c r="S117" s="156"/>
    </row>
    <row r="118" spans="1:19">
      <c r="A118" s="133" t="s">
        <v>1171</v>
      </c>
      <c r="B118" s="133" t="s">
        <v>802</v>
      </c>
      <c r="C118" s="133" t="s">
        <v>995</v>
      </c>
      <c r="D118" s="133" t="s">
        <v>416</v>
      </c>
      <c r="E118" s="133" t="s">
        <v>417</v>
      </c>
      <c r="F118" s="133" t="s">
        <v>716</v>
      </c>
      <c r="G118" s="133" t="s">
        <v>718</v>
      </c>
      <c r="H118" s="133">
        <v>0.24</v>
      </c>
      <c r="I118" s="133">
        <v>0</v>
      </c>
      <c r="J118" s="133">
        <v>1000000000</v>
      </c>
      <c r="K118" s="133">
        <v>200</v>
      </c>
      <c r="L118" s="133">
        <v>443</v>
      </c>
      <c r="M118" s="133" t="s">
        <v>997</v>
      </c>
      <c r="N118" s="133">
        <v>0</v>
      </c>
      <c r="P118" s="133">
        <v>0</v>
      </c>
      <c r="Q118" s="133">
        <v>443</v>
      </c>
      <c r="R118" s="133">
        <v>0</v>
      </c>
      <c r="S118" s="156">
        <v>-1.2150000000000001</v>
      </c>
    </row>
    <row r="119" spans="1:19">
      <c r="A119" s="133" t="s">
        <v>1171</v>
      </c>
      <c r="B119" s="133" t="s">
        <v>802</v>
      </c>
      <c r="C119" s="133" t="s">
        <v>995</v>
      </c>
      <c r="D119" s="133" t="s">
        <v>418</v>
      </c>
      <c r="E119" s="133" t="s">
        <v>419</v>
      </c>
      <c r="F119" s="133" t="s">
        <v>716</v>
      </c>
      <c r="G119" s="133" t="s">
        <v>718</v>
      </c>
      <c r="H119" s="133">
        <v>0.09</v>
      </c>
      <c r="I119" s="133">
        <v>0</v>
      </c>
      <c r="J119" s="133">
        <v>1000000000</v>
      </c>
      <c r="K119" s="133">
        <v>500</v>
      </c>
      <c r="L119" s="133">
        <v>1279</v>
      </c>
      <c r="M119" s="133" t="s">
        <v>997</v>
      </c>
      <c r="N119" s="133">
        <v>0</v>
      </c>
      <c r="P119" s="133">
        <v>0</v>
      </c>
      <c r="Q119" s="133">
        <v>1279</v>
      </c>
      <c r="R119" s="133">
        <v>0</v>
      </c>
      <c r="S119" s="156">
        <v>-1.5580000000000001</v>
      </c>
    </row>
    <row r="120" spans="1:19">
      <c r="A120" s="133" t="s">
        <v>1171</v>
      </c>
      <c r="B120" s="133" t="s">
        <v>802</v>
      </c>
      <c r="C120" s="133" t="s">
        <v>995</v>
      </c>
      <c r="D120" s="133" t="s">
        <v>420</v>
      </c>
      <c r="E120" s="133" t="s">
        <v>421</v>
      </c>
      <c r="F120" s="133" t="s">
        <v>716</v>
      </c>
      <c r="G120" s="133" t="s">
        <v>718</v>
      </c>
      <c r="H120" s="133">
        <v>0.08</v>
      </c>
      <c r="I120" s="133">
        <v>0</v>
      </c>
      <c r="J120" s="133">
        <v>1000000000</v>
      </c>
      <c r="K120" s="133">
        <v>500</v>
      </c>
      <c r="L120" s="133">
        <v>1386</v>
      </c>
      <c r="M120" s="133" t="s">
        <v>997</v>
      </c>
      <c r="N120" s="133">
        <v>0</v>
      </c>
      <c r="P120" s="133">
        <v>0</v>
      </c>
      <c r="Q120" s="133">
        <v>1386</v>
      </c>
      <c r="R120" s="133">
        <v>0</v>
      </c>
      <c r="S120" s="156">
        <v>-1.772</v>
      </c>
    </row>
    <row r="121" spans="1:19">
      <c r="A121" s="133" t="s">
        <v>1171</v>
      </c>
      <c r="B121" s="133" t="s">
        <v>802</v>
      </c>
      <c r="C121" s="133" t="s">
        <v>995</v>
      </c>
      <c r="D121" s="133" t="s">
        <v>422</v>
      </c>
      <c r="E121" s="133" t="s">
        <v>423</v>
      </c>
      <c r="F121" s="133" t="s">
        <v>716</v>
      </c>
      <c r="G121" s="133" t="s">
        <v>718</v>
      </c>
      <c r="H121" s="133">
        <v>0.08</v>
      </c>
      <c r="I121" s="133">
        <v>0</v>
      </c>
      <c r="J121" s="133">
        <v>1000000000</v>
      </c>
      <c r="K121" s="133">
        <v>1000</v>
      </c>
      <c r="L121" s="133">
        <v>1037</v>
      </c>
      <c r="M121" s="133" t="s">
        <v>997</v>
      </c>
      <c r="N121" s="133">
        <v>0</v>
      </c>
      <c r="P121" s="133">
        <v>0</v>
      </c>
      <c r="Q121" s="133">
        <v>1037</v>
      </c>
      <c r="R121" s="133">
        <v>0</v>
      </c>
      <c r="S121" s="156">
        <v>-3.6999999999999998E-2</v>
      </c>
    </row>
    <row r="122" spans="1:19">
      <c r="A122" s="133" t="s">
        <v>1171</v>
      </c>
      <c r="B122" s="133" t="s">
        <v>802</v>
      </c>
      <c r="C122" s="133" t="s">
        <v>995</v>
      </c>
      <c r="D122" s="133" t="s">
        <v>424</v>
      </c>
      <c r="E122" s="133" t="s">
        <v>425</v>
      </c>
      <c r="F122" s="133" t="s">
        <v>716</v>
      </c>
      <c r="G122" s="133" t="s">
        <v>718</v>
      </c>
      <c r="H122" s="133">
        <v>0.26</v>
      </c>
      <c r="I122" s="133">
        <v>0</v>
      </c>
      <c r="J122" s="133">
        <v>1000000000</v>
      </c>
      <c r="K122" s="133">
        <v>500</v>
      </c>
      <c r="L122" s="133">
        <v>1088</v>
      </c>
      <c r="M122" s="133" t="s">
        <v>997</v>
      </c>
      <c r="N122" s="133">
        <v>0</v>
      </c>
      <c r="P122" s="133">
        <v>0</v>
      </c>
      <c r="Q122" s="133">
        <v>1088</v>
      </c>
      <c r="R122" s="133">
        <v>0</v>
      </c>
      <c r="S122" s="156">
        <v>-1.1759999999999999</v>
      </c>
    </row>
    <row r="123" spans="1:19">
      <c r="A123" s="133" t="s">
        <v>1171</v>
      </c>
      <c r="B123" s="133" t="s">
        <v>802</v>
      </c>
      <c r="C123" s="133" t="s">
        <v>995</v>
      </c>
      <c r="D123" s="133" t="s">
        <v>426</v>
      </c>
      <c r="E123" s="133" t="s">
        <v>427</v>
      </c>
      <c r="F123" s="133" t="s">
        <v>716</v>
      </c>
      <c r="G123" s="133" t="s">
        <v>718</v>
      </c>
      <c r="H123" s="133">
        <v>0.1</v>
      </c>
      <c r="I123" s="133">
        <v>0</v>
      </c>
      <c r="J123" s="133">
        <v>1000000000</v>
      </c>
      <c r="K123" s="133">
        <v>500</v>
      </c>
      <c r="L123" s="133">
        <v>441</v>
      </c>
      <c r="M123" s="133" t="s">
        <v>998</v>
      </c>
      <c r="N123" s="133">
        <v>0</v>
      </c>
      <c r="P123" s="133">
        <v>0</v>
      </c>
      <c r="Q123" s="133">
        <v>441</v>
      </c>
      <c r="R123" s="133">
        <v>59</v>
      </c>
      <c r="S123" s="156">
        <v>0.11799999999999999</v>
      </c>
    </row>
    <row r="124" spans="1:19">
      <c r="A124" s="133" t="s">
        <v>1171</v>
      </c>
      <c r="B124" s="133" t="s">
        <v>802</v>
      </c>
      <c r="C124" s="133" t="s">
        <v>995</v>
      </c>
      <c r="D124" s="133" t="s">
        <v>428</v>
      </c>
      <c r="E124" s="133" t="s">
        <v>429</v>
      </c>
      <c r="F124" s="133" t="s">
        <v>716</v>
      </c>
      <c r="G124" s="133" t="s">
        <v>718</v>
      </c>
      <c r="H124" s="133">
        <v>0.1</v>
      </c>
      <c r="I124" s="133">
        <v>0</v>
      </c>
      <c r="J124" s="133">
        <v>1000000000</v>
      </c>
      <c r="K124" s="133">
        <v>0</v>
      </c>
      <c r="L124" s="133">
        <v>599</v>
      </c>
      <c r="M124" s="133" t="s">
        <v>1096</v>
      </c>
      <c r="N124" s="133">
        <v>0</v>
      </c>
      <c r="P124" s="133">
        <v>0</v>
      </c>
      <c r="Q124" s="133">
        <v>599</v>
      </c>
      <c r="R124" s="133">
        <v>0</v>
      </c>
      <c r="S124" s="156"/>
    </row>
    <row r="125" spans="1:19">
      <c r="A125" s="133" t="s">
        <v>1171</v>
      </c>
      <c r="B125" s="133" t="s">
        <v>802</v>
      </c>
      <c r="C125" s="133" t="s">
        <v>995</v>
      </c>
      <c r="D125" s="133" t="s">
        <v>430</v>
      </c>
      <c r="E125" s="133" t="s">
        <v>431</v>
      </c>
      <c r="F125" s="133" t="s">
        <v>716</v>
      </c>
      <c r="G125" s="133" t="s">
        <v>718</v>
      </c>
      <c r="H125" s="133">
        <v>0.13</v>
      </c>
      <c r="I125" s="133">
        <v>0</v>
      </c>
      <c r="J125" s="133">
        <v>1000000000</v>
      </c>
      <c r="K125" s="133">
        <v>500</v>
      </c>
      <c r="L125" s="133">
        <v>896</v>
      </c>
      <c r="M125" s="133" t="s">
        <v>997</v>
      </c>
      <c r="N125" s="133">
        <v>0</v>
      </c>
      <c r="P125" s="133">
        <v>0</v>
      </c>
      <c r="Q125" s="133">
        <v>896</v>
      </c>
      <c r="R125" s="133">
        <v>0</v>
      </c>
      <c r="S125" s="156">
        <v>-0.79200000000000004</v>
      </c>
    </row>
    <row r="126" spans="1:19">
      <c r="A126" s="133" t="s">
        <v>1171</v>
      </c>
      <c r="B126" s="133" t="s">
        <v>802</v>
      </c>
      <c r="C126" s="133" t="s">
        <v>995</v>
      </c>
      <c r="D126" s="133" t="s">
        <v>432</v>
      </c>
      <c r="E126" s="133" t="s">
        <v>433</v>
      </c>
      <c r="F126" s="133" t="s">
        <v>716</v>
      </c>
      <c r="G126" s="133" t="s">
        <v>718</v>
      </c>
      <c r="H126" s="133">
        <v>0.14000000000000001</v>
      </c>
      <c r="I126" s="133">
        <v>0</v>
      </c>
      <c r="J126" s="133">
        <v>1000000000</v>
      </c>
      <c r="K126" s="133">
        <v>0</v>
      </c>
      <c r="L126" s="133">
        <v>112</v>
      </c>
      <c r="M126" s="133" t="s">
        <v>1096</v>
      </c>
      <c r="N126" s="133">
        <v>0</v>
      </c>
      <c r="P126" s="133">
        <v>0</v>
      </c>
      <c r="Q126" s="133">
        <v>112</v>
      </c>
      <c r="R126" s="133">
        <v>0</v>
      </c>
      <c r="S126" s="156"/>
    </row>
    <row r="127" spans="1:19">
      <c r="A127" s="133" t="s">
        <v>1171</v>
      </c>
      <c r="B127" s="133" t="s">
        <v>802</v>
      </c>
      <c r="C127" s="133" t="s">
        <v>995</v>
      </c>
      <c r="D127" s="133" t="s">
        <v>434</v>
      </c>
      <c r="E127" s="133" t="s">
        <v>435</v>
      </c>
      <c r="F127" s="133" t="s">
        <v>716</v>
      </c>
      <c r="G127" s="133" t="s">
        <v>718</v>
      </c>
      <c r="H127" s="133">
        <v>0.19</v>
      </c>
      <c r="I127" s="133">
        <v>0</v>
      </c>
      <c r="J127" s="133">
        <v>1000000000</v>
      </c>
      <c r="K127" s="133">
        <v>1000</v>
      </c>
      <c r="L127" s="133">
        <v>1105</v>
      </c>
      <c r="M127" s="133" t="s">
        <v>997</v>
      </c>
      <c r="N127" s="133">
        <v>0</v>
      </c>
      <c r="P127" s="133">
        <v>0</v>
      </c>
      <c r="Q127" s="133">
        <v>1105</v>
      </c>
      <c r="R127" s="133">
        <v>0</v>
      </c>
      <c r="S127" s="156">
        <v>-0.105</v>
      </c>
    </row>
    <row r="128" spans="1:19">
      <c r="A128" s="133" t="s">
        <v>1171</v>
      </c>
      <c r="B128" s="133" t="s">
        <v>802</v>
      </c>
      <c r="C128" s="133" t="s">
        <v>995</v>
      </c>
      <c r="D128" s="133" t="s">
        <v>436</v>
      </c>
      <c r="E128" s="133" t="s">
        <v>437</v>
      </c>
      <c r="F128" s="133" t="s">
        <v>716</v>
      </c>
      <c r="G128" s="133" t="s">
        <v>718</v>
      </c>
      <c r="H128" s="133">
        <v>0.18</v>
      </c>
      <c r="I128" s="133">
        <v>0</v>
      </c>
      <c r="J128" s="133">
        <v>1000000000</v>
      </c>
      <c r="K128" s="133">
        <v>1200</v>
      </c>
      <c r="L128" s="133">
        <v>2000</v>
      </c>
      <c r="M128" s="133" t="s">
        <v>997</v>
      </c>
      <c r="N128" s="133">
        <v>0</v>
      </c>
      <c r="P128" s="133">
        <v>0</v>
      </c>
      <c r="Q128" s="133">
        <v>2000</v>
      </c>
      <c r="R128" s="133">
        <v>0</v>
      </c>
      <c r="S128" s="156">
        <v>-0.66666666666666663</v>
      </c>
    </row>
    <row r="129" spans="1:19">
      <c r="A129" s="133" t="s">
        <v>1171</v>
      </c>
      <c r="B129" s="133" t="s">
        <v>802</v>
      </c>
      <c r="C129" s="133" t="s">
        <v>995</v>
      </c>
      <c r="D129" s="133" t="s">
        <v>438</v>
      </c>
      <c r="E129" s="133" t="s">
        <v>439</v>
      </c>
      <c r="F129" s="133" t="s">
        <v>716</v>
      </c>
      <c r="G129" s="133" t="s">
        <v>718</v>
      </c>
      <c r="H129" s="133">
        <v>0.25</v>
      </c>
      <c r="I129" s="133">
        <v>0</v>
      </c>
      <c r="J129" s="133">
        <v>1000000000</v>
      </c>
      <c r="K129" s="133">
        <v>500</v>
      </c>
      <c r="L129" s="133">
        <v>503</v>
      </c>
      <c r="M129" s="133" t="s">
        <v>997</v>
      </c>
      <c r="N129" s="133">
        <v>0</v>
      </c>
      <c r="P129" s="133">
        <v>0</v>
      </c>
      <c r="Q129" s="133">
        <v>503</v>
      </c>
      <c r="R129" s="133">
        <v>0</v>
      </c>
      <c r="S129" s="156">
        <v>-6.0000000000000001E-3</v>
      </c>
    </row>
    <row r="130" spans="1:19">
      <c r="A130" s="133" t="s">
        <v>1171</v>
      </c>
      <c r="B130" s="133" t="s">
        <v>802</v>
      </c>
      <c r="C130" s="133" t="s">
        <v>995</v>
      </c>
      <c r="D130" s="133" t="s">
        <v>440</v>
      </c>
      <c r="E130" s="133" t="s">
        <v>441</v>
      </c>
      <c r="F130" s="133" t="s">
        <v>716</v>
      </c>
      <c r="G130" s="133" t="s">
        <v>718</v>
      </c>
      <c r="H130" s="133">
        <v>0.1</v>
      </c>
      <c r="I130" s="133">
        <v>0</v>
      </c>
      <c r="J130" s="133">
        <v>1000000000</v>
      </c>
      <c r="K130" s="133">
        <v>2400</v>
      </c>
      <c r="L130" s="133">
        <v>2285</v>
      </c>
      <c r="M130" s="133" t="s">
        <v>998</v>
      </c>
      <c r="N130" s="133">
        <v>0</v>
      </c>
      <c r="P130" s="133">
        <v>0</v>
      </c>
      <c r="Q130" s="133">
        <v>2285</v>
      </c>
      <c r="R130" s="133">
        <v>115</v>
      </c>
      <c r="S130" s="156">
        <v>4.791666666666667E-2</v>
      </c>
    </row>
    <row r="131" spans="1:19">
      <c r="A131" s="133" t="s">
        <v>1171</v>
      </c>
      <c r="B131" s="133" t="s">
        <v>802</v>
      </c>
      <c r="C131" s="133" t="s">
        <v>995</v>
      </c>
      <c r="D131" s="133" t="s">
        <v>442</v>
      </c>
      <c r="E131" s="133" t="s">
        <v>443</v>
      </c>
      <c r="F131" s="133" t="s">
        <v>716</v>
      </c>
      <c r="G131" s="133" t="s">
        <v>718</v>
      </c>
      <c r="H131" s="133">
        <v>0.15</v>
      </c>
      <c r="I131" s="133">
        <v>0</v>
      </c>
      <c r="J131" s="133">
        <v>1000000000</v>
      </c>
      <c r="K131" s="133">
        <v>500</v>
      </c>
      <c r="L131" s="133">
        <v>621</v>
      </c>
      <c r="M131" s="133" t="s">
        <v>997</v>
      </c>
      <c r="N131" s="133">
        <v>0</v>
      </c>
      <c r="P131" s="133">
        <v>0</v>
      </c>
      <c r="Q131" s="133">
        <v>621</v>
      </c>
      <c r="R131" s="133">
        <v>0</v>
      </c>
      <c r="S131" s="156">
        <v>-0.24199999999999999</v>
      </c>
    </row>
    <row r="132" spans="1:19">
      <c r="A132" s="133" t="s">
        <v>1171</v>
      </c>
      <c r="B132" s="133" t="s">
        <v>802</v>
      </c>
      <c r="C132" s="133" t="s">
        <v>995</v>
      </c>
      <c r="D132" s="133" t="s">
        <v>444</v>
      </c>
      <c r="E132" s="133" t="s">
        <v>445</v>
      </c>
      <c r="F132" s="133" t="s">
        <v>716</v>
      </c>
      <c r="G132" s="133" t="s">
        <v>718</v>
      </c>
      <c r="H132" s="133">
        <v>0.17</v>
      </c>
      <c r="I132" s="133">
        <v>0</v>
      </c>
      <c r="J132" s="133">
        <v>1000000000</v>
      </c>
      <c r="K132" s="133">
        <v>1200</v>
      </c>
      <c r="L132" s="133">
        <v>1402</v>
      </c>
      <c r="M132" s="133" t="s">
        <v>997</v>
      </c>
      <c r="N132" s="133">
        <v>0</v>
      </c>
      <c r="P132" s="133">
        <v>0</v>
      </c>
      <c r="Q132" s="133">
        <v>1402</v>
      </c>
      <c r="R132" s="133">
        <v>0</v>
      </c>
      <c r="S132" s="156">
        <v>-0.16833333333333333</v>
      </c>
    </row>
    <row r="133" spans="1:19">
      <c r="A133" s="133" t="s">
        <v>1171</v>
      </c>
      <c r="B133" s="133" t="s">
        <v>802</v>
      </c>
      <c r="C133" s="133" t="s">
        <v>995</v>
      </c>
      <c r="D133" s="133" t="s">
        <v>446</v>
      </c>
      <c r="E133" s="133" t="s">
        <v>447</v>
      </c>
      <c r="F133" s="133" t="s">
        <v>716</v>
      </c>
      <c r="G133" s="133" t="s">
        <v>718</v>
      </c>
      <c r="H133" s="133">
        <v>0.03</v>
      </c>
      <c r="I133" s="133">
        <v>0</v>
      </c>
      <c r="J133" s="133">
        <v>1000000000</v>
      </c>
      <c r="K133" s="133">
        <v>1300</v>
      </c>
      <c r="L133" s="133">
        <v>2220</v>
      </c>
      <c r="M133" s="133" t="s">
        <v>997</v>
      </c>
      <c r="N133" s="133">
        <v>0</v>
      </c>
      <c r="P133" s="133">
        <v>0</v>
      </c>
      <c r="Q133" s="133">
        <v>2220</v>
      </c>
      <c r="R133" s="133">
        <v>0</v>
      </c>
      <c r="S133" s="156">
        <v>-0.70769230769230773</v>
      </c>
    </row>
    <row r="134" spans="1:19">
      <c r="A134" s="133" t="s">
        <v>1171</v>
      </c>
      <c r="B134" s="133" t="s">
        <v>802</v>
      </c>
      <c r="C134" s="133" t="s">
        <v>995</v>
      </c>
      <c r="D134" s="133" t="s">
        <v>448</v>
      </c>
      <c r="E134" s="133" t="s">
        <v>449</v>
      </c>
      <c r="F134" s="133" t="s">
        <v>716</v>
      </c>
      <c r="G134" s="133" t="s">
        <v>718</v>
      </c>
      <c r="H134" s="133">
        <v>0.44</v>
      </c>
      <c r="I134" s="133">
        <v>0</v>
      </c>
      <c r="J134" s="133">
        <v>1000000000</v>
      </c>
      <c r="K134" s="133">
        <v>200</v>
      </c>
      <c r="L134" s="133">
        <v>132</v>
      </c>
      <c r="M134" s="133" t="s">
        <v>714</v>
      </c>
      <c r="N134" s="133">
        <v>0</v>
      </c>
      <c r="P134" s="133">
        <v>0</v>
      </c>
      <c r="Q134" s="133">
        <v>132</v>
      </c>
      <c r="R134" s="133">
        <v>68</v>
      </c>
      <c r="S134" s="156">
        <v>0.34</v>
      </c>
    </row>
    <row r="135" spans="1:19">
      <c r="A135" s="133" t="s">
        <v>1171</v>
      </c>
      <c r="B135" s="133" t="s">
        <v>802</v>
      </c>
      <c r="C135" s="133" t="s">
        <v>995</v>
      </c>
      <c r="D135" s="133" t="s">
        <v>450</v>
      </c>
      <c r="E135" s="133" t="s">
        <v>451</v>
      </c>
      <c r="F135" s="133" t="s">
        <v>716</v>
      </c>
      <c r="G135" s="133" t="s">
        <v>718</v>
      </c>
      <c r="H135" s="133">
        <v>0.13</v>
      </c>
      <c r="I135" s="133">
        <v>0</v>
      </c>
      <c r="J135" s="133">
        <v>1000000000</v>
      </c>
      <c r="K135" s="133">
        <v>400</v>
      </c>
      <c r="L135" s="133">
        <v>287</v>
      </c>
      <c r="M135" s="133" t="s">
        <v>998</v>
      </c>
      <c r="N135" s="133">
        <v>0</v>
      </c>
      <c r="P135" s="133">
        <v>0</v>
      </c>
      <c r="Q135" s="133">
        <v>287</v>
      </c>
      <c r="R135" s="133">
        <v>113</v>
      </c>
      <c r="S135" s="156">
        <v>0.28249999999999997</v>
      </c>
    </row>
    <row r="136" spans="1:19">
      <c r="A136" s="133" t="s">
        <v>1171</v>
      </c>
      <c r="B136" s="133" t="s">
        <v>802</v>
      </c>
      <c r="C136" s="133" t="s">
        <v>995</v>
      </c>
      <c r="D136" s="133" t="s">
        <v>452</v>
      </c>
      <c r="E136" s="133" t="s">
        <v>453</v>
      </c>
      <c r="F136" s="133" t="s">
        <v>716</v>
      </c>
      <c r="G136" s="133" t="s">
        <v>718</v>
      </c>
      <c r="H136" s="133">
        <v>0.3</v>
      </c>
      <c r="I136" s="133">
        <v>0</v>
      </c>
      <c r="J136" s="133">
        <v>1000000000</v>
      </c>
      <c r="K136" s="133">
        <v>400</v>
      </c>
      <c r="L136" s="133">
        <v>605</v>
      </c>
      <c r="M136" s="133" t="s">
        <v>997</v>
      </c>
      <c r="N136" s="133">
        <v>0</v>
      </c>
      <c r="P136" s="133">
        <v>0</v>
      </c>
      <c r="Q136" s="133">
        <v>605</v>
      </c>
      <c r="R136" s="133">
        <v>0</v>
      </c>
      <c r="S136" s="156">
        <v>-0.51249999999999996</v>
      </c>
    </row>
    <row r="137" spans="1:19">
      <c r="A137" s="133" t="s">
        <v>1171</v>
      </c>
      <c r="B137" s="133" t="s">
        <v>802</v>
      </c>
      <c r="C137" s="133" t="s">
        <v>995</v>
      </c>
      <c r="D137" s="133" t="s">
        <v>454</v>
      </c>
      <c r="E137" s="133" t="s">
        <v>455</v>
      </c>
      <c r="F137" s="133" t="s">
        <v>716</v>
      </c>
      <c r="G137" s="133" t="s">
        <v>718</v>
      </c>
      <c r="H137" s="133">
        <v>0.14000000000000001</v>
      </c>
      <c r="I137" s="133">
        <v>0</v>
      </c>
      <c r="J137" s="133">
        <v>1000000000</v>
      </c>
      <c r="K137" s="133">
        <v>200</v>
      </c>
      <c r="L137" s="133">
        <v>408</v>
      </c>
      <c r="M137" s="133" t="s">
        <v>997</v>
      </c>
      <c r="N137" s="133">
        <v>0</v>
      </c>
      <c r="P137" s="133">
        <v>0</v>
      </c>
      <c r="Q137" s="133">
        <v>408</v>
      </c>
      <c r="R137" s="133">
        <v>0</v>
      </c>
      <c r="S137" s="156">
        <v>-1.04</v>
      </c>
    </row>
    <row r="138" spans="1:19">
      <c r="A138" s="133" t="s">
        <v>1171</v>
      </c>
      <c r="B138" s="133" t="s">
        <v>802</v>
      </c>
      <c r="C138" s="133" t="s">
        <v>995</v>
      </c>
      <c r="D138" s="133" t="s">
        <v>456</v>
      </c>
      <c r="E138" s="133" t="s">
        <v>457</v>
      </c>
      <c r="F138" s="133" t="s">
        <v>716</v>
      </c>
      <c r="G138" s="133" t="s">
        <v>718</v>
      </c>
      <c r="H138" s="133">
        <v>0.06</v>
      </c>
      <c r="I138" s="133">
        <v>0</v>
      </c>
      <c r="J138" s="133">
        <v>1000000000</v>
      </c>
      <c r="K138" s="133">
        <v>1500</v>
      </c>
      <c r="L138" s="133">
        <v>1916</v>
      </c>
      <c r="M138" s="133" t="s">
        <v>997</v>
      </c>
      <c r="N138" s="133">
        <v>0</v>
      </c>
      <c r="P138" s="133">
        <v>0</v>
      </c>
      <c r="Q138" s="133">
        <v>1916</v>
      </c>
      <c r="R138" s="133">
        <v>0</v>
      </c>
      <c r="S138" s="156">
        <v>-0.27733333333333332</v>
      </c>
    </row>
    <row r="139" spans="1:19">
      <c r="A139" s="133" t="s">
        <v>1171</v>
      </c>
      <c r="B139" s="133" t="s">
        <v>802</v>
      </c>
      <c r="C139" s="133" t="s">
        <v>995</v>
      </c>
      <c r="D139" s="133" t="s">
        <v>458</v>
      </c>
      <c r="E139" s="133" t="s">
        <v>459</v>
      </c>
      <c r="F139" s="133" t="s">
        <v>716</v>
      </c>
      <c r="G139" s="133" t="s">
        <v>718</v>
      </c>
      <c r="H139" s="133">
        <v>0.28000000000000003</v>
      </c>
      <c r="I139" s="133">
        <v>0</v>
      </c>
      <c r="J139" s="133">
        <v>1000000000</v>
      </c>
      <c r="K139" s="133">
        <v>500</v>
      </c>
      <c r="L139" s="133">
        <v>438</v>
      </c>
      <c r="M139" s="133" t="s">
        <v>998</v>
      </c>
      <c r="N139" s="133">
        <v>0</v>
      </c>
      <c r="P139" s="133">
        <v>0</v>
      </c>
      <c r="Q139" s="133">
        <v>438</v>
      </c>
      <c r="R139" s="133">
        <v>62</v>
      </c>
      <c r="S139" s="156">
        <v>0.124</v>
      </c>
    </row>
    <row r="140" spans="1:19">
      <c r="A140" s="133" t="s">
        <v>1171</v>
      </c>
      <c r="B140" s="133" t="s">
        <v>802</v>
      </c>
      <c r="C140" s="133" t="s">
        <v>995</v>
      </c>
      <c r="D140" s="133" t="s">
        <v>460</v>
      </c>
      <c r="E140" s="133" t="s">
        <v>461</v>
      </c>
      <c r="F140" s="133" t="s">
        <v>709</v>
      </c>
      <c r="G140" s="133" t="s">
        <v>761</v>
      </c>
      <c r="H140" s="133">
        <v>39.78</v>
      </c>
      <c r="I140" s="133">
        <v>0</v>
      </c>
      <c r="J140" s="133">
        <v>1000000000</v>
      </c>
      <c r="K140" s="133">
        <v>0</v>
      </c>
      <c r="L140" s="133">
        <v>61</v>
      </c>
      <c r="M140" s="133" t="s">
        <v>1096</v>
      </c>
      <c r="N140" s="133">
        <v>0</v>
      </c>
      <c r="P140" s="133">
        <v>0</v>
      </c>
      <c r="Q140" s="133">
        <v>61</v>
      </c>
      <c r="R140" s="133">
        <v>0</v>
      </c>
      <c r="S140" s="156"/>
    </row>
    <row r="141" spans="1:19">
      <c r="A141" s="133" t="s">
        <v>1171</v>
      </c>
      <c r="B141" s="133" t="s">
        <v>802</v>
      </c>
      <c r="C141" s="133" t="s">
        <v>995</v>
      </c>
      <c r="D141" s="133" t="s">
        <v>472</v>
      </c>
      <c r="E141" s="133" t="s">
        <v>940</v>
      </c>
      <c r="F141" s="133" t="s">
        <v>707</v>
      </c>
      <c r="G141" s="133" t="s">
        <v>717</v>
      </c>
      <c r="H141" s="133">
        <v>824.02</v>
      </c>
      <c r="I141" s="133">
        <v>0</v>
      </c>
      <c r="J141" s="133">
        <v>1000000000</v>
      </c>
      <c r="K141" s="133">
        <v>3</v>
      </c>
      <c r="L141" s="133">
        <v>3.9438900000000001</v>
      </c>
      <c r="M141" s="133" t="s">
        <v>997</v>
      </c>
      <c r="N141" s="133">
        <v>0</v>
      </c>
      <c r="P141" s="133">
        <v>0</v>
      </c>
      <c r="Q141" s="133">
        <v>3.9438900000000001</v>
      </c>
      <c r="R141" s="133">
        <v>0</v>
      </c>
      <c r="S141" s="156">
        <v>-0.31463000000000002</v>
      </c>
    </row>
    <row r="142" spans="1:19">
      <c r="A142" s="133" t="s">
        <v>1171</v>
      </c>
      <c r="B142" s="133" t="s">
        <v>802</v>
      </c>
      <c r="C142" s="133" t="s">
        <v>995</v>
      </c>
      <c r="D142" s="133" t="s">
        <v>911</v>
      </c>
      <c r="E142" s="133" t="s">
        <v>912</v>
      </c>
      <c r="F142" s="133" t="s">
        <v>707</v>
      </c>
      <c r="G142" s="133" t="s">
        <v>717</v>
      </c>
      <c r="H142" s="133">
        <v>0</v>
      </c>
      <c r="I142" s="133">
        <v>0</v>
      </c>
      <c r="J142" s="133">
        <v>1000000000</v>
      </c>
      <c r="K142" s="133">
        <v>0</v>
      </c>
      <c r="L142" s="133">
        <v>0</v>
      </c>
      <c r="M142" s="133" t="s">
        <v>1096</v>
      </c>
      <c r="N142" s="133">
        <v>0</v>
      </c>
      <c r="P142" s="133">
        <v>0</v>
      </c>
      <c r="Q142" s="133">
        <v>0</v>
      </c>
      <c r="R142" s="133">
        <v>0</v>
      </c>
      <c r="S142" s="156"/>
    </row>
    <row r="143" spans="1:19">
      <c r="A143" s="133" t="s">
        <v>1171</v>
      </c>
      <c r="B143" s="133" t="s">
        <v>802</v>
      </c>
      <c r="C143" s="133" t="s">
        <v>995</v>
      </c>
      <c r="D143" s="133" t="s">
        <v>476</v>
      </c>
      <c r="E143" s="133" t="s">
        <v>477</v>
      </c>
      <c r="F143" s="133" t="s">
        <v>708</v>
      </c>
      <c r="G143" s="133" t="s">
        <v>717</v>
      </c>
      <c r="H143" s="133">
        <v>51.3</v>
      </c>
      <c r="I143" s="133">
        <v>0</v>
      </c>
      <c r="J143" s="133">
        <v>1000000000</v>
      </c>
      <c r="K143" s="133">
        <v>0</v>
      </c>
      <c r="L143" s="133">
        <v>0</v>
      </c>
      <c r="M143" s="133" t="s">
        <v>1096</v>
      </c>
      <c r="N143" s="133">
        <v>0</v>
      </c>
      <c r="P143" s="133">
        <v>0</v>
      </c>
      <c r="Q143" s="133">
        <v>0</v>
      </c>
      <c r="R143" s="133">
        <v>0</v>
      </c>
      <c r="S143" s="156"/>
    </row>
    <row r="144" spans="1:19">
      <c r="A144" s="133" t="s">
        <v>1171</v>
      </c>
      <c r="B144" s="133" t="s">
        <v>802</v>
      </c>
      <c r="C144" s="133" t="s">
        <v>995</v>
      </c>
      <c r="D144" s="133" t="s">
        <v>478</v>
      </c>
      <c r="E144" s="133" t="s">
        <v>479</v>
      </c>
      <c r="F144" s="133" t="s">
        <v>708</v>
      </c>
      <c r="G144" s="133" t="s">
        <v>717</v>
      </c>
      <c r="H144" s="133">
        <v>464.36</v>
      </c>
      <c r="I144" s="133">
        <v>1075</v>
      </c>
      <c r="J144" s="133">
        <v>1000000000</v>
      </c>
      <c r="K144" s="133">
        <v>0</v>
      </c>
      <c r="L144" s="133">
        <v>0</v>
      </c>
      <c r="M144" s="133" t="s">
        <v>1096</v>
      </c>
      <c r="N144" s="133">
        <v>0</v>
      </c>
      <c r="P144" s="133">
        <v>0</v>
      </c>
      <c r="Q144" s="133">
        <v>0</v>
      </c>
      <c r="R144" s="133">
        <v>0</v>
      </c>
      <c r="S144" s="156"/>
    </row>
    <row r="145" spans="1:19">
      <c r="A145" s="133" t="s">
        <v>1171</v>
      </c>
      <c r="B145" s="133" t="s">
        <v>802</v>
      </c>
      <c r="C145" s="133" t="s">
        <v>995</v>
      </c>
      <c r="D145" s="133" t="s">
        <v>534</v>
      </c>
      <c r="E145" s="133" t="s">
        <v>535</v>
      </c>
      <c r="F145" s="133" t="s">
        <v>707</v>
      </c>
      <c r="G145" s="133" t="s">
        <v>717</v>
      </c>
      <c r="H145" s="133">
        <v>1.25</v>
      </c>
      <c r="I145" s="133">
        <v>0</v>
      </c>
      <c r="J145" s="133">
        <v>1000000000</v>
      </c>
      <c r="K145" s="133">
        <v>1700</v>
      </c>
      <c r="L145" s="133">
        <v>2000</v>
      </c>
      <c r="M145" s="133" t="s">
        <v>997</v>
      </c>
      <c r="N145" s="133">
        <v>0</v>
      </c>
      <c r="P145" s="133">
        <v>0</v>
      </c>
      <c r="Q145" s="133">
        <v>2000</v>
      </c>
      <c r="R145" s="133">
        <v>0</v>
      </c>
      <c r="S145" s="156">
        <v>-0.17647058823529413</v>
      </c>
    </row>
    <row r="146" spans="1:19">
      <c r="A146" s="133" t="s">
        <v>1171</v>
      </c>
      <c r="B146" s="133" t="s">
        <v>802</v>
      </c>
      <c r="C146" s="133" t="s">
        <v>995</v>
      </c>
      <c r="D146" s="133" t="s">
        <v>536</v>
      </c>
      <c r="E146" s="133" t="s">
        <v>537</v>
      </c>
      <c r="F146" s="133" t="s">
        <v>707</v>
      </c>
      <c r="G146" s="133" t="s">
        <v>717</v>
      </c>
      <c r="H146" s="133">
        <v>150.08000000000001</v>
      </c>
      <c r="I146" s="133">
        <v>0</v>
      </c>
      <c r="J146" s="133">
        <v>1000000000</v>
      </c>
      <c r="K146" s="133">
        <v>0</v>
      </c>
      <c r="L146" s="133">
        <v>0</v>
      </c>
      <c r="M146" s="133" t="s">
        <v>1096</v>
      </c>
      <c r="N146" s="133">
        <v>0</v>
      </c>
      <c r="P146" s="133">
        <v>0</v>
      </c>
      <c r="Q146" s="133">
        <v>0</v>
      </c>
      <c r="R146" s="133">
        <v>0</v>
      </c>
      <c r="S146" s="156"/>
    </row>
    <row r="147" spans="1:19">
      <c r="A147" s="133" t="s">
        <v>1171</v>
      </c>
      <c r="B147" s="133" t="s">
        <v>802</v>
      </c>
      <c r="C147" s="133" t="s">
        <v>995</v>
      </c>
      <c r="D147" s="133" t="s">
        <v>550</v>
      </c>
      <c r="E147" s="133" t="s">
        <v>914</v>
      </c>
      <c r="F147" s="133" t="s">
        <v>707</v>
      </c>
      <c r="G147" s="133" t="s">
        <v>717</v>
      </c>
      <c r="H147" s="133">
        <v>2.69</v>
      </c>
      <c r="I147" s="133">
        <v>0</v>
      </c>
      <c r="J147" s="133">
        <v>1000000000</v>
      </c>
      <c r="K147" s="133">
        <v>600</v>
      </c>
      <c r="L147" s="133">
        <v>953.245</v>
      </c>
      <c r="M147" s="133" t="s">
        <v>997</v>
      </c>
      <c r="N147" s="133">
        <v>0</v>
      </c>
      <c r="P147" s="133">
        <v>0</v>
      </c>
      <c r="Q147" s="133">
        <v>953.245</v>
      </c>
      <c r="R147" s="133">
        <v>0</v>
      </c>
      <c r="S147" s="156">
        <v>-0.58874166666666672</v>
      </c>
    </row>
    <row r="148" spans="1:19">
      <c r="A148" s="133" t="s">
        <v>1171</v>
      </c>
      <c r="B148" s="133" t="s">
        <v>802</v>
      </c>
      <c r="C148" s="133" t="s">
        <v>995</v>
      </c>
      <c r="D148" s="133" t="s">
        <v>551</v>
      </c>
      <c r="E148" s="133" t="s">
        <v>552</v>
      </c>
      <c r="F148" s="133" t="s">
        <v>707</v>
      </c>
      <c r="G148" s="133" t="s">
        <v>717</v>
      </c>
      <c r="H148" s="133">
        <v>500</v>
      </c>
      <c r="I148" s="133">
        <v>0</v>
      </c>
      <c r="J148" s="133">
        <v>1000000000</v>
      </c>
      <c r="K148" s="133">
        <v>2</v>
      </c>
      <c r="L148" s="133">
        <v>2.0015999999999998</v>
      </c>
      <c r="M148" s="133" t="s">
        <v>997</v>
      </c>
      <c r="N148" s="133">
        <v>0</v>
      </c>
      <c r="P148" s="133">
        <v>0</v>
      </c>
      <c r="Q148" s="133">
        <v>2.0015999999999998</v>
      </c>
      <c r="R148" s="133">
        <v>0</v>
      </c>
      <c r="S148" s="156">
        <v>-7.9999999999991189E-4</v>
      </c>
    </row>
    <row r="149" spans="1:19">
      <c r="A149" s="133" t="s">
        <v>1171</v>
      </c>
      <c r="B149" s="133" t="s">
        <v>802</v>
      </c>
      <c r="C149" s="133" t="s">
        <v>995</v>
      </c>
      <c r="D149" s="133" t="s">
        <v>563</v>
      </c>
      <c r="E149" s="133" t="s">
        <v>564</v>
      </c>
      <c r="F149" s="133" t="s">
        <v>708</v>
      </c>
      <c r="G149" s="133" t="s">
        <v>717</v>
      </c>
      <c r="H149" s="133">
        <v>56.2</v>
      </c>
      <c r="I149" s="133">
        <v>0</v>
      </c>
      <c r="J149" s="133">
        <v>1000000000</v>
      </c>
      <c r="K149" s="133">
        <v>10</v>
      </c>
      <c r="L149" s="133">
        <v>0</v>
      </c>
      <c r="M149" s="133" t="s">
        <v>999</v>
      </c>
      <c r="N149" s="133">
        <v>8</v>
      </c>
      <c r="P149" s="133">
        <v>0</v>
      </c>
      <c r="Q149" s="133">
        <v>8</v>
      </c>
      <c r="R149" s="133">
        <v>2</v>
      </c>
      <c r="S149" s="156">
        <v>1</v>
      </c>
    </row>
    <row r="150" spans="1:19">
      <c r="A150" s="133" t="s">
        <v>1171</v>
      </c>
      <c r="B150" s="133" t="s">
        <v>802</v>
      </c>
      <c r="C150" s="133" t="s">
        <v>995</v>
      </c>
      <c r="D150" s="133" t="s">
        <v>565</v>
      </c>
      <c r="E150" s="133" t="s">
        <v>566</v>
      </c>
      <c r="F150" s="133" t="s">
        <v>708</v>
      </c>
      <c r="G150" s="133" t="s">
        <v>717</v>
      </c>
      <c r="H150" s="133">
        <v>518.41999999999996</v>
      </c>
      <c r="I150" s="133">
        <v>0</v>
      </c>
      <c r="J150" s="133">
        <v>1000000000</v>
      </c>
      <c r="K150" s="133">
        <v>3</v>
      </c>
      <c r="L150" s="133">
        <v>5.8769999999999998</v>
      </c>
      <c r="M150" s="133" t="s">
        <v>997</v>
      </c>
      <c r="N150" s="133">
        <v>0</v>
      </c>
      <c r="P150" s="133">
        <v>0</v>
      </c>
      <c r="Q150" s="133">
        <v>5.8769999999999998</v>
      </c>
      <c r="R150" s="133">
        <v>0</v>
      </c>
      <c r="S150" s="156">
        <v>-0.95899999999999996</v>
      </c>
    </row>
    <row r="151" spans="1:19">
      <c r="A151" s="133" t="s">
        <v>1171</v>
      </c>
      <c r="B151" s="133" t="s">
        <v>802</v>
      </c>
      <c r="C151" s="133" t="s">
        <v>995</v>
      </c>
      <c r="D151" s="133" t="s">
        <v>567</v>
      </c>
      <c r="E151" s="133" t="s">
        <v>568</v>
      </c>
      <c r="F151" s="133" t="s">
        <v>707</v>
      </c>
      <c r="G151" s="133" t="s">
        <v>761</v>
      </c>
      <c r="H151" s="133">
        <v>22.75</v>
      </c>
      <c r="I151" s="133">
        <v>0</v>
      </c>
      <c r="J151" s="133">
        <v>1000000000</v>
      </c>
      <c r="K151" s="133">
        <v>120</v>
      </c>
      <c r="L151" s="133">
        <v>105.35420000000001</v>
      </c>
      <c r="M151" s="133" t="s">
        <v>998</v>
      </c>
      <c r="N151" s="133">
        <v>0</v>
      </c>
      <c r="P151" s="133">
        <v>0</v>
      </c>
      <c r="Q151" s="133">
        <v>105.35420000000001</v>
      </c>
      <c r="R151" s="133">
        <v>14.65</v>
      </c>
      <c r="S151" s="156">
        <v>0.12204833333333329</v>
      </c>
    </row>
    <row r="152" spans="1:19">
      <c r="A152" s="133" t="s">
        <v>1171</v>
      </c>
      <c r="B152" s="133" t="s">
        <v>802</v>
      </c>
      <c r="C152" s="133" t="s">
        <v>995</v>
      </c>
      <c r="D152" s="133" t="s">
        <v>569</v>
      </c>
      <c r="E152" s="133" t="s">
        <v>868</v>
      </c>
      <c r="F152" s="133" t="s">
        <v>712</v>
      </c>
      <c r="G152" s="133" t="s">
        <v>717</v>
      </c>
      <c r="H152" s="133">
        <v>2400</v>
      </c>
      <c r="I152" s="133">
        <v>0</v>
      </c>
      <c r="J152" s="133">
        <v>1000000000</v>
      </c>
      <c r="K152" s="133">
        <v>2</v>
      </c>
      <c r="L152" s="133">
        <v>1.91825</v>
      </c>
      <c r="M152" s="133" t="s">
        <v>714</v>
      </c>
      <c r="N152" s="133">
        <v>0</v>
      </c>
      <c r="P152" s="133">
        <v>0</v>
      </c>
      <c r="Q152" s="133">
        <v>1.91825</v>
      </c>
      <c r="R152" s="133">
        <v>0.08</v>
      </c>
      <c r="S152" s="156">
        <v>4.0874999999999995E-2</v>
      </c>
    </row>
    <row r="153" spans="1:19">
      <c r="A153" s="133" t="s">
        <v>1171</v>
      </c>
      <c r="B153" s="133" t="s">
        <v>802</v>
      </c>
      <c r="C153" s="133" t="s">
        <v>995</v>
      </c>
      <c r="D153" s="133" t="s">
        <v>1194</v>
      </c>
      <c r="E153" s="133" t="s">
        <v>1195</v>
      </c>
      <c r="F153" s="133" t="s">
        <v>1196</v>
      </c>
      <c r="G153" s="133" t="s">
        <v>718</v>
      </c>
      <c r="H153" s="133">
        <v>0</v>
      </c>
      <c r="I153" s="133">
        <v>0</v>
      </c>
      <c r="J153" s="133">
        <v>1000000000</v>
      </c>
      <c r="K153" s="133">
        <v>50</v>
      </c>
      <c r="L153" s="133">
        <v>0</v>
      </c>
      <c r="M153" s="133" t="s">
        <v>999</v>
      </c>
      <c r="N153" s="133">
        <v>0</v>
      </c>
      <c r="P153" s="133">
        <v>0</v>
      </c>
      <c r="Q153" s="133">
        <v>0</v>
      </c>
      <c r="R153" s="133">
        <v>50</v>
      </c>
      <c r="S153" s="156">
        <v>1</v>
      </c>
    </row>
    <row r="154" spans="1:19">
      <c r="A154" s="133" t="s">
        <v>1171</v>
      </c>
      <c r="B154" s="133" t="s">
        <v>802</v>
      </c>
      <c r="C154" s="133" t="s">
        <v>995</v>
      </c>
      <c r="D154" s="133" t="s">
        <v>570</v>
      </c>
      <c r="E154" s="133" t="s">
        <v>571</v>
      </c>
      <c r="F154" s="133" t="s">
        <v>712</v>
      </c>
      <c r="G154" s="133" t="s">
        <v>717</v>
      </c>
      <c r="H154" s="133">
        <v>4.5199999999999996</v>
      </c>
      <c r="I154" s="133">
        <v>0</v>
      </c>
      <c r="J154" s="133">
        <v>1000000000</v>
      </c>
      <c r="K154" s="133">
        <v>0</v>
      </c>
      <c r="L154" s="133">
        <v>100</v>
      </c>
      <c r="M154" s="133" t="s">
        <v>1096</v>
      </c>
      <c r="N154" s="133">
        <v>0</v>
      </c>
      <c r="P154" s="133">
        <v>0</v>
      </c>
      <c r="Q154" s="133">
        <v>100</v>
      </c>
      <c r="R154" s="133">
        <v>0</v>
      </c>
      <c r="S154" s="156"/>
    </row>
    <row r="155" spans="1:19">
      <c r="A155" s="133" t="s">
        <v>1171</v>
      </c>
      <c r="B155" s="133" t="s">
        <v>802</v>
      </c>
      <c r="C155" s="133" t="s">
        <v>995</v>
      </c>
      <c r="D155" s="133" t="s">
        <v>572</v>
      </c>
      <c r="E155" s="133" t="s">
        <v>573</v>
      </c>
      <c r="F155" s="133" t="s">
        <v>707</v>
      </c>
      <c r="G155" s="133" t="s">
        <v>717</v>
      </c>
      <c r="H155" s="133">
        <v>389.92</v>
      </c>
      <c r="I155" s="133">
        <v>0</v>
      </c>
      <c r="J155" s="133">
        <v>1000000000</v>
      </c>
      <c r="K155" s="133">
        <v>1</v>
      </c>
      <c r="L155" s="133">
        <v>0.53649999999999998</v>
      </c>
      <c r="M155" s="133" t="s">
        <v>714</v>
      </c>
      <c r="N155" s="133">
        <v>0</v>
      </c>
      <c r="P155" s="133">
        <v>0</v>
      </c>
      <c r="Q155" s="133">
        <v>0.53649999999999998</v>
      </c>
      <c r="R155" s="133">
        <v>0.46</v>
      </c>
      <c r="S155" s="156">
        <v>0.46350000000000002</v>
      </c>
    </row>
    <row r="156" spans="1:19">
      <c r="A156" s="133" t="s">
        <v>1171</v>
      </c>
      <c r="B156" s="133" t="s">
        <v>802</v>
      </c>
      <c r="C156" s="133" t="s">
        <v>995</v>
      </c>
      <c r="D156" s="133" t="s">
        <v>838</v>
      </c>
      <c r="E156" s="133" t="s">
        <v>889</v>
      </c>
      <c r="F156" s="133" t="s">
        <v>707</v>
      </c>
      <c r="G156" s="133" t="s">
        <v>717</v>
      </c>
      <c r="H156" s="133">
        <v>3</v>
      </c>
      <c r="I156" s="133">
        <v>0</v>
      </c>
      <c r="J156" s="133">
        <v>1000000000</v>
      </c>
      <c r="K156" s="133">
        <v>500</v>
      </c>
      <c r="L156" s="133">
        <v>1661</v>
      </c>
      <c r="M156" s="133" t="s">
        <v>997</v>
      </c>
      <c r="N156" s="133">
        <v>0</v>
      </c>
      <c r="P156" s="133">
        <v>0</v>
      </c>
      <c r="Q156" s="133">
        <v>1661</v>
      </c>
      <c r="R156" s="133">
        <v>0</v>
      </c>
      <c r="S156" s="156">
        <v>-2.3220000000000001</v>
      </c>
    </row>
    <row r="157" spans="1:19">
      <c r="A157" s="133" t="s">
        <v>1171</v>
      </c>
      <c r="B157" s="133" t="s">
        <v>802</v>
      </c>
      <c r="C157" s="133" t="s">
        <v>995</v>
      </c>
      <c r="D157" s="133" t="s">
        <v>921</v>
      </c>
      <c r="E157" s="133" t="s">
        <v>923</v>
      </c>
      <c r="F157" s="133" t="s">
        <v>939</v>
      </c>
      <c r="G157" s="133" t="s">
        <v>718</v>
      </c>
      <c r="H157" s="133">
        <v>0.04</v>
      </c>
      <c r="I157" s="133">
        <v>0</v>
      </c>
      <c r="J157" s="133">
        <v>1000000000</v>
      </c>
      <c r="K157" s="133">
        <v>500</v>
      </c>
      <c r="L157" s="133">
        <v>3990</v>
      </c>
      <c r="M157" s="133" t="s">
        <v>997</v>
      </c>
      <c r="N157" s="133">
        <v>0</v>
      </c>
      <c r="P157" s="133">
        <v>0</v>
      </c>
      <c r="Q157" s="133">
        <v>3990</v>
      </c>
      <c r="R157" s="133">
        <v>0</v>
      </c>
      <c r="S157" s="156">
        <v>-6.98</v>
      </c>
    </row>
    <row r="158" spans="1:19">
      <c r="A158" s="133" t="s">
        <v>1171</v>
      </c>
      <c r="B158" s="133" t="s">
        <v>802</v>
      </c>
      <c r="C158" s="133" t="s">
        <v>995</v>
      </c>
      <c r="D158" s="133" t="s">
        <v>643</v>
      </c>
      <c r="E158" s="133" t="s">
        <v>644</v>
      </c>
      <c r="F158" s="133" t="s">
        <v>712</v>
      </c>
      <c r="G158" s="133" t="s">
        <v>717</v>
      </c>
      <c r="H158" s="133">
        <v>1207.72</v>
      </c>
      <c r="I158" s="133">
        <v>0</v>
      </c>
      <c r="J158" s="133">
        <v>1000000000</v>
      </c>
      <c r="K158" s="133">
        <v>4</v>
      </c>
      <c r="L158" s="133">
        <v>5.5798800000000002</v>
      </c>
      <c r="M158" s="133" t="s">
        <v>997</v>
      </c>
      <c r="N158" s="133">
        <v>0</v>
      </c>
      <c r="P158" s="133">
        <v>0</v>
      </c>
      <c r="Q158" s="133">
        <v>5.5798800000000002</v>
      </c>
      <c r="R158" s="133">
        <v>0</v>
      </c>
      <c r="S158" s="156">
        <v>-0.39497000000000004</v>
      </c>
    </row>
    <row r="159" spans="1:19">
      <c r="A159" s="133" t="s">
        <v>1171</v>
      </c>
      <c r="B159" s="133" t="s">
        <v>802</v>
      </c>
      <c r="C159" s="133" t="s">
        <v>995</v>
      </c>
      <c r="D159" s="133" t="s">
        <v>645</v>
      </c>
      <c r="E159" s="133" t="s">
        <v>646</v>
      </c>
      <c r="F159" s="133" t="s">
        <v>707</v>
      </c>
      <c r="G159" s="133" t="s">
        <v>717</v>
      </c>
      <c r="H159" s="133">
        <v>251.11</v>
      </c>
      <c r="I159" s="133">
        <v>0</v>
      </c>
      <c r="J159" s="133">
        <v>1000000000</v>
      </c>
      <c r="K159" s="133">
        <v>0</v>
      </c>
      <c r="L159" s="133">
        <v>0.66142999999999996</v>
      </c>
      <c r="M159" s="133" t="s">
        <v>1096</v>
      </c>
      <c r="N159" s="133">
        <v>0</v>
      </c>
      <c r="P159" s="133">
        <v>0</v>
      </c>
      <c r="Q159" s="133">
        <v>0.66142999999999996</v>
      </c>
      <c r="R159" s="133">
        <v>0</v>
      </c>
      <c r="S159" s="156"/>
    </row>
    <row r="160" spans="1:19">
      <c r="A160" s="133" t="s">
        <v>1171</v>
      </c>
      <c r="B160" s="133" t="s">
        <v>802</v>
      </c>
      <c r="C160" s="133" t="s">
        <v>995</v>
      </c>
      <c r="D160" s="133" t="s">
        <v>1172</v>
      </c>
      <c r="E160" s="133" t="s">
        <v>1173</v>
      </c>
      <c r="F160" s="133" t="s">
        <v>707</v>
      </c>
      <c r="G160" s="133" t="s">
        <v>761</v>
      </c>
      <c r="H160" s="133">
        <v>0.35</v>
      </c>
      <c r="I160" s="133">
        <v>0</v>
      </c>
      <c r="J160" s="133">
        <v>1000000000</v>
      </c>
      <c r="K160" s="133">
        <v>800</v>
      </c>
      <c r="L160" s="133">
        <v>938</v>
      </c>
      <c r="M160" s="133" t="s">
        <v>997</v>
      </c>
      <c r="N160" s="133">
        <v>0</v>
      </c>
      <c r="P160" s="133">
        <v>0</v>
      </c>
      <c r="Q160" s="133">
        <v>938</v>
      </c>
      <c r="R160" s="133">
        <v>0</v>
      </c>
      <c r="S160" s="156">
        <v>-0.17249999999999999</v>
      </c>
    </row>
    <row r="161" spans="1:19">
      <c r="A161" s="133" t="s">
        <v>1171</v>
      </c>
      <c r="B161" s="133" t="s">
        <v>802</v>
      </c>
      <c r="C161" s="133" t="s">
        <v>995</v>
      </c>
      <c r="D161" s="133" t="s">
        <v>653</v>
      </c>
      <c r="E161" s="133" t="s">
        <v>654</v>
      </c>
      <c r="F161" s="133" t="s">
        <v>707</v>
      </c>
      <c r="G161" s="133" t="s">
        <v>761</v>
      </c>
      <c r="H161" s="133">
        <v>123</v>
      </c>
      <c r="I161" s="133">
        <v>0</v>
      </c>
      <c r="J161" s="133">
        <v>1000000000</v>
      </c>
      <c r="K161" s="133">
        <v>0</v>
      </c>
      <c r="L161" s="133">
        <v>2</v>
      </c>
      <c r="M161" s="133" t="s">
        <v>1096</v>
      </c>
      <c r="N161" s="133">
        <v>0</v>
      </c>
      <c r="P161" s="133">
        <v>0</v>
      </c>
      <c r="Q161" s="133">
        <v>2</v>
      </c>
      <c r="R161" s="133">
        <v>0</v>
      </c>
      <c r="S161" s="156"/>
    </row>
    <row r="162" spans="1:19">
      <c r="A162" s="133" t="s">
        <v>1171</v>
      </c>
      <c r="B162" s="133" t="s">
        <v>802</v>
      </c>
      <c r="C162" s="133" t="s">
        <v>995</v>
      </c>
      <c r="D162" s="133" t="s">
        <v>655</v>
      </c>
      <c r="E162" s="133" t="s">
        <v>656</v>
      </c>
      <c r="F162" s="133" t="s">
        <v>707</v>
      </c>
      <c r="G162" s="133" t="s">
        <v>761</v>
      </c>
      <c r="H162" s="133">
        <v>24.6</v>
      </c>
      <c r="I162" s="133">
        <v>0</v>
      </c>
      <c r="J162" s="133">
        <v>1000000000</v>
      </c>
      <c r="K162" s="133">
        <v>0</v>
      </c>
      <c r="L162" s="133">
        <v>0</v>
      </c>
      <c r="M162" s="133" t="s">
        <v>1096</v>
      </c>
      <c r="N162" s="133">
        <v>0</v>
      </c>
      <c r="P162" s="133">
        <v>0</v>
      </c>
      <c r="Q162" s="133">
        <v>0</v>
      </c>
      <c r="R162" s="133">
        <v>0</v>
      </c>
      <c r="S162" s="156"/>
    </row>
    <row r="163" spans="1:19">
      <c r="A163" s="133" t="s">
        <v>1171</v>
      </c>
      <c r="B163" s="133" t="s">
        <v>802</v>
      </c>
      <c r="C163" s="133" t="s">
        <v>995</v>
      </c>
      <c r="D163" s="133" t="s">
        <v>657</v>
      </c>
      <c r="E163" s="133" t="s">
        <v>658</v>
      </c>
      <c r="F163" s="133" t="s">
        <v>707</v>
      </c>
      <c r="G163" s="133" t="s">
        <v>761</v>
      </c>
      <c r="H163" s="133">
        <v>6.15</v>
      </c>
      <c r="I163" s="133">
        <v>0</v>
      </c>
      <c r="J163" s="133">
        <v>1000000000</v>
      </c>
      <c r="K163" s="133">
        <v>0</v>
      </c>
      <c r="L163" s="133">
        <v>0</v>
      </c>
      <c r="M163" s="133" t="s">
        <v>1096</v>
      </c>
      <c r="N163" s="133">
        <v>0</v>
      </c>
      <c r="P163" s="133">
        <v>0</v>
      </c>
      <c r="Q163" s="133">
        <v>0</v>
      </c>
      <c r="R163" s="133">
        <v>0</v>
      </c>
      <c r="S163" s="156"/>
    </row>
    <row r="164" spans="1:19">
      <c r="A164" s="133" t="s">
        <v>1171</v>
      </c>
      <c r="B164" s="133" t="s">
        <v>802</v>
      </c>
      <c r="C164" s="133" t="s">
        <v>1174</v>
      </c>
      <c r="D164" s="133" t="s">
        <v>75</v>
      </c>
      <c r="E164" s="133" t="s">
        <v>76</v>
      </c>
      <c r="F164" s="133" t="s">
        <v>709</v>
      </c>
      <c r="G164" s="133" t="s">
        <v>717</v>
      </c>
      <c r="H164" s="133">
        <v>36.119999999999997</v>
      </c>
      <c r="I164" s="133">
        <v>0</v>
      </c>
      <c r="J164" s="133">
        <v>1000000000</v>
      </c>
      <c r="K164" s="133">
        <v>0</v>
      </c>
      <c r="L164" s="133">
        <v>0</v>
      </c>
      <c r="M164" s="133" t="s">
        <v>1096</v>
      </c>
      <c r="N164" s="133">
        <v>0</v>
      </c>
      <c r="P164" s="133">
        <v>0</v>
      </c>
      <c r="Q164" s="133">
        <v>0</v>
      </c>
      <c r="R164" s="133">
        <v>0</v>
      </c>
      <c r="S164" s="156"/>
    </row>
    <row r="165" spans="1:19">
      <c r="A165" s="133" t="s">
        <v>1171</v>
      </c>
      <c r="B165" s="133" t="s">
        <v>802</v>
      </c>
      <c r="C165" s="133" t="s">
        <v>1174</v>
      </c>
      <c r="D165" s="133" t="s">
        <v>77</v>
      </c>
      <c r="E165" s="133" t="s">
        <v>78</v>
      </c>
      <c r="F165" s="133" t="s">
        <v>709</v>
      </c>
      <c r="G165" s="133" t="s">
        <v>717</v>
      </c>
      <c r="H165" s="133">
        <v>1.03</v>
      </c>
      <c r="I165" s="133">
        <v>0</v>
      </c>
      <c r="J165" s="133">
        <v>1000000000</v>
      </c>
      <c r="K165" s="133">
        <v>0</v>
      </c>
      <c r="L165" s="133">
        <v>0</v>
      </c>
      <c r="M165" s="133" t="s">
        <v>1096</v>
      </c>
      <c r="N165" s="133">
        <v>0</v>
      </c>
      <c r="P165" s="133">
        <v>0</v>
      </c>
      <c r="Q165" s="133">
        <v>0</v>
      </c>
      <c r="R165" s="133">
        <v>0</v>
      </c>
      <c r="S165" s="156"/>
    </row>
    <row r="166" spans="1:19">
      <c r="A166" s="133" t="s">
        <v>1171</v>
      </c>
      <c r="B166" s="133" t="s">
        <v>873</v>
      </c>
      <c r="C166" s="133" t="s">
        <v>1174</v>
      </c>
      <c r="D166" s="133" t="s">
        <v>79</v>
      </c>
      <c r="E166" s="133" t="s">
        <v>80</v>
      </c>
      <c r="F166" s="133" t="s">
        <v>709</v>
      </c>
      <c r="G166" s="133" t="s">
        <v>717</v>
      </c>
      <c r="H166" s="133">
        <v>2649.23</v>
      </c>
      <c r="I166" s="133">
        <v>0</v>
      </c>
      <c r="J166" s="133">
        <v>1000000000</v>
      </c>
      <c r="K166" s="133">
        <v>9</v>
      </c>
      <c r="L166" s="133">
        <v>2.75E-2</v>
      </c>
      <c r="M166" s="133" t="s">
        <v>996</v>
      </c>
      <c r="N166" s="133">
        <v>3</v>
      </c>
      <c r="P166" s="133">
        <v>0</v>
      </c>
      <c r="Q166" s="133">
        <v>3.0274999999999999</v>
      </c>
      <c r="R166" s="133">
        <v>5.97</v>
      </c>
      <c r="S166" s="156">
        <v>0.99694444444444441</v>
      </c>
    </row>
    <row r="167" spans="1:19">
      <c r="A167" s="133" t="s">
        <v>1171</v>
      </c>
      <c r="B167" s="133" t="s">
        <v>873</v>
      </c>
      <c r="C167" s="133" t="s">
        <v>1174</v>
      </c>
      <c r="D167" s="133" t="s">
        <v>154</v>
      </c>
      <c r="E167" s="133" t="s">
        <v>155</v>
      </c>
      <c r="F167" s="133" t="s">
        <v>712</v>
      </c>
      <c r="G167" s="133" t="s">
        <v>720</v>
      </c>
      <c r="H167" s="133">
        <v>2.4</v>
      </c>
      <c r="I167" s="133">
        <v>0</v>
      </c>
      <c r="J167" s="133">
        <v>1000000000</v>
      </c>
      <c r="K167" s="133">
        <v>0</v>
      </c>
      <c r="L167" s="133">
        <v>15</v>
      </c>
      <c r="M167" s="133" t="s">
        <v>1096</v>
      </c>
      <c r="N167" s="133">
        <v>0</v>
      </c>
      <c r="P167" s="133">
        <v>0</v>
      </c>
      <c r="Q167" s="133">
        <v>15</v>
      </c>
      <c r="R167" s="133">
        <v>0</v>
      </c>
      <c r="S167" s="156"/>
    </row>
    <row r="168" spans="1:19">
      <c r="A168" s="133" t="s">
        <v>1171</v>
      </c>
      <c r="B168" s="133" t="s">
        <v>873</v>
      </c>
      <c r="C168" s="133" t="s">
        <v>1174</v>
      </c>
      <c r="D168" s="133" t="s">
        <v>156</v>
      </c>
      <c r="E168" s="133" t="s">
        <v>1091</v>
      </c>
      <c r="F168" s="133" t="s">
        <v>712</v>
      </c>
      <c r="G168" s="133" t="s">
        <v>1094</v>
      </c>
      <c r="H168" s="133">
        <v>4.79</v>
      </c>
      <c r="I168" s="133">
        <v>0</v>
      </c>
      <c r="J168" s="133">
        <v>1000000000</v>
      </c>
      <c r="K168" s="133">
        <v>0</v>
      </c>
      <c r="L168" s="133">
        <v>3000</v>
      </c>
      <c r="M168" s="133" t="s">
        <v>1096</v>
      </c>
      <c r="N168" s="133">
        <v>2000</v>
      </c>
      <c r="P168" s="133">
        <v>0</v>
      </c>
      <c r="Q168" s="133">
        <v>5000</v>
      </c>
      <c r="R168" s="133">
        <v>0</v>
      </c>
      <c r="S168" s="156"/>
    </row>
    <row r="169" spans="1:19">
      <c r="A169" s="133" t="s">
        <v>1171</v>
      </c>
      <c r="B169" s="133" t="s">
        <v>873</v>
      </c>
      <c r="C169" s="133" t="s">
        <v>1174</v>
      </c>
      <c r="D169" s="133" t="s">
        <v>156</v>
      </c>
      <c r="E169" s="133" t="s">
        <v>157</v>
      </c>
      <c r="F169" s="133" t="s">
        <v>712</v>
      </c>
      <c r="G169" s="133" t="s">
        <v>720</v>
      </c>
      <c r="H169" s="133">
        <v>4.79</v>
      </c>
      <c r="I169" s="133">
        <v>0</v>
      </c>
      <c r="J169" s="133">
        <v>1000000000</v>
      </c>
      <c r="K169" s="133">
        <v>0</v>
      </c>
      <c r="L169" s="133">
        <v>3000</v>
      </c>
      <c r="M169" s="133" t="s">
        <v>1096</v>
      </c>
      <c r="N169" s="133">
        <v>2000</v>
      </c>
      <c r="P169" s="133">
        <v>0</v>
      </c>
      <c r="Q169" s="133">
        <v>5000</v>
      </c>
      <c r="R169" s="133">
        <v>0</v>
      </c>
      <c r="S169" s="156"/>
    </row>
    <row r="170" spans="1:19">
      <c r="A170" s="133" t="s">
        <v>1171</v>
      </c>
      <c r="B170" s="133" t="s">
        <v>873</v>
      </c>
      <c r="C170" s="133" t="s">
        <v>1174</v>
      </c>
      <c r="D170" s="133" t="s">
        <v>158</v>
      </c>
      <c r="E170" s="133" t="s">
        <v>159</v>
      </c>
      <c r="F170" s="133" t="s">
        <v>712</v>
      </c>
      <c r="G170" s="133" t="s">
        <v>720</v>
      </c>
      <c r="H170" s="133">
        <v>219.3</v>
      </c>
      <c r="I170" s="133">
        <v>0</v>
      </c>
      <c r="J170" s="133">
        <v>1000000000</v>
      </c>
      <c r="K170" s="133">
        <v>0</v>
      </c>
      <c r="L170" s="133">
        <v>44.03</v>
      </c>
      <c r="M170" s="133" t="s">
        <v>1096</v>
      </c>
      <c r="N170" s="133">
        <v>60</v>
      </c>
      <c r="P170" s="133">
        <v>0</v>
      </c>
      <c r="Q170" s="133">
        <v>104.03</v>
      </c>
      <c r="R170" s="133">
        <v>0</v>
      </c>
      <c r="S170" s="156"/>
    </row>
    <row r="171" spans="1:19">
      <c r="A171" s="133" t="s">
        <v>1171</v>
      </c>
      <c r="B171" s="133" t="s">
        <v>873</v>
      </c>
      <c r="C171" s="133" t="s">
        <v>1174</v>
      </c>
      <c r="D171" s="133" t="s">
        <v>836</v>
      </c>
      <c r="E171" s="133" t="s">
        <v>842</v>
      </c>
      <c r="F171" s="133" t="s">
        <v>712</v>
      </c>
      <c r="G171" s="133" t="s">
        <v>720</v>
      </c>
      <c r="H171" s="133">
        <v>209.42</v>
      </c>
      <c r="I171" s="133">
        <v>0</v>
      </c>
      <c r="J171" s="133">
        <v>1000000000</v>
      </c>
      <c r="K171" s="133">
        <v>0</v>
      </c>
      <c r="L171" s="133">
        <v>65.23</v>
      </c>
      <c r="M171" s="133" t="s">
        <v>1096</v>
      </c>
      <c r="N171" s="133">
        <v>0</v>
      </c>
      <c r="P171" s="133">
        <v>0</v>
      </c>
      <c r="Q171" s="133">
        <v>65.23</v>
      </c>
      <c r="R171" s="133">
        <v>0</v>
      </c>
      <c r="S171" s="156"/>
    </row>
    <row r="172" spans="1:19">
      <c r="A172" s="133" t="s">
        <v>1171</v>
      </c>
      <c r="B172" s="133" t="s">
        <v>873</v>
      </c>
      <c r="C172" s="133" t="s">
        <v>1174</v>
      </c>
      <c r="D172" s="133" t="s">
        <v>1089</v>
      </c>
      <c r="E172" s="133" t="s">
        <v>1090</v>
      </c>
      <c r="F172" s="133" t="s">
        <v>712</v>
      </c>
      <c r="G172" s="133" t="s">
        <v>1094</v>
      </c>
      <c r="H172" s="133">
        <v>4.37</v>
      </c>
      <c r="I172" s="133">
        <v>0</v>
      </c>
      <c r="J172" s="133">
        <v>1000000000</v>
      </c>
      <c r="K172" s="133">
        <v>0</v>
      </c>
      <c r="L172" s="133">
        <v>0</v>
      </c>
      <c r="M172" s="133" t="s">
        <v>1096</v>
      </c>
      <c r="N172" s="133">
        <v>3000</v>
      </c>
      <c r="P172" s="133">
        <v>0</v>
      </c>
      <c r="Q172" s="133">
        <v>3000</v>
      </c>
      <c r="R172" s="133">
        <v>0</v>
      </c>
      <c r="S172" s="156"/>
    </row>
    <row r="173" spans="1:19">
      <c r="A173" s="133" t="s">
        <v>1171</v>
      </c>
      <c r="B173" s="133" t="s">
        <v>802</v>
      </c>
      <c r="C173" s="133" t="s">
        <v>1174</v>
      </c>
      <c r="D173" s="133" t="s">
        <v>160</v>
      </c>
      <c r="E173" s="133" t="s">
        <v>161</v>
      </c>
      <c r="F173" s="133" t="s">
        <v>708</v>
      </c>
      <c r="G173" s="133" t="s">
        <v>717</v>
      </c>
      <c r="H173" s="133">
        <v>20001</v>
      </c>
      <c r="I173" s="133">
        <v>0</v>
      </c>
      <c r="J173" s="133">
        <v>1000000000</v>
      </c>
      <c r="K173" s="133">
        <v>2</v>
      </c>
      <c r="L173" s="133">
        <v>0.56950000000000001</v>
      </c>
      <c r="M173" s="133" t="s">
        <v>996</v>
      </c>
      <c r="N173" s="133">
        <v>0</v>
      </c>
      <c r="P173" s="133">
        <v>0</v>
      </c>
      <c r="Q173" s="133">
        <v>0.56950000000000001</v>
      </c>
      <c r="R173" s="133">
        <v>1.43</v>
      </c>
      <c r="S173" s="156">
        <v>0.71524999999999994</v>
      </c>
    </row>
    <row r="174" spans="1:19">
      <c r="A174" s="133" t="s">
        <v>1171</v>
      </c>
      <c r="B174" s="133" t="s">
        <v>873</v>
      </c>
      <c r="C174" s="133" t="s">
        <v>1174</v>
      </c>
      <c r="D174" s="133" t="s">
        <v>191</v>
      </c>
      <c r="E174" s="133" t="s">
        <v>192</v>
      </c>
      <c r="F174" s="133" t="s">
        <v>712</v>
      </c>
      <c r="G174" s="133" t="s">
        <v>717</v>
      </c>
      <c r="H174" s="133">
        <v>1578.41</v>
      </c>
      <c r="I174" s="133">
        <v>0</v>
      </c>
      <c r="J174" s="133">
        <v>1000000000</v>
      </c>
      <c r="K174" s="133">
        <v>20</v>
      </c>
      <c r="L174" s="133">
        <v>10.345800000000001</v>
      </c>
      <c r="M174" s="133" t="s">
        <v>714</v>
      </c>
      <c r="N174" s="133">
        <v>0</v>
      </c>
      <c r="P174" s="133">
        <v>0</v>
      </c>
      <c r="Q174" s="133">
        <v>10.345800000000001</v>
      </c>
      <c r="R174" s="133">
        <v>9.65</v>
      </c>
      <c r="S174" s="156">
        <v>0.48270999999999997</v>
      </c>
    </row>
    <row r="175" spans="1:19">
      <c r="A175" s="133" t="s">
        <v>1171</v>
      </c>
      <c r="B175" s="133" t="s">
        <v>873</v>
      </c>
      <c r="C175" s="133" t="s">
        <v>1174</v>
      </c>
      <c r="D175" s="133" t="s">
        <v>193</v>
      </c>
      <c r="E175" s="133" t="s">
        <v>194</v>
      </c>
      <c r="F175" s="133" t="s">
        <v>712</v>
      </c>
      <c r="G175" s="133" t="s">
        <v>720</v>
      </c>
      <c r="H175" s="133">
        <v>0.64</v>
      </c>
      <c r="I175" s="133">
        <v>0</v>
      </c>
      <c r="J175" s="133">
        <v>1000000000</v>
      </c>
      <c r="K175" s="133">
        <v>3000</v>
      </c>
      <c r="L175" s="133">
        <v>0</v>
      </c>
      <c r="M175" s="133" t="s">
        <v>999</v>
      </c>
      <c r="N175" s="133">
        <v>0</v>
      </c>
      <c r="P175" s="133">
        <v>0</v>
      </c>
      <c r="Q175" s="133">
        <v>0</v>
      </c>
      <c r="R175" s="133">
        <v>3000</v>
      </c>
      <c r="S175" s="156">
        <v>1</v>
      </c>
    </row>
    <row r="176" spans="1:19">
      <c r="A176" s="133" t="s">
        <v>1171</v>
      </c>
      <c r="B176" s="133" t="s">
        <v>873</v>
      </c>
      <c r="C176" s="133" t="s">
        <v>1174</v>
      </c>
      <c r="D176" s="133" t="s">
        <v>195</v>
      </c>
      <c r="E176" s="133" t="s">
        <v>196</v>
      </c>
      <c r="F176" s="133" t="s">
        <v>712</v>
      </c>
      <c r="G176" s="133" t="s">
        <v>720</v>
      </c>
      <c r="H176" s="133">
        <v>141.55000000000001</v>
      </c>
      <c r="I176" s="133">
        <v>0</v>
      </c>
      <c r="J176" s="133">
        <v>1000000000</v>
      </c>
      <c r="K176" s="133">
        <v>150</v>
      </c>
      <c r="L176" s="133">
        <v>108.0245</v>
      </c>
      <c r="M176" s="133" t="s">
        <v>998</v>
      </c>
      <c r="N176" s="133">
        <v>40</v>
      </c>
      <c r="P176" s="133">
        <v>0</v>
      </c>
      <c r="Q176" s="133">
        <v>148.02449999999999</v>
      </c>
      <c r="R176" s="133">
        <v>1.98</v>
      </c>
      <c r="S176" s="156">
        <v>0.27983666666666662</v>
      </c>
    </row>
    <row r="177" spans="1:19">
      <c r="A177" s="133" t="s">
        <v>1171</v>
      </c>
      <c r="B177" s="133" t="s">
        <v>873</v>
      </c>
      <c r="C177" s="133" t="s">
        <v>1174</v>
      </c>
      <c r="D177" s="133" t="s">
        <v>197</v>
      </c>
      <c r="E177" s="133" t="s">
        <v>198</v>
      </c>
      <c r="F177" s="133" t="s">
        <v>712</v>
      </c>
      <c r="G177" s="133" t="s">
        <v>720</v>
      </c>
      <c r="H177" s="133">
        <v>141.16</v>
      </c>
      <c r="I177" s="133">
        <v>0</v>
      </c>
      <c r="J177" s="133">
        <v>1000000000</v>
      </c>
      <c r="K177" s="133">
        <v>0</v>
      </c>
      <c r="L177" s="133">
        <v>0</v>
      </c>
      <c r="M177" s="133" t="s">
        <v>1096</v>
      </c>
      <c r="N177" s="133">
        <v>0</v>
      </c>
      <c r="P177" s="133">
        <v>0</v>
      </c>
      <c r="Q177" s="133">
        <v>0</v>
      </c>
      <c r="R177" s="133">
        <v>0</v>
      </c>
      <c r="S177" s="156"/>
    </row>
    <row r="178" spans="1:19">
      <c r="A178" s="133" t="s">
        <v>1171</v>
      </c>
      <c r="B178" s="133" t="s">
        <v>873</v>
      </c>
      <c r="C178" s="133" t="s">
        <v>1174</v>
      </c>
      <c r="D178" s="133" t="s">
        <v>199</v>
      </c>
      <c r="E178" s="133" t="s">
        <v>200</v>
      </c>
      <c r="F178" s="133" t="s">
        <v>712</v>
      </c>
      <c r="G178" s="133" t="s">
        <v>720</v>
      </c>
      <c r="H178" s="133">
        <v>6.23</v>
      </c>
      <c r="I178" s="133">
        <v>0</v>
      </c>
      <c r="J178" s="133">
        <v>1000000000</v>
      </c>
      <c r="K178" s="133">
        <v>1000</v>
      </c>
      <c r="L178" s="133">
        <v>1767</v>
      </c>
      <c r="M178" s="133" t="s">
        <v>997</v>
      </c>
      <c r="N178" s="133">
        <v>0</v>
      </c>
      <c r="P178" s="133">
        <v>0</v>
      </c>
      <c r="Q178" s="133">
        <v>1767</v>
      </c>
      <c r="R178" s="133">
        <v>0</v>
      </c>
      <c r="S178" s="156">
        <v>-0.76700000000000002</v>
      </c>
    </row>
    <row r="179" spans="1:19">
      <c r="A179" s="133" t="s">
        <v>1171</v>
      </c>
      <c r="B179" s="133" t="s">
        <v>873</v>
      </c>
      <c r="C179" s="133" t="s">
        <v>1174</v>
      </c>
      <c r="D179" s="133" t="s">
        <v>201</v>
      </c>
      <c r="E179" s="133" t="s">
        <v>202</v>
      </c>
      <c r="F179" s="133" t="s">
        <v>712</v>
      </c>
      <c r="G179" s="133" t="s">
        <v>720</v>
      </c>
      <c r="H179" s="133">
        <v>1.27</v>
      </c>
      <c r="I179" s="133">
        <v>0</v>
      </c>
      <c r="J179" s="133">
        <v>1000000000</v>
      </c>
      <c r="K179" s="133">
        <v>7000</v>
      </c>
      <c r="L179" s="133">
        <v>197</v>
      </c>
      <c r="M179" s="133" t="s">
        <v>996</v>
      </c>
      <c r="N179" s="133">
        <v>2000</v>
      </c>
      <c r="P179" s="133">
        <v>0</v>
      </c>
      <c r="Q179" s="133">
        <v>2197</v>
      </c>
      <c r="R179" s="133">
        <v>4803</v>
      </c>
      <c r="S179" s="156">
        <v>0.97185714285714286</v>
      </c>
    </row>
    <row r="180" spans="1:19">
      <c r="A180" s="133" t="s">
        <v>1171</v>
      </c>
      <c r="B180" s="133" t="s">
        <v>873</v>
      </c>
      <c r="C180" s="133" t="s">
        <v>1174</v>
      </c>
      <c r="D180" s="133" t="s">
        <v>203</v>
      </c>
      <c r="E180" s="133" t="s">
        <v>204</v>
      </c>
      <c r="F180" s="133" t="s">
        <v>709</v>
      </c>
      <c r="G180" s="133" t="s">
        <v>720</v>
      </c>
      <c r="H180" s="133">
        <v>1.32</v>
      </c>
      <c r="I180" s="133">
        <v>0</v>
      </c>
      <c r="J180" s="133">
        <v>1000000000</v>
      </c>
      <c r="K180" s="133">
        <v>3000</v>
      </c>
      <c r="L180" s="133">
        <v>66</v>
      </c>
      <c r="M180" s="133" t="s">
        <v>996</v>
      </c>
      <c r="N180" s="133">
        <v>4000</v>
      </c>
      <c r="P180" s="133">
        <v>0</v>
      </c>
      <c r="Q180" s="133">
        <v>4066</v>
      </c>
      <c r="R180" s="133">
        <v>0</v>
      </c>
      <c r="S180" s="156">
        <v>0.97799999999999998</v>
      </c>
    </row>
    <row r="181" spans="1:19">
      <c r="A181" s="133" t="s">
        <v>1171</v>
      </c>
      <c r="B181" s="133" t="s">
        <v>873</v>
      </c>
      <c r="C181" s="133" t="s">
        <v>1174</v>
      </c>
      <c r="D181" s="133" t="s">
        <v>837</v>
      </c>
      <c r="E181" s="133" t="s">
        <v>843</v>
      </c>
      <c r="F181" s="133" t="s">
        <v>709</v>
      </c>
      <c r="G181" s="133" t="s">
        <v>720</v>
      </c>
      <c r="H181" s="133">
        <v>214.66</v>
      </c>
      <c r="I181" s="133">
        <v>0</v>
      </c>
      <c r="J181" s="133">
        <v>1000000000</v>
      </c>
      <c r="K181" s="133">
        <v>50</v>
      </c>
      <c r="L181" s="133">
        <v>50.837440000000001</v>
      </c>
      <c r="M181" s="133" t="s">
        <v>997</v>
      </c>
      <c r="N181" s="133">
        <v>0</v>
      </c>
      <c r="P181" s="133">
        <v>0</v>
      </c>
      <c r="Q181" s="133">
        <v>50.837440000000001</v>
      </c>
      <c r="R181" s="133">
        <v>0</v>
      </c>
      <c r="S181" s="156">
        <v>-1.6748800000000019E-2</v>
      </c>
    </row>
    <row r="182" spans="1:19">
      <c r="A182" s="133" t="s">
        <v>1171</v>
      </c>
      <c r="B182" s="133" t="s">
        <v>873</v>
      </c>
      <c r="C182" s="133" t="s">
        <v>1174</v>
      </c>
      <c r="D182" s="133" t="s">
        <v>205</v>
      </c>
      <c r="E182" s="133" t="s">
        <v>206</v>
      </c>
      <c r="F182" s="133" t="s">
        <v>709</v>
      </c>
      <c r="G182" s="133" t="s">
        <v>720</v>
      </c>
      <c r="H182" s="133">
        <v>3.47</v>
      </c>
      <c r="I182" s="133">
        <v>0</v>
      </c>
      <c r="J182" s="133">
        <v>1000000000</v>
      </c>
      <c r="K182" s="133">
        <v>0</v>
      </c>
      <c r="L182" s="133">
        <v>0</v>
      </c>
      <c r="M182" s="133" t="s">
        <v>1096</v>
      </c>
      <c r="N182" s="133">
        <v>0</v>
      </c>
      <c r="P182" s="133">
        <v>0</v>
      </c>
      <c r="Q182" s="133">
        <v>0</v>
      </c>
      <c r="R182" s="133">
        <v>0</v>
      </c>
      <c r="S182" s="156"/>
    </row>
    <row r="183" spans="1:19">
      <c r="A183" s="133" t="s">
        <v>1171</v>
      </c>
      <c r="B183" s="133" t="s">
        <v>873</v>
      </c>
      <c r="C183" s="133" t="s">
        <v>1174</v>
      </c>
      <c r="D183" s="133" t="s">
        <v>213</v>
      </c>
      <c r="E183" s="133" t="s">
        <v>214</v>
      </c>
      <c r="F183" s="133" t="s">
        <v>709</v>
      </c>
      <c r="G183" s="133" t="s">
        <v>720</v>
      </c>
      <c r="H183" s="133">
        <v>2.4300000000000002</v>
      </c>
      <c r="I183" s="133">
        <v>0</v>
      </c>
      <c r="J183" s="133">
        <v>1000000000</v>
      </c>
      <c r="K183" s="133">
        <v>7500</v>
      </c>
      <c r="L183" s="133">
        <v>386</v>
      </c>
      <c r="M183" s="133" t="s">
        <v>996</v>
      </c>
      <c r="N183" s="133">
        <v>2000</v>
      </c>
      <c r="P183" s="133">
        <v>0</v>
      </c>
      <c r="Q183" s="133">
        <v>2386</v>
      </c>
      <c r="R183" s="133">
        <v>5114</v>
      </c>
      <c r="S183" s="156">
        <v>0.94853333333333334</v>
      </c>
    </row>
    <row r="184" spans="1:19">
      <c r="A184" s="133" t="s">
        <v>1171</v>
      </c>
      <c r="B184" s="133" t="s">
        <v>873</v>
      </c>
      <c r="C184" s="133" t="s">
        <v>1174</v>
      </c>
      <c r="D184" s="133" t="s">
        <v>1092</v>
      </c>
      <c r="E184" s="133" t="s">
        <v>1093</v>
      </c>
      <c r="F184" s="133" t="s">
        <v>1095</v>
      </c>
      <c r="G184" s="133" t="s">
        <v>720</v>
      </c>
      <c r="H184" s="133">
        <v>2.29</v>
      </c>
      <c r="I184" s="133">
        <v>0</v>
      </c>
      <c r="J184" s="133">
        <v>1000000000</v>
      </c>
      <c r="K184" s="133">
        <v>5000</v>
      </c>
      <c r="L184" s="133">
        <v>0</v>
      </c>
      <c r="M184" s="133" t="s">
        <v>999</v>
      </c>
      <c r="N184" s="133">
        <v>3000</v>
      </c>
      <c r="P184" s="133">
        <v>0</v>
      </c>
      <c r="Q184" s="133">
        <v>3000</v>
      </c>
      <c r="R184" s="133">
        <v>2000</v>
      </c>
      <c r="S184" s="156">
        <v>1</v>
      </c>
    </row>
    <row r="185" spans="1:19">
      <c r="A185" s="133" t="s">
        <v>1171</v>
      </c>
      <c r="B185" s="133" t="s">
        <v>873</v>
      </c>
      <c r="C185" s="133" t="s">
        <v>1174</v>
      </c>
      <c r="D185" s="133" t="s">
        <v>221</v>
      </c>
      <c r="E185" s="133" t="s">
        <v>222</v>
      </c>
      <c r="F185" s="133" t="s">
        <v>709</v>
      </c>
      <c r="G185" s="133" t="s">
        <v>720</v>
      </c>
      <c r="H185" s="133">
        <v>29.7</v>
      </c>
      <c r="I185" s="133">
        <v>0</v>
      </c>
      <c r="J185" s="133">
        <v>1000000000</v>
      </c>
      <c r="K185" s="133">
        <v>600</v>
      </c>
      <c r="L185" s="133">
        <v>90</v>
      </c>
      <c r="M185" s="133" t="s">
        <v>996</v>
      </c>
      <c r="N185" s="133">
        <v>0</v>
      </c>
      <c r="P185" s="133">
        <v>0</v>
      </c>
      <c r="Q185" s="133">
        <v>90</v>
      </c>
      <c r="R185" s="133">
        <v>510</v>
      </c>
      <c r="S185" s="156">
        <v>0.85</v>
      </c>
    </row>
    <row r="186" spans="1:19">
      <c r="A186" s="133" t="s">
        <v>1171</v>
      </c>
      <c r="B186" s="133" t="s">
        <v>873</v>
      </c>
      <c r="C186" s="133" t="s">
        <v>1174</v>
      </c>
      <c r="D186" s="133" t="s">
        <v>225</v>
      </c>
      <c r="E186" s="133" t="s">
        <v>226</v>
      </c>
      <c r="F186" s="133" t="s">
        <v>709</v>
      </c>
      <c r="G186" s="133" t="s">
        <v>720</v>
      </c>
      <c r="H186" s="133">
        <v>1246.6300000000001</v>
      </c>
      <c r="I186" s="133">
        <v>0</v>
      </c>
      <c r="J186" s="133">
        <v>1000000000</v>
      </c>
      <c r="K186" s="133">
        <v>9</v>
      </c>
      <c r="L186" s="133">
        <v>5.9625500000000002</v>
      </c>
      <c r="M186" s="133" t="s">
        <v>714</v>
      </c>
      <c r="N186" s="133">
        <v>3</v>
      </c>
      <c r="P186" s="133">
        <v>0</v>
      </c>
      <c r="Q186" s="133">
        <v>8.9625500000000002</v>
      </c>
      <c r="R186" s="133">
        <v>0.04</v>
      </c>
      <c r="S186" s="156">
        <v>0.33749444444444443</v>
      </c>
    </row>
    <row r="187" spans="1:19">
      <c r="A187" s="133" t="s">
        <v>1171</v>
      </c>
      <c r="B187" s="133" t="s">
        <v>873</v>
      </c>
      <c r="C187" s="133" t="s">
        <v>1174</v>
      </c>
      <c r="D187" s="133" t="s">
        <v>247</v>
      </c>
      <c r="E187" s="133" t="s">
        <v>248</v>
      </c>
      <c r="F187" s="133" t="s">
        <v>788</v>
      </c>
      <c r="G187" s="133" t="s">
        <v>718</v>
      </c>
      <c r="H187" s="133">
        <v>0.2</v>
      </c>
      <c r="I187" s="133">
        <v>0</v>
      </c>
      <c r="J187" s="133">
        <v>1000000000</v>
      </c>
      <c r="K187" s="133">
        <v>5000</v>
      </c>
      <c r="L187" s="133">
        <v>14892</v>
      </c>
      <c r="M187" s="133" t="s">
        <v>997</v>
      </c>
      <c r="N187" s="133">
        <v>0</v>
      </c>
      <c r="P187" s="133">
        <v>0</v>
      </c>
      <c r="Q187" s="133">
        <v>14892</v>
      </c>
      <c r="R187" s="133">
        <v>0</v>
      </c>
      <c r="S187" s="156">
        <v>-1.9783999999999999</v>
      </c>
    </row>
    <row r="188" spans="1:19">
      <c r="A188" s="133" t="s">
        <v>1171</v>
      </c>
      <c r="B188" s="133" t="s">
        <v>873</v>
      </c>
      <c r="C188" s="133" t="s">
        <v>1174</v>
      </c>
      <c r="D188" s="133" t="s">
        <v>249</v>
      </c>
      <c r="E188" s="133" t="s">
        <v>250</v>
      </c>
      <c r="F188" s="133" t="s">
        <v>788</v>
      </c>
      <c r="G188" s="133" t="s">
        <v>718</v>
      </c>
      <c r="H188" s="133">
        <v>0.19</v>
      </c>
      <c r="I188" s="133">
        <v>0</v>
      </c>
      <c r="J188" s="133">
        <v>1000000000</v>
      </c>
      <c r="K188" s="133">
        <v>5000</v>
      </c>
      <c r="L188" s="133">
        <v>14545</v>
      </c>
      <c r="M188" s="133" t="s">
        <v>997</v>
      </c>
      <c r="N188" s="133">
        <v>0</v>
      </c>
      <c r="P188" s="133">
        <v>0</v>
      </c>
      <c r="Q188" s="133">
        <v>14545</v>
      </c>
      <c r="R188" s="133">
        <v>0</v>
      </c>
      <c r="S188" s="156">
        <v>-1.909</v>
      </c>
    </row>
    <row r="189" spans="1:19">
      <c r="A189" s="133" t="s">
        <v>1171</v>
      </c>
      <c r="B189" s="133" t="s">
        <v>873</v>
      </c>
      <c r="C189" s="133" t="s">
        <v>1174</v>
      </c>
      <c r="D189" s="133" t="s">
        <v>934</v>
      </c>
      <c r="E189" s="133" t="s">
        <v>935</v>
      </c>
      <c r="F189" s="133" t="s">
        <v>710</v>
      </c>
      <c r="G189" s="133" t="s">
        <v>718</v>
      </c>
      <c r="H189" s="133">
        <v>0.56000000000000005</v>
      </c>
      <c r="I189" s="133">
        <v>0</v>
      </c>
      <c r="J189" s="133">
        <v>1000000000</v>
      </c>
      <c r="K189" s="133">
        <v>3000</v>
      </c>
      <c r="L189" s="133">
        <v>1703</v>
      </c>
      <c r="M189" s="133" t="s">
        <v>714</v>
      </c>
      <c r="N189" s="133">
        <v>0</v>
      </c>
      <c r="P189" s="133">
        <v>0</v>
      </c>
      <c r="Q189" s="133">
        <v>1703</v>
      </c>
      <c r="R189" s="133">
        <v>1297</v>
      </c>
      <c r="S189" s="156">
        <v>0.43233333333333335</v>
      </c>
    </row>
    <row r="190" spans="1:19">
      <c r="A190" s="133" t="s">
        <v>1171</v>
      </c>
      <c r="B190" s="133" t="s">
        <v>873</v>
      </c>
      <c r="C190" s="133" t="s">
        <v>1174</v>
      </c>
      <c r="D190" s="133" t="s">
        <v>251</v>
      </c>
      <c r="E190" s="133" t="s">
        <v>252</v>
      </c>
      <c r="F190" s="133" t="s">
        <v>710</v>
      </c>
      <c r="G190" s="133" t="s">
        <v>718</v>
      </c>
      <c r="H190" s="133">
        <v>1.27</v>
      </c>
      <c r="I190" s="133">
        <v>0</v>
      </c>
      <c r="J190" s="133">
        <v>1000000000</v>
      </c>
      <c r="K190" s="133">
        <v>12000</v>
      </c>
      <c r="L190" s="133">
        <v>9182</v>
      </c>
      <c r="M190" s="133" t="s">
        <v>998</v>
      </c>
      <c r="N190" s="133">
        <v>0</v>
      </c>
      <c r="P190" s="133">
        <v>0</v>
      </c>
      <c r="Q190" s="133">
        <v>9182</v>
      </c>
      <c r="R190" s="133">
        <v>2818</v>
      </c>
      <c r="S190" s="156">
        <v>0.23483333333333334</v>
      </c>
    </row>
    <row r="191" spans="1:19">
      <c r="A191" s="133" t="s">
        <v>1171</v>
      </c>
      <c r="B191" s="133" t="s">
        <v>873</v>
      </c>
      <c r="C191" s="133" t="s">
        <v>1174</v>
      </c>
      <c r="D191" s="133" t="s">
        <v>257</v>
      </c>
      <c r="E191" s="133" t="s">
        <v>258</v>
      </c>
      <c r="F191" s="133" t="s">
        <v>788</v>
      </c>
      <c r="G191" s="133" t="s">
        <v>718</v>
      </c>
      <c r="H191" s="133">
        <v>0.18</v>
      </c>
      <c r="I191" s="133">
        <v>0</v>
      </c>
      <c r="J191" s="133">
        <v>1000000000</v>
      </c>
      <c r="K191" s="133">
        <v>0</v>
      </c>
      <c r="L191" s="133">
        <v>7985</v>
      </c>
      <c r="M191" s="133" t="s">
        <v>1096</v>
      </c>
      <c r="N191" s="133">
        <v>0</v>
      </c>
      <c r="P191" s="133">
        <v>0</v>
      </c>
      <c r="Q191" s="133">
        <v>7985</v>
      </c>
      <c r="R191" s="133">
        <v>0</v>
      </c>
      <c r="S191" s="156"/>
    </row>
    <row r="192" spans="1:19">
      <c r="A192" s="133" t="s">
        <v>1171</v>
      </c>
      <c r="B192" s="133" t="s">
        <v>873</v>
      </c>
      <c r="C192" s="133" t="s">
        <v>1174</v>
      </c>
      <c r="D192" s="133" t="s">
        <v>265</v>
      </c>
      <c r="E192" s="133" t="s">
        <v>266</v>
      </c>
      <c r="F192" s="133" t="s">
        <v>788</v>
      </c>
      <c r="G192" s="133" t="s">
        <v>718</v>
      </c>
      <c r="H192" s="133">
        <v>0.11</v>
      </c>
      <c r="I192" s="133">
        <v>0</v>
      </c>
      <c r="J192" s="133">
        <v>1000000000</v>
      </c>
      <c r="K192" s="133">
        <v>5000</v>
      </c>
      <c r="L192" s="133">
        <v>17446</v>
      </c>
      <c r="M192" s="133" t="s">
        <v>997</v>
      </c>
      <c r="N192" s="133">
        <v>0</v>
      </c>
      <c r="P192" s="133">
        <v>0</v>
      </c>
      <c r="Q192" s="133">
        <v>17446</v>
      </c>
      <c r="R192" s="133">
        <v>0</v>
      </c>
      <c r="S192" s="156">
        <v>-2.4891999999999999</v>
      </c>
    </row>
    <row r="193" spans="1:19">
      <c r="A193" s="133" t="s">
        <v>1171</v>
      </c>
      <c r="B193" s="133" t="s">
        <v>873</v>
      </c>
      <c r="C193" s="133" t="s">
        <v>1174</v>
      </c>
      <c r="D193" s="133" t="s">
        <v>267</v>
      </c>
      <c r="E193" s="133" t="s">
        <v>268</v>
      </c>
      <c r="F193" s="133" t="s">
        <v>788</v>
      </c>
      <c r="G193" s="133" t="s">
        <v>718</v>
      </c>
      <c r="H193" s="133">
        <v>0.22</v>
      </c>
      <c r="I193" s="133">
        <v>0</v>
      </c>
      <c r="J193" s="133">
        <v>1000000000</v>
      </c>
      <c r="K193" s="133">
        <v>0</v>
      </c>
      <c r="L193" s="133">
        <v>5587</v>
      </c>
      <c r="M193" s="133" t="s">
        <v>1096</v>
      </c>
      <c r="N193" s="133">
        <v>0</v>
      </c>
      <c r="P193" s="133">
        <v>0</v>
      </c>
      <c r="Q193" s="133">
        <v>5587</v>
      </c>
      <c r="R193" s="133">
        <v>0</v>
      </c>
      <c r="S193" s="156"/>
    </row>
    <row r="194" spans="1:19">
      <c r="A194" s="133" t="s">
        <v>1171</v>
      </c>
      <c r="B194" s="133" t="s">
        <v>873</v>
      </c>
      <c r="C194" s="133" t="s">
        <v>1174</v>
      </c>
      <c r="D194" s="133" t="s">
        <v>269</v>
      </c>
      <c r="E194" s="133" t="s">
        <v>270</v>
      </c>
      <c r="F194" s="133" t="s">
        <v>788</v>
      </c>
      <c r="G194" s="133" t="s">
        <v>718</v>
      </c>
      <c r="H194" s="133">
        <v>0.12</v>
      </c>
      <c r="I194" s="133">
        <v>0</v>
      </c>
      <c r="J194" s="133">
        <v>1000000000</v>
      </c>
      <c r="K194" s="133">
        <v>0</v>
      </c>
      <c r="L194" s="133">
        <v>12660</v>
      </c>
      <c r="M194" s="133" t="s">
        <v>1096</v>
      </c>
      <c r="N194" s="133">
        <v>0</v>
      </c>
      <c r="P194" s="133">
        <v>0</v>
      </c>
      <c r="Q194" s="133">
        <v>12660</v>
      </c>
      <c r="R194" s="133">
        <v>0</v>
      </c>
      <c r="S194" s="156"/>
    </row>
    <row r="195" spans="1:19">
      <c r="A195" s="133" t="s">
        <v>1171</v>
      </c>
      <c r="B195" s="133" t="s">
        <v>873</v>
      </c>
      <c r="C195" s="133" t="s">
        <v>1174</v>
      </c>
      <c r="D195" s="133" t="s">
        <v>271</v>
      </c>
      <c r="E195" s="133" t="s">
        <v>272</v>
      </c>
      <c r="F195" s="133" t="s">
        <v>788</v>
      </c>
      <c r="G195" s="133" t="s">
        <v>718</v>
      </c>
      <c r="H195" s="133">
        <v>0.14000000000000001</v>
      </c>
      <c r="I195" s="133">
        <v>0</v>
      </c>
      <c r="J195" s="133">
        <v>1000000000</v>
      </c>
      <c r="K195" s="133">
        <v>0</v>
      </c>
      <c r="L195" s="133">
        <v>595</v>
      </c>
      <c r="M195" s="133" t="s">
        <v>1096</v>
      </c>
      <c r="N195" s="133">
        <v>0</v>
      </c>
      <c r="P195" s="133">
        <v>0</v>
      </c>
      <c r="Q195" s="133">
        <v>595</v>
      </c>
      <c r="R195" s="133">
        <v>0</v>
      </c>
      <c r="S195" s="156"/>
    </row>
    <row r="196" spans="1:19">
      <c r="A196" s="133" t="s">
        <v>1171</v>
      </c>
      <c r="B196" s="133" t="s">
        <v>873</v>
      </c>
      <c r="C196" s="133" t="s">
        <v>1174</v>
      </c>
      <c r="D196" s="133" t="s">
        <v>273</v>
      </c>
      <c r="E196" s="133" t="s">
        <v>274</v>
      </c>
      <c r="F196" s="133" t="s">
        <v>788</v>
      </c>
      <c r="G196" s="133" t="s">
        <v>718</v>
      </c>
      <c r="H196" s="133">
        <v>0.14000000000000001</v>
      </c>
      <c r="I196" s="133">
        <v>0</v>
      </c>
      <c r="J196" s="133">
        <v>1000000000</v>
      </c>
      <c r="K196" s="133">
        <v>0</v>
      </c>
      <c r="L196" s="133">
        <v>13237</v>
      </c>
      <c r="M196" s="133" t="s">
        <v>1096</v>
      </c>
      <c r="N196" s="133">
        <v>0</v>
      </c>
      <c r="P196" s="133">
        <v>0</v>
      </c>
      <c r="Q196" s="133">
        <v>13237</v>
      </c>
      <c r="R196" s="133">
        <v>0</v>
      </c>
      <c r="S196" s="156"/>
    </row>
    <row r="197" spans="1:19">
      <c r="A197" s="133" t="s">
        <v>1171</v>
      </c>
      <c r="B197" s="133" t="s">
        <v>873</v>
      </c>
      <c r="C197" s="133" t="s">
        <v>1174</v>
      </c>
      <c r="D197" s="133" t="s">
        <v>468</v>
      </c>
      <c r="E197" s="133" t="s">
        <v>469</v>
      </c>
      <c r="F197" s="133" t="s">
        <v>712</v>
      </c>
      <c r="G197" s="133" t="s">
        <v>720</v>
      </c>
      <c r="H197" s="133">
        <v>0.71</v>
      </c>
      <c r="I197" s="133">
        <v>0</v>
      </c>
      <c r="J197" s="133">
        <v>1000000000</v>
      </c>
      <c r="K197" s="133">
        <v>0</v>
      </c>
      <c r="L197" s="133">
        <v>0</v>
      </c>
      <c r="M197" s="133" t="s">
        <v>1096</v>
      </c>
      <c r="N197" s="133">
        <v>0</v>
      </c>
      <c r="P197" s="133">
        <v>0</v>
      </c>
      <c r="Q197" s="133">
        <v>0</v>
      </c>
      <c r="R197" s="133">
        <v>0</v>
      </c>
      <c r="S197" s="156"/>
    </row>
    <row r="198" spans="1:19">
      <c r="A198" s="133" t="s">
        <v>1171</v>
      </c>
      <c r="B198" s="133" t="s">
        <v>873</v>
      </c>
      <c r="C198" s="133" t="s">
        <v>1174</v>
      </c>
      <c r="D198" s="133" t="s">
        <v>470</v>
      </c>
      <c r="E198" s="133" t="s">
        <v>471</v>
      </c>
      <c r="F198" s="133" t="s">
        <v>712</v>
      </c>
      <c r="G198" s="133" t="s">
        <v>720</v>
      </c>
      <c r="H198" s="133">
        <v>142.54</v>
      </c>
      <c r="I198" s="133">
        <v>0</v>
      </c>
      <c r="J198" s="133">
        <v>1000000000</v>
      </c>
      <c r="K198" s="133">
        <v>60</v>
      </c>
      <c r="L198" s="133">
        <v>60.113999999999997</v>
      </c>
      <c r="M198" s="133" t="s">
        <v>997</v>
      </c>
      <c r="N198" s="133">
        <v>0</v>
      </c>
      <c r="P198" s="133">
        <v>0</v>
      </c>
      <c r="Q198" s="133">
        <v>60.113999999999997</v>
      </c>
      <c r="R198" s="133">
        <v>0</v>
      </c>
      <c r="S198" s="156">
        <v>-1.8999999999999536E-3</v>
      </c>
    </row>
    <row r="199" spans="1:19">
      <c r="A199" s="133" t="s">
        <v>1171</v>
      </c>
      <c r="B199" s="133" t="s">
        <v>873</v>
      </c>
      <c r="C199" s="133" t="s">
        <v>1174</v>
      </c>
      <c r="D199" s="133" t="s">
        <v>487</v>
      </c>
      <c r="E199" s="133" t="s">
        <v>488</v>
      </c>
      <c r="F199" s="133" t="s">
        <v>709</v>
      </c>
      <c r="G199" s="133" t="s">
        <v>720</v>
      </c>
      <c r="H199" s="133">
        <v>3964.26</v>
      </c>
      <c r="I199" s="133">
        <v>0</v>
      </c>
      <c r="J199" s="133">
        <v>1000000000</v>
      </c>
      <c r="K199" s="133">
        <v>11</v>
      </c>
      <c r="L199" s="133">
        <v>3.048</v>
      </c>
      <c r="M199" s="133" t="s">
        <v>996</v>
      </c>
      <c r="N199" s="133">
        <v>3</v>
      </c>
      <c r="P199" s="133">
        <v>0</v>
      </c>
      <c r="Q199" s="133">
        <v>6.048</v>
      </c>
      <c r="R199" s="133">
        <v>4.95</v>
      </c>
      <c r="S199" s="156">
        <v>0.72290909090909095</v>
      </c>
    </row>
    <row r="200" spans="1:19">
      <c r="A200" s="133" t="s">
        <v>1171</v>
      </c>
      <c r="B200" s="133" t="s">
        <v>873</v>
      </c>
      <c r="C200" s="133" t="s">
        <v>1174</v>
      </c>
      <c r="D200" s="133" t="s">
        <v>489</v>
      </c>
      <c r="E200" s="133" t="s">
        <v>490</v>
      </c>
      <c r="F200" s="133" t="s">
        <v>709</v>
      </c>
      <c r="G200" s="133" t="s">
        <v>720</v>
      </c>
      <c r="H200" s="133">
        <v>1.31</v>
      </c>
      <c r="I200" s="133">
        <v>0</v>
      </c>
      <c r="J200" s="133">
        <v>1000000000</v>
      </c>
      <c r="K200" s="133">
        <v>6000</v>
      </c>
      <c r="L200" s="133">
        <v>0</v>
      </c>
      <c r="M200" s="133" t="s">
        <v>999</v>
      </c>
      <c r="N200" s="133">
        <v>3500</v>
      </c>
      <c r="P200" s="133">
        <v>0</v>
      </c>
      <c r="Q200" s="133">
        <v>3500</v>
      </c>
      <c r="R200" s="133">
        <v>2500</v>
      </c>
      <c r="S200" s="156">
        <v>1</v>
      </c>
    </row>
    <row r="201" spans="1:19">
      <c r="A201" s="133" t="s">
        <v>1171</v>
      </c>
      <c r="B201" s="133" t="s">
        <v>873</v>
      </c>
      <c r="C201" s="133" t="s">
        <v>1174</v>
      </c>
      <c r="D201" s="133" t="s">
        <v>491</v>
      </c>
      <c r="E201" s="133" t="s">
        <v>492</v>
      </c>
      <c r="F201" s="133" t="s">
        <v>709</v>
      </c>
      <c r="G201" s="133" t="s">
        <v>720</v>
      </c>
      <c r="H201" s="133">
        <v>0.61</v>
      </c>
      <c r="I201" s="133">
        <v>0</v>
      </c>
      <c r="J201" s="133">
        <v>1000000000</v>
      </c>
      <c r="K201" s="133">
        <v>0</v>
      </c>
      <c r="L201" s="133">
        <v>18</v>
      </c>
      <c r="M201" s="133" t="s">
        <v>1096</v>
      </c>
      <c r="N201" s="133">
        <v>0</v>
      </c>
      <c r="P201" s="133">
        <v>0</v>
      </c>
      <c r="Q201" s="133">
        <v>18</v>
      </c>
      <c r="R201" s="133">
        <v>0</v>
      </c>
      <c r="S201" s="156"/>
    </row>
    <row r="202" spans="1:19">
      <c r="A202" s="133" t="s">
        <v>1171</v>
      </c>
      <c r="B202" s="133" t="s">
        <v>873</v>
      </c>
      <c r="C202" s="133" t="s">
        <v>1174</v>
      </c>
      <c r="D202" s="133" t="s">
        <v>493</v>
      </c>
      <c r="E202" s="133" t="s">
        <v>494</v>
      </c>
      <c r="F202" s="133" t="s">
        <v>709</v>
      </c>
      <c r="G202" s="133" t="s">
        <v>720</v>
      </c>
      <c r="H202" s="133">
        <v>6.26</v>
      </c>
      <c r="I202" s="133">
        <v>0</v>
      </c>
      <c r="J202" s="133">
        <v>1000000000</v>
      </c>
      <c r="K202" s="133">
        <v>0</v>
      </c>
      <c r="L202" s="133">
        <v>64</v>
      </c>
      <c r="M202" s="133" t="s">
        <v>1096</v>
      </c>
      <c r="N202" s="133">
        <v>0</v>
      </c>
      <c r="P202" s="133">
        <v>0</v>
      </c>
      <c r="Q202" s="133">
        <v>64</v>
      </c>
      <c r="R202" s="133">
        <v>0</v>
      </c>
      <c r="S202" s="156"/>
    </row>
    <row r="203" spans="1:19">
      <c r="A203" s="133" t="s">
        <v>1171</v>
      </c>
      <c r="B203" s="133" t="s">
        <v>873</v>
      </c>
      <c r="C203" s="133" t="s">
        <v>1174</v>
      </c>
      <c r="D203" s="133" t="s">
        <v>844</v>
      </c>
      <c r="E203" s="133" t="s">
        <v>845</v>
      </c>
      <c r="F203" s="133" t="s">
        <v>709</v>
      </c>
      <c r="G203" s="133" t="s">
        <v>720</v>
      </c>
      <c r="H203" s="133">
        <v>279.39999999999998</v>
      </c>
      <c r="I203" s="133">
        <v>0</v>
      </c>
      <c r="J203" s="133">
        <v>1000000000</v>
      </c>
      <c r="K203" s="133">
        <v>13</v>
      </c>
      <c r="L203" s="133">
        <v>2.016</v>
      </c>
      <c r="M203" s="133" t="s">
        <v>996</v>
      </c>
      <c r="N203" s="133">
        <v>8</v>
      </c>
      <c r="P203" s="133">
        <v>0</v>
      </c>
      <c r="Q203" s="133">
        <v>10.016</v>
      </c>
      <c r="R203" s="133">
        <v>2.98</v>
      </c>
      <c r="S203" s="156">
        <v>0.84492307692307689</v>
      </c>
    </row>
    <row r="204" spans="1:19">
      <c r="A204" s="133" t="s">
        <v>1171</v>
      </c>
      <c r="B204" s="133" t="s">
        <v>873</v>
      </c>
      <c r="C204" s="133" t="s">
        <v>1174</v>
      </c>
      <c r="D204" s="133" t="s">
        <v>510</v>
      </c>
      <c r="E204" s="133" t="s">
        <v>511</v>
      </c>
      <c r="F204" s="133" t="s">
        <v>709</v>
      </c>
      <c r="G204" s="133" t="s">
        <v>720</v>
      </c>
      <c r="H204" s="133">
        <v>744.22</v>
      </c>
      <c r="I204" s="133">
        <v>0</v>
      </c>
      <c r="J204" s="133">
        <v>1000000000</v>
      </c>
      <c r="K204" s="133">
        <v>65</v>
      </c>
      <c r="L204" s="133">
        <v>17.808900000000001</v>
      </c>
      <c r="M204" s="133" t="s">
        <v>996</v>
      </c>
      <c r="N204" s="133">
        <v>15</v>
      </c>
      <c r="P204" s="133">
        <v>0</v>
      </c>
      <c r="Q204" s="133">
        <v>32.808900000000001</v>
      </c>
      <c r="R204" s="133">
        <v>32.19</v>
      </c>
      <c r="S204" s="156">
        <v>0.726016923076923</v>
      </c>
    </row>
    <row r="205" spans="1:19">
      <c r="A205" s="133" t="s">
        <v>1171</v>
      </c>
      <c r="B205" s="133" t="s">
        <v>873</v>
      </c>
      <c r="C205" s="133" t="s">
        <v>1174</v>
      </c>
      <c r="D205" s="133" t="s">
        <v>518</v>
      </c>
      <c r="E205" s="133" t="s">
        <v>519</v>
      </c>
      <c r="F205" s="133" t="s">
        <v>709</v>
      </c>
      <c r="G205" s="133" t="s">
        <v>720</v>
      </c>
      <c r="H205" s="133">
        <v>0.59</v>
      </c>
      <c r="I205" s="133">
        <v>0</v>
      </c>
      <c r="J205" s="133">
        <v>1000000000</v>
      </c>
      <c r="K205" s="133">
        <v>3000</v>
      </c>
      <c r="L205" s="133">
        <v>4431</v>
      </c>
      <c r="M205" s="133" t="s">
        <v>997</v>
      </c>
      <c r="N205" s="133">
        <v>0</v>
      </c>
      <c r="P205" s="133">
        <v>0</v>
      </c>
      <c r="Q205" s="133">
        <v>4431</v>
      </c>
      <c r="R205" s="133">
        <v>0</v>
      </c>
      <c r="S205" s="156">
        <v>-0.47699999999999998</v>
      </c>
    </row>
    <row r="206" spans="1:19">
      <c r="A206" s="133" t="s">
        <v>1171</v>
      </c>
      <c r="B206" s="133" t="s">
        <v>873</v>
      </c>
      <c r="C206" s="133" t="s">
        <v>1174</v>
      </c>
      <c r="D206" s="133" t="s">
        <v>520</v>
      </c>
      <c r="E206" s="133" t="s">
        <v>521</v>
      </c>
      <c r="F206" s="133" t="s">
        <v>709</v>
      </c>
      <c r="G206" s="133" t="s">
        <v>720</v>
      </c>
      <c r="H206" s="133">
        <v>1.28</v>
      </c>
      <c r="I206" s="133">
        <v>0</v>
      </c>
      <c r="J206" s="133">
        <v>1000000000</v>
      </c>
      <c r="K206" s="133">
        <v>5000</v>
      </c>
      <c r="L206" s="133">
        <v>1619</v>
      </c>
      <c r="M206" s="133" t="s">
        <v>996</v>
      </c>
      <c r="N206" s="133">
        <v>1600</v>
      </c>
      <c r="P206" s="133">
        <v>0</v>
      </c>
      <c r="Q206" s="133">
        <v>3219</v>
      </c>
      <c r="R206" s="133">
        <v>1781</v>
      </c>
      <c r="S206" s="156">
        <v>0.67620000000000002</v>
      </c>
    </row>
    <row r="207" spans="1:19">
      <c r="A207" s="133" t="s">
        <v>1171</v>
      </c>
      <c r="B207" s="133" t="s">
        <v>873</v>
      </c>
      <c r="C207" s="133" t="s">
        <v>1174</v>
      </c>
      <c r="D207" s="133" t="s">
        <v>522</v>
      </c>
      <c r="E207" s="133" t="s">
        <v>523</v>
      </c>
      <c r="F207" s="133" t="s">
        <v>709</v>
      </c>
      <c r="G207" s="133" t="s">
        <v>720</v>
      </c>
      <c r="H207" s="133">
        <v>4.68</v>
      </c>
      <c r="I207" s="133">
        <v>0</v>
      </c>
      <c r="J207" s="133">
        <v>1000000000</v>
      </c>
      <c r="K207" s="133">
        <v>0</v>
      </c>
      <c r="L207" s="133">
        <v>0</v>
      </c>
      <c r="M207" s="133" t="s">
        <v>1096</v>
      </c>
      <c r="N207" s="133">
        <v>0</v>
      </c>
      <c r="P207" s="133">
        <v>0</v>
      </c>
      <c r="Q207" s="133">
        <v>0</v>
      </c>
      <c r="R207" s="133">
        <v>0</v>
      </c>
      <c r="S207" s="156"/>
    </row>
    <row r="208" spans="1:19">
      <c r="A208" s="133" t="s">
        <v>1171</v>
      </c>
      <c r="B208" s="133" t="s">
        <v>873</v>
      </c>
      <c r="C208" s="133" t="s">
        <v>1174</v>
      </c>
      <c r="D208" s="133" t="s">
        <v>532</v>
      </c>
      <c r="E208" s="133" t="s">
        <v>533</v>
      </c>
      <c r="F208" s="133" t="s">
        <v>708</v>
      </c>
      <c r="G208" s="133" t="s">
        <v>717</v>
      </c>
      <c r="H208" s="133">
        <v>2.2000000000000002</v>
      </c>
      <c r="I208" s="133">
        <v>0</v>
      </c>
      <c r="J208" s="133">
        <v>1000000000</v>
      </c>
      <c r="K208" s="133">
        <v>3000</v>
      </c>
      <c r="L208" s="133">
        <v>0</v>
      </c>
      <c r="M208" s="133" t="s">
        <v>999</v>
      </c>
      <c r="N208" s="133">
        <v>6666</v>
      </c>
      <c r="P208" s="133">
        <v>0</v>
      </c>
      <c r="Q208" s="133">
        <v>6666</v>
      </c>
      <c r="R208" s="133">
        <v>0</v>
      </c>
      <c r="S208" s="156">
        <v>1</v>
      </c>
    </row>
    <row r="209" spans="1:19">
      <c r="A209" s="133" t="s">
        <v>1171</v>
      </c>
      <c r="B209" s="133" t="s">
        <v>873</v>
      </c>
      <c r="C209" s="133" t="s">
        <v>1174</v>
      </c>
      <c r="D209" s="133" t="s">
        <v>540</v>
      </c>
      <c r="E209" s="133" t="s">
        <v>541</v>
      </c>
      <c r="F209" s="133" t="s">
        <v>712</v>
      </c>
      <c r="G209" s="133" t="s">
        <v>720</v>
      </c>
      <c r="H209" s="133">
        <v>2588.7199999999998</v>
      </c>
      <c r="I209" s="133">
        <v>0</v>
      </c>
      <c r="J209" s="133">
        <v>1000000000</v>
      </c>
      <c r="K209" s="133">
        <v>12</v>
      </c>
      <c r="L209" s="133">
        <v>2.7085499999999998</v>
      </c>
      <c r="M209" s="133" t="s">
        <v>996</v>
      </c>
      <c r="N209" s="133">
        <v>5</v>
      </c>
      <c r="P209" s="133">
        <v>0</v>
      </c>
      <c r="Q209" s="133">
        <v>7.7085499999999998</v>
      </c>
      <c r="R209" s="133">
        <v>4.29</v>
      </c>
      <c r="S209" s="156">
        <v>0.77428750000000013</v>
      </c>
    </row>
    <row r="210" spans="1:19">
      <c r="A210" s="133" t="s">
        <v>1175</v>
      </c>
      <c r="B210" s="133" t="s">
        <v>1171</v>
      </c>
      <c r="C210" s="133" t="s">
        <v>1000</v>
      </c>
      <c r="D210" s="133" t="s">
        <v>1176</v>
      </c>
      <c r="E210" s="133" t="s">
        <v>1177</v>
      </c>
      <c r="F210" s="133" t="s">
        <v>944</v>
      </c>
      <c r="G210" s="133" t="s">
        <v>715</v>
      </c>
      <c r="H210" s="133">
        <v>0.35</v>
      </c>
      <c r="I210" s="133">
        <v>0</v>
      </c>
      <c r="J210" s="133">
        <v>1000000000</v>
      </c>
      <c r="K210" s="133">
        <v>800</v>
      </c>
      <c r="L210" s="133">
        <v>958</v>
      </c>
      <c r="M210" s="133" t="s">
        <v>997</v>
      </c>
      <c r="N210" s="133">
        <v>0</v>
      </c>
      <c r="P210" s="133">
        <v>0</v>
      </c>
      <c r="Q210" s="133">
        <v>958</v>
      </c>
      <c r="R210" s="133">
        <v>0</v>
      </c>
      <c r="S210" s="156">
        <v>-0.19750000000000001</v>
      </c>
    </row>
    <row r="211" spans="1:19">
      <c r="A211" s="133" t="s">
        <v>1175</v>
      </c>
      <c r="B211" s="133" t="s">
        <v>1171</v>
      </c>
      <c r="C211" s="133" t="s">
        <v>1000</v>
      </c>
      <c r="D211" s="133" t="s">
        <v>85</v>
      </c>
      <c r="E211" s="133" t="s">
        <v>86</v>
      </c>
      <c r="F211" s="133" t="s">
        <v>707</v>
      </c>
      <c r="G211" s="133" t="s">
        <v>715</v>
      </c>
      <c r="H211" s="133">
        <v>0.37</v>
      </c>
      <c r="I211" s="133">
        <v>0.84</v>
      </c>
      <c r="J211" s="133">
        <v>1000000000</v>
      </c>
      <c r="K211" s="133">
        <v>100</v>
      </c>
      <c r="L211" s="133">
        <v>141</v>
      </c>
      <c r="M211" s="133" t="s">
        <v>997</v>
      </c>
      <c r="N211" s="133">
        <v>0</v>
      </c>
      <c r="P211" s="133">
        <v>0</v>
      </c>
      <c r="Q211" s="133">
        <v>141</v>
      </c>
      <c r="R211" s="133">
        <v>0</v>
      </c>
      <c r="S211" s="156">
        <v>-0.41</v>
      </c>
    </row>
    <row r="212" spans="1:19">
      <c r="A212" s="133" t="s">
        <v>1175</v>
      </c>
      <c r="B212" s="133" t="s">
        <v>1171</v>
      </c>
      <c r="C212" s="133" t="s">
        <v>1000</v>
      </c>
      <c r="D212" s="133" t="s">
        <v>87</v>
      </c>
      <c r="E212" s="133" t="s">
        <v>88</v>
      </c>
      <c r="F212" s="133" t="s">
        <v>707</v>
      </c>
      <c r="G212" s="133" t="s">
        <v>715</v>
      </c>
      <c r="H212" s="133">
        <v>0.66</v>
      </c>
      <c r="I212" s="133">
        <v>1.45</v>
      </c>
      <c r="J212" s="133">
        <v>1000000000</v>
      </c>
      <c r="K212" s="133">
        <v>100</v>
      </c>
      <c r="L212" s="133">
        <v>457</v>
      </c>
      <c r="M212" s="133" t="s">
        <v>997</v>
      </c>
      <c r="N212" s="133">
        <v>0</v>
      </c>
      <c r="P212" s="133">
        <v>0</v>
      </c>
      <c r="Q212" s="133">
        <v>457</v>
      </c>
      <c r="R212" s="133">
        <v>0</v>
      </c>
      <c r="S212" s="156">
        <v>-3.57</v>
      </c>
    </row>
    <row r="213" spans="1:19">
      <c r="A213" s="133" t="s">
        <v>1175</v>
      </c>
      <c r="B213" s="133" t="s">
        <v>1171</v>
      </c>
      <c r="C213" s="133" t="s">
        <v>1000</v>
      </c>
      <c r="D213" s="133" t="s">
        <v>89</v>
      </c>
      <c r="E213" s="133" t="s">
        <v>90</v>
      </c>
      <c r="F213" s="133" t="s">
        <v>707</v>
      </c>
      <c r="G213" s="133" t="s">
        <v>715</v>
      </c>
      <c r="H213" s="133">
        <v>1.83</v>
      </c>
      <c r="I213" s="133">
        <v>4.05</v>
      </c>
      <c r="J213" s="133">
        <v>1000000000</v>
      </c>
      <c r="K213" s="133">
        <v>50</v>
      </c>
      <c r="L213" s="133">
        <v>185</v>
      </c>
      <c r="M213" s="133" t="s">
        <v>997</v>
      </c>
      <c r="N213" s="133">
        <v>0</v>
      </c>
      <c r="P213" s="133">
        <v>0</v>
      </c>
      <c r="Q213" s="133">
        <v>185</v>
      </c>
      <c r="R213" s="133">
        <v>0</v>
      </c>
      <c r="S213" s="156">
        <v>-2.7</v>
      </c>
    </row>
    <row r="214" spans="1:19">
      <c r="A214" s="133" t="s">
        <v>1175</v>
      </c>
      <c r="B214" s="133" t="s">
        <v>1171</v>
      </c>
      <c r="C214" s="133" t="s">
        <v>1000</v>
      </c>
      <c r="D214" s="133" t="s">
        <v>91</v>
      </c>
      <c r="E214" s="133" t="s">
        <v>92</v>
      </c>
      <c r="F214" s="133" t="s">
        <v>707</v>
      </c>
      <c r="G214" s="133" t="s">
        <v>715</v>
      </c>
      <c r="H214" s="133">
        <v>1.9</v>
      </c>
      <c r="I214" s="133">
        <v>3.29</v>
      </c>
      <c r="J214" s="133">
        <v>1000000000</v>
      </c>
      <c r="K214" s="133">
        <v>0</v>
      </c>
      <c r="L214" s="133">
        <v>0</v>
      </c>
      <c r="M214" s="133" t="s">
        <v>1096</v>
      </c>
      <c r="N214" s="133">
        <v>0</v>
      </c>
      <c r="P214" s="133">
        <v>0</v>
      </c>
      <c r="Q214" s="133">
        <v>0</v>
      </c>
      <c r="R214" s="133">
        <v>0</v>
      </c>
      <c r="S214" s="156"/>
    </row>
    <row r="215" spans="1:19">
      <c r="A215" s="133" t="s">
        <v>1175</v>
      </c>
      <c r="B215" s="133" t="s">
        <v>1171</v>
      </c>
      <c r="C215" s="133" t="s">
        <v>1000</v>
      </c>
      <c r="D215" s="133" t="s">
        <v>93</v>
      </c>
      <c r="E215" s="133" t="s">
        <v>94</v>
      </c>
      <c r="F215" s="133" t="s">
        <v>707</v>
      </c>
      <c r="G215" s="133" t="s">
        <v>715</v>
      </c>
      <c r="H215" s="133">
        <v>1.88</v>
      </c>
      <c r="I215" s="133">
        <v>4.99</v>
      </c>
      <c r="J215" s="133">
        <v>1000000000</v>
      </c>
      <c r="K215" s="133">
        <v>500</v>
      </c>
      <c r="L215" s="133">
        <v>793</v>
      </c>
      <c r="M215" s="133" t="s">
        <v>997</v>
      </c>
      <c r="N215" s="133">
        <v>27</v>
      </c>
      <c r="P215" s="133">
        <v>0</v>
      </c>
      <c r="Q215" s="133">
        <v>820</v>
      </c>
      <c r="R215" s="133">
        <v>0</v>
      </c>
      <c r="S215" s="156">
        <v>-0.58599999999999997</v>
      </c>
    </row>
    <row r="216" spans="1:19">
      <c r="A216" s="133" t="s">
        <v>1175</v>
      </c>
      <c r="B216" s="133" t="s">
        <v>1171</v>
      </c>
      <c r="C216" s="133" t="s">
        <v>1000</v>
      </c>
      <c r="D216" s="133" t="s">
        <v>95</v>
      </c>
      <c r="E216" s="133" t="s">
        <v>96</v>
      </c>
      <c r="F216" s="133" t="s">
        <v>707</v>
      </c>
      <c r="G216" s="133" t="s">
        <v>715</v>
      </c>
      <c r="H216" s="133">
        <v>1.94</v>
      </c>
      <c r="I216" s="133">
        <v>5.49</v>
      </c>
      <c r="J216" s="133">
        <v>1000000000</v>
      </c>
      <c r="K216" s="133">
        <v>500</v>
      </c>
      <c r="L216" s="133">
        <v>600</v>
      </c>
      <c r="M216" s="133" t="s">
        <v>997</v>
      </c>
      <c r="N216" s="133">
        <v>0</v>
      </c>
      <c r="P216" s="133">
        <v>0</v>
      </c>
      <c r="Q216" s="133">
        <v>600</v>
      </c>
      <c r="R216" s="133">
        <v>0</v>
      </c>
      <c r="S216" s="156">
        <v>-0.2</v>
      </c>
    </row>
    <row r="217" spans="1:19">
      <c r="A217" s="133" t="s">
        <v>1175</v>
      </c>
      <c r="B217" s="133" t="s">
        <v>1171</v>
      </c>
      <c r="C217" s="133" t="s">
        <v>1000</v>
      </c>
      <c r="D217" s="133" t="s">
        <v>97</v>
      </c>
      <c r="E217" s="133" t="s">
        <v>98</v>
      </c>
      <c r="F217" s="133" t="s">
        <v>707</v>
      </c>
      <c r="G217" s="133" t="s">
        <v>715</v>
      </c>
      <c r="H217" s="133">
        <v>1.78</v>
      </c>
      <c r="I217" s="133">
        <v>4.99</v>
      </c>
      <c r="J217" s="133">
        <v>1000000000</v>
      </c>
      <c r="K217" s="133">
        <v>500</v>
      </c>
      <c r="L217" s="133">
        <v>600</v>
      </c>
      <c r="M217" s="133" t="s">
        <v>997</v>
      </c>
      <c r="N217" s="133">
        <v>0</v>
      </c>
      <c r="P217" s="133">
        <v>0</v>
      </c>
      <c r="Q217" s="133">
        <v>600</v>
      </c>
      <c r="R217" s="133">
        <v>0</v>
      </c>
      <c r="S217" s="156">
        <v>-0.2</v>
      </c>
    </row>
    <row r="218" spans="1:19">
      <c r="A218" s="133" t="s">
        <v>1175</v>
      </c>
      <c r="B218" s="133" t="s">
        <v>1171</v>
      </c>
      <c r="C218" s="133" t="s">
        <v>1000</v>
      </c>
      <c r="D218" s="133" t="s">
        <v>99</v>
      </c>
      <c r="E218" s="133" t="s">
        <v>100</v>
      </c>
      <c r="F218" s="133" t="s">
        <v>707</v>
      </c>
      <c r="G218" s="133" t="s">
        <v>715</v>
      </c>
      <c r="H218" s="133">
        <v>2</v>
      </c>
      <c r="I218" s="133">
        <v>4.99</v>
      </c>
      <c r="J218" s="133">
        <v>1000000000</v>
      </c>
      <c r="K218" s="133">
        <v>500</v>
      </c>
      <c r="L218" s="133">
        <v>590</v>
      </c>
      <c r="M218" s="133" t="s">
        <v>997</v>
      </c>
      <c r="N218" s="133">
        <v>0</v>
      </c>
      <c r="P218" s="133">
        <v>0</v>
      </c>
      <c r="Q218" s="133">
        <v>590</v>
      </c>
      <c r="R218" s="133">
        <v>0</v>
      </c>
      <c r="S218" s="156">
        <v>-0.18</v>
      </c>
    </row>
    <row r="219" spans="1:19">
      <c r="A219" s="133" t="s">
        <v>1175</v>
      </c>
      <c r="B219" s="133" t="s">
        <v>1171</v>
      </c>
      <c r="C219" s="133" t="s">
        <v>1000</v>
      </c>
      <c r="D219" s="133" t="s">
        <v>101</v>
      </c>
      <c r="E219" s="133" t="s">
        <v>102</v>
      </c>
      <c r="F219" s="133" t="s">
        <v>707</v>
      </c>
      <c r="G219" s="133" t="s">
        <v>715</v>
      </c>
      <c r="H219" s="133">
        <v>0.87</v>
      </c>
      <c r="I219" s="133">
        <v>2.29</v>
      </c>
      <c r="J219" s="133">
        <v>1000000000</v>
      </c>
      <c r="K219" s="133">
        <v>400</v>
      </c>
      <c r="L219" s="133">
        <v>14</v>
      </c>
      <c r="M219" s="133" t="s">
        <v>996</v>
      </c>
      <c r="N219" s="133">
        <v>344</v>
      </c>
      <c r="P219" s="133">
        <v>0</v>
      </c>
      <c r="Q219" s="133">
        <v>358</v>
      </c>
      <c r="R219" s="133">
        <v>42</v>
      </c>
      <c r="S219" s="156">
        <v>0.96499999999999997</v>
      </c>
    </row>
    <row r="220" spans="1:19">
      <c r="A220" s="133" t="s">
        <v>1175</v>
      </c>
      <c r="B220" s="133" t="s">
        <v>1171</v>
      </c>
      <c r="C220" s="133" t="s">
        <v>1000</v>
      </c>
      <c r="D220" s="133" t="s">
        <v>103</v>
      </c>
      <c r="E220" s="133" t="s">
        <v>104</v>
      </c>
      <c r="F220" s="133" t="s">
        <v>707</v>
      </c>
      <c r="G220" s="133" t="s">
        <v>715</v>
      </c>
      <c r="H220" s="133">
        <v>1.38</v>
      </c>
      <c r="I220" s="133">
        <v>3.59</v>
      </c>
      <c r="J220" s="133">
        <v>1000000000</v>
      </c>
      <c r="K220" s="133">
        <v>110</v>
      </c>
      <c r="L220" s="133">
        <v>129</v>
      </c>
      <c r="M220" s="133" t="s">
        <v>997</v>
      </c>
      <c r="N220" s="133">
        <v>0</v>
      </c>
      <c r="P220" s="133">
        <v>0</v>
      </c>
      <c r="Q220" s="133">
        <v>129</v>
      </c>
      <c r="R220" s="133">
        <v>0</v>
      </c>
      <c r="S220" s="156">
        <v>-0.17272727272727273</v>
      </c>
    </row>
    <row r="221" spans="1:19">
      <c r="A221" s="133" t="s">
        <v>1175</v>
      </c>
      <c r="B221" s="133" t="s">
        <v>1171</v>
      </c>
      <c r="C221" s="133" t="s">
        <v>1000</v>
      </c>
      <c r="D221" s="133" t="s">
        <v>105</v>
      </c>
      <c r="E221" s="133" t="s">
        <v>106</v>
      </c>
      <c r="F221" s="133" t="s">
        <v>707</v>
      </c>
      <c r="G221" s="133" t="s">
        <v>715</v>
      </c>
      <c r="H221" s="133">
        <v>8.39</v>
      </c>
      <c r="I221" s="133">
        <v>21.89</v>
      </c>
      <c r="J221" s="133">
        <v>1000000000</v>
      </c>
      <c r="K221" s="133">
        <v>0</v>
      </c>
      <c r="L221" s="133">
        <v>0</v>
      </c>
      <c r="M221" s="133" t="s">
        <v>1096</v>
      </c>
      <c r="N221" s="133">
        <v>0</v>
      </c>
      <c r="P221" s="133">
        <v>0</v>
      </c>
      <c r="Q221" s="133">
        <v>0</v>
      </c>
      <c r="R221" s="133">
        <v>0</v>
      </c>
      <c r="S221" s="156"/>
    </row>
    <row r="222" spans="1:19">
      <c r="A222" s="133" t="s">
        <v>1175</v>
      </c>
      <c r="B222" s="133" t="s">
        <v>1171</v>
      </c>
      <c r="C222" s="133" t="s">
        <v>1000</v>
      </c>
      <c r="D222" s="133" t="s">
        <v>107</v>
      </c>
      <c r="E222" s="133" t="s">
        <v>108</v>
      </c>
      <c r="F222" s="133" t="s">
        <v>707</v>
      </c>
      <c r="G222" s="133" t="s">
        <v>715</v>
      </c>
      <c r="H222" s="133">
        <v>2.61</v>
      </c>
      <c r="I222" s="133">
        <v>6.49</v>
      </c>
      <c r="J222" s="133">
        <v>1000000000</v>
      </c>
      <c r="K222" s="133">
        <v>80</v>
      </c>
      <c r="L222" s="133">
        <v>176</v>
      </c>
      <c r="M222" s="133" t="s">
        <v>997</v>
      </c>
      <c r="N222" s="133">
        <v>30</v>
      </c>
      <c r="P222" s="133">
        <v>0</v>
      </c>
      <c r="Q222" s="133">
        <v>206</v>
      </c>
      <c r="R222" s="133">
        <v>0</v>
      </c>
      <c r="S222" s="156">
        <v>-1.2</v>
      </c>
    </row>
    <row r="223" spans="1:19">
      <c r="A223" s="133" t="s">
        <v>1175</v>
      </c>
      <c r="B223" s="133" t="s">
        <v>1171</v>
      </c>
      <c r="C223" s="133" t="s">
        <v>1000</v>
      </c>
      <c r="D223" s="133" t="s">
        <v>109</v>
      </c>
      <c r="E223" s="133" t="s">
        <v>110</v>
      </c>
      <c r="F223" s="133" t="s">
        <v>707</v>
      </c>
      <c r="G223" s="133" t="s">
        <v>715</v>
      </c>
      <c r="H223" s="133">
        <v>1.4</v>
      </c>
      <c r="I223" s="133">
        <v>2.75</v>
      </c>
      <c r="J223" s="133">
        <v>1000000000</v>
      </c>
      <c r="K223" s="133">
        <v>800</v>
      </c>
      <c r="L223" s="133">
        <v>924</v>
      </c>
      <c r="M223" s="133" t="s">
        <v>997</v>
      </c>
      <c r="N223" s="133">
        <v>0</v>
      </c>
      <c r="P223" s="133">
        <v>0</v>
      </c>
      <c r="Q223" s="133">
        <v>924</v>
      </c>
      <c r="R223" s="133">
        <v>0</v>
      </c>
      <c r="S223" s="156">
        <v>-0.155</v>
      </c>
    </row>
    <row r="224" spans="1:19">
      <c r="A224" s="133" t="s">
        <v>1175</v>
      </c>
      <c r="B224" s="133" t="s">
        <v>1171</v>
      </c>
      <c r="C224" s="133" t="s">
        <v>1000</v>
      </c>
      <c r="D224" s="133" t="s">
        <v>1192</v>
      </c>
      <c r="E224" s="133" t="s">
        <v>1193</v>
      </c>
      <c r="F224" s="133" t="s">
        <v>944</v>
      </c>
      <c r="G224" s="133" t="s">
        <v>715</v>
      </c>
      <c r="H224" s="133">
        <v>1.38</v>
      </c>
      <c r="I224" s="133">
        <v>3.1</v>
      </c>
      <c r="J224" s="133">
        <v>1000000000</v>
      </c>
      <c r="K224" s="133">
        <v>60</v>
      </c>
      <c r="L224" s="133">
        <v>20</v>
      </c>
      <c r="M224" s="133" t="s">
        <v>996</v>
      </c>
      <c r="N224" s="133">
        <v>40</v>
      </c>
      <c r="P224" s="133">
        <v>0</v>
      </c>
      <c r="Q224" s="133">
        <v>60</v>
      </c>
      <c r="R224" s="133">
        <v>0</v>
      </c>
      <c r="S224" s="156">
        <v>0.66666666666666663</v>
      </c>
    </row>
    <row r="225" spans="1:19">
      <c r="A225" s="133" t="s">
        <v>1175</v>
      </c>
      <c r="B225" s="133" t="s">
        <v>1171</v>
      </c>
      <c r="C225" s="133" t="s">
        <v>1000</v>
      </c>
      <c r="D225" s="133" t="s">
        <v>111</v>
      </c>
      <c r="E225" s="133" t="s">
        <v>112</v>
      </c>
      <c r="F225" s="133" t="s">
        <v>707</v>
      </c>
      <c r="G225" s="133" t="s">
        <v>715</v>
      </c>
      <c r="H225" s="133">
        <v>2.34</v>
      </c>
      <c r="I225" s="133">
        <v>5.84</v>
      </c>
      <c r="J225" s="133">
        <v>1000000000</v>
      </c>
      <c r="K225" s="133">
        <v>250</v>
      </c>
      <c r="L225" s="133">
        <v>305</v>
      </c>
      <c r="M225" s="133" t="s">
        <v>997</v>
      </c>
      <c r="N225" s="133">
        <v>0</v>
      </c>
      <c r="P225" s="133">
        <v>0</v>
      </c>
      <c r="Q225" s="133">
        <v>305</v>
      </c>
      <c r="R225" s="133">
        <v>0</v>
      </c>
      <c r="S225" s="156">
        <v>-0.22</v>
      </c>
    </row>
    <row r="226" spans="1:19">
      <c r="A226" s="133" t="s">
        <v>1175</v>
      </c>
      <c r="B226" s="133" t="s">
        <v>1171</v>
      </c>
      <c r="C226" s="133" t="s">
        <v>1000</v>
      </c>
      <c r="D226" s="133" t="s">
        <v>113</v>
      </c>
      <c r="E226" s="133" t="s">
        <v>114</v>
      </c>
      <c r="F226" s="133" t="s">
        <v>707</v>
      </c>
      <c r="G226" s="133" t="s">
        <v>715</v>
      </c>
      <c r="H226" s="133">
        <v>4.62</v>
      </c>
      <c r="I226" s="133">
        <v>9.49</v>
      </c>
      <c r="J226" s="133">
        <v>1000000000</v>
      </c>
      <c r="K226" s="133">
        <v>110</v>
      </c>
      <c r="L226" s="133">
        <v>128</v>
      </c>
      <c r="M226" s="133" t="s">
        <v>997</v>
      </c>
      <c r="N226" s="133">
        <v>10</v>
      </c>
      <c r="P226" s="133">
        <v>0</v>
      </c>
      <c r="Q226" s="133">
        <v>138</v>
      </c>
      <c r="R226" s="133">
        <v>0</v>
      </c>
      <c r="S226" s="156">
        <v>-0.16363636363636364</v>
      </c>
    </row>
    <row r="227" spans="1:19">
      <c r="A227" s="133" t="s">
        <v>1175</v>
      </c>
      <c r="B227" s="133" t="s">
        <v>1171</v>
      </c>
      <c r="C227" s="133" t="s">
        <v>1000</v>
      </c>
      <c r="D227" s="133" t="s">
        <v>115</v>
      </c>
      <c r="E227" s="133" t="s">
        <v>116</v>
      </c>
      <c r="F227" s="133" t="s">
        <v>707</v>
      </c>
      <c r="G227" s="133" t="s">
        <v>715</v>
      </c>
      <c r="H227" s="133">
        <v>1.63</v>
      </c>
      <c r="I227" s="133">
        <v>3.69</v>
      </c>
      <c r="J227" s="133">
        <v>1000000000</v>
      </c>
      <c r="K227" s="133">
        <v>80</v>
      </c>
      <c r="L227" s="133">
        <v>141</v>
      </c>
      <c r="M227" s="133" t="s">
        <v>997</v>
      </c>
      <c r="N227" s="133">
        <v>30</v>
      </c>
      <c r="P227" s="133">
        <v>0</v>
      </c>
      <c r="Q227" s="133">
        <v>171</v>
      </c>
      <c r="R227" s="133">
        <v>0</v>
      </c>
      <c r="S227" s="156">
        <v>-0.76249999999999996</v>
      </c>
    </row>
    <row r="228" spans="1:19">
      <c r="A228" s="133" t="s">
        <v>1175</v>
      </c>
      <c r="B228" s="133" t="s">
        <v>1171</v>
      </c>
      <c r="C228" s="133" t="s">
        <v>1000</v>
      </c>
      <c r="D228" s="133" t="s">
        <v>117</v>
      </c>
      <c r="E228" s="133" t="s">
        <v>118</v>
      </c>
      <c r="F228" s="133" t="s">
        <v>707</v>
      </c>
      <c r="G228" s="133" t="s">
        <v>727</v>
      </c>
      <c r="H228" s="133">
        <v>3.09</v>
      </c>
      <c r="I228" s="133">
        <v>6.69</v>
      </c>
      <c r="J228" s="133">
        <v>1000000000</v>
      </c>
      <c r="K228" s="133">
        <v>80</v>
      </c>
      <c r="L228" s="133">
        <v>69</v>
      </c>
      <c r="M228" s="133" t="s">
        <v>998</v>
      </c>
      <c r="N228" s="133">
        <v>10</v>
      </c>
      <c r="P228" s="133">
        <v>0</v>
      </c>
      <c r="Q228" s="133">
        <v>79</v>
      </c>
      <c r="R228" s="133">
        <v>1</v>
      </c>
      <c r="S228" s="156">
        <v>0.13750000000000001</v>
      </c>
    </row>
    <row r="229" spans="1:19">
      <c r="A229" s="133" t="s">
        <v>1175</v>
      </c>
      <c r="B229" s="133" t="s">
        <v>1171</v>
      </c>
      <c r="C229" s="133" t="s">
        <v>1000</v>
      </c>
      <c r="D229" s="133" t="s">
        <v>119</v>
      </c>
      <c r="E229" s="133" t="s">
        <v>120</v>
      </c>
      <c r="F229" s="133" t="s">
        <v>707</v>
      </c>
      <c r="G229" s="133" t="s">
        <v>715</v>
      </c>
      <c r="H229" s="133">
        <v>1.93</v>
      </c>
      <c r="I229" s="133">
        <v>5.49</v>
      </c>
      <c r="J229" s="133">
        <v>1000000000</v>
      </c>
      <c r="K229" s="133">
        <v>350</v>
      </c>
      <c r="L229" s="133">
        <v>291</v>
      </c>
      <c r="M229" s="133" t="s">
        <v>998</v>
      </c>
      <c r="N229" s="133">
        <v>18</v>
      </c>
      <c r="P229" s="133">
        <v>0</v>
      </c>
      <c r="Q229" s="133">
        <v>309</v>
      </c>
      <c r="R229" s="133">
        <v>41</v>
      </c>
      <c r="S229" s="156">
        <v>0.16857142857142857</v>
      </c>
    </row>
    <row r="230" spans="1:19">
      <c r="A230" s="133" t="s">
        <v>1175</v>
      </c>
      <c r="B230" s="133" t="s">
        <v>1171</v>
      </c>
      <c r="C230" s="133" t="s">
        <v>1000</v>
      </c>
      <c r="D230" s="133" t="s">
        <v>121</v>
      </c>
      <c r="E230" s="133" t="s">
        <v>122</v>
      </c>
      <c r="F230" s="133" t="s">
        <v>707</v>
      </c>
      <c r="G230" s="133" t="s">
        <v>715</v>
      </c>
      <c r="H230" s="133">
        <v>1.38</v>
      </c>
      <c r="I230" s="133">
        <v>2.79</v>
      </c>
      <c r="J230" s="133">
        <v>1000000000</v>
      </c>
      <c r="K230" s="133">
        <v>0</v>
      </c>
      <c r="L230" s="133">
        <v>2</v>
      </c>
      <c r="M230" s="133" t="s">
        <v>1096</v>
      </c>
      <c r="N230" s="133">
        <v>0</v>
      </c>
      <c r="P230" s="133">
        <v>0</v>
      </c>
      <c r="Q230" s="133">
        <v>2</v>
      </c>
      <c r="R230" s="133">
        <v>0</v>
      </c>
      <c r="S230" s="156"/>
    </row>
    <row r="231" spans="1:19">
      <c r="A231" s="133" t="s">
        <v>1175</v>
      </c>
      <c r="B231" s="133" t="s">
        <v>1171</v>
      </c>
      <c r="C231" s="133" t="s">
        <v>1000</v>
      </c>
      <c r="D231" s="133" t="s">
        <v>123</v>
      </c>
      <c r="E231" s="133" t="s">
        <v>124</v>
      </c>
      <c r="F231" s="133" t="s">
        <v>707</v>
      </c>
      <c r="G231" s="133" t="s">
        <v>715</v>
      </c>
      <c r="H231" s="133">
        <v>7.04</v>
      </c>
      <c r="I231" s="133">
        <v>16.989999999999998</v>
      </c>
      <c r="J231" s="133">
        <v>1000000000</v>
      </c>
      <c r="K231" s="133">
        <v>0</v>
      </c>
      <c r="L231" s="133">
        <v>0</v>
      </c>
      <c r="M231" s="133" t="s">
        <v>1096</v>
      </c>
      <c r="N231" s="133">
        <v>0</v>
      </c>
      <c r="P231" s="133">
        <v>0</v>
      </c>
      <c r="Q231" s="133">
        <v>0</v>
      </c>
      <c r="R231" s="133">
        <v>0</v>
      </c>
      <c r="S231" s="156"/>
    </row>
    <row r="232" spans="1:19">
      <c r="A232" s="133" t="s">
        <v>1175</v>
      </c>
      <c r="B232" s="133" t="s">
        <v>1171</v>
      </c>
      <c r="C232" s="133" t="s">
        <v>1000</v>
      </c>
      <c r="D232" s="133" t="s">
        <v>125</v>
      </c>
      <c r="E232" s="133" t="s">
        <v>126</v>
      </c>
      <c r="F232" s="133" t="s">
        <v>707</v>
      </c>
      <c r="G232" s="133" t="s">
        <v>715</v>
      </c>
      <c r="H232" s="133">
        <v>2.54</v>
      </c>
      <c r="I232" s="133">
        <v>4.99</v>
      </c>
      <c r="J232" s="133">
        <v>1000000000</v>
      </c>
      <c r="K232" s="133">
        <v>120</v>
      </c>
      <c r="L232" s="133">
        <v>68</v>
      </c>
      <c r="M232" s="133" t="s">
        <v>714</v>
      </c>
      <c r="N232" s="133">
        <v>0</v>
      </c>
      <c r="P232" s="133">
        <v>0</v>
      </c>
      <c r="Q232" s="133">
        <v>68</v>
      </c>
      <c r="R232" s="133">
        <v>52</v>
      </c>
      <c r="S232" s="156">
        <v>0.43333333333333335</v>
      </c>
    </row>
    <row r="233" spans="1:19">
      <c r="A233" s="133" t="s">
        <v>1175</v>
      </c>
      <c r="B233" s="133" t="s">
        <v>1171</v>
      </c>
      <c r="C233" s="133" t="s">
        <v>1000</v>
      </c>
      <c r="D233" s="133" t="s">
        <v>127</v>
      </c>
      <c r="E233" s="133" t="s">
        <v>942</v>
      </c>
      <c r="F233" s="133" t="s">
        <v>712</v>
      </c>
      <c r="G233" s="133" t="s">
        <v>715</v>
      </c>
      <c r="H233" s="133">
        <v>1.52</v>
      </c>
      <c r="I233" s="133">
        <v>3.49</v>
      </c>
      <c r="J233" s="133">
        <v>1000000000</v>
      </c>
      <c r="K233" s="133">
        <v>0</v>
      </c>
      <c r="L233" s="133">
        <v>0</v>
      </c>
      <c r="M233" s="133" t="s">
        <v>1096</v>
      </c>
      <c r="N233" s="133">
        <v>0</v>
      </c>
      <c r="P233" s="133">
        <v>0</v>
      </c>
      <c r="Q233" s="133">
        <v>0</v>
      </c>
      <c r="R233" s="133">
        <v>0</v>
      </c>
      <c r="S233" s="156"/>
    </row>
    <row r="234" spans="1:19">
      <c r="A234" s="133" t="s">
        <v>1175</v>
      </c>
      <c r="B234" s="133" t="s">
        <v>1171</v>
      </c>
      <c r="C234" s="133" t="s">
        <v>1000</v>
      </c>
      <c r="D234" s="133" t="s">
        <v>128</v>
      </c>
      <c r="E234" s="133" t="s">
        <v>129</v>
      </c>
      <c r="F234" s="133" t="s">
        <v>712</v>
      </c>
      <c r="G234" s="133" t="s">
        <v>715</v>
      </c>
      <c r="H234" s="133">
        <v>13.29</v>
      </c>
      <c r="I234" s="133">
        <v>26.4</v>
      </c>
      <c r="J234" s="133">
        <v>1000000000</v>
      </c>
      <c r="K234" s="133">
        <v>0</v>
      </c>
      <c r="L234" s="133">
        <v>0</v>
      </c>
      <c r="M234" s="133" t="s">
        <v>1096</v>
      </c>
      <c r="N234" s="133">
        <v>0</v>
      </c>
      <c r="P234" s="133">
        <v>0</v>
      </c>
      <c r="Q234" s="133">
        <v>0</v>
      </c>
      <c r="R234" s="133">
        <v>0</v>
      </c>
      <c r="S234" s="156"/>
    </row>
    <row r="235" spans="1:19">
      <c r="A235" s="133" t="s">
        <v>1175</v>
      </c>
      <c r="B235" s="133" t="s">
        <v>1171</v>
      </c>
      <c r="C235" s="133" t="s">
        <v>1000</v>
      </c>
      <c r="D235" s="133" t="s">
        <v>925</v>
      </c>
      <c r="E235" s="133" t="s">
        <v>943</v>
      </c>
      <c r="F235" s="133" t="s">
        <v>944</v>
      </c>
      <c r="G235" s="133" t="s">
        <v>715</v>
      </c>
      <c r="H235" s="133">
        <v>60.43</v>
      </c>
      <c r="I235" s="133">
        <v>0</v>
      </c>
      <c r="J235" s="133">
        <v>1000000000</v>
      </c>
      <c r="K235" s="133">
        <v>3</v>
      </c>
      <c r="L235" s="133">
        <v>5</v>
      </c>
      <c r="M235" s="133" t="s">
        <v>997</v>
      </c>
      <c r="N235" s="133">
        <v>0</v>
      </c>
      <c r="P235" s="133">
        <v>0</v>
      </c>
      <c r="Q235" s="133">
        <v>5</v>
      </c>
      <c r="R235" s="133">
        <v>0</v>
      </c>
      <c r="S235" s="156">
        <v>-0.66666666666666663</v>
      </c>
    </row>
    <row r="236" spans="1:19">
      <c r="A236" s="133" t="s">
        <v>1175</v>
      </c>
      <c r="B236" s="133" t="s">
        <v>1171</v>
      </c>
      <c r="C236" s="133" t="s">
        <v>1000</v>
      </c>
      <c r="D236" s="133" t="s">
        <v>130</v>
      </c>
      <c r="E236" s="133" t="s">
        <v>131</v>
      </c>
      <c r="F236" s="133" t="s">
        <v>707</v>
      </c>
      <c r="G236" s="133" t="s">
        <v>715</v>
      </c>
      <c r="H236" s="133">
        <v>1.64</v>
      </c>
      <c r="I236" s="133">
        <v>4.25</v>
      </c>
      <c r="J236" s="133">
        <v>1000000000</v>
      </c>
      <c r="K236" s="133">
        <v>600</v>
      </c>
      <c r="L236" s="133">
        <v>534</v>
      </c>
      <c r="M236" s="133" t="s">
        <v>998</v>
      </c>
      <c r="N236" s="133">
        <v>161</v>
      </c>
      <c r="P236" s="133">
        <v>0</v>
      </c>
      <c r="Q236" s="133">
        <v>695</v>
      </c>
      <c r="R236" s="133">
        <v>0</v>
      </c>
      <c r="S236" s="156">
        <v>0.11</v>
      </c>
    </row>
    <row r="237" spans="1:19">
      <c r="A237" s="133" t="s">
        <v>1175</v>
      </c>
      <c r="B237" s="133" t="s">
        <v>1171</v>
      </c>
      <c r="C237" s="133" t="s">
        <v>1000</v>
      </c>
      <c r="D237" s="133" t="s">
        <v>132</v>
      </c>
      <c r="E237" s="133" t="s">
        <v>133</v>
      </c>
      <c r="F237" s="133" t="s">
        <v>707</v>
      </c>
      <c r="G237" s="133" t="s">
        <v>715</v>
      </c>
      <c r="H237" s="133">
        <v>12.43</v>
      </c>
      <c r="I237" s="133">
        <v>26.99</v>
      </c>
      <c r="J237" s="133">
        <v>1000000000</v>
      </c>
      <c r="K237" s="133">
        <v>20</v>
      </c>
      <c r="L237" s="133">
        <v>115</v>
      </c>
      <c r="M237" s="133" t="s">
        <v>997</v>
      </c>
      <c r="N237" s="133">
        <v>0</v>
      </c>
      <c r="P237" s="133">
        <v>0</v>
      </c>
      <c r="Q237" s="133">
        <v>115</v>
      </c>
      <c r="R237" s="133">
        <v>0</v>
      </c>
      <c r="S237" s="156">
        <v>-4.75</v>
      </c>
    </row>
    <row r="238" spans="1:19">
      <c r="A238" s="133" t="s">
        <v>1175</v>
      </c>
      <c r="B238" s="133" t="s">
        <v>1171</v>
      </c>
      <c r="C238" s="133" t="s">
        <v>1000</v>
      </c>
      <c r="D238" s="133" t="s">
        <v>134</v>
      </c>
      <c r="E238" s="133" t="s">
        <v>135</v>
      </c>
      <c r="F238" s="133" t="s">
        <v>707</v>
      </c>
      <c r="G238" s="133" t="s">
        <v>715</v>
      </c>
      <c r="H238" s="133">
        <v>3.47</v>
      </c>
      <c r="I238" s="133">
        <v>7.59</v>
      </c>
      <c r="J238" s="133">
        <v>1000000000</v>
      </c>
      <c r="K238" s="133">
        <v>320</v>
      </c>
      <c r="L238" s="133">
        <v>316</v>
      </c>
      <c r="M238" s="133" t="s">
        <v>998</v>
      </c>
      <c r="N238" s="133">
        <v>30</v>
      </c>
      <c r="P238" s="133">
        <v>0</v>
      </c>
      <c r="Q238" s="133">
        <v>346</v>
      </c>
      <c r="R238" s="133">
        <v>0</v>
      </c>
      <c r="S238" s="156">
        <v>1.2500000000000001E-2</v>
      </c>
    </row>
    <row r="239" spans="1:19">
      <c r="A239" s="133" t="s">
        <v>1175</v>
      </c>
      <c r="B239" s="133" t="s">
        <v>1171</v>
      </c>
      <c r="C239" s="133" t="s">
        <v>1000</v>
      </c>
      <c r="D239" s="133" t="s">
        <v>138</v>
      </c>
      <c r="E239" s="133" t="s">
        <v>139</v>
      </c>
      <c r="F239" s="133" t="s">
        <v>707</v>
      </c>
      <c r="G239" s="133" t="s">
        <v>732</v>
      </c>
      <c r="H239" s="133">
        <v>15.11</v>
      </c>
      <c r="I239" s="133">
        <v>25</v>
      </c>
      <c r="J239" s="133">
        <v>1000000000</v>
      </c>
      <c r="K239" s="133">
        <v>0</v>
      </c>
      <c r="L239" s="133">
        <v>0</v>
      </c>
      <c r="M239" s="133" t="s">
        <v>1096</v>
      </c>
      <c r="N239" s="133">
        <v>0</v>
      </c>
      <c r="P239" s="133">
        <v>0</v>
      </c>
      <c r="Q239" s="133">
        <v>0</v>
      </c>
      <c r="R239" s="133">
        <v>0</v>
      </c>
      <c r="S239" s="156"/>
    </row>
    <row r="240" spans="1:19">
      <c r="A240" s="133" t="s">
        <v>1175</v>
      </c>
      <c r="B240" s="133" t="s">
        <v>1171</v>
      </c>
      <c r="C240" s="133" t="s">
        <v>1000</v>
      </c>
      <c r="D240" s="133" t="s">
        <v>140</v>
      </c>
      <c r="E240" s="133" t="s">
        <v>141</v>
      </c>
      <c r="F240" s="133" t="s">
        <v>707</v>
      </c>
      <c r="G240" s="133" t="s">
        <v>732</v>
      </c>
      <c r="H240" s="133">
        <v>267</v>
      </c>
      <c r="I240" s="133">
        <v>372</v>
      </c>
      <c r="J240" s="133">
        <v>1000000000</v>
      </c>
      <c r="K240" s="133">
        <v>0</v>
      </c>
      <c r="L240" s="133">
        <v>3</v>
      </c>
      <c r="M240" s="133" t="s">
        <v>1096</v>
      </c>
      <c r="N240" s="133">
        <v>0</v>
      </c>
      <c r="P240" s="133">
        <v>0</v>
      </c>
      <c r="Q240" s="133">
        <v>3</v>
      </c>
      <c r="R240" s="133">
        <v>0</v>
      </c>
      <c r="S240" s="156"/>
    </row>
    <row r="241" spans="1:19">
      <c r="A241" s="133" t="s">
        <v>1175</v>
      </c>
      <c r="B241" s="133" t="s">
        <v>1171</v>
      </c>
      <c r="C241" s="133" t="s">
        <v>1000</v>
      </c>
      <c r="D241" s="133" t="s">
        <v>142</v>
      </c>
      <c r="E241" s="133" t="s">
        <v>143</v>
      </c>
      <c r="F241" s="133" t="s">
        <v>709</v>
      </c>
      <c r="G241" s="133" t="s">
        <v>719</v>
      </c>
      <c r="H241" s="133">
        <v>0.91</v>
      </c>
      <c r="I241" s="133">
        <v>3.2</v>
      </c>
      <c r="J241" s="133">
        <v>1000000000</v>
      </c>
      <c r="K241" s="133">
        <v>600</v>
      </c>
      <c r="L241" s="133">
        <v>38</v>
      </c>
      <c r="M241" s="133" t="s">
        <v>996</v>
      </c>
      <c r="N241" s="133">
        <v>451</v>
      </c>
      <c r="P241" s="133">
        <v>0</v>
      </c>
      <c r="Q241" s="133">
        <v>489</v>
      </c>
      <c r="R241" s="133">
        <v>111</v>
      </c>
      <c r="S241" s="156">
        <v>0.93666666666666665</v>
      </c>
    </row>
    <row r="242" spans="1:19">
      <c r="A242" s="133" t="s">
        <v>1175</v>
      </c>
      <c r="B242" s="133" t="s">
        <v>1171</v>
      </c>
      <c r="C242" s="133" t="s">
        <v>1000</v>
      </c>
      <c r="D242" s="133" t="s">
        <v>144</v>
      </c>
      <c r="E242" s="133" t="s">
        <v>145</v>
      </c>
      <c r="F242" s="133" t="s">
        <v>709</v>
      </c>
      <c r="G242" s="133" t="s">
        <v>719</v>
      </c>
      <c r="H242" s="133">
        <v>2.79</v>
      </c>
      <c r="I242" s="133">
        <v>6.69</v>
      </c>
      <c r="J242" s="133">
        <v>1000000000</v>
      </c>
      <c r="K242" s="133">
        <v>250</v>
      </c>
      <c r="L242" s="133">
        <v>335</v>
      </c>
      <c r="M242" s="133" t="s">
        <v>997</v>
      </c>
      <c r="N242" s="133">
        <v>0</v>
      </c>
      <c r="P242" s="133">
        <v>0</v>
      </c>
      <c r="Q242" s="133">
        <v>335</v>
      </c>
      <c r="R242" s="133">
        <v>0</v>
      </c>
      <c r="S242" s="156">
        <v>-0.34</v>
      </c>
    </row>
    <row r="243" spans="1:19">
      <c r="A243" s="133" t="s">
        <v>1175</v>
      </c>
      <c r="B243" s="133" t="s">
        <v>1171</v>
      </c>
      <c r="C243" s="133" t="s">
        <v>1000</v>
      </c>
      <c r="D243" s="133" t="s">
        <v>146</v>
      </c>
      <c r="E243" s="133" t="s">
        <v>147</v>
      </c>
      <c r="F243" s="133" t="s">
        <v>709</v>
      </c>
      <c r="G243" s="133" t="s">
        <v>719</v>
      </c>
      <c r="H243" s="133">
        <v>4.42</v>
      </c>
      <c r="I243" s="133">
        <v>12.39</v>
      </c>
      <c r="J243" s="133">
        <v>1000000000</v>
      </c>
      <c r="K243" s="133">
        <v>20</v>
      </c>
      <c r="L243" s="133">
        <v>41</v>
      </c>
      <c r="M243" s="133" t="s">
        <v>997</v>
      </c>
      <c r="N243" s="133">
        <v>0</v>
      </c>
      <c r="P243" s="133">
        <v>0</v>
      </c>
      <c r="Q243" s="133">
        <v>41</v>
      </c>
      <c r="R243" s="133">
        <v>0</v>
      </c>
      <c r="S243" s="156">
        <v>-1.05</v>
      </c>
    </row>
    <row r="244" spans="1:19">
      <c r="A244" s="133" t="s">
        <v>1175</v>
      </c>
      <c r="B244" s="133" t="s">
        <v>1171</v>
      </c>
      <c r="C244" s="133" t="s">
        <v>1000</v>
      </c>
      <c r="D244" s="133" t="s">
        <v>148</v>
      </c>
      <c r="E244" s="133" t="s">
        <v>149</v>
      </c>
      <c r="F244" s="133" t="s">
        <v>709</v>
      </c>
      <c r="G244" s="133" t="s">
        <v>719</v>
      </c>
      <c r="H244" s="133">
        <v>11.54</v>
      </c>
      <c r="I244" s="133">
        <v>23.9</v>
      </c>
      <c r="J244" s="133">
        <v>1000000000</v>
      </c>
      <c r="K244" s="133">
        <v>120</v>
      </c>
      <c r="L244" s="133">
        <v>200</v>
      </c>
      <c r="M244" s="133" t="s">
        <v>997</v>
      </c>
      <c r="N244" s="133">
        <v>15</v>
      </c>
      <c r="P244" s="133">
        <v>0</v>
      </c>
      <c r="Q244" s="133">
        <v>215</v>
      </c>
      <c r="R244" s="133">
        <v>0</v>
      </c>
      <c r="S244" s="156">
        <v>-0.66666666666666663</v>
      </c>
    </row>
    <row r="245" spans="1:19">
      <c r="A245" s="133" t="s">
        <v>1175</v>
      </c>
      <c r="B245" s="133" t="s">
        <v>1171</v>
      </c>
      <c r="C245" s="133" t="s">
        <v>1000</v>
      </c>
      <c r="D245" s="133" t="s">
        <v>150</v>
      </c>
      <c r="E245" s="133" t="s">
        <v>151</v>
      </c>
      <c r="F245" s="133" t="s">
        <v>709</v>
      </c>
      <c r="G245" s="133" t="s">
        <v>719</v>
      </c>
      <c r="H245" s="133">
        <v>10.83</v>
      </c>
      <c r="I245" s="133">
        <v>16.5</v>
      </c>
      <c r="J245" s="133">
        <v>1000000000</v>
      </c>
      <c r="K245" s="133">
        <v>0</v>
      </c>
      <c r="L245" s="133">
        <v>0</v>
      </c>
      <c r="M245" s="133" t="s">
        <v>1096</v>
      </c>
      <c r="N245" s="133">
        <v>0</v>
      </c>
      <c r="P245" s="133">
        <v>0</v>
      </c>
      <c r="Q245" s="133">
        <v>0</v>
      </c>
      <c r="R245" s="133">
        <v>0</v>
      </c>
      <c r="S245" s="156"/>
    </row>
    <row r="246" spans="1:19">
      <c r="A246" s="133" t="s">
        <v>1175</v>
      </c>
      <c r="B246" s="133" t="s">
        <v>1171</v>
      </c>
      <c r="C246" s="133" t="s">
        <v>1000</v>
      </c>
      <c r="D246" s="133" t="s">
        <v>152</v>
      </c>
      <c r="E246" s="133" t="s">
        <v>153</v>
      </c>
      <c r="F246" s="133" t="s">
        <v>709</v>
      </c>
      <c r="G246" s="133" t="s">
        <v>719</v>
      </c>
      <c r="H246" s="133">
        <v>23.65</v>
      </c>
      <c r="I246" s="133">
        <v>33</v>
      </c>
      <c r="J246" s="133">
        <v>1000000000</v>
      </c>
      <c r="K246" s="133">
        <v>0</v>
      </c>
      <c r="L246" s="133">
        <v>0</v>
      </c>
      <c r="M246" s="133" t="s">
        <v>1096</v>
      </c>
      <c r="N246" s="133">
        <v>0</v>
      </c>
      <c r="P246" s="133">
        <v>0</v>
      </c>
      <c r="Q246" s="133">
        <v>0</v>
      </c>
      <c r="R246" s="133">
        <v>0</v>
      </c>
      <c r="S246" s="156"/>
    </row>
    <row r="247" spans="1:19">
      <c r="A247" s="133" t="s">
        <v>1175</v>
      </c>
      <c r="B247" s="133" t="s">
        <v>1171</v>
      </c>
      <c r="C247" s="133" t="s">
        <v>1000</v>
      </c>
      <c r="D247" s="133" t="s">
        <v>890</v>
      </c>
      <c r="E247" s="133" t="s">
        <v>945</v>
      </c>
      <c r="F247" s="133" t="s">
        <v>946</v>
      </c>
      <c r="G247" s="133" t="s">
        <v>719</v>
      </c>
      <c r="H247" s="133">
        <v>2.4</v>
      </c>
      <c r="I247" s="133">
        <v>0</v>
      </c>
      <c r="J247" s="133">
        <v>1000000000</v>
      </c>
      <c r="K247" s="133">
        <v>0</v>
      </c>
      <c r="L247" s="133">
        <v>0</v>
      </c>
      <c r="M247" s="133" t="s">
        <v>1096</v>
      </c>
      <c r="N247" s="133">
        <v>0</v>
      </c>
      <c r="P247" s="133">
        <v>0</v>
      </c>
      <c r="Q247" s="133">
        <v>0</v>
      </c>
      <c r="R247" s="133">
        <v>0</v>
      </c>
      <c r="S247" s="156"/>
    </row>
    <row r="248" spans="1:19">
      <c r="A248" s="133" t="s">
        <v>1175</v>
      </c>
      <c r="B248" s="133" t="s">
        <v>1171</v>
      </c>
      <c r="C248" s="133" t="s">
        <v>1000</v>
      </c>
      <c r="D248" s="133" t="s">
        <v>836</v>
      </c>
      <c r="E248" s="133" t="s">
        <v>1178</v>
      </c>
      <c r="F248" s="133" t="s">
        <v>712</v>
      </c>
      <c r="G248" s="133" t="s">
        <v>720</v>
      </c>
      <c r="H248" s="133">
        <v>209.42</v>
      </c>
      <c r="I248" s="133">
        <v>0</v>
      </c>
      <c r="J248" s="133">
        <v>1000000000</v>
      </c>
      <c r="K248" s="133">
        <v>0</v>
      </c>
      <c r="L248" s="133">
        <v>0</v>
      </c>
      <c r="M248" s="133" t="s">
        <v>1096</v>
      </c>
      <c r="N248" s="133">
        <v>2</v>
      </c>
      <c r="P248" s="133">
        <v>0</v>
      </c>
      <c r="Q248" s="133">
        <v>2</v>
      </c>
      <c r="R248" s="133">
        <v>0</v>
      </c>
      <c r="S248" s="156"/>
    </row>
    <row r="249" spans="1:19">
      <c r="A249" s="133" t="s">
        <v>1175</v>
      </c>
      <c r="B249" s="133" t="s">
        <v>1171</v>
      </c>
      <c r="C249" s="133" t="s">
        <v>1000</v>
      </c>
      <c r="D249" s="133" t="s">
        <v>891</v>
      </c>
      <c r="E249" s="133" t="s">
        <v>947</v>
      </c>
      <c r="F249" s="133" t="s">
        <v>946</v>
      </c>
      <c r="G249" s="133" t="s">
        <v>719</v>
      </c>
      <c r="H249" s="133">
        <v>4.1500000000000004</v>
      </c>
      <c r="I249" s="133">
        <v>0</v>
      </c>
      <c r="J249" s="133">
        <v>1000000000</v>
      </c>
      <c r="K249" s="133">
        <v>0</v>
      </c>
      <c r="L249" s="133">
        <v>0</v>
      </c>
      <c r="M249" s="133" t="s">
        <v>1096</v>
      </c>
      <c r="N249" s="133">
        <v>0</v>
      </c>
      <c r="P249" s="133">
        <v>0</v>
      </c>
      <c r="Q249" s="133">
        <v>0</v>
      </c>
      <c r="R249" s="133">
        <v>0</v>
      </c>
      <c r="S249" s="156"/>
    </row>
    <row r="250" spans="1:19">
      <c r="A250" s="133" t="s">
        <v>1175</v>
      </c>
      <c r="B250" s="133" t="s">
        <v>1171</v>
      </c>
      <c r="C250" s="133" t="s">
        <v>1000</v>
      </c>
      <c r="D250" s="133" t="s">
        <v>736</v>
      </c>
      <c r="E250" s="133" t="s">
        <v>765</v>
      </c>
      <c r="F250" s="133" t="s">
        <v>712</v>
      </c>
      <c r="G250" s="133" t="s">
        <v>732</v>
      </c>
      <c r="H250" s="133">
        <v>2.89</v>
      </c>
      <c r="I250" s="133">
        <v>5.2</v>
      </c>
      <c r="J250" s="133">
        <v>1000000000</v>
      </c>
      <c r="K250" s="133">
        <v>0</v>
      </c>
      <c r="L250" s="133">
        <v>0</v>
      </c>
      <c r="M250" s="133" t="s">
        <v>1096</v>
      </c>
      <c r="N250" s="133">
        <v>0</v>
      </c>
      <c r="P250" s="133">
        <v>0</v>
      </c>
      <c r="Q250" s="133">
        <v>0</v>
      </c>
      <c r="R250" s="133">
        <v>0</v>
      </c>
      <c r="S250" s="156"/>
    </row>
    <row r="251" spans="1:19">
      <c r="A251" s="133" t="s">
        <v>1175</v>
      </c>
      <c r="B251" s="133" t="s">
        <v>1171</v>
      </c>
      <c r="C251" s="133" t="s">
        <v>1000</v>
      </c>
      <c r="D251" s="133" t="s">
        <v>738</v>
      </c>
      <c r="E251" s="133" t="s">
        <v>762</v>
      </c>
      <c r="F251" s="133" t="s">
        <v>712</v>
      </c>
      <c r="G251" s="133" t="s">
        <v>732</v>
      </c>
      <c r="H251" s="133">
        <v>519.35</v>
      </c>
      <c r="I251" s="133">
        <v>840</v>
      </c>
      <c r="J251" s="133">
        <v>1000000000</v>
      </c>
      <c r="K251" s="133">
        <v>3</v>
      </c>
      <c r="L251" s="133">
        <v>8</v>
      </c>
      <c r="M251" s="133" t="s">
        <v>997</v>
      </c>
      <c r="N251" s="133">
        <v>1</v>
      </c>
      <c r="P251" s="133">
        <v>0</v>
      </c>
      <c r="Q251" s="133">
        <v>9</v>
      </c>
      <c r="R251" s="133">
        <v>0</v>
      </c>
      <c r="S251" s="156">
        <v>-1.6666666666666667</v>
      </c>
    </row>
    <row r="252" spans="1:19">
      <c r="A252" s="133" t="s">
        <v>1175</v>
      </c>
      <c r="B252" s="133" t="s">
        <v>1171</v>
      </c>
      <c r="C252" s="133" t="s">
        <v>1000</v>
      </c>
      <c r="D252" s="133" t="s">
        <v>875</v>
      </c>
      <c r="E252" s="133" t="s">
        <v>948</v>
      </c>
      <c r="F252" s="133" t="s">
        <v>712</v>
      </c>
      <c r="G252" s="133" t="s">
        <v>732</v>
      </c>
      <c r="H252" s="133">
        <v>6.79</v>
      </c>
      <c r="I252" s="133">
        <v>13.49</v>
      </c>
      <c r="J252" s="133">
        <v>1000000000</v>
      </c>
      <c r="K252" s="133">
        <v>25</v>
      </c>
      <c r="L252" s="133">
        <v>36</v>
      </c>
      <c r="M252" s="133" t="s">
        <v>997</v>
      </c>
      <c r="N252" s="133">
        <v>0</v>
      </c>
      <c r="P252" s="133">
        <v>0</v>
      </c>
      <c r="Q252" s="133">
        <v>36</v>
      </c>
      <c r="R252" s="133">
        <v>0</v>
      </c>
      <c r="S252" s="156">
        <v>-0.44</v>
      </c>
    </row>
    <row r="253" spans="1:19">
      <c r="A253" s="133" t="s">
        <v>1175</v>
      </c>
      <c r="B253" s="133" t="s">
        <v>1171</v>
      </c>
      <c r="C253" s="133" t="s">
        <v>1000</v>
      </c>
      <c r="D253" s="133" t="s">
        <v>737</v>
      </c>
      <c r="E253" s="133" t="s">
        <v>763</v>
      </c>
      <c r="F253" s="133" t="s">
        <v>712</v>
      </c>
      <c r="G253" s="133" t="s">
        <v>732</v>
      </c>
      <c r="H253" s="133">
        <v>98.3</v>
      </c>
      <c r="I253" s="133">
        <v>171</v>
      </c>
      <c r="J253" s="133">
        <v>1000000000</v>
      </c>
      <c r="K253" s="133">
        <v>6</v>
      </c>
      <c r="L253" s="133">
        <v>12</v>
      </c>
      <c r="M253" s="133" t="s">
        <v>997</v>
      </c>
      <c r="N253" s="133">
        <v>0</v>
      </c>
      <c r="P253" s="133">
        <v>0</v>
      </c>
      <c r="Q253" s="133">
        <v>12</v>
      </c>
      <c r="R253" s="133">
        <v>0</v>
      </c>
      <c r="S253" s="156">
        <v>-1</v>
      </c>
    </row>
    <row r="254" spans="1:19">
      <c r="A254" s="133" t="s">
        <v>1175</v>
      </c>
      <c r="B254" s="133" t="s">
        <v>1171</v>
      </c>
      <c r="C254" s="133" t="s">
        <v>1000</v>
      </c>
      <c r="D254" s="133" t="s">
        <v>742</v>
      </c>
      <c r="E254" s="133" t="s">
        <v>764</v>
      </c>
      <c r="F254" s="133" t="s">
        <v>712</v>
      </c>
      <c r="G254" s="133" t="s">
        <v>732</v>
      </c>
      <c r="H254" s="133">
        <v>26.65</v>
      </c>
      <c r="I254" s="133">
        <v>49.8</v>
      </c>
      <c r="J254" s="133">
        <v>1000000000</v>
      </c>
      <c r="K254" s="133">
        <v>50</v>
      </c>
      <c r="L254" s="133">
        <v>159</v>
      </c>
      <c r="M254" s="133" t="s">
        <v>997</v>
      </c>
      <c r="N254" s="133">
        <v>20</v>
      </c>
      <c r="P254" s="133">
        <v>0</v>
      </c>
      <c r="Q254" s="133">
        <v>179</v>
      </c>
      <c r="R254" s="133">
        <v>0</v>
      </c>
      <c r="S254" s="156">
        <v>-2.1800000000000002</v>
      </c>
    </row>
    <row r="255" spans="1:19">
      <c r="A255" s="133" t="s">
        <v>1175</v>
      </c>
      <c r="B255" s="133" t="s">
        <v>1171</v>
      </c>
      <c r="C255" s="133" t="s">
        <v>1000</v>
      </c>
      <c r="D255" s="133" t="s">
        <v>162</v>
      </c>
      <c r="E255" s="133" t="s">
        <v>163</v>
      </c>
      <c r="F255" s="133" t="s">
        <v>712</v>
      </c>
      <c r="G255" s="133" t="s">
        <v>715</v>
      </c>
      <c r="H255" s="133">
        <v>1.87</v>
      </c>
      <c r="I255" s="133">
        <v>5.7</v>
      </c>
      <c r="J255" s="133">
        <v>1000000000</v>
      </c>
      <c r="K255" s="133">
        <v>400</v>
      </c>
      <c r="L255" s="133">
        <v>2</v>
      </c>
      <c r="M255" s="133" t="s">
        <v>996</v>
      </c>
      <c r="N255" s="133">
        <v>371</v>
      </c>
      <c r="P255" s="133">
        <v>0</v>
      </c>
      <c r="Q255" s="133">
        <v>373</v>
      </c>
      <c r="R255" s="133">
        <v>27</v>
      </c>
      <c r="S255" s="156">
        <v>0.995</v>
      </c>
    </row>
    <row r="256" spans="1:19">
      <c r="A256" s="133" t="s">
        <v>1175</v>
      </c>
      <c r="B256" s="133" t="s">
        <v>1171</v>
      </c>
      <c r="C256" s="133" t="s">
        <v>1000</v>
      </c>
      <c r="D256" s="133" t="s">
        <v>164</v>
      </c>
      <c r="E256" s="133" t="s">
        <v>165</v>
      </c>
      <c r="F256" s="133" t="s">
        <v>712</v>
      </c>
      <c r="G256" s="133" t="s">
        <v>715</v>
      </c>
      <c r="H256" s="133">
        <v>3.58</v>
      </c>
      <c r="I256" s="133">
        <v>10.69</v>
      </c>
      <c r="J256" s="133">
        <v>1000000000</v>
      </c>
      <c r="K256" s="133">
        <v>40</v>
      </c>
      <c r="L256" s="133">
        <v>62</v>
      </c>
      <c r="M256" s="133" t="s">
        <v>997</v>
      </c>
      <c r="N256" s="133">
        <v>10</v>
      </c>
      <c r="P256" s="133">
        <v>0</v>
      </c>
      <c r="Q256" s="133">
        <v>72</v>
      </c>
      <c r="R256" s="133">
        <v>0</v>
      </c>
      <c r="S256" s="156">
        <v>-0.55000000000000004</v>
      </c>
    </row>
    <row r="257" spans="1:19">
      <c r="A257" s="133" t="s">
        <v>1175</v>
      </c>
      <c r="B257" s="133" t="s">
        <v>1171</v>
      </c>
      <c r="C257" s="133" t="s">
        <v>1000</v>
      </c>
      <c r="D257" s="133" t="s">
        <v>166</v>
      </c>
      <c r="E257" s="133" t="s">
        <v>167</v>
      </c>
      <c r="F257" s="133" t="s">
        <v>712</v>
      </c>
      <c r="G257" s="133" t="s">
        <v>715</v>
      </c>
      <c r="H257" s="133">
        <v>6.73</v>
      </c>
      <c r="I257" s="133">
        <v>20.49</v>
      </c>
      <c r="J257" s="133">
        <v>1000000000</v>
      </c>
      <c r="K257" s="133">
        <v>100</v>
      </c>
      <c r="L257" s="133">
        <v>122</v>
      </c>
      <c r="M257" s="133" t="s">
        <v>997</v>
      </c>
      <c r="N257" s="133">
        <v>10</v>
      </c>
      <c r="P257" s="133">
        <v>0</v>
      </c>
      <c r="Q257" s="133">
        <v>132</v>
      </c>
      <c r="R257" s="133">
        <v>0</v>
      </c>
      <c r="S257" s="156">
        <v>-0.22</v>
      </c>
    </row>
    <row r="258" spans="1:19">
      <c r="A258" s="133" t="s">
        <v>1175</v>
      </c>
      <c r="B258" s="133" t="s">
        <v>1171</v>
      </c>
      <c r="C258" s="133" t="s">
        <v>1000</v>
      </c>
      <c r="D258" s="133" t="s">
        <v>175</v>
      </c>
      <c r="E258" s="133" t="s">
        <v>176</v>
      </c>
      <c r="F258" s="133" t="s">
        <v>710</v>
      </c>
      <c r="G258" s="133" t="s">
        <v>718</v>
      </c>
      <c r="H258" s="133">
        <v>0.32</v>
      </c>
      <c r="I258" s="133">
        <v>0</v>
      </c>
      <c r="J258" s="133">
        <v>1000000000</v>
      </c>
      <c r="K258" s="133">
        <v>250</v>
      </c>
      <c r="L258" s="133">
        <v>226</v>
      </c>
      <c r="M258" s="133" t="s">
        <v>998</v>
      </c>
      <c r="N258" s="133">
        <v>24</v>
      </c>
      <c r="P258" s="133">
        <v>0</v>
      </c>
      <c r="Q258" s="133">
        <v>250</v>
      </c>
      <c r="R258" s="133">
        <v>0</v>
      </c>
      <c r="S258" s="156">
        <v>9.6000000000000002E-2</v>
      </c>
    </row>
    <row r="259" spans="1:19">
      <c r="A259" s="133" t="s">
        <v>1175</v>
      </c>
      <c r="B259" s="133" t="s">
        <v>1171</v>
      </c>
      <c r="C259" s="133" t="s">
        <v>1000</v>
      </c>
      <c r="D259" s="133" t="s">
        <v>1100</v>
      </c>
      <c r="E259" s="133" t="s">
        <v>1101</v>
      </c>
      <c r="F259" s="133" t="s">
        <v>1189</v>
      </c>
      <c r="G259" s="133" t="s">
        <v>718</v>
      </c>
      <c r="H259" s="133">
        <v>0.97</v>
      </c>
      <c r="I259" s="133">
        <v>0</v>
      </c>
      <c r="J259" s="133">
        <v>1000000000</v>
      </c>
      <c r="K259" s="133">
        <v>500</v>
      </c>
      <c r="L259" s="133">
        <v>297</v>
      </c>
      <c r="M259" s="133" t="s">
        <v>714</v>
      </c>
      <c r="N259" s="133">
        <v>161</v>
      </c>
      <c r="P259" s="133">
        <v>0</v>
      </c>
      <c r="Q259" s="133">
        <v>458</v>
      </c>
      <c r="R259" s="133">
        <v>42</v>
      </c>
      <c r="S259" s="156">
        <v>0.40600000000000003</v>
      </c>
    </row>
    <row r="260" spans="1:19">
      <c r="A260" s="133" t="s">
        <v>1175</v>
      </c>
      <c r="B260" s="133" t="s">
        <v>1171</v>
      </c>
      <c r="C260" s="133" t="s">
        <v>1000</v>
      </c>
      <c r="D260" s="133" t="s">
        <v>877</v>
      </c>
      <c r="E260" s="133" t="s">
        <v>933</v>
      </c>
      <c r="F260" s="133" t="s">
        <v>710</v>
      </c>
      <c r="G260" s="133" t="s">
        <v>718</v>
      </c>
      <c r="H260" s="133">
        <v>0.98</v>
      </c>
      <c r="I260" s="133">
        <v>0</v>
      </c>
      <c r="J260" s="133">
        <v>1000000000</v>
      </c>
      <c r="K260" s="133">
        <v>50</v>
      </c>
      <c r="L260" s="133">
        <v>98</v>
      </c>
      <c r="M260" s="133" t="s">
        <v>997</v>
      </c>
      <c r="N260" s="133">
        <v>0</v>
      </c>
      <c r="P260" s="133">
        <v>0</v>
      </c>
      <c r="Q260" s="133">
        <v>98</v>
      </c>
      <c r="R260" s="133">
        <v>0</v>
      </c>
      <c r="S260" s="156">
        <v>-0.96</v>
      </c>
    </row>
    <row r="261" spans="1:19">
      <c r="A261" s="133" t="s">
        <v>1175</v>
      </c>
      <c r="B261" s="133" t="s">
        <v>1171</v>
      </c>
      <c r="C261" s="133" t="s">
        <v>1000</v>
      </c>
      <c r="D261" s="133" t="s">
        <v>179</v>
      </c>
      <c r="E261" s="133" t="s">
        <v>180</v>
      </c>
      <c r="F261" s="133" t="s">
        <v>710</v>
      </c>
      <c r="G261" s="133" t="s">
        <v>718</v>
      </c>
      <c r="H261" s="133">
        <v>0.66</v>
      </c>
      <c r="I261" s="133">
        <v>0</v>
      </c>
      <c r="J261" s="133">
        <v>1000000000</v>
      </c>
      <c r="K261" s="133">
        <v>50</v>
      </c>
      <c r="L261" s="133">
        <v>50</v>
      </c>
      <c r="M261" s="133" t="s">
        <v>998</v>
      </c>
      <c r="N261" s="133">
        <v>0</v>
      </c>
      <c r="P261" s="133">
        <v>0</v>
      </c>
      <c r="Q261" s="133">
        <v>50</v>
      </c>
      <c r="R261" s="133">
        <v>0</v>
      </c>
      <c r="S261" s="156">
        <v>0</v>
      </c>
    </row>
    <row r="262" spans="1:19">
      <c r="A262" s="133" t="s">
        <v>1175</v>
      </c>
      <c r="B262" s="133" t="s">
        <v>1171</v>
      </c>
      <c r="C262" s="133" t="s">
        <v>1000</v>
      </c>
      <c r="D262" s="133" t="s">
        <v>852</v>
      </c>
      <c r="E262" s="133" t="s">
        <v>1179</v>
      </c>
      <c r="F262" s="133" t="s">
        <v>710</v>
      </c>
      <c r="G262" s="133" t="s">
        <v>718</v>
      </c>
      <c r="H262" s="133">
        <v>0.74</v>
      </c>
      <c r="I262" s="133">
        <v>0</v>
      </c>
      <c r="J262" s="133">
        <v>1000000000</v>
      </c>
      <c r="K262" s="133">
        <v>150</v>
      </c>
      <c r="L262" s="133">
        <v>279</v>
      </c>
      <c r="M262" s="133" t="s">
        <v>997</v>
      </c>
      <c r="N262" s="133">
        <v>0</v>
      </c>
      <c r="P262" s="133">
        <v>0</v>
      </c>
      <c r="Q262" s="133">
        <v>279</v>
      </c>
      <c r="R262" s="133">
        <v>0</v>
      </c>
      <c r="S262" s="156">
        <v>-0.86</v>
      </c>
    </row>
    <row r="263" spans="1:19">
      <c r="A263" s="133" t="s">
        <v>1175</v>
      </c>
      <c r="B263" s="133" t="s">
        <v>1171</v>
      </c>
      <c r="C263" s="133" t="s">
        <v>1000</v>
      </c>
      <c r="D263" s="133" t="s">
        <v>183</v>
      </c>
      <c r="E263" s="133" t="s">
        <v>184</v>
      </c>
      <c r="F263" s="133" t="s">
        <v>710</v>
      </c>
      <c r="G263" s="133" t="s">
        <v>718</v>
      </c>
      <c r="H263" s="133">
        <v>0.86</v>
      </c>
      <c r="I263" s="133">
        <v>0</v>
      </c>
      <c r="J263" s="133">
        <v>1000000000</v>
      </c>
      <c r="K263" s="133">
        <v>50</v>
      </c>
      <c r="L263" s="133">
        <v>50</v>
      </c>
      <c r="M263" s="133" t="s">
        <v>998</v>
      </c>
      <c r="N263" s="133">
        <v>0</v>
      </c>
      <c r="P263" s="133">
        <v>0</v>
      </c>
      <c r="Q263" s="133">
        <v>50</v>
      </c>
      <c r="R263" s="133">
        <v>0</v>
      </c>
      <c r="S263" s="156">
        <v>0</v>
      </c>
    </row>
    <row r="264" spans="1:19">
      <c r="A264" s="133" t="s">
        <v>1175</v>
      </c>
      <c r="B264" s="133" t="s">
        <v>1171</v>
      </c>
      <c r="C264" s="133" t="s">
        <v>1000</v>
      </c>
      <c r="D264" s="133" t="s">
        <v>1097</v>
      </c>
      <c r="E264" s="133" t="s">
        <v>1098</v>
      </c>
      <c r="F264" s="133" t="s">
        <v>1189</v>
      </c>
      <c r="G264" s="133" t="s">
        <v>718</v>
      </c>
      <c r="H264" s="133">
        <v>0.97</v>
      </c>
      <c r="I264" s="133">
        <v>0</v>
      </c>
      <c r="J264" s="133">
        <v>1000000000</v>
      </c>
      <c r="K264" s="133">
        <v>500</v>
      </c>
      <c r="L264" s="133">
        <v>286</v>
      </c>
      <c r="M264" s="133" t="s">
        <v>714</v>
      </c>
      <c r="N264" s="133">
        <v>187</v>
      </c>
      <c r="P264" s="133">
        <v>0</v>
      </c>
      <c r="Q264" s="133">
        <v>473</v>
      </c>
      <c r="R264" s="133">
        <v>27</v>
      </c>
      <c r="S264" s="156">
        <v>0.42799999999999999</v>
      </c>
    </row>
    <row r="265" spans="1:19">
      <c r="A265" s="133" t="s">
        <v>1175</v>
      </c>
      <c r="B265" s="133" t="s">
        <v>1171</v>
      </c>
      <c r="C265" s="133" t="s">
        <v>1000</v>
      </c>
      <c r="D265" s="133" t="s">
        <v>829</v>
      </c>
      <c r="E265" s="133" t="s">
        <v>888</v>
      </c>
      <c r="F265" s="133" t="s">
        <v>710</v>
      </c>
      <c r="G265" s="133" t="s">
        <v>718</v>
      </c>
      <c r="H265" s="133">
        <v>0.88</v>
      </c>
      <c r="I265" s="133">
        <v>0</v>
      </c>
      <c r="J265" s="133">
        <v>1000000000</v>
      </c>
      <c r="K265" s="133">
        <v>150</v>
      </c>
      <c r="L265" s="133">
        <v>527</v>
      </c>
      <c r="M265" s="133" t="s">
        <v>997</v>
      </c>
      <c r="N265" s="133">
        <v>0</v>
      </c>
      <c r="P265" s="133">
        <v>0</v>
      </c>
      <c r="Q265" s="133">
        <v>527</v>
      </c>
      <c r="R265" s="133">
        <v>0</v>
      </c>
      <c r="S265" s="156">
        <v>-2.5133333333333332</v>
      </c>
    </row>
    <row r="266" spans="1:19">
      <c r="A266" s="133" t="s">
        <v>1175</v>
      </c>
      <c r="B266" s="133" t="s">
        <v>1171</v>
      </c>
      <c r="C266" s="133" t="s">
        <v>1000</v>
      </c>
      <c r="D266" s="133" t="s">
        <v>892</v>
      </c>
      <c r="E266" s="133" t="s">
        <v>949</v>
      </c>
      <c r="F266" s="133" t="s">
        <v>946</v>
      </c>
      <c r="G266" s="133" t="s">
        <v>719</v>
      </c>
      <c r="H266" s="133">
        <v>0.56000000000000005</v>
      </c>
      <c r="I266" s="133">
        <v>0</v>
      </c>
      <c r="J266" s="133">
        <v>1000000000</v>
      </c>
      <c r="K266" s="133">
        <v>0</v>
      </c>
      <c r="L266" s="133">
        <v>0</v>
      </c>
      <c r="M266" s="133" t="s">
        <v>1096</v>
      </c>
      <c r="N266" s="133">
        <v>0</v>
      </c>
      <c r="P266" s="133">
        <v>0</v>
      </c>
      <c r="Q266" s="133">
        <v>0</v>
      </c>
      <c r="R266" s="133">
        <v>0</v>
      </c>
      <c r="S266" s="156"/>
    </row>
    <row r="267" spans="1:19">
      <c r="A267" s="133" t="s">
        <v>1175</v>
      </c>
      <c r="B267" s="133" t="s">
        <v>1171</v>
      </c>
      <c r="C267" s="133" t="s">
        <v>1000</v>
      </c>
      <c r="D267" s="133" t="s">
        <v>893</v>
      </c>
      <c r="E267" s="133" t="s">
        <v>950</v>
      </c>
      <c r="F267" s="133" t="s">
        <v>946</v>
      </c>
      <c r="G267" s="133" t="s">
        <v>719</v>
      </c>
      <c r="H267" s="133">
        <v>1.1299999999999999</v>
      </c>
      <c r="I267" s="133">
        <v>0</v>
      </c>
      <c r="J267" s="133">
        <v>1000000000</v>
      </c>
      <c r="K267" s="133">
        <v>0</v>
      </c>
      <c r="L267" s="133">
        <v>0</v>
      </c>
      <c r="M267" s="133" t="s">
        <v>1096</v>
      </c>
      <c r="N267" s="133">
        <v>0</v>
      </c>
      <c r="P267" s="133">
        <v>0</v>
      </c>
      <c r="Q267" s="133">
        <v>0</v>
      </c>
      <c r="R267" s="133">
        <v>0</v>
      </c>
      <c r="S267" s="156"/>
    </row>
    <row r="268" spans="1:19">
      <c r="A268" s="133" t="s">
        <v>1175</v>
      </c>
      <c r="B268" s="133" t="s">
        <v>1171</v>
      </c>
      <c r="C268" s="133" t="s">
        <v>1000</v>
      </c>
      <c r="D268" s="133" t="s">
        <v>894</v>
      </c>
      <c r="E268" s="133" t="s">
        <v>951</v>
      </c>
      <c r="F268" s="133" t="s">
        <v>946</v>
      </c>
      <c r="G268" s="133" t="s">
        <v>719</v>
      </c>
      <c r="H268" s="133">
        <v>1.32</v>
      </c>
      <c r="I268" s="133">
        <v>0</v>
      </c>
      <c r="J268" s="133">
        <v>1000000000</v>
      </c>
      <c r="K268" s="133">
        <v>0</v>
      </c>
      <c r="L268" s="133">
        <v>0</v>
      </c>
      <c r="M268" s="133" t="s">
        <v>1096</v>
      </c>
      <c r="N268" s="133">
        <v>0</v>
      </c>
      <c r="P268" s="133">
        <v>0</v>
      </c>
      <c r="Q268" s="133">
        <v>0</v>
      </c>
      <c r="R268" s="133">
        <v>0</v>
      </c>
      <c r="S268" s="156"/>
    </row>
    <row r="269" spans="1:19">
      <c r="A269" s="133" t="s">
        <v>1175</v>
      </c>
      <c r="B269" s="133" t="s">
        <v>1171</v>
      </c>
      <c r="C269" s="133" t="s">
        <v>1000</v>
      </c>
      <c r="D269" s="133" t="s">
        <v>895</v>
      </c>
      <c r="E269" s="133" t="s">
        <v>952</v>
      </c>
      <c r="F269" s="133" t="s">
        <v>946</v>
      </c>
      <c r="G269" s="133" t="s">
        <v>719</v>
      </c>
      <c r="H269" s="133">
        <v>2.56</v>
      </c>
      <c r="I269" s="133">
        <v>0</v>
      </c>
      <c r="J269" s="133">
        <v>1000000000</v>
      </c>
      <c r="K269" s="133">
        <v>0</v>
      </c>
      <c r="L269" s="133">
        <v>0</v>
      </c>
      <c r="M269" s="133" t="s">
        <v>1096</v>
      </c>
      <c r="N269" s="133">
        <v>0</v>
      </c>
      <c r="P269" s="133">
        <v>0</v>
      </c>
      <c r="Q269" s="133">
        <v>0</v>
      </c>
      <c r="R269" s="133">
        <v>0</v>
      </c>
      <c r="S269" s="156"/>
    </row>
    <row r="270" spans="1:19">
      <c r="A270" s="133" t="s">
        <v>1175</v>
      </c>
      <c r="B270" s="133" t="s">
        <v>1171</v>
      </c>
      <c r="C270" s="133" t="s">
        <v>1000</v>
      </c>
      <c r="D270" s="133" t="s">
        <v>209</v>
      </c>
      <c r="E270" s="133" t="s">
        <v>210</v>
      </c>
      <c r="F270" s="133" t="s">
        <v>709</v>
      </c>
      <c r="G270" s="133" t="s">
        <v>719</v>
      </c>
      <c r="H270" s="133">
        <v>2.92</v>
      </c>
      <c r="I270" s="133">
        <v>8.9</v>
      </c>
      <c r="J270" s="133">
        <v>1000000000</v>
      </c>
      <c r="K270" s="133">
        <v>0</v>
      </c>
      <c r="L270" s="133">
        <v>0</v>
      </c>
      <c r="M270" s="133" t="s">
        <v>1096</v>
      </c>
      <c r="N270" s="133">
        <v>0</v>
      </c>
      <c r="P270" s="133">
        <v>0</v>
      </c>
      <c r="Q270" s="133">
        <v>0</v>
      </c>
      <c r="R270" s="133">
        <v>0</v>
      </c>
      <c r="S270" s="156"/>
    </row>
    <row r="271" spans="1:19">
      <c r="A271" s="133" t="s">
        <v>1175</v>
      </c>
      <c r="B271" s="133" t="s">
        <v>1171</v>
      </c>
      <c r="C271" s="133" t="s">
        <v>1000</v>
      </c>
      <c r="D271" s="133" t="s">
        <v>211</v>
      </c>
      <c r="E271" s="133" t="s">
        <v>212</v>
      </c>
      <c r="F271" s="133" t="s">
        <v>709</v>
      </c>
      <c r="G271" s="133" t="s">
        <v>719</v>
      </c>
      <c r="H271" s="133">
        <v>2.79</v>
      </c>
      <c r="I271" s="133">
        <v>8.9</v>
      </c>
      <c r="J271" s="133">
        <v>1000000000</v>
      </c>
      <c r="K271" s="133">
        <v>1000</v>
      </c>
      <c r="L271" s="133">
        <v>1122</v>
      </c>
      <c r="M271" s="133" t="s">
        <v>997</v>
      </c>
      <c r="N271" s="133">
        <v>0</v>
      </c>
      <c r="P271" s="133">
        <v>0</v>
      </c>
      <c r="Q271" s="133">
        <v>1122</v>
      </c>
      <c r="R271" s="133">
        <v>0</v>
      </c>
      <c r="S271" s="156">
        <v>-0.122</v>
      </c>
    </row>
    <row r="272" spans="1:19">
      <c r="A272" s="133" t="s">
        <v>1175</v>
      </c>
      <c r="B272" s="133" t="s">
        <v>1171</v>
      </c>
      <c r="C272" s="133" t="s">
        <v>1000</v>
      </c>
      <c r="D272" s="133" t="s">
        <v>896</v>
      </c>
      <c r="E272" s="133" t="s">
        <v>953</v>
      </c>
      <c r="F272" s="133" t="s">
        <v>946</v>
      </c>
      <c r="G272" s="133" t="s">
        <v>719</v>
      </c>
      <c r="H272" s="133">
        <v>2.56</v>
      </c>
      <c r="I272" s="133">
        <v>0</v>
      </c>
      <c r="J272" s="133">
        <v>1000000000</v>
      </c>
      <c r="K272" s="133">
        <v>0</v>
      </c>
      <c r="L272" s="133">
        <v>0</v>
      </c>
      <c r="M272" s="133" t="s">
        <v>1096</v>
      </c>
      <c r="N272" s="133">
        <v>0</v>
      </c>
      <c r="P272" s="133">
        <v>0</v>
      </c>
      <c r="Q272" s="133">
        <v>0</v>
      </c>
      <c r="R272" s="133">
        <v>0</v>
      </c>
      <c r="S272" s="156"/>
    </row>
    <row r="273" spans="1:19">
      <c r="A273" s="133" t="s">
        <v>1175</v>
      </c>
      <c r="B273" s="133" t="s">
        <v>1171</v>
      </c>
      <c r="C273" s="133" t="s">
        <v>1000</v>
      </c>
      <c r="D273" s="133" t="s">
        <v>215</v>
      </c>
      <c r="E273" s="133" t="s">
        <v>216</v>
      </c>
      <c r="F273" s="133" t="s">
        <v>709</v>
      </c>
      <c r="G273" s="133" t="s">
        <v>719</v>
      </c>
      <c r="H273" s="133">
        <v>12.92</v>
      </c>
      <c r="I273" s="133">
        <v>42</v>
      </c>
      <c r="J273" s="133">
        <v>1000000000</v>
      </c>
      <c r="K273" s="133">
        <v>0</v>
      </c>
      <c r="L273" s="133">
        <v>0</v>
      </c>
      <c r="M273" s="133" t="s">
        <v>1096</v>
      </c>
      <c r="N273" s="133">
        <v>0</v>
      </c>
      <c r="P273" s="133">
        <v>0</v>
      </c>
      <c r="Q273" s="133">
        <v>0</v>
      </c>
      <c r="R273" s="133">
        <v>0</v>
      </c>
      <c r="S273" s="156"/>
    </row>
    <row r="274" spans="1:19">
      <c r="A274" s="133" t="s">
        <v>1175</v>
      </c>
      <c r="B274" s="133" t="s">
        <v>1171</v>
      </c>
      <c r="C274" s="133" t="s">
        <v>1000</v>
      </c>
      <c r="D274" s="133" t="s">
        <v>217</v>
      </c>
      <c r="E274" s="133" t="s">
        <v>218</v>
      </c>
      <c r="F274" s="133" t="s">
        <v>709</v>
      </c>
      <c r="G274" s="133" t="s">
        <v>719</v>
      </c>
      <c r="H274" s="133">
        <v>2.66</v>
      </c>
      <c r="I274" s="133">
        <v>8.9</v>
      </c>
      <c r="J274" s="133">
        <v>1000000000</v>
      </c>
      <c r="K274" s="133">
        <v>100</v>
      </c>
      <c r="L274" s="133">
        <v>120</v>
      </c>
      <c r="M274" s="133" t="s">
        <v>997</v>
      </c>
      <c r="N274" s="133">
        <v>0</v>
      </c>
      <c r="P274" s="133">
        <v>0</v>
      </c>
      <c r="Q274" s="133">
        <v>120</v>
      </c>
      <c r="R274" s="133">
        <v>0</v>
      </c>
      <c r="S274" s="156">
        <v>-0.2</v>
      </c>
    </row>
    <row r="275" spans="1:19">
      <c r="A275" s="133" t="s">
        <v>1175</v>
      </c>
      <c r="B275" s="133" t="s">
        <v>1171</v>
      </c>
      <c r="C275" s="133" t="s">
        <v>1000</v>
      </c>
      <c r="D275" s="133" t="s">
        <v>876</v>
      </c>
      <c r="E275" s="133" t="s">
        <v>954</v>
      </c>
      <c r="F275" s="133" t="s">
        <v>707</v>
      </c>
      <c r="G275" s="133" t="s">
        <v>732</v>
      </c>
      <c r="H275" s="133">
        <v>9.81</v>
      </c>
      <c r="I275" s="133">
        <v>15.09</v>
      </c>
      <c r="J275" s="133">
        <v>1000000000</v>
      </c>
      <c r="K275" s="133">
        <v>20</v>
      </c>
      <c r="L275" s="133">
        <v>27</v>
      </c>
      <c r="M275" s="133" t="s">
        <v>997</v>
      </c>
      <c r="N275" s="133">
        <v>20</v>
      </c>
      <c r="P275" s="133">
        <v>0</v>
      </c>
      <c r="Q275" s="133">
        <v>47</v>
      </c>
      <c r="R275" s="133">
        <v>0</v>
      </c>
      <c r="S275" s="156">
        <v>-0.35</v>
      </c>
    </row>
    <row r="276" spans="1:19">
      <c r="A276" s="133" t="s">
        <v>1175</v>
      </c>
      <c r="B276" s="133" t="s">
        <v>1171</v>
      </c>
      <c r="C276" s="133" t="s">
        <v>1000</v>
      </c>
      <c r="D276" s="133" t="s">
        <v>219</v>
      </c>
      <c r="E276" s="133" t="s">
        <v>220</v>
      </c>
      <c r="F276" s="133" t="s">
        <v>707</v>
      </c>
      <c r="G276" s="133" t="s">
        <v>732</v>
      </c>
      <c r="H276" s="133">
        <v>37.92</v>
      </c>
      <c r="I276" s="133">
        <v>30.9</v>
      </c>
      <c r="J276" s="133">
        <v>1000000000</v>
      </c>
      <c r="K276" s="133">
        <v>21</v>
      </c>
      <c r="L276" s="133">
        <v>53</v>
      </c>
      <c r="M276" s="133" t="s">
        <v>997</v>
      </c>
      <c r="N276" s="133">
        <v>10</v>
      </c>
      <c r="P276" s="133">
        <v>0</v>
      </c>
      <c r="Q276" s="133">
        <v>63</v>
      </c>
      <c r="R276" s="133">
        <v>0</v>
      </c>
      <c r="S276" s="156">
        <v>-1.5238095238095237</v>
      </c>
    </row>
    <row r="277" spans="1:19">
      <c r="A277" s="133" t="s">
        <v>1175</v>
      </c>
      <c r="B277" s="133" t="s">
        <v>1171</v>
      </c>
      <c r="C277" s="133" t="s">
        <v>1000</v>
      </c>
      <c r="D277" s="133" t="s">
        <v>227</v>
      </c>
      <c r="E277" s="133" t="s">
        <v>228</v>
      </c>
      <c r="F277" s="133" t="s">
        <v>709</v>
      </c>
      <c r="G277" s="133" t="s">
        <v>719</v>
      </c>
      <c r="H277" s="133">
        <v>1.1499999999999999</v>
      </c>
      <c r="I277" s="133">
        <v>2.44</v>
      </c>
      <c r="J277" s="133">
        <v>1000000000</v>
      </c>
      <c r="K277" s="133">
        <v>800</v>
      </c>
      <c r="L277" s="133">
        <v>275</v>
      </c>
      <c r="M277" s="133" t="s">
        <v>714</v>
      </c>
      <c r="N277" s="133">
        <v>525</v>
      </c>
      <c r="P277" s="133">
        <v>0</v>
      </c>
      <c r="Q277" s="133">
        <v>800</v>
      </c>
      <c r="R277" s="133">
        <v>0</v>
      </c>
      <c r="S277" s="156">
        <v>0.65625</v>
      </c>
    </row>
    <row r="278" spans="1:19">
      <c r="A278" s="133" t="s">
        <v>1175</v>
      </c>
      <c r="B278" s="133" t="s">
        <v>1171</v>
      </c>
      <c r="C278" s="133" t="s">
        <v>1000</v>
      </c>
      <c r="D278" s="133" t="s">
        <v>229</v>
      </c>
      <c r="E278" s="133" t="s">
        <v>230</v>
      </c>
      <c r="F278" s="133" t="s">
        <v>709</v>
      </c>
      <c r="G278" s="133" t="s">
        <v>719</v>
      </c>
      <c r="H278" s="133">
        <v>2.8</v>
      </c>
      <c r="I278" s="133">
        <v>6.49</v>
      </c>
      <c r="J278" s="133">
        <v>1000000000</v>
      </c>
      <c r="K278" s="133">
        <v>250</v>
      </c>
      <c r="L278" s="133">
        <v>0</v>
      </c>
      <c r="M278" s="133" t="s">
        <v>999</v>
      </c>
      <c r="N278" s="133">
        <v>236</v>
      </c>
      <c r="P278" s="133">
        <v>0</v>
      </c>
      <c r="Q278" s="133">
        <v>236</v>
      </c>
      <c r="R278" s="133">
        <v>14</v>
      </c>
      <c r="S278" s="156">
        <v>1</v>
      </c>
    </row>
    <row r="279" spans="1:19">
      <c r="A279" s="133" t="s">
        <v>1175</v>
      </c>
      <c r="B279" s="133" t="s">
        <v>1171</v>
      </c>
      <c r="C279" s="133" t="s">
        <v>1000</v>
      </c>
      <c r="D279" s="133" t="s">
        <v>746</v>
      </c>
      <c r="E279" s="133" t="s">
        <v>747</v>
      </c>
      <c r="F279" s="133" t="s">
        <v>709</v>
      </c>
      <c r="G279" s="133" t="s">
        <v>732</v>
      </c>
      <c r="H279" s="133">
        <v>40.32</v>
      </c>
      <c r="I279" s="133">
        <v>62.5</v>
      </c>
      <c r="J279" s="133">
        <v>1000000000</v>
      </c>
      <c r="K279" s="133">
        <v>0</v>
      </c>
      <c r="L279" s="133">
        <v>79</v>
      </c>
      <c r="M279" s="133" t="s">
        <v>1096</v>
      </c>
      <c r="N279" s="133">
        <v>0</v>
      </c>
      <c r="P279" s="133">
        <v>0</v>
      </c>
      <c r="Q279" s="133">
        <v>79</v>
      </c>
      <c r="R279" s="133">
        <v>0</v>
      </c>
      <c r="S279" s="156"/>
    </row>
    <row r="280" spans="1:19">
      <c r="A280" s="133" t="s">
        <v>1175</v>
      </c>
      <c r="B280" s="133" t="s">
        <v>1171</v>
      </c>
      <c r="C280" s="133" t="s">
        <v>1000</v>
      </c>
      <c r="D280" s="133" t="s">
        <v>462</v>
      </c>
      <c r="E280" s="133" t="s">
        <v>463</v>
      </c>
      <c r="F280" s="133" t="s">
        <v>707</v>
      </c>
      <c r="G280" s="133" t="s">
        <v>715</v>
      </c>
      <c r="H280" s="133">
        <v>1.23</v>
      </c>
      <c r="I280" s="133">
        <v>0</v>
      </c>
      <c r="J280" s="133">
        <v>1000000000</v>
      </c>
      <c r="K280" s="133">
        <v>0</v>
      </c>
      <c r="L280" s="133">
        <v>0</v>
      </c>
      <c r="M280" s="133" t="s">
        <v>1096</v>
      </c>
      <c r="N280" s="133">
        <v>0</v>
      </c>
      <c r="P280" s="133">
        <v>0</v>
      </c>
      <c r="Q280" s="133">
        <v>0</v>
      </c>
      <c r="R280" s="133">
        <v>0</v>
      </c>
      <c r="S280" s="156"/>
    </row>
    <row r="281" spans="1:19">
      <c r="A281" s="133" t="s">
        <v>1175</v>
      </c>
      <c r="B281" s="133" t="s">
        <v>1171</v>
      </c>
      <c r="C281" s="133" t="s">
        <v>1000</v>
      </c>
      <c r="D281" s="133" t="s">
        <v>464</v>
      </c>
      <c r="E281" s="133" t="s">
        <v>465</v>
      </c>
      <c r="F281" s="133" t="s">
        <v>707</v>
      </c>
      <c r="G281" s="133" t="s">
        <v>715</v>
      </c>
      <c r="H281" s="133">
        <v>2.19</v>
      </c>
      <c r="I281" s="133">
        <v>0</v>
      </c>
      <c r="J281" s="133">
        <v>1000000000</v>
      </c>
      <c r="K281" s="133">
        <v>0</v>
      </c>
      <c r="L281" s="133">
        <v>0</v>
      </c>
      <c r="M281" s="133" t="s">
        <v>1096</v>
      </c>
      <c r="N281" s="133">
        <v>0</v>
      </c>
      <c r="P281" s="133">
        <v>0</v>
      </c>
      <c r="Q281" s="133">
        <v>0</v>
      </c>
      <c r="R281" s="133">
        <v>0</v>
      </c>
      <c r="S281" s="156"/>
    </row>
    <row r="282" spans="1:19">
      <c r="A282" s="133" t="s">
        <v>1175</v>
      </c>
      <c r="B282" s="133" t="s">
        <v>1171</v>
      </c>
      <c r="C282" s="133" t="s">
        <v>1000</v>
      </c>
      <c r="D282" s="133" t="s">
        <v>466</v>
      </c>
      <c r="E282" s="133" t="s">
        <v>467</v>
      </c>
      <c r="F282" s="133" t="s">
        <v>707</v>
      </c>
      <c r="G282" s="133" t="s">
        <v>715</v>
      </c>
      <c r="H282" s="133">
        <v>4.2699999999999996</v>
      </c>
      <c r="I282" s="133">
        <v>0</v>
      </c>
      <c r="J282" s="133">
        <v>1000000000</v>
      </c>
      <c r="K282" s="133">
        <v>0</v>
      </c>
      <c r="L282" s="133">
        <v>0</v>
      </c>
      <c r="M282" s="133" t="s">
        <v>1096</v>
      </c>
      <c r="N282" s="133">
        <v>0</v>
      </c>
      <c r="P282" s="133">
        <v>0</v>
      </c>
      <c r="Q282" s="133">
        <v>0</v>
      </c>
      <c r="R282" s="133">
        <v>0</v>
      </c>
      <c r="S282" s="156"/>
    </row>
    <row r="283" spans="1:19">
      <c r="A283" s="133" t="s">
        <v>1175</v>
      </c>
      <c r="B283" s="133" t="s">
        <v>1171</v>
      </c>
      <c r="C283" s="133" t="s">
        <v>1000</v>
      </c>
      <c r="D283" s="133" t="s">
        <v>897</v>
      </c>
      <c r="E283" s="133" t="s">
        <v>955</v>
      </c>
      <c r="F283" s="133" t="s">
        <v>946</v>
      </c>
      <c r="G283" s="133" t="s">
        <v>719</v>
      </c>
      <c r="H283" s="133">
        <v>0.6</v>
      </c>
      <c r="I283" s="133">
        <v>0</v>
      </c>
      <c r="J283" s="133">
        <v>1000000000</v>
      </c>
      <c r="K283" s="133">
        <v>0</v>
      </c>
      <c r="L283" s="133">
        <v>0</v>
      </c>
      <c r="M283" s="133" t="s">
        <v>1096</v>
      </c>
      <c r="N283" s="133">
        <v>0</v>
      </c>
      <c r="P283" s="133">
        <v>0</v>
      </c>
      <c r="Q283" s="133">
        <v>0</v>
      </c>
      <c r="R283" s="133">
        <v>0</v>
      </c>
      <c r="S283" s="156"/>
    </row>
    <row r="284" spans="1:19">
      <c r="A284" s="133" t="s">
        <v>1175</v>
      </c>
      <c r="B284" s="133" t="s">
        <v>1171</v>
      </c>
      <c r="C284" s="133" t="s">
        <v>1000</v>
      </c>
      <c r="D284" s="133" t="s">
        <v>898</v>
      </c>
      <c r="E284" s="133" t="s">
        <v>956</v>
      </c>
      <c r="F284" s="133" t="s">
        <v>946</v>
      </c>
      <c r="G284" s="133" t="s">
        <v>719</v>
      </c>
      <c r="H284" s="133">
        <v>2.99</v>
      </c>
      <c r="I284" s="133">
        <v>0</v>
      </c>
      <c r="J284" s="133">
        <v>1000000000</v>
      </c>
      <c r="K284" s="133">
        <v>0</v>
      </c>
      <c r="L284" s="133">
        <v>0</v>
      </c>
      <c r="M284" s="133" t="s">
        <v>1096</v>
      </c>
      <c r="N284" s="133">
        <v>0</v>
      </c>
      <c r="P284" s="133">
        <v>0</v>
      </c>
      <c r="Q284" s="133">
        <v>0</v>
      </c>
      <c r="R284" s="133">
        <v>0</v>
      </c>
      <c r="S284" s="156"/>
    </row>
    <row r="285" spans="1:19">
      <c r="A285" s="133" t="s">
        <v>1175</v>
      </c>
      <c r="B285" s="133" t="s">
        <v>1171</v>
      </c>
      <c r="C285" s="133" t="s">
        <v>1000</v>
      </c>
      <c r="D285" s="133" t="s">
        <v>899</v>
      </c>
      <c r="E285" s="133" t="s">
        <v>957</v>
      </c>
      <c r="F285" s="133" t="s">
        <v>946</v>
      </c>
      <c r="G285" s="133" t="s">
        <v>719</v>
      </c>
      <c r="H285" s="133">
        <v>5.98</v>
      </c>
      <c r="I285" s="133">
        <v>0</v>
      </c>
      <c r="J285" s="133">
        <v>1000000000</v>
      </c>
      <c r="K285" s="133">
        <v>0</v>
      </c>
      <c r="L285" s="133">
        <v>0</v>
      </c>
      <c r="M285" s="133" t="s">
        <v>1096</v>
      </c>
      <c r="N285" s="133">
        <v>0</v>
      </c>
      <c r="P285" s="133">
        <v>0</v>
      </c>
      <c r="Q285" s="133">
        <v>0</v>
      </c>
      <c r="R285" s="133">
        <v>0</v>
      </c>
      <c r="S285" s="156"/>
    </row>
    <row r="286" spans="1:19">
      <c r="A286" s="133" t="s">
        <v>1175</v>
      </c>
      <c r="B286" s="133" t="s">
        <v>1171</v>
      </c>
      <c r="C286" s="133" t="s">
        <v>1000</v>
      </c>
      <c r="D286" s="133" t="s">
        <v>474</v>
      </c>
      <c r="E286" s="133" t="s">
        <v>475</v>
      </c>
      <c r="F286" s="133" t="s">
        <v>709</v>
      </c>
      <c r="G286" s="133" t="s">
        <v>719</v>
      </c>
      <c r="H286" s="133">
        <v>2.68</v>
      </c>
      <c r="I286" s="133">
        <v>8.9</v>
      </c>
      <c r="J286" s="133">
        <v>1000000000</v>
      </c>
      <c r="K286" s="133">
        <v>300</v>
      </c>
      <c r="L286" s="133">
        <v>31</v>
      </c>
      <c r="M286" s="133" t="s">
        <v>996</v>
      </c>
      <c r="N286" s="133">
        <v>269</v>
      </c>
      <c r="P286" s="133">
        <v>0</v>
      </c>
      <c r="Q286" s="133">
        <v>300</v>
      </c>
      <c r="R286" s="133">
        <v>0</v>
      </c>
      <c r="S286" s="156">
        <v>0.89666666666666661</v>
      </c>
    </row>
    <row r="287" spans="1:19">
      <c r="A287" s="133" t="s">
        <v>1175</v>
      </c>
      <c r="B287" s="133" t="s">
        <v>1171</v>
      </c>
      <c r="C287" s="133" t="s">
        <v>1000</v>
      </c>
      <c r="D287" s="133" t="s">
        <v>480</v>
      </c>
      <c r="E287" s="133" t="s">
        <v>832</v>
      </c>
      <c r="F287" s="133" t="s">
        <v>708</v>
      </c>
      <c r="G287" s="133" t="s">
        <v>715</v>
      </c>
      <c r="H287" s="133">
        <v>51.24</v>
      </c>
      <c r="I287" s="133">
        <v>172</v>
      </c>
      <c r="J287" s="133">
        <v>1000000000</v>
      </c>
      <c r="K287" s="133">
        <v>0</v>
      </c>
      <c r="L287" s="133">
        <v>0</v>
      </c>
      <c r="M287" s="133" t="s">
        <v>1096</v>
      </c>
      <c r="N287" s="133">
        <v>0</v>
      </c>
      <c r="P287" s="133">
        <v>0</v>
      </c>
      <c r="Q287" s="133">
        <v>0</v>
      </c>
      <c r="R287" s="133">
        <v>0</v>
      </c>
      <c r="S287" s="156"/>
    </row>
    <row r="288" spans="1:19">
      <c r="A288" s="133" t="s">
        <v>1175</v>
      </c>
      <c r="B288" s="133" t="s">
        <v>1171</v>
      </c>
      <c r="C288" s="133" t="s">
        <v>1000</v>
      </c>
      <c r="D288" s="133" t="s">
        <v>481</v>
      </c>
      <c r="E288" s="133" t="s">
        <v>482</v>
      </c>
      <c r="F288" s="133" t="s">
        <v>708</v>
      </c>
      <c r="G288" s="133" t="s">
        <v>715</v>
      </c>
      <c r="H288" s="133">
        <v>520</v>
      </c>
      <c r="I288" s="133">
        <v>2235.4899999999998</v>
      </c>
      <c r="J288" s="133">
        <v>1000000000</v>
      </c>
      <c r="K288" s="133">
        <v>0</v>
      </c>
      <c r="L288" s="133">
        <v>0</v>
      </c>
      <c r="M288" s="133" t="s">
        <v>1096</v>
      </c>
      <c r="N288" s="133">
        <v>0</v>
      </c>
      <c r="P288" s="133">
        <v>0</v>
      </c>
      <c r="Q288" s="133">
        <v>0</v>
      </c>
      <c r="R288" s="133">
        <v>0</v>
      </c>
      <c r="S288" s="156"/>
    </row>
    <row r="289" spans="1:19">
      <c r="A289" s="133" t="s">
        <v>1175</v>
      </c>
      <c r="B289" s="133" t="s">
        <v>1171</v>
      </c>
      <c r="C289" s="133" t="s">
        <v>1000</v>
      </c>
      <c r="D289" s="133" t="s">
        <v>483</v>
      </c>
      <c r="E289" s="133" t="s">
        <v>484</v>
      </c>
      <c r="F289" s="133" t="s">
        <v>708</v>
      </c>
      <c r="G289" s="133" t="s">
        <v>715</v>
      </c>
      <c r="H289" s="133">
        <v>10.9</v>
      </c>
      <c r="I289" s="133">
        <v>36.369999999999997</v>
      </c>
      <c r="J289" s="133">
        <v>1000000000</v>
      </c>
      <c r="K289" s="133">
        <v>0</v>
      </c>
      <c r="L289" s="133">
        <v>0</v>
      </c>
      <c r="M289" s="133" t="s">
        <v>1096</v>
      </c>
      <c r="N289" s="133">
        <v>0</v>
      </c>
      <c r="P289" s="133">
        <v>0</v>
      </c>
      <c r="Q289" s="133">
        <v>0</v>
      </c>
      <c r="R289" s="133">
        <v>0</v>
      </c>
      <c r="S289" s="156"/>
    </row>
    <row r="290" spans="1:19">
      <c r="A290" s="133" t="s">
        <v>1175</v>
      </c>
      <c r="B290" s="133" t="s">
        <v>1171</v>
      </c>
      <c r="C290" s="133" t="s">
        <v>1000</v>
      </c>
      <c r="D290" s="133" t="s">
        <v>485</v>
      </c>
      <c r="E290" s="133" t="s">
        <v>486</v>
      </c>
      <c r="F290" s="133" t="s">
        <v>708</v>
      </c>
      <c r="G290" s="133" t="s">
        <v>715</v>
      </c>
      <c r="H290" s="133">
        <v>2.83</v>
      </c>
      <c r="I290" s="133">
        <v>9.58</v>
      </c>
      <c r="J290" s="133">
        <v>1000000000</v>
      </c>
      <c r="K290" s="133">
        <v>0</v>
      </c>
      <c r="L290" s="133">
        <v>0</v>
      </c>
      <c r="M290" s="133" t="s">
        <v>1096</v>
      </c>
      <c r="N290" s="133">
        <v>0</v>
      </c>
      <c r="P290" s="133">
        <v>0</v>
      </c>
      <c r="Q290" s="133">
        <v>0</v>
      </c>
      <c r="R290" s="133">
        <v>0</v>
      </c>
      <c r="S290" s="156"/>
    </row>
    <row r="291" spans="1:19">
      <c r="A291" s="133" t="s">
        <v>1175</v>
      </c>
      <c r="B291" s="133" t="s">
        <v>1171</v>
      </c>
      <c r="C291" s="133" t="s">
        <v>1000</v>
      </c>
      <c r="D291" s="133" t="s">
        <v>900</v>
      </c>
      <c r="E291" s="133" t="s">
        <v>958</v>
      </c>
      <c r="F291" s="133" t="s">
        <v>946</v>
      </c>
      <c r="G291" s="133" t="s">
        <v>719</v>
      </c>
      <c r="H291" s="133">
        <v>1.26</v>
      </c>
      <c r="I291" s="133">
        <v>0</v>
      </c>
      <c r="J291" s="133">
        <v>1000000000</v>
      </c>
      <c r="K291" s="133">
        <v>0</v>
      </c>
      <c r="L291" s="133">
        <v>0</v>
      </c>
      <c r="M291" s="133" t="s">
        <v>1096</v>
      </c>
      <c r="N291" s="133">
        <v>0</v>
      </c>
      <c r="P291" s="133">
        <v>0</v>
      </c>
      <c r="Q291" s="133">
        <v>0</v>
      </c>
      <c r="R291" s="133">
        <v>0</v>
      </c>
      <c r="S291" s="156"/>
    </row>
    <row r="292" spans="1:19">
      <c r="A292" s="133" t="s">
        <v>1175</v>
      </c>
      <c r="B292" s="133" t="s">
        <v>1171</v>
      </c>
      <c r="C292" s="133" t="s">
        <v>1000</v>
      </c>
      <c r="D292" s="133" t="s">
        <v>495</v>
      </c>
      <c r="E292" s="133" t="s">
        <v>496</v>
      </c>
      <c r="F292" s="133" t="s">
        <v>707</v>
      </c>
      <c r="G292" s="133" t="s">
        <v>732</v>
      </c>
      <c r="H292" s="133">
        <v>6.05</v>
      </c>
      <c r="I292" s="133">
        <v>9.49</v>
      </c>
      <c r="J292" s="133">
        <v>1000000000</v>
      </c>
      <c r="K292" s="133">
        <v>400</v>
      </c>
      <c r="L292" s="133">
        <v>105</v>
      </c>
      <c r="M292" s="133" t="s">
        <v>996</v>
      </c>
      <c r="N292" s="133">
        <v>249</v>
      </c>
      <c r="P292" s="133">
        <v>0</v>
      </c>
      <c r="Q292" s="133">
        <v>354</v>
      </c>
      <c r="R292" s="133">
        <v>46</v>
      </c>
      <c r="S292" s="156">
        <v>0.73750000000000004</v>
      </c>
    </row>
    <row r="293" spans="1:19">
      <c r="A293" s="133" t="s">
        <v>1175</v>
      </c>
      <c r="B293" s="133" t="s">
        <v>1171</v>
      </c>
      <c r="C293" s="133" t="s">
        <v>1000</v>
      </c>
      <c r="D293" s="133" t="s">
        <v>497</v>
      </c>
      <c r="E293" s="133" t="s">
        <v>498</v>
      </c>
      <c r="F293" s="133" t="s">
        <v>707</v>
      </c>
      <c r="G293" s="133" t="s">
        <v>732</v>
      </c>
      <c r="H293" s="133">
        <v>23.46</v>
      </c>
      <c r="I293" s="133">
        <v>28.9</v>
      </c>
      <c r="J293" s="133">
        <v>1000000000</v>
      </c>
      <c r="K293" s="133">
        <v>60</v>
      </c>
      <c r="L293" s="133">
        <v>52</v>
      </c>
      <c r="M293" s="133" t="s">
        <v>998</v>
      </c>
      <c r="N293" s="133">
        <v>0</v>
      </c>
      <c r="P293" s="133">
        <v>0</v>
      </c>
      <c r="Q293" s="133">
        <v>52</v>
      </c>
      <c r="R293" s="133">
        <v>8</v>
      </c>
      <c r="S293" s="156">
        <v>0.13333333333333333</v>
      </c>
    </row>
    <row r="294" spans="1:19">
      <c r="A294" s="133" t="s">
        <v>1175</v>
      </c>
      <c r="B294" s="133" t="s">
        <v>1171</v>
      </c>
      <c r="C294" s="133" t="s">
        <v>1000</v>
      </c>
      <c r="D294" s="133" t="s">
        <v>499</v>
      </c>
      <c r="E294" s="133" t="s">
        <v>500</v>
      </c>
      <c r="F294" s="133" t="s">
        <v>708</v>
      </c>
      <c r="G294" s="133" t="s">
        <v>715</v>
      </c>
      <c r="H294" s="133">
        <v>56.08</v>
      </c>
      <c r="I294" s="133">
        <v>127.72</v>
      </c>
      <c r="J294" s="133">
        <v>1000000000</v>
      </c>
      <c r="K294" s="133">
        <v>8</v>
      </c>
      <c r="L294" s="133">
        <v>2</v>
      </c>
      <c r="M294" s="133" t="s">
        <v>996</v>
      </c>
      <c r="N294" s="133">
        <v>8</v>
      </c>
      <c r="P294" s="133">
        <v>0</v>
      </c>
      <c r="Q294" s="133">
        <v>10</v>
      </c>
      <c r="R294" s="133">
        <v>0</v>
      </c>
      <c r="S294" s="156">
        <v>0.75</v>
      </c>
    </row>
    <row r="295" spans="1:19">
      <c r="A295" s="133" t="s">
        <v>1175</v>
      </c>
      <c r="B295" s="133" t="s">
        <v>1171</v>
      </c>
      <c r="C295" s="133" t="s">
        <v>1000</v>
      </c>
      <c r="D295" s="133" t="s">
        <v>501</v>
      </c>
      <c r="E295" s="133" t="s">
        <v>502</v>
      </c>
      <c r="F295" s="133" t="s">
        <v>708</v>
      </c>
      <c r="G295" s="133" t="s">
        <v>715</v>
      </c>
      <c r="H295" s="133">
        <v>11.48</v>
      </c>
      <c r="I295" s="133">
        <v>25.91</v>
      </c>
      <c r="J295" s="133">
        <v>1000000000</v>
      </c>
      <c r="K295" s="133">
        <v>45</v>
      </c>
      <c r="L295" s="133">
        <v>47</v>
      </c>
      <c r="M295" s="133" t="s">
        <v>997</v>
      </c>
      <c r="N295" s="133">
        <v>0</v>
      </c>
      <c r="P295" s="133">
        <v>0</v>
      </c>
      <c r="Q295" s="133">
        <v>47</v>
      </c>
      <c r="R295" s="133">
        <v>0</v>
      </c>
      <c r="S295" s="156">
        <v>-4.4444444444444446E-2</v>
      </c>
    </row>
    <row r="296" spans="1:19">
      <c r="A296" s="133" t="s">
        <v>1175</v>
      </c>
      <c r="B296" s="133" t="s">
        <v>1171</v>
      </c>
      <c r="C296" s="133" t="s">
        <v>1000</v>
      </c>
      <c r="D296" s="133" t="s">
        <v>503</v>
      </c>
      <c r="E296" s="133" t="s">
        <v>504</v>
      </c>
      <c r="F296" s="133" t="s">
        <v>708</v>
      </c>
      <c r="G296" s="133" t="s">
        <v>715</v>
      </c>
      <c r="H296" s="133">
        <v>3.38</v>
      </c>
      <c r="I296" s="133">
        <v>7.22</v>
      </c>
      <c r="J296" s="133">
        <v>1000000000</v>
      </c>
      <c r="K296" s="133">
        <v>200</v>
      </c>
      <c r="L296" s="133">
        <v>294</v>
      </c>
      <c r="M296" s="133" t="s">
        <v>997</v>
      </c>
      <c r="N296" s="133">
        <v>21</v>
      </c>
      <c r="P296" s="133">
        <v>0</v>
      </c>
      <c r="Q296" s="133">
        <v>315</v>
      </c>
      <c r="R296" s="133">
        <v>0</v>
      </c>
      <c r="S296" s="156">
        <v>-0.47</v>
      </c>
    </row>
    <row r="297" spans="1:19">
      <c r="A297" s="133" t="s">
        <v>1175</v>
      </c>
      <c r="B297" s="133" t="s">
        <v>1171</v>
      </c>
      <c r="C297" s="133" t="s">
        <v>1000</v>
      </c>
      <c r="D297" s="133" t="s">
        <v>505</v>
      </c>
      <c r="E297" s="133" t="s">
        <v>959</v>
      </c>
      <c r="F297" s="133" t="s">
        <v>712</v>
      </c>
      <c r="G297" s="133" t="s">
        <v>715</v>
      </c>
      <c r="H297" s="133">
        <v>1.94</v>
      </c>
      <c r="I297" s="133">
        <v>4.12</v>
      </c>
      <c r="J297" s="133">
        <v>1000000000</v>
      </c>
      <c r="K297" s="133">
        <v>0</v>
      </c>
      <c r="L297" s="133">
        <v>0</v>
      </c>
      <c r="M297" s="133" t="s">
        <v>1096</v>
      </c>
      <c r="N297" s="133">
        <v>0</v>
      </c>
      <c r="P297" s="133">
        <v>0</v>
      </c>
      <c r="Q297" s="133">
        <v>0</v>
      </c>
      <c r="R297" s="133">
        <v>0</v>
      </c>
      <c r="S297" s="156"/>
    </row>
    <row r="298" spans="1:19">
      <c r="A298" s="133" t="s">
        <v>1175</v>
      </c>
      <c r="B298" s="133" t="s">
        <v>1171</v>
      </c>
      <c r="C298" s="133" t="s">
        <v>1000</v>
      </c>
      <c r="D298" s="133" t="s">
        <v>506</v>
      </c>
      <c r="E298" s="133" t="s">
        <v>507</v>
      </c>
      <c r="F298" s="133" t="s">
        <v>712</v>
      </c>
      <c r="G298" s="133" t="s">
        <v>715</v>
      </c>
      <c r="H298" s="133">
        <v>3.49</v>
      </c>
      <c r="I298" s="133">
        <v>7.39</v>
      </c>
      <c r="J298" s="133">
        <v>1000000000</v>
      </c>
      <c r="K298" s="133">
        <v>0</v>
      </c>
      <c r="L298" s="133">
        <v>0</v>
      </c>
      <c r="M298" s="133" t="s">
        <v>1096</v>
      </c>
      <c r="N298" s="133">
        <v>0</v>
      </c>
      <c r="P298" s="133">
        <v>0</v>
      </c>
      <c r="Q298" s="133">
        <v>0</v>
      </c>
      <c r="R298" s="133">
        <v>0</v>
      </c>
      <c r="S298" s="156"/>
    </row>
    <row r="299" spans="1:19">
      <c r="A299" s="133" t="s">
        <v>1175</v>
      </c>
      <c r="B299" s="133" t="s">
        <v>1171</v>
      </c>
      <c r="C299" s="133" t="s">
        <v>1000</v>
      </c>
      <c r="D299" s="133" t="s">
        <v>508</v>
      </c>
      <c r="E299" s="133" t="s">
        <v>960</v>
      </c>
      <c r="F299" s="133" t="s">
        <v>712</v>
      </c>
      <c r="G299" s="133" t="s">
        <v>715</v>
      </c>
      <c r="H299" s="133">
        <v>6.94</v>
      </c>
      <c r="I299" s="133">
        <v>13.76</v>
      </c>
      <c r="J299" s="133">
        <v>1000000000</v>
      </c>
      <c r="K299" s="133">
        <v>0</v>
      </c>
      <c r="L299" s="133">
        <v>0</v>
      </c>
      <c r="M299" s="133" t="s">
        <v>1096</v>
      </c>
      <c r="N299" s="133">
        <v>0</v>
      </c>
      <c r="P299" s="133">
        <v>0</v>
      </c>
      <c r="Q299" s="133">
        <v>0</v>
      </c>
      <c r="R299" s="133">
        <v>0</v>
      </c>
      <c r="S299" s="156"/>
    </row>
    <row r="300" spans="1:19">
      <c r="A300" s="133" t="s">
        <v>1175</v>
      </c>
      <c r="B300" s="133" t="s">
        <v>1171</v>
      </c>
      <c r="C300" s="133" t="s">
        <v>1000</v>
      </c>
      <c r="D300" s="133" t="s">
        <v>901</v>
      </c>
      <c r="E300" s="133" t="s">
        <v>961</v>
      </c>
      <c r="F300" s="133" t="s">
        <v>946</v>
      </c>
      <c r="G300" s="133" t="s">
        <v>719</v>
      </c>
      <c r="H300" s="133">
        <v>0.93</v>
      </c>
      <c r="I300" s="133">
        <v>0</v>
      </c>
      <c r="J300" s="133">
        <v>1000000000</v>
      </c>
      <c r="K300" s="133">
        <v>0</v>
      </c>
      <c r="L300" s="133">
        <v>0</v>
      </c>
      <c r="M300" s="133" t="s">
        <v>1096</v>
      </c>
      <c r="N300" s="133">
        <v>0</v>
      </c>
      <c r="P300" s="133">
        <v>0</v>
      </c>
      <c r="Q300" s="133">
        <v>0</v>
      </c>
      <c r="R300" s="133">
        <v>0</v>
      </c>
      <c r="S300" s="156"/>
    </row>
    <row r="301" spans="1:19">
      <c r="A301" s="133" t="s">
        <v>1175</v>
      </c>
      <c r="B301" s="133" t="s">
        <v>1171</v>
      </c>
      <c r="C301" s="133" t="s">
        <v>1000</v>
      </c>
      <c r="D301" s="133" t="s">
        <v>902</v>
      </c>
      <c r="E301" s="133" t="s">
        <v>962</v>
      </c>
      <c r="F301" s="133" t="s">
        <v>946</v>
      </c>
      <c r="G301" s="133" t="s">
        <v>719</v>
      </c>
      <c r="H301" s="133">
        <v>0.54</v>
      </c>
      <c r="I301" s="133">
        <v>0</v>
      </c>
      <c r="J301" s="133">
        <v>1000000000</v>
      </c>
      <c r="K301" s="133">
        <v>0</v>
      </c>
      <c r="L301" s="133">
        <v>0</v>
      </c>
      <c r="M301" s="133" t="s">
        <v>1096</v>
      </c>
      <c r="N301" s="133">
        <v>0</v>
      </c>
      <c r="P301" s="133">
        <v>0</v>
      </c>
      <c r="Q301" s="133">
        <v>0</v>
      </c>
      <c r="R301" s="133">
        <v>0</v>
      </c>
      <c r="S301" s="156"/>
    </row>
    <row r="302" spans="1:19">
      <c r="A302" s="133" t="s">
        <v>1175</v>
      </c>
      <c r="B302" s="133" t="s">
        <v>1171</v>
      </c>
      <c r="C302" s="133" t="s">
        <v>1000</v>
      </c>
      <c r="D302" s="133" t="s">
        <v>903</v>
      </c>
      <c r="E302" s="133" t="s">
        <v>963</v>
      </c>
      <c r="F302" s="133" t="s">
        <v>946</v>
      </c>
      <c r="G302" s="133" t="s">
        <v>719</v>
      </c>
      <c r="H302" s="133">
        <v>2.13</v>
      </c>
      <c r="I302" s="133">
        <v>0</v>
      </c>
      <c r="J302" s="133">
        <v>1000000000</v>
      </c>
      <c r="K302" s="133">
        <v>0</v>
      </c>
      <c r="L302" s="133">
        <v>0</v>
      </c>
      <c r="M302" s="133" t="s">
        <v>1096</v>
      </c>
      <c r="N302" s="133">
        <v>0</v>
      </c>
      <c r="P302" s="133">
        <v>0</v>
      </c>
      <c r="Q302" s="133">
        <v>0</v>
      </c>
      <c r="R302" s="133">
        <v>0</v>
      </c>
      <c r="S302" s="156"/>
    </row>
    <row r="303" spans="1:19">
      <c r="A303" s="133" t="s">
        <v>1175</v>
      </c>
      <c r="B303" s="133" t="s">
        <v>1171</v>
      </c>
      <c r="C303" s="133" t="s">
        <v>1000</v>
      </c>
      <c r="D303" s="133" t="s">
        <v>904</v>
      </c>
      <c r="E303" s="133" t="s">
        <v>964</v>
      </c>
      <c r="F303" s="133" t="s">
        <v>946</v>
      </c>
      <c r="G303" s="133" t="s">
        <v>719</v>
      </c>
      <c r="H303" s="133">
        <v>4.1100000000000003</v>
      </c>
      <c r="I303" s="133">
        <v>0</v>
      </c>
      <c r="J303" s="133">
        <v>1000000000</v>
      </c>
      <c r="K303" s="133">
        <v>0</v>
      </c>
      <c r="L303" s="133">
        <v>0</v>
      </c>
      <c r="M303" s="133" t="s">
        <v>1096</v>
      </c>
      <c r="N303" s="133">
        <v>0</v>
      </c>
      <c r="P303" s="133">
        <v>0</v>
      </c>
      <c r="Q303" s="133">
        <v>0</v>
      </c>
      <c r="R303" s="133">
        <v>0</v>
      </c>
      <c r="S303" s="156"/>
    </row>
    <row r="304" spans="1:19">
      <c r="A304" s="133" t="s">
        <v>1175</v>
      </c>
      <c r="B304" s="133" t="s">
        <v>1171</v>
      </c>
      <c r="C304" s="133" t="s">
        <v>1000</v>
      </c>
      <c r="D304" s="133" t="s">
        <v>512</v>
      </c>
      <c r="E304" s="133" t="s">
        <v>513</v>
      </c>
      <c r="F304" s="133" t="s">
        <v>709</v>
      </c>
      <c r="G304" s="133" t="s">
        <v>719</v>
      </c>
      <c r="H304" s="133">
        <v>1.1599999999999999</v>
      </c>
      <c r="I304" s="133">
        <v>1.89</v>
      </c>
      <c r="J304" s="133">
        <v>1000000000</v>
      </c>
      <c r="K304" s="133">
        <v>0</v>
      </c>
      <c r="L304" s="133">
        <v>0</v>
      </c>
      <c r="M304" s="133" t="s">
        <v>1096</v>
      </c>
      <c r="N304" s="133">
        <v>0</v>
      </c>
      <c r="P304" s="133">
        <v>0</v>
      </c>
      <c r="Q304" s="133">
        <v>0</v>
      </c>
      <c r="R304" s="133">
        <v>0</v>
      </c>
      <c r="S304" s="156"/>
    </row>
    <row r="305" spans="1:19">
      <c r="A305" s="133" t="s">
        <v>1175</v>
      </c>
      <c r="B305" s="133" t="s">
        <v>1171</v>
      </c>
      <c r="C305" s="133" t="s">
        <v>1000</v>
      </c>
      <c r="D305" s="133" t="s">
        <v>514</v>
      </c>
      <c r="E305" s="133" t="s">
        <v>515</v>
      </c>
      <c r="F305" s="133" t="s">
        <v>709</v>
      </c>
      <c r="G305" s="133" t="s">
        <v>719</v>
      </c>
      <c r="H305" s="133">
        <v>2.14</v>
      </c>
      <c r="I305" s="133">
        <v>3.37</v>
      </c>
      <c r="J305" s="133">
        <v>1000000000</v>
      </c>
      <c r="K305" s="133">
        <v>0</v>
      </c>
      <c r="L305" s="133">
        <v>0</v>
      </c>
      <c r="M305" s="133" t="s">
        <v>1096</v>
      </c>
      <c r="N305" s="133">
        <v>0</v>
      </c>
      <c r="P305" s="133">
        <v>0</v>
      </c>
      <c r="Q305" s="133">
        <v>0</v>
      </c>
      <c r="R305" s="133">
        <v>0</v>
      </c>
      <c r="S305" s="156"/>
    </row>
    <row r="306" spans="1:19">
      <c r="A306" s="133" t="s">
        <v>1175</v>
      </c>
      <c r="B306" s="133" t="s">
        <v>1171</v>
      </c>
      <c r="C306" s="133" t="s">
        <v>1000</v>
      </c>
      <c r="D306" s="133" t="s">
        <v>516</v>
      </c>
      <c r="E306" s="133" t="s">
        <v>517</v>
      </c>
      <c r="F306" s="133" t="s">
        <v>709</v>
      </c>
      <c r="G306" s="133" t="s">
        <v>719</v>
      </c>
      <c r="H306" s="133">
        <v>4.8499999999999996</v>
      </c>
      <c r="I306" s="133">
        <v>5.4</v>
      </c>
      <c r="J306" s="133">
        <v>1000000000</v>
      </c>
      <c r="K306" s="133">
        <v>0</v>
      </c>
      <c r="L306" s="133">
        <v>0</v>
      </c>
      <c r="M306" s="133" t="s">
        <v>1096</v>
      </c>
      <c r="N306" s="133">
        <v>0</v>
      </c>
      <c r="P306" s="133">
        <v>0</v>
      </c>
      <c r="Q306" s="133">
        <v>0</v>
      </c>
      <c r="R306" s="133">
        <v>0</v>
      </c>
      <c r="S306" s="156"/>
    </row>
    <row r="307" spans="1:19">
      <c r="A307" s="133" t="s">
        <v>1175</v>
      </c>
      <c r="B307" s="133" t="s">
        <v>1171</v>
      </c>
      <c r="C307" s="133" t="s">
        <v>1000</v>
      </c>
      <c r="D307" s="133" t="s">
        <v>524</v>
      </c>
      <c r="E307" s="133" t="s">
        <v>525</v>
      </c>
      <c r="F307" s="133" t="s">
        <v>709</v>
      </c>
      <c r="G307" s="133" t="s">
        <v>719</v>
      </c>
      <c r="H307" s="133">
        <v>0.49</v>
      </c>
      <c r="I307" s="133">
        <v>0.85</v>
      </c>
      <c r="J307" s="133">
        <v>1000000000</v>
      </c>
      <c r="K307" s="133">
        <v>0</v>
      </c>
      <c r="L307" s="133">
        <v>0</v>
      </c>
      <c r="M307" s="133" t="s">
        <v>1096</v>
      </c>
      <c r="N307" s="133">
        <v>0</v>
      </c>
      <c r="P307" s="133">
        <v>0</v>
      </c>
      <c r="Q307" s="133">
        <v>0</v>
      </c>
      <c r="R307" s="133">
        <v>0</v>
      </c>
      <c r="S307" s="156"/>
    </row>
    <row r="308" spans="1:19">
      <c r="A308" s="133" t="s">
        <v>1175</v>
      </c>
      <c r="B308" s="133" t="s">
        <v>1171</v>
      </c>
      <c r="C308" s="133" t="s">
        <v>1000</v>
      </c>
      <c r="D308" s="133" t="s">
        <v>526</v>
      </c>
      <c r="E308" s="133" t="s">
        <v>527</v>
      </c>
      <c r="F308" s="133" t="s">
        <v>712</v>
      </c>
      <c r="G308" s="133" t="s">
        <v>719</v>
      </c>
      <c r="H308" s="133">
        <v>1.72</v>
      </c>
      <c r="I308" s="133">
        <v>3.49</v>
      </c>
      <c r="J308" s="133">
        <v>1000000000</v>
      </c>
      <c r="K308" s="133">
        <v>900</v>
      </c>
      <c r="L308" s="133">
        <v>198</v>
      </c>
      <c r="M308" s="133" t="s">
        <v>996</v>
      </c>
      <c r="N308" s="133">
        <v>710</v>
      </c>
      <c r="P308" s="133">
        <v>0</v>
      </c>
      <c r="Q308" s="133">
        <v>908</v>
      </c>
      <c r="R308" s="133">
        <v>0</v>
      </c>
      <c r="S308" s="156">
        <v>0.78</v>
      </c>
    </row>
    <row r="309" spans="1:19">
      <c r="A309" s="133" t="s">
        <v>1175</v>
      </c>
      <c r="B309" s="133" t="s">
        <v>1171</v>
      </c>
      <c r="C309" s="133" t="s">
        <v>1000</v>
      </c>
      <c r="D309" s="133" t="s">
        <v>528</v>
      </c>
      <c r="E309" s="133" t="s">
        <v>529</v>
      </c>
      <c r="F309" s="133" t="s">
        <v>712</v>
      </c>
      <c r="G309" s="133" t="s">
        <v>719</v>
      </c>
      <c r="H309" s="133">
        <v>3.6</v>
      </c>
      <c r="I309" s="133">
        <v>7.59</v>
      </c>
      <c r="J309" s="133">
        <v>1000000000</v>
      </c>
      <c r="K309" s="133">
        <v>1000</v>
      </c>
      <c r="L309" s="133">
        <v>100</v>
      </c>
      <c r="M309" s="133" t="s">
        <v>996</v>
      </c>
      <c r="N309" s="133">
        <v>1000</v>
      </c>
      <c r="P309" s="133">
        <v>0</v>
      </c>
      <c r="Q309" s="133">
        <v>1100</v>
      </c>
      <c r="R309" s="133">
        <v>0</v>
      </c>
      <c r="S309" s="156">
        <v>0.9</v>
      </c>
    </row>
    <row r="310" spans="1:19">
      <c r="A310" s="133" t="s">
        <v>1175</v>
      </c>
      <c r="B310" s="133" t="s">
        <v>1171</v>
      </c>
      <c r="C310" s="133" t="s">
        <v>1000</v>
      </c>
      <c r="D310" s="133" t="s">
        <v>530</v>
      </c>
      <c r="E310" s="133" t="s">
        <v>531</v>
      </c>
      <c r="F310" s="133" t="s">
        <v>712</v>
      </c>
      <c r="G310" s="133" t="s">
        <v>719</v>
      </c>
      <c r="H310" s="133">
        <v>6.89</v>
      </c>
      <c r="I310" s="133">
        <v>13.99</v>
      </c>
      <c r="J310" s="133">
        <v>1000000000</v>
      </c>
      <c r="K310" s="133">
        <v>120</v>
      </c>
      <c r="L310" s="133">
        <v>171</v>
      </c>
      <c r="M310" s="133" t="s">
        <v>997</v>
      </c>
      <c r="N310" s="133">
        <v>21</v>
      </c>
      <c r="P310" s="133">
        <v>0</v>
      </c>
      <c r="Q310" s="133">
        <v>192</v>
      </c>
      <c r="R310" s="133">
        <v>0</v>
      </c>
      <c r="S310" s="156">
        <v>-0.42499999999999999</v>
      </c>
    </row>
    <row r="311" spans="1:19">
      <c r="A311" s="133" t="s">
        <v>1175</v>
      </c>
      <c r="B311" s="133" t="s">
        <v>1171</v>
      </c>
      <c r="C311" s="133" t="s">
        <v>1000</v>
      </c>
      <c r="D311" s="133" t="s">
        <v>920</v>
      </c>
      <c r="E311" s="133" t="s">
        <v>965</v>
      </c>
      <c r="F311" s="133" t="s">
        <v>966</v>
      </c>
      <c r="G311" s="133" t="s">
        <v>719</v>
      </c>
      <c r="H311" s="133">
        <v>14.48</v>
      </c>
      <c r="I311" s="133">
        <v>28.5</v>
      </c>
      <c r="J311" s="133">
        <v>1000000000</v>
      </c>
      <c r="K311" s="133">
        <v>120</v>
      </c>
      <c r="L311" s="133">
        <v>130</v>
      </c>
      <c r="M311" s="133" t="s">
        <v>997</v>
      </c>
      <c r="N311" s="133">
        <v>0</v>
      </c>
      <c r="P311" s="133">
        <v>0</v>
      </c>
      <c r="Q311" s="133">
        <v>130</v>
      </c>
      <c r="R311" s="133">
        <v>0</v>
      </c>
      <c r="S311" s="156">
        <v>-8.3333333333333329E-2</v>
      </c>
    </row>
    <row r="312" spans="1:19">
      <c r="A312" s="133" t="s">
        <v>1175</v>
      </c>
      <c r="B312" s="133" t="s">
        <v>1171</v>
      </c>
      <c r="C312" s="133" t="s">
        <v>1000</v>
      </c>
      <c r="D312" s="133" t="s">
        <v>538</v>
      </c>
      <c r="E312" s="133" t="s">
        <v>539</v>
      </c>
      <c r="F312" s="133" t="s">
        <v>709</v>
      </c>
      <c r="G312" s="133" t="s">
        <v>719</v>
      </c>
      <c r="H312" s="133">
        <v>1.1299999999999999</v>
      </c>
      <c r="I312" s="133">
        <v>4.07</v>
      </c>
      <c r="J312" s="133">
        <v>1000000000</v>
      </c>
      <c r="K312" s="133">
        <v>0</v>
      </c>
      <c r="L312" s="133">
        <v>0</v>
      </c>
      <c r="M312" s="133" t="s">
        <v>1096</v>
      </c>
      <c r="N312" s="133">
        <v>0</v>
      </c>
      <c r="P312" s="133">
        <v>0</v>
      </c>
      <c r="Q312" s="133">
        <v>0</v>
      </c>
      <c r="R312" s="133">
        <v>0</v>
      </c>
      <c r="S312" s="156"/>
    </row>
    <row r="313" spans="1:19">
      <c r="A313" s="133" t="s">
        <v>1175</v>
      </c>
      <c r="B313" s="133" t="s">
        <v>1171</v>
      </c>
      <c r="C313" s="133" t="s">
        <v>1000</v>
      </c>
      <c r="D313" s="133" t="s">
        <v>905</v>
      </c>
      <c r="E313" s="133" t="s">
        <v>967</v>
      </c>
      <c r="F313" s="133" t="s">
        <v>946</v>
      </c>
      <c r="G313" s="133" t="s">
        <v>719</v>
      </c>
      <c r="H313" s="133">
        <v>3.43</v>
      </c>
      <c r="I313" s="133">
        <v>0</v>
      </c>
      <c r="J313" s="133">
        <v>1000000000</v>
      </c>
      <c r="K313" s="133">
        <v>0</v>
      </c>
      <c r="L313" s="133">
        <v>0</v>
      </c>
      <c r="M313" s="133" t="s">
        <v>1096</v>
      </c>
      <c r="N313" s="133">
        <v>0</v>
      </c>
      <c r="P313" s="133">
        <v>0</v>
      </c>
      <c r="Q313" s="133">
        <v>0</v>
      </c>
      <c r="R313" s="133">
        <v>0</v>
      </c>
      <c r="S313" s="156"/>
    </row>
    <row r="314" spans="1:19">
      <c r="A314" s="133" t="s">
        <v>1175</v>
      </c>
      <c r="B314" s="133" t="s">
        <v>1171</v>
      </c>
      <c r="C314" s="133" t="s">
        <v>1000</v>
      </c>
      <c r="D314" s="133" t="s">
        <v>906</v>
      </c>
      <c r="E314" s="133" t="s">
        <v>968</v>
      </c>
      <c r="F314" s="133" t="s">
        <v>946</v>
      </c>
      <c r="G314" s="133" t="s">
        <v>719</v>
      </c>
      <c r="H314" s="133">
        <v>1.48</v>
      </c>
      <c r="I314" s="133">
        <v>0</v>
      </c>
      <c r="J314" s="133">
        <v>1000000000</v>
      </c>
      <c r="K314" s="133">
        <v>0</v>
      </c>
      <c r="L314" s="133">
        <v>0</v>
      </c>
      <c r="M314" s="133" t="s">
        <v>1096</v>
      </c>
      <c r="N314" s="133">
        <v>0</v>
      </c>
      <c r="P314" s="133">
        <v>0</v>
      </c>
      <c r="Q314" s="133">
        <v>0</v>
      </c>
      <c r="R314" s="133">
        <v>0</v>
      </c>
      <c r="S314" s="156"/>
    </row>
    <row r="315" spans="1:19">
      <c r="A315" s="133" t="s">
        <v>1175</v>
      </c>
      <c r="B315" s="133" t="s">
        <v>1171</v>
      </c>
      <c r="C315" s="133" t="s">
        <v>1000</v>
      </c>
      <c r="D315" s="133" t="s">
        <v>542</v>
      </c>
      <c r="E315" s="133" t="s">
        <v>543</v>
      </c>
      <c r="F315" s="133" t="s">
        <v>707</v>
      </c>
      <c r="G315" s="133" t="s">
        <v>715</v>
      </c>
      <c r="H315" s="133">
        <v>1.24</v>
      </c>
      <c r="I315" s="133">
        <v>2.99</v>
      </c>
      <c r="J315" s="133">
        <v>1000000000</v>
      </c>
      <c r="K315" s="133">
        <v>100</v>
      </c>
      <c r="L315" s="133">
        <v>337</v>
      </c>
      <c r="M315" s="133" t="s">
        <v>997</v>
      </c>
      <c r="N315" s="133">
        <v>0</v>
      </c>
      <c r="P315" s="133">
        <v>0</v>
      </c>
      <c r="Q315" s="133">
        <v>337</v>
      </c>
      <c r="R315" s="133">
        <v>0</v>
      </c>
      <c r="S315" s="156">
        <v>-2.37</v>
      </c>
    </row>
    <row r="316" spans="1:19">
      <c r="A316" s="133" t="s">
        <v>1175</v>
      </c>
      <c r="B316" s="133" t="s">
        <v>1171</v>
      </c>
      <c r="C316" s="133" t="s">
        <v>1000</v>
      </c>
      <c r="D316" s="133" t="s">
        <v>544</v>
      </c>
      <c r="E316" s="133" t="s">
        <v>545</v>
      </c>
      <c r="F316" s="133" t="s">
        <v>707</v>
      </c>
      <c r="G316" s="133" t="s">
        <v>715</v>
      </c>
      <c r="H316" s="133">
        <v>2.27</v>
      </c>
      <c r="I316" s="133">
        <v>4.99</v>
      </c>
      <c r="J316" s="133">
        <v>1000000000</v>
      </c>
      <c r="K316" s="133">
        <v>150</v>
      </c>
      <c r="L316" s="133">
        <v>258</v>
      </c>
      <c r="M316" s="133" t="s">
        <v>997</v>
      </c>
      <c r="N316" s="133">
        <v>5</v>
      </c>
      <c r="P316" s="133">
        <v>0</v>
      </c>
      <c r="Q316" s="133">
        <v>263</v>
      </c>
      <c r="R316" s="133">
        <v>0</v>
      </c>
      <c r="S316" s="156">
        <v>-0.72</v>
      </c>
    </row>
    <row r="317" spans="1:19">
      <c r="A317" s="133" t="s">
        <v>1175</v>
      </c>
      <c r="B317" s="133" t="s">
        <v>1171</v>
      </c>
      <c r="C317" s="133" t="s">
        <v>1000</v>
      </c>
      <c r="D317" s="133" t="s">
        <v>546</v>
      </c>
      <c r="E317" s="133" t="s">
        <v>547</v>
      </c>
      <c r="F317" s="133" t="s">
        <v>707</v>
      </c>
      <c r="G317" s="133" t="s">
        <v>715</v>
      </c>
      <c r="H317" s="133">
        <v>16.43</v>
      </c>
      <c r="I317" s="133">
        <v>29.9</v>
      </c>
      <c r="J317" s="133">
        <v>1000000000</v>
      </c>
      <c r="K317" s="133">
        <v>0</v>
      </c>
      <c r="L317" s="133">
        <v>0</v>
      </c>
      <c r="M317" s="133" t="s">
        <v>1096</v>
      </c>
      <c r="N317" s="133">
        <v>0</v>
      </c>
      <c r="P317" s="133">
        <v>0</v>
      </c>
      <c r="Q317" s="133">
        <v>0</v>
      </c>
      <c r="R317" s="133">
        <v>0</v>
      </c>
      <c r="S317" s="156"/>
    </row>
    <row r="318" spans="1:19">
      <c r="A318" s="133" t="s">
        <v>1175</v>
      </c>
      <c r="B318" s="133" t="s">
        <v>1171</v>
      </c>
      <c r="C318" s="133" t="s">
        <v>1000</v>
      </c>
      <c r="D318" s="133" t="s">
        <v>548</v>
      </c>
      <c r="E318" s="133" t="s">
        <v>549</v>
      </c>
      <c r="F318" s="133" t="s">
        <v>707</v>
      </c>
      <c r="G318" s="133" t="s">
        <v>715</v>
      </c>
      <c r="H318" s="133">
        <v>3.66</v>
      </c>
      <c r="I318" s="133">
        <v>8.69</v>
      </c>
      <c r="J318" s="133">
        <v>1000000000</v>
      </c>
      <c r="K318" s="133">
        <v>180</v>
      </c>
      <c r="L318" s="133">
        <v>200</v>
      </c>
      <c r="M318" s="133" t="s">
        <v>997</v>
      </c>
      <c r="N318" s="133">
        <v>10</v>
      </c>
      <c r="P318" s="133">
        <v>0</v>
      </c>
      <c r="Q318" s="133">
        <v>210</v>
      </c>
      <c r="R318" s="133">
        <v>0</v>
      </c>
      <c r="S318" s="156">
        <v>-0.1111111111111111</v>
      </c>
    </row>
    <row r="319" spans="1:19">
      <c r="A319" s="133" t="s">
        <v>1175</v>
      </c>
      <c r="B319" s="133" t="s">
        <v>1171</v>
      </c>
      <c r="C319" s="133" t="s">
        <v>1000</v>
      </c>
      <c r="D319" s="133" t="s">
        <v>553</v>
      </c>
      <c r="E319" s="133" t="s">
        <v>554</v>
      </c>
      <c r="F319" s="133" t="s">
        <v>712</v>
      </c>
      <c r="G319" s="133" t="s">
        <v>715</v>
      </c>
      <c r="H319" s="133">
        <v>4.62</v>
      </c>
      <c r="I319" s="133">
        <v>7.59</v>
      </c>
      <c r="J319" s="133">
        <v>1000000000</v>
      </c>
      <c r="K319" s="133">
        <v>0</v>
      </c>
      <c r="L319" s="133">
        <v>0</v>
      </c>
      <c r="M319" s="133" t="s">
        <v>1096</v>
      </c>
      <c r="N319" s="133">
        <v>0</v>
      </c>
      <c r="P319" s="133">
        <v>0</v>
      </c>
      <c r="Q319" s="133">
        <v>0</v>
      </c>
      <c r="R319" s="133">
        <v>0</v>
      </c>
      <c r="S319" s="156"/>
    </row>
    <row r="320" spans="1:19">
      <c r="A320" s="133" t="s">
        <v>1175</v>
      </c>
      <c r="B320" s="133" t="s">
        <v>1171</v>
      </c>
      <c r="C320" s="133" t="s">
        <v>1000</v>
      </c>
      <c r="D320" s="133" t="s">
        <v>555</v>
      </c>
      <c r="E320" s="133" t="s">
        <v>556</v>
      </c>
      <c r="F320" s="133" t="s">
        <v>712</v>
      </c>
      <c r="G320" s="133" t="s">
        <v>719</v>
      </c>
      <c r="H320" s="133">
        <v>2.59</v>
      </c>
      <c r="I320" s="133">
        <v>0</v>
      </c>
      <c r="J320" s="133">
        <v>1000000000</v>
      </c>
      <c r="K320" s="133">
        <v>1000</v>
      </c>
      <c r="L320" s="133">
        <v>1140</v>
      </c>
      <c r="M320" s="133" t="s">
        <v>997</v>
      </c>
      <c r="N320" s="133">
        <v>106</v>
      </c>
      <c r="P320" s="133">
        <v>0</v>
      </c>
      <c r="Q320" s="133">
        <v>1246</v>
      </c>
      <c r="R320" s="133">
        <v>0</v>
      </c>
      <c r="S320" s="156">
        <v>-0.14000000000000001</v>
      </c>
    </row>
    <row r="321" spans="1:19">
      <c r="A321" s="133" t="s">
        <v>1175</v>
      </c>
      <c r="B321" s="133" t="s">
        <v>1171</v>
      </c>
      <c r="C321" s="133" t="s">
        <v>1000</v>
      </c>
      <c r="D321" s="133" t="s">
        <v>557</v>
      </c>
      <c r="E321" s="133" t="s">
        <v>558</v>
      </c>
      <c r="F321" s="133" t="s">
        <v>712</v>
      </c>
      <c r="G321" s="133" t="s">
        <v>719</v>
      </c>
      <c r="H321" s="133">
        <v>4.75</v>
      </c>
      <c r="I321" s="133">
        <v>0</v>
      </c>
      <c r="J321" s="133">
        <v>1000000000</v>
      </c>
      <c r="K321" s="133">
        <v>1000</v>
      </c>
      <c r="L321" s="133">
        <v>2670</v>
      </c>
      <c r="M321" s="133" t="s">
        <v>997</v>
      </c>
      <c r="N321" s="133">
        <v>0</v>
      </c>
      <c r="P321" s="133">
        <v>0</v>
      </c>
      <c r="Q321" s="133">
        <v>2670</v>
      </c>
      <c r="R321" s="133">
        <v>0</v>
      </c>
      <c r="S321" s="156">
        <v>-1.67</v>
      </c>
    </row>
    <row r="322" spans="1:19">
      <c r="A322" s="133" t="s">
        <v>1175</v>
      </c>
      <c r="B322" s="133" t="s">
        <v>1171</v>
      </c>
      <c r="C322" s="133" t="s">
        <v>1000</v>
      </c>
      <c r="D322" s="133" t="s">
        <v>559</v>
      </c>
      <c r="E322" s="133" t="s">
        <v>560</v>
      </c>
      <c r="F322" s="133" t="s">
        <v>712</v>
      </c>
      <c r="G322" s="133" t="s">
        <v>719</v>
      </c>
      <c r="H322" s="133">
        <v>2.4</v>
      </c>
      <c r="I322" s="133">
        <v>4.8899999999999997</v>
      </c>
      <c r="J322" s="133">
        <v>1000000000</v>
      </c>
      <c r="K322" s="133">
        <v>600</v>
      </c>
      <c r="L322" s="133">
        <v>274</v>
      </c>
      <c r="M322" s="133" t="s">
        <v>714</v>
      </c>
      <c r="N322" s="133">
        <v>176</v>
      </c>
      <c r="P322" s="133">
        <v>0</v>
      </c>
      <c r="Q322" s="133">
        <v>450</v>
      </c>
      <c r="R322" s="133">
        <v>150</v>
      </c>
      <c r="S322" s="156">
        <v>0.54333333333333333</v>
      </c>
    </row>
    <row r="323" spans="1:19">
      <c r="A323" s="133" t="s">
        <v>1175</v>
      </c>
      <c r="B323" s="133" t="s">
        <v>1171</v>
      </c>
      <c r="C323" s="133" t="s">
        <v>1000</v>
      </c>
      <c r="D323" s="133" t="s">
        <v>561</v>
      </c>
      <c r="E323" s="133" t="s">
        <v>562</v>
      </c>
      <c r="F323" s="133" t="s">
        <v>712</v>
      </c>
      <c r="G323" s="133" t="s">
        <v>719</v>
      </c>
      <c r="H323" s="133">
        <v>4.47</v>
      </c>
      <c r="I323" s="133">
        <v>9.2899999999999991</v>
      </c>
      <c r="J323" s="133">
        <v>1000000000</v>
      </c>
      <c r="K323" s="133">
        <v>1000</v>
      </c>
      <c r="L323" s="133">
        <v>964</v>
      </c>
      <c r="M323" s="133" t="s">
        <v>998</v>
      </c>
      <c r="N323" s="133">
        <v>36</v>
      </c>
      <c r="P323" s="133">
        <v>0</v>
      </c>
      <c r="Q323" s="133">
        <v>1000</v>
      </c>
      <c r="R323" s="133">
        <v>0</v>
      </c>
      <c r="S323" s="156">
        <v>3.5999999999999997E-2</v>
      </c>
    </row>
    <row r="324" spans="1:19">
      <c r="A324" s="133" t="s">
        <v>1175</v>
      </c>
      <c r="B324" s="133" t="s">
        <v>1171</v>
      </c>
      <c r="C324" s="133" t="s">
        <v>1000</v>
      </c>
      <c r="D324" s="133" t="s">
        <v>883</v>
      </c>
      <c r="E324" s="133" t="s">
        <v>969</v>
      </c>
      <c r="F324" s="133" t="s">
        <v>712</v>
      </c>
      <c r="G324" s="133" t="s">
        <v>715</v>
      </c>
      <c r="H324" s="133">
        <v>1.66</v>
      </c>
      <c r="I324" s="133">
        <v>2.99</v>
      </c>
      <c r="J324" s="133">
        <v>1000000000</v>
      </c>
      <c r="K324" s="133">
        <v>200</v>
      </c>
      <c r="L324" s="133">
        <v>197</v>
      </c>
      <c r="M324" s="133" t="s">
        <v>998</v>
      </c>
      <c r="N324" s="133">
        <v>45</v>
      </c>
      <c r="P324" s="133">
        <v>0</v>
      </c>
      <c r="Q324" s="133">
        <v>242</v>
      </c>
      <c r="R324" s="133">
        <v>0</v>
      </c>
      <c r="S324" s="156">
        <v>1.4999999999999999E-2</v>
      </c>
    </row>
    <row r="325" spans="1:19">
      <c r="A325" s="133" t="s">
        <v>1175</v>
      </c>
      <c r="B325" s="133" t="s">
        <v>1171</v>
      </c>
      <c r="C325" s="133" t="s">
        <v>1000</v>
      </c>
      <c r="D325" s="133" t="s">
        <v>884</v>
      </c>
      <c r="E325" s="133" t="s">
        <v>970</v>
      </c>
      <c r="F325" s="133" t="s">
        <v>712</v>
      </c>
      <c r="G325" s="133" t="s">
        <v>715</v>
      </c>
      <c r="H325" s="133">
        <v>13.56</v>
      </c>
      <c r="I325" s="133">
        <v>24.9</v>
      </c>
      <c r="J325" s="133">
        <v>1000000000</v>
      </c>
      <c r="K325" s="133">
        <v>100</v>
      </c>
      <c r="L325" s="133">
        <v>141</v>
      </c>
      <c r="M325" s="133" t="s">
        <v>997</v>
      </c>
      <c r="N325" s="133">
        <v>0</v>
      </c>
      <c r="P325" s="133">
        <v>0</v>
      </c>
      <c r="Q325" s="133">
        <v>141</v>
      </c>
      <c r="R325" s="133">
        <v>0</v>
      </c>
      <c r="S325" s="156">
        <v>-0.41</v>
      </c>
    </row>
    <row r="326" spans="1:19">
      <c r="A326" s="133" t="s">
        <v>1175</v>
      </c>
      <c r="B326" s="133" t="s">
        <v>1171</v>
      </c>
      <c r="C326" s="133" t="s">
        <v>1000</v>
      </c>
      <c r="D326" s="133" t="s">
        <v>576</v>
      </c>
      <c r="E326" s="133" t="s">
        <v>577</v>
      </c>
      <c r="F326" s="133" t="s">
        <v>709</v>
      </c>
      <c r="G326" s="133" t="s">
        <v>715</v>
      </c>
      <c r="H326" s="133">
        <v>0.97</v>
      </c>
      <c r="I326" s="133">
        <v>0</v>
      </c>
      <c r="J326" s="133">
        <v>1000000000</v>
      </c>
      <c r="K326" s="133">
        <v>0</v>
      </c>
      <c r="L326" s="133">
        <v>0</v>
      </c>
      <c r="M326" s="133" t="s">
        <v>1096</v>
      </c>
      <c r="N326" s="133">
        <v>0</v>
      </c>
      <c r="P326" s="133">
        <v>0</v>
      </c>
      <c r="Q326" s="133">
        <v>0</v>
      </c>
      <c r="R326" s="133">
        <v>0</v>
      </c>
      <c r="S326" s="156"/>
    </row>
    <row r="327" spans="1:19">
      <c r="A327" s="133" t="s">
        <v>1175</v>
      </c>
      <c r="B327" s="133" t="s">
        <v>1171</v>
      </c>
      <c r="C327" s="133" t="s">
        <v>1000</v>
      </c>
      <c r="D327" s="133" t="s">
        <v>578</v>
      </c>
      <c r="E327" s="133" t="s">
        <v>579</v>
      </c>
      <c r="F327" s="133" t="s">
        <v>709</v>
      </c>
      <c r="G327" s="133" t="s">
        <v>715</v>
      </c>
      <c r="H327" s="133">
        <v>2.3199999999999998</v>
      </c>
      <c r="I327" s="133">
        <v>0</v>
      </c>
      <c r="J327" s="133">
        <v>1000000000</v>
      </c>
      <c r="K327" s="133">
        <v>0</v>
      </c>
      <c r="L327" s="133">
        <v>0</v>
      </c>
      <c r="M327" s="133" t="s">
        <v>1096</v>
      </c>
      <c r="N327" s="133">
        <v>0</v>
      </c>
      <c r="P327" s="133">
        <v>0</v>
      </c>
      <c r="Q327" s="133">
        <v>0</v>
      </c>
      <c r="R327" s="133">
        <v>0</v>
      </c>
      <c r="S327" s="156"/>
    </row>
    <row r="328" spans="1:19">
      <c r="A328" s="133" t="s">
        <v>1175</v>
      </c>
      <c r="B328" s="133" t="s">
        <v>1171</v>
      </c>
      <c r="C328" s="133" t="s">
        <v>1000</v>
      </c>
      <c r="D328" s="133" t="s">
        <v>580</v>
      </c>
      <c r="E328" s="133" t="s">
        <v>581</v>
      </c>
      <c r="F328" s="133" t="s">
        <v>709</v>
      </c>
      <c r="G328" s="133" t="s">
        <v>715</v>
      </c>
      <c r="H328" s="133">
        <v>3.92</v>
      </c>
      <c r="I328" s="133">
        <v>0</v>
      </c>
      <c r="J328" s="133">
        <v>1000000000</v>
      </c>
      <c r="K328" s="133">
        <v>0</v>
      </c>
      <c r="L328" s="133">
        <v>0</v>
      </c>
      <c r="M328" s="133" t="s">
        <v>1096</v>
      </c>
      <c r="N328" s="133">
        <v>0</v>
      </c>
      <c r="P328" s="133">
        <v>0</v>
      </c>
      <c r="Q328" s="133">
        <v>0</v>
      </c>
      <c r="R328" s="133">
        <v>0</v>
      </c>
      <c r="S328" s="156"/>
    </row>
    <row r="329" spans="1:19">
      <c r="A329" s="133" t="s">
        <v>1175</v>
      </c>
      <c r="B329" s="133" t="s">
        <v>1171</v>
      </c>
      <c r="C329" s="133" t="s">
        <v>1000</v>
      </c>
      <c r="D329" s="133" t="s">
        <v>582</v>
      </c>
      <c r="E329" s="133" t="s">
        <v>583</v>
      </c>
      <c r="F329" s="133" t="s">
        <v>709</v>
      </c>
      <c r="G329" s="133" t="s">
        <v>715</v>
      </c>
      <c r="H329" s="133">
        <v>9.3000000000000007</v>
      </c>
      <c r="I329" s="133">
        <v>0</v>
      </c>
      <c r="J329" s="133">
        <v>1000000000</v>
      </c>
      <c r="K329" s="133">
        <v>0</v>
      </c>
      <c r="L329" s="133">
        <v>0</v>
      </c>
      <c r="M329" s="133" t="s">
        <v>1096</v>
      </c>
      <c r="N329" s="133">
        <v>0</v>
      </c>
      <c r="P329" s="133">
        <v>0</v>
      </c>
      <c r="Q329" s="133">
        <v>0</v>
      </c>
      <c r="R329" s="133">
        <v>0</v>
      </c>
      <c r="S329" s="156"/>
    </row>
    <row r="330" spans="1:19">
      <c r="A330" s="133" t="s">
        <v>1175</v>
      </c>
      <c r="B330" s="133" t="s">
        <v>1171</v>
      </c>
      <c r="C330" s="133" t="s">
        <v>1000</v>
      </c>
      <c r="D330" s="133" t="s">
        <v>584</v>
      </c>
      <c r="E330" s="133" t="s">
        <v>585</v>
      </c>
      <c r="F330" s="133" t="s">
        <v>707</v>
      </c>
      <c r="G330" s="133" t="s">
        <v>715</v>
      </c>
      <c r="H330" s="133">
        <v>4.09</v>
      </c>
      <c r="I330" s="133">
        <v>19.95</v>
      </c>
      <c r="J330" s="133">
        <v>1000000000</v>
      </c>
      <c r="K330" s="133">
        <v>300</v>
      </c>
      <c r="L330" s="133">
        <v>458</v>
      </c>
      <c r="M330" s="133" t="s">
        <v>997</v>
      </c>
      <c r="N330" s="133">
        <v>0</v>
      </c>
      <c r="P330" s="133">
        <v>0</v>
      </c>
      <c r="Q330" s="133">
        <v>458</v>
      </c>
      <c r="R330" s="133">
        <v>0</v>
      </c>
      <c r="S330" s="156">
        <v>-0.52666666666666662</v>
      </c>
    </row>
    <row r="331" spans="1:19">
      <c r="A331" s="133" t="s">
        <v>1175</v>
      </c>
      <c r="B331" s="133" t="s">
        <v>1171</v>
      </c>
      <c r="C331" s="133" t="s">
        <v>1000</v>
      </c>
      <c r="D331" s="133" t="s">
        <v>586</v>
      </c>
      <c r="E331" s="133" t="s">
        <v>587</v>
      </c>
      <c r="F331" s="133" t="s">
        <v>707</v>
      </c>
      <c r="G331" s="133" t="s">
        <v>715</v>
      </c>
      <c r="H331" s="133">
        <v>11.23</v>
      </c>
      <c r="I331" s="133">
        <v>19.989999999999998</v>
      </c>
      <c r="J331" s="133">
        <v>1000000000</v>
      </c>
      <c r="K331" s="133">
        <v>0</v>
      </c>
      <c r="L331" s="133">
        <v>0</v>
      </c>
      <c r="M331" s="133" t="s">
        <v>1096</v>
      </c>
      <c r="N331" s="133">
        <v>0</v>
      </c>
      <c r="P331" s="133">
        <v>0</v>
      </c>
      <c r="Q331" s="133">
        <v>0</v>
      </c>
      <c r="R331" s="133">
        <v>0</v>
      </c>
      <c r="S331" s="156"/>
    </row>
    <row r="332" spans="1:19">
      <c r="A332" s="133" t="s">
        <v>1175</v>
      </c>
      <c r="B332" s="133" t="s">
        <v>1171</v>
      </c>
      <c r="C332" s="133" t="s">
        <v>1000</v>
      </c>
      <c r="D332" s="133" t="s">
        <v>588</v>
      </c>
      <c r="E332" s="133" t="s">
        <v>589</v>
      </c>
      <c r="F332" s="133" t="s">
        <v>707</v>
      </c>
      <c r="G332" s="133" t="s">
        <v>715</v>
      </c>
      <c r="H332" s="133">
        <v>3.05</v>
      </c>
      <c r="I332" s="133">
        <v>5.39</v>
      </c>
      <c r="J332" s="133">
        <v>1000000000</v>
      </c>
      <c r="K332" s="133">
        <v>240</v>
      </c>
      <c r="L332" s="133">
        <v>213</v>
      </c>
      <c r="M332" s="133" t="s">
        <v>998</v>
      </c>
      <c r="N332" s="133">
        <v>36</v>
      </c>
      <c r="P332" s="133">
        <v>0</v>
      </c>
      <c r="Q332" s="133">
        <v>249</v>
      </c>
      <c r="R332" s="133">
        <v>0</v>
      </c>
      <c r="S332" s="156">
        <v>0.1125</v>
      </c>
    </row>
    <row r="333" spans="1:19">
      <c r="A333" s="133" t="s">
        <v>1175</v>
      </c>
      <c r="B333" s="133" t="s">
        <v>1171</v>
      </c>
      <c r="C333" s="133" t="s">
        <v>1000</v>
      </c>
      <c r="D333" s="133" t="s">
        <v>885</v>
      </c>
      <c r="E333" s="133" t="s">
        <v>971</v>
      </c>
      <c r="F333" s="133" t="s">
        <v>712</v>
      </c>
      <c r="G333" s="133" t="s">
        <v>715</v>
      </c>
      <c r="H333" s="133">
        <v>3.49</v>
      </c>
      <c r="I333" s="133">
        <v>6.59</v>
      </c>
      <c r="J333" s="133">
        <v>1000000000</v>
      </c>
      <c r="K333" s="133">
        <v>150</v>
      </c>
      <c r="L333" s="133">
        <v>179</v>
      </c>
      <c r="M333" s="133" t="s">
        <v>997</v>
      </c>
      <c r="N333" s="133">
        <v>15</v>
      </c>
      <c r="P333" s="133">
        <v>0</v>
      </c>
      <c r="Q333" s="133">
        <v>194</v>
      </c>
      <c r="R333" s="133">
        <v>0</v>
      </c>
      <c r="S333" s="156">
        <v>-0.19333333333333333</v>
      </c>
    </row>
    <row r="334" spans="1:19">
      <c r="A334" s="133" t="s">
        <v>1175</v>
      </c>
      <c r="B334" s="133" t="s">
        <v>1171</v>
      </c>
      <c r="C334" s="133" t="s">
        <v>1000</v>
      </c>
      <c r="D334" s="133" t="s">
        <v>886</v>
      </c>
      <c r="E334" s="133" t="s">
        <v>972</v>
      </c>
      <c r="F334" s="133" t="s">
        <v>712</v>
      </c>
      <c r="G334" s="133" t="s">
        <v>715</v>
      </c>
      <c r="H334" s="133">
        <v>1.87</v>
      </c>
      <c r="I334" s="133">
        <v>3.79</v>
      </c>
      <c r="J334" s="133">
        <v>1000000000</v>
      </c>
      <c r="K334" s="133">
        <v>100</v>
      </c>
      <c r="L334" s="133">
        <v>135</v>
      </c>
      <c r="M334" s="133" t="s">
        <v>997</v>
      </c>
      <c r="N334" s="133">
        <v>15</v>
      </c>
      <c r="P334" s="133">
        <v>0</v>
      </c>
      <c r="Q334" s="133">
        <v>150</v>
      </c>
      <c r="R334" s="133">
        <v>0</v>
      </c>
      <c r="S334" s="156">
        <v>-0.35</v>
      </c>
    </row>
    <row r="335" spans="1:19">
      <c r="A335" s="133" t="s">
        <v>1175</v>
      </c>
      <c r="B335" s="133" t="s">
        <v>1171</v>
      </c>
      <c r="C335" s="133" t="s">
        <v>1000</v>
      </c>
      <c r="D335" s="133" t="s">
        <v>887</v>
      </c>
      <c r="E335" s="133" t="s">
        <v>973</v>
      </c>
      <c r="F335" s="133" t="s">
        <v>712</v>
      </c>
      <c r="G335" s="133" t="s">
        <v>715</v>
      </c>
      <c r="H335" s="133">
        <v>6.61</v>
      </c>
      <c r="I335" s="133">
        <v>11.9</v>
      </c>
      <c r="J335" s="133">
        <v>1000000000</v>
      </c>
      <c r="K335" s="133">
        <v>100</v>
      </c>
      <c r="L335" s="133">
        <v>162</v>
      </c>
      <c r="M335" s="133" t="s">
        <v>997</v>
      </c>
      <c r="N335" s="133">
        <v>20</v>
      </c>
      <c r="P335" s="133">
        <v>0</v>
      </c>
      <c r="Q335" s="133">
        <v>182</v>
      </c>
      <c r="R335" s="133">
        <v>0</v>
      </c>
      <c r="S335" s="156">
        <v>-0.62</v>
      </c>
    </row>
    <row r="336" spans="1:19">
      <c r="A336" s="133" t="s">
        <v>1175</v>
      </c>
      <c r="B336" s="133" t="s">
        <v>1171</v>
      </c>
      <c r="C336" s="133" t="s">
        <v>1000</v>
      </c>
      <c r="D336" s="133" t="s">
        <v>600</v>
      </c>
      <c r="E336" s="133" t="s">
        <v>974</v>
      </c>
      <c r="F336" s="133" t="s">
        <v>867</v>
      </c>
      <c r="G336" s="133" t="s">
        <v>715</v>
      </c>
      <c r="H336" s="133">
        <v>1.43</v>
      </c>
      <c r="I336" s="133">
        <v>3.15</v>
      </c>
      <c r="J336" s="133">
        <v>1000000000</v>
      </c>
      <c r="K336" s="133">
        <v>200</v>
      </c>
      <c r="L336" s="133">
        <v>499</v>
      </c>
      <c r="M336" s="133" t="s">
        <v>997</v>
      </c>
      <c r="N336" s="133">
        <v>0</v>
      </c>
      <c r="P336" s="133">
        <v>0</v>
      </c>
      <c r="Q336" s="133">
        <v>499</v>
      </c>
      <c r="R336" s="133">
        <v>0</v>
      </c>
      <c r="S336" s="156">
        <v>-1.4950000000000001</v>
      </c>
    </row>
    <row r="337" spans="1:19">
      <c r="A337" s="133" t="s">
        <v>1175</v>
      </c>
      <c r="B337" s="133" t="s">
        <v>1171</v>
      </c>
      <c r="C337" s="133" t="s">
        <v>1000</v>
      </c>
      <c r="D337" s="133" t="s">
        <v>594</v>
      </c>
      <c r="E337" s="133" t="s">
        <v>595</v>
      </c>
      <c r="F337" s="133" t="s">
        <v>712</v>
      </c>
      <c r="G337" s="133" t="s">
        <v>715</v>
      </c>
      <c r="H337" s="133">
        <v>25.89</v>
      </c>
      <c r="I337" s="133">
        <v>41</v>
      </c>
      <c r="J337" s="133">
        <v>1000000000</v>
      </c>
      <c r="K337" s="133">
        <v>700</v>
      </c>
      <c r="L337" s="133">
        <v>702</v>
      </c>
      <c r="M337" s="133" t="s">
        <v>997</v>
      </c>
      <c r="N337" s="133">
        <v>78</v>
      </c>
      <c r="P337" s="133">
        <v>0</v>
      </c>
      <c r="Q337" s="133">
        <v>780</v>
      </c>
      <c r="R337" s="133">
        <v>0</v>
      </c>
      <c r="S337" s="156">
        <v>-2.8571428571428571E-3</v>
      </c>
    </row>
    <row r="338" spans="1:19">
      <c r="A338" s="133" t="s">
        <v>1175</v>
      </c>
      <c r="B338" s="133" t="s">
        <v>1171</v>
      </c>
      <c r="C338" s="133" t="s">
        <v>1000</v>
      </c>
      <c r="D338" s="133" t="s">
        <v>596</v>
      </c>
      <c r="E338" s="133" t="s">
        <v>597</v>
      </c>
      <c r="F338" s="133" t="s">
        <v>712</v>
      </c>
      <c r="G338" s="133" t="s">
        <v>715</v>
      </c>
      <c r="H338" s="133">
        <v>2.71</v>
      </c>
      <c r="I338" s="133">
        <v>4.99</v>
      </c>
      <c r="J338" s="133">
        <v>1000000000</v>
      </c>
      <c r="K338" s="133">
        <v>1000</v>
      </c>
      <c r="L338" s="133">
        <v>243</v>
      </c>
      <c r="M338" s="133" t="s">
        <v>996</v>
      </c>
      <c r="N338" s="133">
        <v>670</v>
      </c>
      <c r="P338" s="133">
        <v>0</v>
      </c>
      <c r="Q338" s="133">
        <v>913</v>
      </c>
      <c r="R338" s="133">
        <v>87</v>
      </c>
      <c r="S338" s="156">
        <v>0.75700000000000001</v>
      </c>
    </row>
    <row r="339" spans="1:19">
      <c r="A339" s="133" t="s">
        <v>1175</v>
      </c>
      <c r="B339" s="133" t="s">
        <v>1171</v>
      </c>
      <c r="C339" s="133" t="s">
        <v>1000</v>
      </c>
      <c r="D339" s="133" t="s">
        <v>598</v>
      </c>
      <c r="E339" s="133" t="s">
        <v>599</v>
      </c>
      <c r="F339" s="133" t="s">
        <v>712</v>
      </c>
      <c r="G339" s="133" t="s">
        <v>715</v>
      </c>
      <c r="H339" s="133">
        <v>6.66</v>
      </c>
      <c r="I339" s="133">
        <v>11.9</v>
      </c>
      <c r="J339" s="133">
        <v>1000000000</v>
      </c>
      <c r="K339" s="133">
        <v>650</v>
      </c>
      <c r="L339" s="133">
        <v>220</v>
      </c>
      <c r="M339" s="133" t="s">
        <v>714</v>
      </c>
      <c r="N339" s="133">
        <v>423</v>
      </c>
      <c r="P339" s="133">
        <v>0</v>
      </c>
      <c r="Q339" s="133">
        <v>643</v>
      </c>
      <c r="R339" s="133">
        <v>7</v>
      </c>
      <c r="S339" s="156">
        <v>0.66153846153846152</v>
      </c>
    </row>
    <row r="340" spans="1:19">
      <c r="A340" s="133" t="s">
        <v>1175</v>
      </c>
      <c r="B340" s="133" t="s">
        <v>1171</v>
      </c>
      <c r="C340" s="133" t="s">
        <v>1000</v>
      </c>
      <c r="D340" s="133" t="s">
        <v>601</v>
      </c>
      <c r="E340" s="133" t="s">
        <v>602</v>
      </c>
      <c r="F340" s="133" t="s">
        <v>712</v>
      </c>
      <c r="G340" s="133" t="s">
        <v>715</v>
      </c>
      <c r="H340" s="133">
        <v>349.85</v>
      </c>
      <c r="I340" s="133">
        <v>729</v>
      </c>
      <c r="J340" s="133">
        <v>1000000000</v>
      </c>
      <c r="K340" s="133">
        <v>0</v>
      </c>
      <c r="L340" s="133">
        <v>0</v>
      </c>
      <c r="M340" s="133" t="s">
        <v>1096</v>
      </c>
      <c r="N340" s="133">
        <v>0</v>
      </c>
      <c r="P340" s="133">
        <v>0</v>
      </c>
      <c r="Q340" s="133">
        <v>0</v>
      </c>
      <c r="R340" s="133">
        <v>0</v>
      </c>
      <c r="S340" s="156"/>
    </row>
    <row r="341" spans="1:19">
      <c r="A341" s="133" t="s">
        <v>1175</v>
      </c>
      <c r="B341" s="133" t="s">
        <v>1171</v>
      </c>
      <c r="C341" s="133" t="s">
        <v>1000</v>
      </c>
      <c r="D341" s="133" t="s">
        <v>603</v>
      </c>
      <c r="E341" s="133" t="s">
        <v>604</v>
      </c>
      <c r="F341" s="133" t="s">
        <v>712</v>
      </c>
      <c r="G341" s="133" t="s">
        <v>715</v>
      </c>
      <c r="H341" s="133">
        <v>20.54</v>
      </c>
      <c r="I341" s="133">
        <v>41</v>
      </c>
      <c r="J341" s="133">
        <v>1000000000</v>
      </c>
      <c r="K341" s="133">
        <v>0</v>
      </c>
      <c r="L341" s="133">
        <v>0</v>
      </c>
      <c r="M341" s="133" t="s">
        <v>1096</v>
      </c>
      <c r="N341" s="133">
        <v>1</v>
      </c>
      <c r="P341" s="133">
        <v>0</v>
      </c>
      <c r="Q341" s="133">
        <v>1</v>
      </c>
      <c r="R341" s="133">
        <v>0</v>
      </c>
      <c r="S341" s="156"/>
    </row>
    <row r="342" spans="1:19">
      <c r="A342" s="133" t="s">
        <v>1175</v>
      </c>
      <c r="B342" s="133" t="s">
        <v>1171</v>
      </c>
      <c r="C342" s="133" t="s">
        <v>1000</v>
      </c>
      <c r="D342" s="133" t="s">
        <v>605</v>
      </c>
      <c r="E342" s="133" t="s">
        <v>606</v>
      </c>
      <c r="F342" s="133" t="s">
        <v>709</v>
      </c>
      <c r="G342" s="133" t="s">
        <v>719</v>
      </c>
      <c r="H342" s="133">
        <v>1.35</v>
      </c>
      <c r="I342" s="133">
        <v>8.69</v>
      </c>
      <c r="J342" s="133">
        <v>1000000000</v>
      </c>
      <c r="K342" s="133">
        <v>1200</v>
      </c>
      <c r="L342" s="133">
        <v>1048</v>
      </c>
      <c r="M342" s="133" t="s">
        <v>998</v>
      </c>
      <c r="N342" s="133">
        <v>221</v>
      </c>
      <c r="P342" s="133">
        <v>0</v>
      </c>
      <c r="Q342" s="133">
        <v>1269</v>
      </c>
      <c r="R342" s="133">
        <v>0</v>
      </c>
      <c r="S342" s="156">
        <v>0.12666666666666668</v>
      </c>
    </row>
    <row r="343" spans="1:19">
      <c r="A343" s="133" t="s">
        <v>1175</v>
      </c>
      <c r="B343" s="133" t="s">
        <v>1171</v>
      </c>
      <c r="C343" s="133" t="s">
        <v>1000</v>
      </c>
      <c r="D343" s="133" t="s">
        <v>607</v>
      </c>
      <c r="E343" s="133" t="s">
        <v>608</v>
      </c>
      <c r="F343" s="133" t="s">
        <v>709</v>
      </c>
      <c r="G343" s="133" t="s">
        <v>719</v>
      </c>
      <c r="H343" s="133">
        <v>0.99</v>
      </c>
      <c r="I343" s="133">
        <v>4.8899999999999997</v>
      </c>
      <c r="J343" s="133">
        <v>1000000000</v>
      </c>
      <c r="K343" s="133">
        <v>0</v>
      </c>
      <c r="L343" s="133">
        <v>0</v>
      </c>
      <c r="M343" s="133" t="s">
        <v>1096</v>
      </c>
      <c r="N343" s="133">
        <v>0</v>
      </c>
      <c r="P343" s="133">
        <v>0</v>
      </c>
      <c r="Q343" s="133">
        <v>0</v>
      </c>
      <c r="R343" s="133">
        <v>0</v>
      </c>
      <c r="S343" s="156"/>
    </row>
    <row r="344" spans="1:19">
      <c r="A344" s="133" t="s">
        <v>1175</v>
      </c>
      <c r="B344" s="133" t="s">
        <v>1171</v>
      </c>
      <c r="C344" s="133" t="s">
        <v>1000</v>
      </c>
      <c r="D344" s="133" t="s">
        <v>609</v>
      </c>
      <c r="E344" s="133" t="s">
        <v>610</v>
      </c>
      <c r="F344" s="133" t="s">
        <v>709</v>
      </c>
      <c r="G344" s="133" t="s">
        <v>719</v>
      </c>
      <c r="H344" s="133">
        <v>5.9</v>
      </c>
      <c r="I344" s="133">
        <v>34.9</v>
      </c>
      <c r="J344" s="133">
        <v>1000000000</v>
      </c>
      <c r="K344" s="133">
        <v>30</v>
      </c>
      <c r="L344" s="133">
        <v>20</v>
      </c>
      <c r="M344" s="133" t="s">
        <v>714</v>
      </c>
      <c r="N344" s="133">
        <v>10</v>
      </c>
      <c r="P344" s="133">
        <v>0</v>
      </c>
      <c r="Q344" s="133">
        <v>30</v>
      </c>
      <c r="R344" s="133">
        <v>0</v>
      </c>
      <c r="S344" s="156">
        <v>0.33333333333333331</v>
      </c>
    </row>
    <row r="345" spans="1:19">
      <c r="A345" s="133" t="s">
        <v>1175</v>
      </c>
      <c r="B345" s="133" t="s">
        <v>1171</v>
      </c>
      <c r="C345" s="133" t="s">
        <v>1000</v>
      </c>
      <c r="D345" s="133" t="s">
        <v>611</v>
      </c>
      <c r="E345" s="133" t="s">
        <v>612</v>
      </c>
      <c r="F345" s="133" t="s">
        <v>712</v>
      </c>
      <c r="G345" s="133" t="s">
        <v>719</v>
      </c>
      <c r="H345" s="133">
        <v>0.76</v>
      </c>
      <c r="I345" s="133">
        <v>2.29</v>
      </c>
      <c r="J345" s="133">
        <v>1000000000</v>
      </c>
      <c r="K345" s="133">
        <v>350</v>
      </c>
      <c r="L345" s="133">
        <v>407</v>
      </c>
      <c r="M345" s="133" t="s">
        <v>997</v>
      </c>
      <c r="N345" s="133">
        <v>0</v>
      </c>
      <c r="P345" s="133">
        <v>0</v>
      </c>
      <c r="Q345" s="133">
        <v>407</v>
      </c>
      <c r="R345" s="133">
        <v>0</v>
      </c>
      <c r="S345" s="156">
        <v>-0.16285714285714287</v>
      </c>
    </row>
    <row r="346" spans="1:19">
      <c r="A346" s="133" t="s">
        <v>1175</v>
      </c>
      <c r="B346" s="133" t="s">
        <v>1171</v>
      </c>
      <c r="C346" s="133" t="s">
        <v>1000</v>
      </c>
      <c r="D346" s="133" t="s">
        <v>613</v>
      </c>
      <c r="E346" s="133" t="s">
        <v>614</v>
      </c>
      <c r="F346" s="133" t="s">
        <v>712</v>
      </c>
      <c r="G346" s="133" t="s">
        <v>719</v>
      </c>
      <c r="H346" s="133">
        <v>3.05</v>
      </c>
      <c r="I346" s="133">
        <v>7.84</v>
      </c>
      <c r="J346" s="133">
        <v>1000000000</v>
      </c>
      <c r="K346" s="133">
        <v>300</v>
      </c>
      <c r="L346" s="133">
        <v>256</v>
      </c>
      <c r="M346" s="133" t="s">
        <v>998</v>
      </c>
      <c r="N346" s="133">
        <v>106</v>
      </c>
      <c r="P346" s="133">
        <v>0</v>
      </c>
      <c r="Q346" s="133">
        <v>362</v>
      </c>
      <c r="R346" s="133">
        <v>0</v>
      </c>
      <c r="S346" s="156">
        <v>0.14666666666666667</v>
      </c>
    </row>
    <row r="347" spans="1:19">
      <c r="A347" s="133" t="s">
        <v>1175</v>
      </c>
      <c r="B347" s="133" t="s">
        <v>1171</v>
      </c>
      <c r="C347" s="133" t="s">
        <v>1000</v>
      </c>
      <c r="D347" s="133" t="s">
        <v>615</v>
      </c>
      <c r="E347" s="133" t="s">
        <v>616</v>
      </c>
      <c r="F347" s="133" t="s">
        <v>712</v>
      </c>
      <c r="G347" s="133" t="s">
        <v>719</v>
      </c>
      <c r="H347" s="133">
        <v>5.97</v>
      </c>
      <c r="I347" s="133">
        <v>14.39</v>
      </c>
      <c r="J347" s="133">
        <v>1000000000</v>
      </c>
      <c r="K347" s="133">
        <v>300</v>
      </c>
      <c r="L347" s="133">
        <v>267</v>
      </c>
      <c r="M347" s="133" t="s">
        <v>998</v>
      </c>
      <c r="N347" s="133">
        <v>41</v>
      </c>
      <c r="P347" s="133">
        <v>0</v>
      </c>
      <c r="Q347" s="133">
        <v>308</v>
      </c>
      <c r="R347" s="133">
        <v>0</v>
      </c>
      <c r="S347" s="156">
        <v>0.11</v>
      </c>
    </row>
    <row r="348" spans="1:19">
      <c r="A348" s="133" t="s">
        <v>1175</v>
      </c>
      <c r="B348" s="133" t="s">
        <v>1171</v>
      </c>
      <c r="C348" s="133" t="s">
        <v>1000</v>
      </c>
      <c r="D348" s="133" t="s">
        <v>617</v>
      </c>
      <c r="E348" s="133" t="s">
        <v>618</v>
      </c>
      <c r="F348" s="133" t="s">
        <v>709</v>
      </c>
      <c r="G348" s="133" t="s">
        <v>719</v>
      </c>
      <c r="H348" s="133">
        <v>2.37</v>
      </c>
      <c r="I348" s="133">
        <v>6.3</v>
      </c>
      <c r="J348" s="133">
        <v>1000000000</v>
      </c>
      <c r="K348" s="133">
        <v>800</v>
      </c>
      <c r="L348" s="133">
        <v>935</v>
      </c>
      <c r="M348" s="133" t="s">
        <v>997</v>
      </c>
      <c r="N348" s="133">
        <v>0</v>
      </c>
      <c r="P348" s="133">
        <v>0</v>
      </c>
      <c r="Q348" s="133">
        <v>935</v>
      </c>
      <c r="R348" s="133">
        <v>0</v>
      </c>
      <c r="S348" s="156">
        <v>-0.16875000000000001</v>
      </c>
    </row>
    <row r="349" spans="1:19">
      <c r="A349" s="133" t="s">
        <v>1175</v>
      </c>
      <c r="B349" s="133" t="s">
        <v>1171</v>
      </c>
      <c r="C349" s="133" t="s">
        <v>1000</v>
      </c>
      <c r="D349" s="133" t="s">
        <v>619</v>
      </c>
      <c r="E349" s="133" t="s">
        <v>620</v>
      </c>
      <c r="F349" s="133" t="s">
        <v>709</v>
      </c>
      <c r="G349" s="133" t="s">
        <v>719</v>
      </c>
      <c r="H349" s="133">
        <v>11.05</v>
      </c>
      <c r="I349" s="133">
        <v>29</v>
      </c>
      <c r="J349" s="133">
        <v>1000000000</v>
      </c>
      <c r="K349" s="133">
        <v>40</v>
      </c>
      <c r="L349" s="133">
        <v>64</v>
      </c>
      <c r="M349" s="133" t="s">
        <v>997</v>
      </c>
      <c r="N349" s="133">
        <v>0</v>
      </c>
      <c r="P349" s="133">
        <v>0</v>
      </c>
      <c r="Q349" s="133">
        <v>64</v>
      </c>
      <c r="R349" s="133">
        <v>0</v>
      </c>
      <c r="S349" s="156">
        <v>-0.6</v>
      </c>
    </row>
    <row r="350" spans="1:19">
      <c r="A350" s="133" t="s">
        <v>1175</v>
      </c>
      <c r="B350" s="133" t="s">
        <v>1171</v>
      </c>
      <c r="C350" s="133" t="s">
        <v>1000</v>
      </c>
      <c r="D350" s="133" t="s">
        <v>621</v>
      </c>
      <c r="E350" s="133" t="s">
        <v>622</v>
      </c>
      <c r="F350" s="133" t="s">
        <v>712</v>
      </c>
      <c r="G350" s="133" t="s">
        <v>719</v>
      </c>
      <c r="H350" s="133">
        <v>0.7</v>
      </c>
      <c r="I350" s="133">
        <v>1.99</v>
      </c>
      <c r="J350" s="133">
        <v>1000000000</v>
      </c>
      <c r="K350" s="133">
        <v>800</v>
      </c>
      <c r="L350" s="133">
        <v>52</v>
      </c>
      <c r="M350" s="133" t="s">
        <v>996</v>
      </c>
      <c r="N350" s="133">
        <v>748</v>
      </c>
      <c r="P350" s="133">
        <v>0</v>
      </c>
      <c r="Q350" s="133">
        <v>800</v>
      </c>
      <c r="R350" s="133">
        <v>0</v>
      </c>
      <c r="S350" s="156">
        <v>0.93500000000000005</v>
      </c>
    </row>
    <row r="351" spans="1:19">
      <c r="A351" s="133" t="s">
        <v>1175</v>
      </c>
      <c r="B351" s="133" t="s">
        <v>1171</v>
      </c>
      <c r="C351" s="133" t="s">
        <v>1000</v>
      </c>
      <c r="D351" s="133" t="s">
        <v>623</v>
      </c>
      <c r="E351" s="133" t="s">
        <v>624</v>
      </c>
      <c r="F351" s="133" t="s">
        <v>712</v>
      </c>
      <c r="G351" s="133" t="s">
        <v>719</v>
      </c>
      <c r="H351" s="133">
        <v>1.3</v>
      </c>
      <c r="I351" s="133">
        <v>2.99</v>
      </c>
      <c r="J351" s="133">
        <v>1000000000</v>
      </c>
      <c r="K351" s="133">
        <v>3000</v>
      </c>
      <c r="L351" s="133">
        <v>448</v>
      </c>
      <c r="M351" s="133" t="s">
        <v>996</v>
      </c>
      <c r="N351" s="133">
        <v>2489</v>
      </c>
      <c r="P351" s="133">
        <v>0</v>
      </c>
      <c r="Q351" s="133">
        <v>2937</v>
      </c>
      <c r="R351" s="133">
        <v>63</v>
      </c>
      <c r="S351" s="156">
        <v>0.85066666666666668</v>
      </c>
    </row>
    <row r="352" spans="1:19">
      <c r="A352" s="133" t="s">
        <v>1175</v>
      </c>
      <c r="B352" s="133" t="s">
        <v>1171</v>
      </c>
      <c r="C352" s="133" t="s">
        <v>1000</v>
      </c>
      <c r="D352" s="133" t="s">
        <v>625</v>
      </c>
      <c r="E352" s="133" t="s">
        <v>626</v>
      </c>
      <c r="F352" s="133" t="s">
        <v>712</v>
      </c>
      <c r="G352" s="133" t="s">
        <v>719</v>
      </c>
      <c r="H352" s="133">
        <v>6</v>
      </c>
      <c r="I352" s="133">
        <v>12.99</v>
      </c>
      <c r="J352" s="133">
        <v>1000000000</v>
      </c>
      <c r="K352" s="133">
        <v>300</v>
      </c>
      <c r="L352" s="133">
        <v>539</v>
      </c>
      <c r="M352" s="133" t="s">
        <v>997</v>
      </c>
      <c r="N352" s="133">
        <v>16</v>
      </c>
      <c r="P352" s="133">
        <v>0</v>
      </c>
      <c r="Q352" s="133">
        <v>555</v>
      </c>
      <c r="R352" s="133">
        <v>0</v>
      </c>
      <c r="S352" s="156">
        <v>-0.79666666666666663</v>
      </c>
    </row>
    <row r="353" spans="1:19">
      <c r="A353" s="133" t="s">
        <v>1175</v>
      </c>
      <c r="B353" s="133" t="s">
        <v>1171</v>
      </c>
      <c r="C353" s="133" t="s">
        <v>1000</v>
      </c>
      <c r="D353" s="133" t="s">
        <v>627</v>
      </c>
      <c r="E353" s="133" t="s">
        <v>628</v>
      </c>
      <c r="F353" s="133" t="s">
        <v>712</v>
      </c>
      <c r="G353" s="133" t="s">
        <v>715</v>
      </c>
      <c r="H353" s="133">
        <v>1.05</v>
      </c>
      <c r="I353" s="133">
        <v>2.59</v>
      </c>
      <c r="J353" s="133">
        <v>1000000000</v>
      </c>
      <c r="K353" s="133">
        <v>100</v>
      </c>
      <c r="L353" s="133">
        <v>116</v>
      </c>
      <c r="M353" s="133" t="s">
        <v>997</v>
      </c>
      <c r="N353" s="133">
        <v>10</v>
      </c>
      <c r="P353" s="133">
        <v>0</v>
      </c>
      <c r="Q353" s="133">
        <v>126</v>
      </c>
      <c r="R353" s="133">
        <v>0</v>
      </c>
      <c r="S353" s="156">
        <v>-0.16</v>
      </c>
    </row>
    <row r="354" spans="1:19">
      <c r="A354" s="133" t="s">
        <v>1175</v>
      </c>
      <c r="B354" s="133" t="s">
        <v>1171</v>
      </c>
      <c r="C354" s="133" t="s">
        <v>1000</v>
      </c>
      <c r="D354" s="133" t="s">
        <v>629</v>
      </c>
      <c r="E354" s="133" t="s">
        <v>630</v>
      </c>
      <c r="F354" s="133" t="s">
        <v>712</v>
      </c>
      <c r="G354" s="133" t="s">
        <v>715</v>
      </c>
      <c r="H354" s="133">
        <v>2.27</v>
      </c>
      <c r="I354" s="133">
        <v>5.49</v>
      </c>
      <c r="J354" s="133">
        <v>1000000000</v>
      </c>
      <c r="K354" s="133">
        <v>300</v>
      </c>
      <c r="L354" s="133">
        <v>317</v>
      </c>
      <c r="M354" s="133" t="s">
        <v>997</v>
      </c>
      <c r="N354" s="133">
        <v>18</v>
      </c>
      <c r="P354" s="133">
        <v>0</v>
      </c>
      <c r="Q354" s="133">
        <v>335</v>
      </c>
      <c r="R354" s="133">
        <v>0</v>
      </c>
      <c r="S354" s="156">
        <v>-5.6666666666666664E-2</v>
      </c>
    </row>
    <row r="355" spans="1:19">
      <c r="A355" s="133" t="s">
        <v>1175</v>
      </c>
      <c r="B355" s="133" t="s">
        <v>1171</v>
      </c>
      <c r="C355" s="133" t="s">
        <v>1000</v>
      </c>
      <c r="D355" s="133" t="s">
        <v>631</v>
      </c>
      <c r="E355" s="133" t="s">
        <v>632</v>
      </c>
      <c r="F355" s="133" t="s">
        <v>712</v>
      </c>
      <c r="G355" s="133" t="s">
        <v>715</v>
      </c>
      <c r="H355" s="133">
        <v>4.3600000000000003</v>
      </c>
      <c r="I355" s="133">
        <v>9.99</v>
      </c>
      <c r="J355" s="133">
        <v>1000000000</v>
      </c>
      <c r="K355" s="133">
        <v>180</v>
      </c>
      <c r="L355" s="133">
        <v>132</v>
      </c>
      <c r="M355" s="133" t="s">
        <v>998</v>
      </c>
      <c r="N355" s="133">
        <v>60</v>
      </c>
      <c r="P355" s="133">
        <v>0</v>
      </c>
      <c r="Q355" s="133">
        <v>192</v>
      </c>
      <c r="R355" s="133">
        <v>0</v>
      </c>
      <c r="S355" s="156">
        <v>0.26666666666666666</v>
      </c>
    </row>
    <row r="356" spans="1:19">
      <c r="A356" s="133" t="s">
        <v>1175</v>
      </c>
      <c r="B356" s="133" t="s">
        <v>1171</v>
      </c>
      <c r="C356" s="133" t="s">
        <v>1000</v>
      </c>
      <c r="D356" s="133" t="s">
        <v>633</v>
      </c>
      <c r="E356" s="133" t="s">
        <v>634</v>
      </c>
      <c r="F356" s="133" t="s">
        <v>712</v>
      </c>
      <c r="G356" s="133" t="s">
        <v>715</v>
      </c>
      <c r="H356" s="133">
        <v>8.4600000000000009</v>
      </c>
      <c r="I356" s="133">
        <v>18.989999999999998</v>
      </c>
      <c r="J356" s="133">
        <v>1000000000</v>
      </c>
      <c r="K356" s="133">
        <v>500</v>
      </c>
      <c r="L356" s="133">
        <v>450</v>
      </c>
      <c r="M356" s="133" t="s">
        <v>998</v>
      </c>
      <c r="N356" s="133">
        <v>50</v>
      </c>
      <c r="P356" s="133">
        <v>0</v>
      </c>
      <c r="Q356" s="133">
        <v>500</v>
      </c>
      <c r="R356" s="133">
        <v>0</v>
      </c>
      <c r="S356" s="156">
        <v>0.1</v>
      </c>
    </row>
    <row r="357" spans="1:19">
      <c r="A357" s="133" t="s">
        <v>1175</v>
      </c>
      <c r="B357" s="133" t="s">
        <v>1171</v>
      </c>
      <c r="C357" s="133" t="s">
        <v>1000</v>
      </c>
      <c r="D357" s="133" t="s">
        <v>635</v>
      </c>
      <c r="E357" s="133" t="s">
        <v>636</v>
      </c>
      <c r="F357" s="133" t="s">
        <v>709</v>
      </c>
      <c r="G357" s="133" t="s">
        <v>719</v>
      </c>
      <c r="H357" s="133">
        <v>0.82</v>
      </c>
      <c r="I357" s="133">
        <v>1.99</v>
      </c>
      <c r="J357" s="133">
        <v>1000000000</v>
      </c>
      <c r="K357" s="133">
        <v>500</v>
      </c>
      <c r="L357" s="133">
        <v>497</v>
      </c>
      <c r="M357" s="133" t="s">
        <v>998</v>
      </c>
      <c r="N357" s="133">
        <v>0</v>
      </c>
      <c r="P357" s="133">
        <v>0</v>
      </c>
      <c r="Q357" s="133">
        <v>497</v>
      </c>
      <c r="R357" s="133">
        <v>3</v>
      </c>
      <c r="S357" s="156">
        <v>6.0000000000000001E-3</v>
      </c>
    </row>
    <row r="358" spans="1:19">
      <c r="A358" s="133" t="s">
        <v>1175</v>
      </c>
      <c r="B358" s="133" t="s">
        <v>1171</v>
      </c>
      <c r="C358" s="133" t="s">
        <v>1000</v>
      </c>
      <c r="D358" s="133" t="s">
        <v>637</v>
      </c>
      <c r="E358" s="133" t="s">
        <v>638</v>
      </c>
      <c r="F358" s="133" t="s">
        <v>709</v>
      </c>
      <c r="G358" s="133" t="s">
        <v>719</v>
      </c>
      <c r="H358" s="133">
        <v>1.35</v>
      </c>
      <c r="I358" s="133">
        <v>3.59</v>
      </c>
      <c r="J358" s="133">
        <v>1000000000</v>
      </c>
      <c r="K358" s="133">
        <v>1800</v>
      </c>
      <c r="L358" s="133">
        <v>1748</v>
      </c>
      <c r="M358" s="133" t="s">
        <v>998</v>
      </c>
      <c r="N358" s="133">
        <v>141</v>
      </c>
      <c r="P358" s="133">
        <v>0</v>
      </c>
      <c r="Q358" s="133">
        <v>1889</v>
      </c>
      <c r="R358" s="133">
        <v>0</v>
      </c>
      <c r="S358" s="156">
        <v>2.8888888888888888E-2</v>
      </c>
    </row>
    <row r="359" spans="1:19">
      <c r="A359" s="133" t="s">
        <v>1175</v>
      </c>
      <c r="B359" s="133" t="s">
        <v>1171</v>
      </c>
      <c r="C359" s="133" t="s">
        <v>1000</v>
      </c>
      <c r="D359" s="133" t="s">
        <v>639</v>
      </c>
      <c r="E359" s="133" t="s">
        <v>640</v>
      </c>
      <c r="F359" s="133" t="s">
        <v>709</v>
      </c>
      <c r="G359" s="133" t="s">
        <v>719</v>
      </c>
      <c r="H359" s="133">
        <v>2.34</v>
      </c>
      <c r="I359" s="133">
        <v>5.79</v>
      </c>
      <c r="J359" s="133">
        <v>1000000000</v>
      </c>
      <c r="K359" s="133">
        <v>500</v>
      </c>
      <c r="L359" s="133">
        <v>618</v>
      </c>
      <c r="M359" s="133" t="s">
        <v>997</v>
      </c>
      <c r="N359" s="133">
        <v>40</v>
      </c>
      <c r="P359" s="133">
        <v>0</v>
      </c>
      <c r="Q359" s="133">
        <v>658</v>
      </c>
      <c r="R359" s="133">
        <v>0</v>
      </c>
      <c r="S359" s="156">
        <v>-0.23599999999999999</v>
      </c>
    </row>
    <row r="360" spans="1:19">
      <c r="A360" s="133" t="s">
        <v>1175</v>
      </c>
      <c r="B360" s="133" t="s">
        <v>1171</v>
      </c>
      <c r="C360" s="133" t="s">
        <v>1000</v>
      </c>
      <c r="D360" s="133" t="s">
        <v>641</v>
      </c>
      <c r="E360" s="133" t="s">
        <v>642</v>
      </c>
      <c r="F360" s="133" t="s">
        <v>709</v>
      </c>
      <c r="G360" s="133" t="s">
        <v>719</v>
      </c>
      <c r="H360" s="133">
        <v>5.27</v>
      </c>
      <c r="I360" s="133">
        <v>11.5</v>
      </c>
      <c r="J360" s="133">
        <v>1000000000</v>
      </c>
      <c r="K360" s="133">
        <v>600</v>
      </c>
      <c r="L360" s="133">
        <v>724</v>
      </c>
      <c r="M360" s="133" t="s">
        <v>997</v>
      </c>
      <c r="N360" s="133">
        <v>50</v>
      </c>
      <c r="P360" s="133">
        <v>0</v>
      </c>
      <c r="Q360" s="133">
        <v>774</v>
      </c>
      <c r="R360" s="133">
        <v>0</v>
      </c>
      <c r="S360" s="156">
        <v>-0.20666666666666667</v>
      </c>
    </row>
    <row r="361" spans="1:19">
      <c r="A361" s="133" t="s">
        <v>1175</v>
      </c>
      <c r="B361" s="133" t="s">
        <v>1171</v>
      </c>
      <c r="C361" s="133" t="s">
        <v>1000</v>
      </c>
      <c r="D361" s="133" t="s">
        <v>647</v>
      </c>
      <c r="E361" s="133" t="s">
        <v>648</v>
      </c>
      <c r="F361" s="133" t="s">
        <v>708</v>
      </c>
      <c r="G361" s="133" t="s">
        <v>715</v>
      </c>
      <c r="H361" s="133">
        <v>10.039999999999999</v>
      </c>
      <c r="I361" s="133">
        <v>24.9</v>
      </c>
      <c r="J361" s="133">
        <v>1000000000</v>
      </c>
      <c r="K361" s="133">
        <v>800</v>
      </c>
      <c r="L361" s="133">
        <v>861</v>
      </c>
      <c r="M361" s="133" t="s">
        <v>997</v>
      </c>
      <c r="N361" s="133">
        <v>0</v>
      </c>
      <c r="P361" s="133">
        <v>0</v>
      </c>
      <c r="Q361" s="133">
        <v>861</v>
      </c>
      <c r="R361" s="133">
        <v>0</v>
      </c>
      <c r="S361" s="156">
        <v>-7.6249999999999998E-2</v>
      </c>
    </row>
    <row r="362" spans="1:19">
      <c r="A362" s="133" t="s">
        <v>1175</v>
      </c>
      <c r="B362" s="133" t="s">
        <v>1171</v>
      </c>
      <c r="C362" s="133" t="s">
        <v>1000</v>
      </c>
      <c r="D362" s="133" t="s">
        <v>649</v>
      </c>
      <c r="E362" s="133" t="s">
        <v>650</v>
      </c>
      <c r="F362" s="133" t="s">
        <v>708</v>
      </c>
      <c r="G362" s="133" t="s">
        <v>715</v>
      </c>
      <c r="H362" s="133">
        <v>50.77</v>
      </c>
      <c r="I362" s="133">
        <v>109.81</v>
      </c>
      <c r="J362" s="133">
        <v>1000000000</v>
      </c>
      <c r="K362" s="133">
        <v>0</v>
      </c>
      <c r="L362" s="133">
        <v>5</v>
      </c>
      <c r="M362" s="133" t="s">
        <v>1096</v>
      </c>
      <c r="N362" s="133">
        <v>0</v>
      </c>
      <c r="P362" s="133">
        <v>0</v>
      </c>
      <c r="Q362" s="133">
        <v>5</v>
      </c>
      <c r="R362" s="133">
        <v>0</v>
      </c>
      <c r="S362" s="156"/>
    </row>
    <row r="363" spans="1:19">
      <c r="A363" s="133" t="s">
        <v>1175</v>
      </c>
      <c r="B363" s="133" t="s">
        <v>1171</v>
      </c>
      <c r="C363" s="133" t="s">
        <v>1000</v>
      </c>
      <c r="D363" s="133" t="s">
        <v>659</v>
      </c>
      <c r="E363" s="133" t="s">
        <v>660</v>
      </c>
      <c r="F363" s="133" t="s">
        <v>707</v>
      </c>
      <c r="G363" s="133" t="s">
        <v>732</v>
      </c>
      <c r="H363" s="133">
        <v>121.78</v>
      </c>
      <c r="I363" s="133">
        <v>189</v>
      </c>
      <c r="J363" s="133">
        <v>1000000000</v>
      </c>
      <c r="K363" s="133">
        <v>1</v>
      </c>
      <c r="L363" s="133">
        <v>1</v>
      </c>
      <c r="M363" s="133" t="s">
        <v>714</v>
      </c>
      <c r="N363" s="133">
        <v>0</v>
      </c>
      <c r="P363" s="133">
        <v>0</v>
      </c>
      <c r="Q363" s="133">
        <v>1</v>
      </c>
      <c r="R363" s="133">
        <v>0</v>
      </c>
      <c r="S363" s="156">
        <v>0</v>
      </c>
    </row>
    <row r="364" spans="1:19">
      <c r="A364" s="133" t="s">
        <v>1175</v>
      </c>
      <c r="B364" s="133" t="s">
        <v>1171</v>
      </c>
      <c r="C364" s="133" t="s">
        <v>1000</v>
      </c>
      <c r="D364" s="133" t="s">
        <v>661</v>
      </c>
      <c r="E364" s="133" t="s">
        <v>662</v>
      </c>
      <c r="F364" s="133" t="s">
        <v>707</v>
      </c>
      <c r="G364" s="133" t="s">
        <v>732</v>
      </c>
      <c r="H364" s="133">
        <v>24.73</v>
      </c>
      <c r="I364" s="133">
        <v>38.4</v>
      </c>
      <c r="J364" s="133">
        <v>1000000000</v>
      </c>
      <c r="K364" s="133">
        <v>4</v>
      </c>
      <c r="L364" s="133">
        <v>8</v>
      </c>
      <c r="M364" s="133" t="s">
        <v>997</v>
      </c>
      <c r="N364" s="133">
        <v>0</v>
      </c>
      <c r="P364" s="133">
        <v>0</v>
      </c>
      <c r="Q364" s="133">
        <v>8</v>
      </c>
      <c r="R364" s="133">
        <v>0</v>
      </c>
      <c r="S364" s="156">
        <v>-1</v>
      </c>
    </row>
    <row r="365" spans="1:19">
      <c r="A365" s="133" t="s">
        <v>1175</v>
      </c>
      <c r="B365" s="133" t="s">
        <v>1171</v>
      </c>
      <c r="C365" s="133" t="s">
        <v>1000</v>
      </c>
      <c r="D365" s="133" t="s">
        <v>663</v>
      </c>
      <c r="E365" s="133" t="s">
        <v>664</v>
      </c>
      <c r="F365" s="133" t="s">
        <v>707</v>
      </c>
      <c r="G365" s="133" t="s">
        <v>732</v>
      </c>
      <c r="H365" s="133">
        <v>6.54</v>
      </c>
      <c r="I365" s="133">
        <v>10.5</v>
      </c>
      <c r="J365" s="133">
        <v>1000000000</v>
      </c>
      <c r="K365" s="133">
        <v>60</v>
      </c>
      <c r="L365" s="133">
        <v>184</v>
      </c>
      <c r="M365" s="133" t="s">
        <v>997</v>
      </c>
      <c r="N365" s="133">
        <v>15</v>
      </c>
      <c r="P365" s="133">
        <v>0</v>
      </c>
      <c r="Q365" s="133">
        <v>199</v>
      </c>
      <c r="R365" s="133">
        <v>0</v>
      </c>
      <c r="S365" s="156">
        <v>-2.0666666666666669</v>
      </c>
    </row>
    <row r="366" spans="1:19">
      <c r="A366" s="133" t="s">
        <v>1175</v>
      </c>
      <c r="B366" s="133" t="s">
        <v>1171</v>
      </c>
      <c r="C366" s="133" t="s">
        <v>1000</v>
      </c>
      <c r="D366" s="133" t="s">
        <v>733</v>
      </c>
      <c r="E366" s="133" t="s">
        <v>734</v>
      </c>
      <c r="F366" s="133" t="s">
        <v>709</v>
      </c>
      <c r="G366" s="133" t="s">
        <v>732</v>
      </c>
      <c r="H366" s="133">
        <v>16.05</v>
      </c>
      <c r="I366" s="133">
        <v>30.15</v>
      </c>
      <c r="J366" s="133">
        <v>1000000000</v>
      </c>
      <c r="K366" s="133">
        <v>80</v>
      </c>
      <c r="L366" s="133">
        <v>15</v>
      </c>
      <c r="M366" s="133" t="s">
        <v>996</v>
      </c>
      <c r="N366" s="133">
        <v>65</v>
      </c>
      <c r="P366" s="133">
        <v>0</v>
      </c>
      <c r="Q366" s="133">
        <v>80</v>
      </c>
      <c r="R366" s="133">
        <v>0</v>
      </c>
      <c r="S366" s="156">
        <v>0.8125</v>
      </c>
    </row>
    <row r="367" spans="1:19">
      <c r="A367" s="133" t="s">
        <v>1175</v>
      </c>
      <c r="B367" s="133" t="s">
        <v>1171</v>
      </c>
      <c r="C367" s="133" t="s">
        <v>1000</v>
      </c>
      <c r="D367" s="133" t="s">
        <v>730</v>
      </c>
      <c r="E367" s="133" t="s">
        <v>731</v>
      </c>
      <c r="F367" s="133" t="s">
        <v>709</v>
      </c>
      <c r="G367" s="133" t="s">
        <v>732</v>
      </c>
      <c r="H367" s="133">
        <v>62.58</v>
      </c>
      <c r="I367" s="133">
        <v>108</v>
      </c>
      <c r="J367" s="133">
        <v>1000000000</v>
      </c>
      <c r="K367" s="133">
        <v>20</v>
      </c>
      <c r="L367" s="133">
        <v>56</v>
      </c>
      <c r="M367" s="133" t="s">
        <v>997</v>
      </c>
      <c r="N367" s="133">
        <v>10</v>
      </c>
      <c r="P367" s="133">
        <v>0</v>
      </c>
      <c r="Q367" s="133">
        <v>66</v>
      </c>
      <c r="R367" s="133">
        <v>0</v>
      </c>
      <c r="S367" s="156">
        <v>-1.8</v>
      </c>
    </row>
    <row r="368" spans="1:19">
      <c r="A368" s="133" t="s">
        <v>1175</v>
      </c>
      <c r="B368" s="133" t="s">
        <v>1171</v>
      </c>
      <c r="C368" s="133" t="s">
        <v>1000</v>
      </c>
      <c r="D368" s="133" t="s">
        <v>665</v>
      </c>
      <c r="E368" s="133" t="s">
        <v>666</v>
      </c>
      <c r="F368" s="133" t="s">
        <v>709</v>
      </c>
      <c r="G368" s="133" t="s">
        <v>715</v>
      </c>
      <c r="H368" s="133">
        <v>1.42</v>
      </c>
      <c r="I368" s="133">
        <v>6.5</v>
      </c>
      <c r="J368" s="133">
        <v>1000000000</v>
      </c>
      <c r="K368" s="133">
        <v>1300</v>
      </c>
      <c r="L368" s="133">
        <v>44</v>
      </c>
      <c r="M368" s="133" t="s">
        <v>996</v>
      </c>
      <c r="N368" s="133">
        <v>1298</v>
      </c>
      <c r="P368" s="133">
        <v>0</v>
      </c>
      <c r="Q368" s="133">
        <v>1342</v>
      </c>
      <c r="R368" s="133">
        <v>0</v>
      </c>
      <c r="S368" s="156">
        <v>0.96615384615384614</v>
      </c>
    </row>
    <row r="369" spans="1:19">
      <c r="A369" s="133" t="s">
        <v>1175</v>
      </c>
      <c r="B369" s="133" t="s">
        <v>1171</v>
      </c>
      <c r="C369" s="133" t="s">
        <v>1000</v>
      </c>
      <c r="D369" s="133" t="s">
        <v>667</v>
      </c>
      <c r="E369" s="133" t="s">
        <v>668</v>
      </c>
      <c r="F369" s="133" t="s">
        <v>709</v>
      </c>
      <c r="G369" s="133" t="s">
        <v>715</v>
      </c>
      <c r="H369" s="133">
        <v>14.83</v>
      </c>
      <c r="I369" s="133">
        <v>59</v>
      </c>
      <c r="J369" s="133">
        <v>1000000000</v>
      </c>
      <c r="K369" s="133">
        <v>250</v>
      </c>
      <c r="L369" s="133">
        <v>1</v>
      </c>
      <c r="M369" s="133" t="s">
        <v>996</v>
      </c>
      <c r="N369" s="133">
        <v>243</v>
      </c>
      <c r="P369" s="133">
        <v>0</v>
      </c>
      <c r="Q369" s="133">
        <v>244</v>
      </c>
      <c r="R369" s="133">
        <v>6</v>
      </c>
      <c r="S369" s="156">
        <v>0.996</v>
      </c>
    </row>
    <row r="370" spans="1:19">
      <c r="A370" s="133" t="s">
        <v>1175</v>
      </c>
      <c r="B370" s="133" t="s">
        <v>1171</v>
      </c>
      <c r="C370" s="133" t="s">
        <v>1000</v>
      </c>
      <c r="D370" s="133" t="s">
        <v>669</v>
      </c>
      <c r="E370" s="133" t="s">
        <v>670</v>
      </c>
      <c r="F370" s="133" t="s">
        <v>708</v>
      </c>
      <c r="G370" s="133" t="s">
        <v>715</v>
      </c>
      <c r="H370" s="133">
        <v>1.75</v>
      </c>
      <c r="I370" s="133">
        <v>7.32</v>
      </c>
      <c r="J370" s="133">
        <v>1000000000</v>
      </c>
      <c r="K370" s="133">
        <v>2000</v>
      </c>
      <c r="L370" s="133">
        <v>596</v>
      </c>
      <c r="M370" s="133" t="s">
        <v>996</v>
      </c>
      <c r="N370" s="133">
        <v>1404</v>
      </c>
      <c r="P370" s="133">
        <v>0</v>
      </c>
      <c r="Q370" s="133">
        <v>2000</v>
      </c>
      <c r="R370" s="133">
        <v>0</v>
      </c>
      <c r="S370" s="156">
        <v>0.70199999999999996</v>
      </c>
    </row>
    <row r="371" spans="1:19">
      <c r="A371" s="133" t="s">
        <v>1180</v>
      </c>
      <c r="B371" s="133" t="s">
        <v>1175</v>
      </c>
      <c r="C371" s="133" t="s">
        <v>1000</v>
      </c>
      <c r="D371" s="133" t="s">
        <v>85</v>
      </c>
      <c r="E371" s="133" t="s">
        <v>86</v>
      </c>
      <c r="F371" s="133" t="s">
        <v>707</v>
      </c>
      <c r="G371" s="133" t="s">
        <v>715</v>
      </c>
      <c r="H371" s="133">
        <v>0.37</v>
      </c>
      <c r="I371" s="133">
        <v>0.84</v>
      </c>
      <c r="J371" s="133">
        <v>141</v>
      </c>
      <c r="K371" s="133">
        <v>0</v>
      </c>
      <c r="L371" s="133">
        <v>0</v>
      </c>
      <c r="M371" s="133" t="s">
        <v>1096</v>
      </c>
      <c r="N371" s="133">
        <v>0</v>
      </c>
      <c r="P371" s="133">
        <v>0</v>
      </c>
      <c r="Q371" s="133">
        <v>0</v>
      </c>
      <c r="R371" s="133">
        <v>0</v>
      </c>
      <c r="S371" s="156"/>
    </row>
    <row r="372" spans="1:19">
      <c r="A372" s="133" t="s">
        <v>1180</v>
      </c>
      <c r="B372" s="133" t="s">
        <v>1175</v>
      </c>
      <c r="C372" s="133" t="s">
        <v>1000</v>
      </c>
      <c r="D372" s="133" t="s">
        <v>87</v>
      </c>
      <c r="E372" s="133" t="s">
        <v>88</v>
      </c>
      <c r="F372" s="133" t="s">
        <v>707</v>
      </c>
      <c r="G372" s="133" t="s">
        <v>715</v>
      </c>
      <c r="H372" s="133">
        <v>0.66</v>
      </c>
      <c r="I372" s="133">
        <v>1.45</v>
      </c>
      <c r="J372" s="133">
        <v>457</v>
      </c>
      <c r="K372" s="133">
        <v>0</v>
      </c>
      <c r="L372" s="133">
        <v>0</v>
      </c>
      <c r="M372" s="133" t="s">
        <v>1096</v>
      </c>
      <c r="N372" s="133">
        <v>0</v>
      </c>
      <c r="P372" s="133">
        <v>0</v>
      </c>
      <c r="Q372" s="133">
        <v>0</v>
      </c>
      <c r="R372" s="133">
        <v>0</v>
      </c>
      <c r="S372" s="156"/>
    </row>
    <row r="373" spans="1:19">
      <c r="A373" s="133" t="s">
        <v>1180</v>
      </c>
      <c r="B373" s="133" t="s">
        <v>1175</v>
      </c>
      <c r="C373" s="133" t="s">
        <v>1000</v>
      </c>
      <c r="D373" s="133" t="s">
        <v>89</v>
      </c>
      <c r="E373" s="133" t="s">
        <v>90</v>
      </c>
      <c r="F373" s="133" t="s">
        <v>707</v>
      </c>
      <c r="G373" s="133" t="s">
        <v>715</v>
      </c>
      <c r="H373" s="133">
        <v>1.83</v>
      </c>
      <c r="I373" s="133">
        <v>4.05</v>
      </c>
      <c r="J373" s="133">
        <v>185</v>
      </c>
      <c r="K373" s="133">
        <v>0</v>
      </c>
      <c r="L373" s="133">
        <v>0</v>
      </c>
      <c r="M373" s="133" t="s">
        <v>1096</v>
      </c>
      <c r="N373" s="133">
        <v>0</v>
      </c>
      <c r="P373" s="133">
        <v>0</v>
      </c>
      <c r="Q373" s="133">
        <v>0</v>
      </c>
      <c r="R373" s="133">
        <v>0</v>
      </c>
      <c r="S373" s="156"/>
    </row>
    <row r="374" spans="1:19">
      <c r="A374" s="133" t="s">
        <v>1180</v>
      </c>
      <c r="B374" s="133" t="s">
        <v>1175</v>
      </c>
      <c r="C374" s="133" t="s">
        <v>1000</v>
      </c>
      <c r="D374" s="133" t="s">
        <v>91</v>
      </c>
      <c r="E374" s="133" t="s">
        <v>92</v>
      </c>
      <c r="F374" s="133" t="s">
        <v>707</v>
      </c>
      <c r="G374" s="133" t="s">
        <v>715</v>
      </c>
      <c r="H374" s="133">
        <v>1.9</v>
      </c>
      <c r="I374" s="133">
        <v>3.29</v>
      </c>
      <c r="J374" s="133">
        <v>0</v>
      </c>
      <c r="K374" s="133">
        <v>0</v>
      </c>
      <c r="L374" s="133">
        <v>0</v>
      </c>
      <c r="M374" s="133" t="s">
        <v>1096</v>
      </c>
      <c r="N374" s="133">
        <v>0</v>
      </c>
      <c r="P374" s="133">
        <v>0</v>
      </c>
      <c r="Q374" s="133">
        <v>0</v>
      </c>
      <c r="R374" s="133">
        <v>0</v>
      </c>
      <c r="S374" s="156"/>
    </row>
    <row r="375" spans="1:19">
      <c r="A375" s="133" t="s">
        <v>1180</v>
      </c>
      <c r="B375" s="133" t="s">
        <v>1175</v>
      </c>
      <c r="C375" s="133" t="s">
        <v>1000</v>
      </c>
      <c r="D375" s="133" t="s">
        <v>93</v>
      </c>
      <c r="E375" s="133" t="s">
        <v>94</v>
      </c>
      <c r="F375" s="133" t="s">
        <v>707</v>
      </c>
      <c r="G375" s="133" t="s">
        <v>715</v>
      </c>
      <c r="H375" s="133">
        <v>1.88</v>
      </c>
      <c r="I375" s="133">
        <v>4.99</v>
      </c>
      <c r="J375" s="133">
        <v>793</v>
      </c>
      <c r="K375" s="133">
        <v>0</v>
      </c>
      <c r="L375" s="133">
        <v>0</v>
      </c>
      <c r="M375" s="133" t="s">
        <v>1096</v>
      </c>
      <c r="N375" s="133">
        <v>0</v>
      </c>
      <c r="P375" s="133">
        <v>0</v>
      </c>
      <c r="Q375" s="133">
        <v>0</v>
      </c>
      <c r="R375" s="133">
        <v>0</v>
      </c>
      <c r="S375" s="156"/>
    </row>
    <row r="376" spans="1:19">
      <c r="A376" s="133" t="s">
        <v>1180</v>
      </c>
      <c r="B376" s="133" t="s">
        <v>1175</v>
      </c>
      <c r="C376" s="133" t="s">
        <v>1000</v>
      </c>
      <c r="D376" s="133" t="s">
        <v>95</v>
      </c>
      <c r="E376" s="133" t="s">
        <v>96</v>
      </c>
      <c r="F376" s="133" t="s">
        <v>707</v>
      </c>
      <c r="G376" s="133" t="s">
        <v>715</v>
      </c>
      <c r="H376" s="133">
        <v>1.94</v>
      </c>
      <c r="I376" s="133">
        <v>5.49</v>
      </c>
      <c r="J376" s="133">
        <v>600</v>
      </c>
      <c r="K376" s="133">
        <v>0</v>
      </c>
      <c r="L376" s="133">
        <v>40</v>
      </c>
      <c r="M376" s="133" t="s">
        <v>1096</v>
      </c>
      <c r="N376" s="133">
        <v>0</v>
      </c>
      <c r="P376" s="133">
        <v>0</v>
      </c>
      <c r="Q376" s="133">
        <v>40</v>
      </c>
      <c r="R376" s="133">
        <v>0</v>
      </c>
      <c r="S376" s="156"/>
    </row>
    <row r="377" spans="1:19">
      <c r="A377" s="133" t="s">
        <v>1180</v>
      </c>
      <c r="B377" s="133" t="s">
        <v>1175</v>
      </c>
      <c r="C377" s="133" t="s">
        <v>1000</v>
      </c>
      <c r="D377" s="133" t="s">
        <v>97</v>
      </c>
      <c r="E377" s="133" t="s">
        <v>98</v>
      </c>
      <c r="F377" s="133" t="s">
        <v>707</v>
      </c>
      <c r="G377" s="133" t="s">
        <v>715</v>
      </c>
      <c r="H377" s="133">
        <v>1.78</v>
      </c>
      <c r="I377" s="133">
        <v>4.99</v>
      </c>
      <c r="J377" s="133">
        <v>600</v>
      </c>
      <c r="K377" s="133">
        <v>0</v>
      </c>
      <c r="L377" s="133">
        <v>90</v>
      </c>
      <c r="M377" s="133" t="s">
        <v>1096</v>
      </c>
      <c r="N377" s="133">
        <v>0</v>
      </c>
      <c r="P377" s="133">
        <v>0</v>
      </c>
      <c r="Q377" s="133">
        <v>90</v>
      </c>
      <c r="R377" s="133">
        <v>0</v>
      </c>
      <c r="S377" s="156"/>
    </row>
    <row r="378" spans="1:19">
      <c r="A378" s="133" t="s">
        <v>1180</v>
      </c>
      <c r="B378" s="133" t="s">
        <v>1175</v>
      </c>
      <c r="C378" s="133" t="s">
        <v>1000</v>
      </c>
      <c r="D378" s="133" t="s">
        <v>99</v>
      </c>
      <c r="E378" s="133" t="s">
        <v>100</v>
      </c>
      <c r="F378" s="133" t="s">
        <v>707</v>
      </c>
      <c r="G378" s="133" t="s">
        <v>715</v>
      </c>
      <c r="H378" s="133">
        <v>2</v>
      </c>
      <c r="I378" s="133">
        <v>4.99</v>
      </c>
      <c r="J378" s="133">
        <v>590</v>
      </c>
      <c r="K378" s="133">
        <v>0</v>
      </c>
      <c r="L378" s="133">
        <v>16</v>
      </c>
      <c r="M378" s="133" t="s">
        <v>1096</v>
      </c>
      <c r="N378" s="133">
        <v>0</v>
      </c>
      <c r="P378" s="133">
        <v>0</v>
      </c>
      <c r="Q378" s="133">
        <v>16</v>
      </c>
      <c r="R378" s="133">
        <v>0</v>
      </c>
      <c r="S378" s="156"/>
    </row>
    <row r="379" spans="1:19">
      <c r="A379" s="133" t="s">
        <v>1180</v>
      </c>
      <c r="B379" s="133" t="s">
        <v>1175</v>
      </c>
      <c r="C379" s="133" t="s">
        <v>1000</v>
      </c>
      <c r="D379" s="133" t="s">
        <v>101</v>
      </c>
      <c r="E379" s="133" t="s">
        <v>102</v>
      </c>
      <c r="F379" s="133" t="s">
        <v>707</v>
      </c>
      <c r="G379" s="133" t="s">
        <v>715</v>
      </c>
      <c r="H379" s="133">
        <v>0.87</v>
      </c>
      <c r="I379" s="133">
        <v>2.29</v>
      </c>
      <c r="J379" s="133">
        <v>14</v>
      </c>
      <c r="K379" s="133">
        <v>150</v>
      </c>
      <c r="L379" s="133">
        <v>10</v>
      </c>
      <c r="M379" s="133" t="s">
        <v>996</v>
      </c>
      <c r="N379" s="133">
        <v>0</v>
      </c>
      <c r="P379" s="133">
        <v>0</v>
      </c>
      <c r="Q379" s="133">
        <v>10</v>
      </c>
      <c r="R379" s="133">
        <v>140</v>
      </c>
      <c r="S379" s="156">
        <v>0.93333333333333335</v>
      </c>
    </row>
    <row r="380" spans="1:19">
      <c r="A380" s="133" t="s">
        <v>1180</v>
      </c>
      <c r="B380" s="133" t="s">
        <v>1175</v>
      </c>
      <c r="C380" s="133" t="s">
        <v>1000</v>
      </c>
      <c r="D380" s="133" t="s">
        <v>103</v>
      </c>
      <c r="E380" s="133" t="s">
        <v>104</v>
      </c>
      <c r="F380" s="133" t="s">
        <v>707</v>
      </c>
      <c r="G380" s="133" t="s">
        <v>715</v>
      </c>
      <c r="H380" s="133">
        <v>1.38</v>
      </c>
      <c r="I380" s="133">
        <v>3.59</v>
      </c>
      <c r="J380" s="133">
        <v>129</v>
      </c>
      <c r="K380" s="133">
        <v>0</v>
      </c>
      <c r="L380" s="133">
        <v>50</v>
      </c>
      <c r="M380" s="133" t="s">
        <v>1096</v>
      </c>
      <c r="N380" s="133">
        <v>0</v>
      </c>
      <c r="P380" s="133">
        <v>0</v>
      </c>
      <c r="Q380" s="133">
        <v>50</v>
      </c>
      <c r="R380" s="133">
        <v>0</v>
      </c>
      <c r="S380" s="156"/>
    </row>
    <row r="381" spans="1:19">
      <c r="A381" s="133" t="s">
        <v>1180</v>
      </c>
      <c r="B381" s="133" t="s">
        <v>1175</v>
      </c>
      <c r="C381" s="133" t="s">
        <v>1000</v>
      </c>
      <c r="D381" s="133" t="s">
        <v>105</v>
      </c>
      <c r="E381" s="133" t="s">
        <v>106</v>
      </c>
      <c r="F381" s="133" t="s">
        <v>707</v>
      </c>
      <c r="G381" s="133" t="s">
        <v>715</v>
      </c>
      <c r="H381" s="133">
        <v>8.39</v>
      </c>
      <c r="I381" s="133">
        <v>21.89</v>
      </c>
      <c r="J381" s="133">
        <v>0</v>
      </c>
      <c r="K381" s="133">
        <v>0</v>
      </c>
      <c r="L381" s="133">
        <v>0</v>
      </c>
      <c r="M381" s="133" t="s">
        <v>1096</v>
      </c>
      <c r="N381" s="133">
        <v>0</v>
      </c>
      <c r="P381" s="133">
        <v>0</v>
      </c>
      <c r="Q381" s="133">
        <v>0</v>
      </c>
      <c r="R381" s="133">
        <v>0</v>
      </c>
      <c r="S381" s="156"/>
    </row>
    <row r="382" spans="1:19">
      <c r="A382" s="133" t="s">
        <v>1180</v>
      </c>
      <c r="B382" s="133" t="s">
        <v>1175</v>
      </c>
      <c r="C382" s="133" t="s">
        <v>1000</v>
      </c>
      <c r="D382" s="133" t="s">
        <v>107</v>
      </c>
      <c r="E382" s="133" t="s">
        <v>108</v>
      </c>
      <c r="F382" s="133" t="s">
        <v>707</v>
      </c>
      <c r="G382" s="133" t="s">
        <v>715</v>
      </c>
      <c r="H382" s="133">
        <v>2.61</v>
      </c>
      <c r="I382" s="133">
        <v>6.49</v>
      </c>
      <c r="J382" s="133">
        <v>176</v>
      </c>
      <c r="K382" s="133">
        <v>0</v>
      </c>
      <c r="L382" s="133">
        <v>0</v>
      </c>
      <c r="M382" s="133" t="s">
        <v>1096</v>
      </c>
      <c r="N382" s="133">
        <v>0</v>
      </c>
      <c r="P382" s="133">
        <v>0</v>
      </c>
      <c r="Q382" s="133">
        <v>0</v>
      </c>
      <c r="R382" s="133">
        <v>0</v>
      </c>
      <c r="S382" s="156"/>
    </row>
    <row r="383" spans="1:19">
      <c r="A383" s="133" t="s">
        <v>1180</v>
      </c>
      <c r="B383" s="133" t="s">
        <v>1175</v>
      </c>
      <c r="C383" s="133" t="s">
        <v>1000</v>
      </c>
      <c r="D383" s="133" t="s">
        <v>109</v>
      </c>
      <c r="E383" s="133" t="s">
        <v>110</v>
      </c>
      <c r="F383" s="133" t="s">
        <v>707</v>
      </c>
      <c r="G383" s="133" t="s">
        <v>715</v>
      </c>
      <c r="H383" s="133">
        <v>1.4</v>
      </c>
      <c r="I383" s="133">
        <v>2.75</v>
      </c>
      <c r="J383" s="133">
        <v>924</v>
      </c>
      <c r="K383" s="133">
        <v>150</v>
      </c>
      <c r="L383" s="133">
        <v>64</v>
      </c>
      <c r="M383" s="133" t="s">
        <v>714</v>
      </c>
      <c r="N383" s="133">
        <v>0</v>
      </c>
      <c r="P383" s="133">
        <v>0</v>
      </c>
      <c r="Q383" s="133">
        <v>64</v>
      </c>
      <c r="R383" s="133">
        <v>86</v>
      </c>
      <c r="S383" s="156">
        <v>0.57333333333333336</v>
      </c>
    </row>
    <row r="384" spans="1:19">
      <c r="A384" s="133" t="s">
        <v>1180</v>
      </c>
      <c r="B384" s="133" t="s">
        <v>1175</v>
      </c>
      <c r="C384" s="133" t="s">
        <v>1000</v>
      </c>
      <c r="D384" s="133" t="s">
        <v>111</v>
      </c>
      <c r="E384" s="133" t="s">
        <v>112</v>
      </c>
      <c r="F384" s="133" t="s">
        <v>707</v>
      </c>
      <c r="G384" s="133" t="s">
        <v>715</v>
      </c>
      <c r="H384" s="133">
        <v>2.34</v>
      </c>
      <c r="I384" s="133">
        <v>5.84</v>
      </c>
      <c r="J384" s="133">
        <v>305</v>
      </c>
      <c r="K384" s="133">
        <v>0</v>
      </c>
      <c r="L384" s="133">
        <v>30</v>
      </c>
      <c r="M384" s="133" t="s">
        <v>1096</v>
      </c>
      <c r="N384" s="133">
        <v>0</v>
      </c>
      <c r="P384" s="133">
        <v>0</v>
      </c>
      <c r="Q384" s="133">
        <v>30</v>
      </c>
      <c r="R384" s="133">
        <v>0</v>
      </c>
      <c r="S384" s="156"/>
    </row>
    <row r="385" spans="1:19">
      <c r="A385" s="133" t="s">
        <v>1180</v>
      </c>
      <c r="B385" s="133" t="s">
        <v>1175</v>
      </c>
      <c r="C385" s="133" t="s">
        <v>1000</v>
      </c>
      <c r="D385" s="133" t="s">
        <v>113</v>
      </c>
      <c r="E385" s="133" t="s">
        <v>114</v>
      </c>
      <c r="F385" s="133" t="s">
        <v>707</v>
      </c>
      <c r="G385" s="133" t="s">
        <v>715</v>
      </c>
      <c r="H385" s="133">
        <v>4.62</v>
      </c>
      <c r="I385" s="133">
        <v>9.49</v>
      </c>
      <c r="J385" s="133">
        <v>128</v>
      </c>
      <c r="K385" s="133">
        <v>0</v>
      </c>
      <c r="L385" s="133">
        <v>0</v>
      </c>
      <c r="M385" s="133" t="s">
        <v>1096</v>
      </c>
      <c r="N385" s="133">
        <v>0</v>
      </c>
      <c r="P385" s="133">
        <v>0</v>
      </c>
      <c r="Q385" s="133">
        <v>0</v>
      </c>
      <c r="R385" s="133">
        <v>0</v>
      </c>
      <c r="S385" s="156"/>
    </row>
    <row r="386" spans="1:19">
      <c r="A386" s="133" t="s">
        <v>1180</v>
      </c>
      <c r="B386" s="133" t="s">
        <v>1175</v>
      </c>
      <c r="C386" s="133" t="s">
        <v>1000</v>
      </c>
      <c r="D386" s="133" t="s">
        <v>115</v>
      </c>
      <c r="E386" s="133" t="s">
        <v>116</v>
      </c>
      <c r="F386" s="133" t="s">
        <v>707</v>
      </c>
      <c r="G386" s="133" t="s">
        <v>715</v>
      </c>
      <c r="H386" s="133">
        <v>1.63</v>
      </c>
      <c r="I386" s="133">
        <v>3.69</v>
      </c>
      <c r="J386" s="133">
        <v>141</v>
      </c>
      <c r="K386" s="133">
        <v>0</v>
      </c>
      <c r="L386" s="133">
        <v>0</v>
      </c>
      <c r="M386" s="133" t="s">
        <v>1096</v>
      </c>
      <c r="N386" s="133">
        <v>0</v>
      </c>
      <c r="P386" s="133">
        <v>0</v>
      </c>
      <c r="Q386" s="133">
        <v>0</v>
      </c>
      <c r="R386" s="133">
        <v>0</v>
      </c>
      <c r="S386" s="156"/>
    </row>
    <row r="387" spans="1:19">
      <c r="A387" s="133" t="s">
        <v>1180</v>
      </c>
      <c r="B387" s="133" t="s">
        <v>1175</v>
      </c>
      <c r="C387" s="133" t="s">
        <v>1000</v>
      </c>
      <c r="D387" s="133" t="s">
        <v>117</v>
      </c>
      <c r="E387" s="133" t="s">
        <v>118</v>
      </c>
      <c r="F387" s="133" t="s">
        <v>707</v>
      </c>
      <c r="G387" s="133" t="s">
        <v>727</v>
      </c>
      <c r="H387" s="133">
        <v>3.09</v>
      </c>
      <c r="I387" s="133">
        <v>6.69</v>
      </c>
      <c r="J387" s="133">
        <v>69</v>
      </c>
      <c r="K387" s="133">
        <v>0</v>
      </c>
      <c r="L387" s="133">
        <v>0</v>
      </c>
      <c r="M387" s="133" t="s">
        <v>1096</v>
      </c>
      <c r="N387" s="133">
        <v>0</v>
      </c>
      <c r="P387" s="133">
        <v>0</v>
      </c>
      <c r="Q387" s="133">
        <v>0</v>
      </c>
      <c r="R387" s="133">
        <v>0</v>
      </c>
      <c r="S387" s="156"/>
    </row>
    <row r="388" spans="1:19">
      <c r="A388" s="133" t="s">
        <v>1180</v>
      </c>
      <c r="B388" s="133" t="s">
        <v>1175</v>
      </c>
      <c r="C388" s="133" t="s">
        <v>1000</v>
      </c>
      <c r="D388" s="133" t="s">
        <v>119</v>
      </c>
      <c r="E388" s="133" t="s">
        <v>120</v>
      </c>
      <c r="F388" s="133" t="s">
        <v>707</v>
      </c>
      <c r="G388" s="133" t="s">
        <v>715</v>
      </c>
      <c r="H388" s="133">
        <v>1.93</v>
      </c>
      <c r="I388" s="133">
        <v>5.49</v>
      </c>
      <c r="J388" s="133">
        <v>291</v>
      </c>
      <c r="K388" s="133">
        <v>0</v>
      </c>
      <c r="L388" s="133">
        <v>8</v>
      </c>
      <c r="M388" s="133" t="s">
        <v>1096</v>
      </c>
      <c r="N388" s="133">
        <v>0</v>
      </c>
      <c r="P388" s="133">
        <v>0</v>
      </c>
      <c r="Q388" s="133">
        <v>8</v>
      </c>
      <c r="R388" s="133">
        <v>0</v>
      </c>
      <c r="S388" s="156"/>
    </row>
    <row r="389" spans="1:19">
      <c r="A389" s="133" t="s">
        <v>1180</v>
      </c>
      <c r="B389" s="133" t="s">
        <v>1175</v>
      </c>
      <c r="C389" s="133" t="s">
        <v>1000</v>
      </c>
      <c r="D389" s="133" t="s">
        <v>121</v>
      </c>
      <c r="E389" s="133" t="s">
        <v>122</v>
      </c>
      <c r="F389" s="133" t="s">
        <v>707</v>
      </c>
      <c r="G389" s="133" t="s">
        <v>715</v>
      </c>
      <c r="H389" s="133">
        <v>1.38</v>
      </c>
      <c r="I389" s="133">
        <v>2.79</v>
      </c>
      <c r="J389" s="133">
        <v>2</v>
      </c>
      <c r="K389" s="133">
        <v>0</v>
      </c>
      <c r="L389" s="133">
        <v>0</v>
      </c>
      <c r="M389" s="133" t="s">
        <v>1096</v>
      </c>
      <c r="N389" s="133">
        <v>0</v>
      </c>
      <c r="P389" s="133">
        <v>0</v>
      </c>
      <c r="Q389" s="133">
        <v>0</v>
      </c>
      <c r="R389" s="133">
        <v>0</v>
      </c>
      <c r="S389" s="156"/>
    </row>
    <row r="390" spans="1:19">
      <c r="A390" s="133" t="s">
        <v>1180</v>
      </c>
      <c r="B390" s="133" t="s">
        <v>1175</v>
      </c>
      <c r="C390" s="133" t="s">
        <v>1000</v>
      </c>
      <c r="D390" s="133" t="s">
        <v>123</v>
      </c>
      <c r="E390" s="133" t="s">
        <v>124</v>
      </c>
      <c r="F390" s="133" t="s">
        <v>707</v>
      </c>
      <c r="G390" s="133" t="s">
        <v>715</v>
      </c>
      <c r="H390" s="133">
        <v>7.04</v>
      </c>
      <c r="I390" s="133">
        <v>16.989999999999998</v>
      </c>
      <c r="J390" s="133">
        <v>0</v>
      </c>
      <c r="K390" s="133">
        <v>0</v>
      </c>
      <c r="L390" s="133">
        <v>0</v>
      </c>
      <c r="M390" s="133" t="s">
        <v>1096</v>
      </c>
      <c r="N390" s="133">
        <v>0</v>
      </c>
      <c r="P390" s="133">
        <v>0</v>
      </c>
      <c r="Q390" s="133">
        <v>0</v>
      </c>
      <c r="R390" s="133">
        <v>0</v>
      </c>
      <c r="S390" s="156"/>
    </row>
    <row r="391" spans="1:19">
      <c r="A391" s="133" t="s">
        <v>1180</v>
      </c>
      <c r="B391" s="133" t="s">
        <v>1175</v>
      </c>
      <c r="C391" s="133" t="s">
        <v>1000</v>
      </c>
      <c r="D391" s="133" t="s">
        <v>125</v>
      </c>
      <c r="E391" s="133" t="s">
        <v>126</v>
      </c>
      <c r="F391" s="133" t="s">
        <v>707</v>
      </c>
      <c r="G391" s="133" t="s">
        <v>715</v>
      </c>
      <c r="H391" s="133">
        <v>2.54</v>
      </c>
      <c r="I391" s="133">
        <v>4.99</v>
      </c>
      <c r="J391" s="133">
        <v>68</v>
      </c>
      <c r="K391" s="133">
        <v>0</v>
      </c>
      <c r="L391" s="133">
        <v>0</v>
      </c>
      <c r="M391" s="133" t="s">
        <v>1096</v>
      </c>
      <c r="N391" s="133">
        <v>0</v>
      </c>
      <c r="P391" s="133">
        <v>0</v>
      </c>
      <c r="Q391" s="133">
        <v>0</v>
      </c>
      <c r="R391" s="133">
        <v>0</v>
      </c>
      <c r="S391" s="156"/>
    </row>
    <row r="392" spans="1:19">
      <c r="A392" s="133" t="s">
        <v>1180</v>
      </c>
      <c r="B392" s="133" t="s">
        <v>1175</v>
      </c>
      <c r="C392" s="133" t="s">
        <v>1000</v>
      </c>
      <c r="D392" s="133" t="s">
        <v>130</v>
      </c>
      <c r="E392" s="133" t="s">
        <v>131</v>
      </c>
      <c r="F392" s="133" t="s">
        <v>707</v>
      </c>
      <c r="G392" s="133" t="s">
        <v>715</v>
      </c>
      <c r="H392" s="133">
        <v>1.64</v>
      </c>
      <c r="I392" s="133">
        <v>4.25</v>
      </c>
      <c r="J392" s="133">
        <v>534</v>
      </c>
      <c r="K392" s="133">
        <v>200</v>
      </c>
      <c r="L392" s="133">
        <v>55</v>
      </c>
      <c r="M392" s="133" t="s">
        <v>996</v>
      </c>
      <c r="N392" s="133">
        <v>0</v>
      </c>
      <c r="P392" s="133">
        <v>0</v>
      </c>
      <c r="Q392" s="133">
        <v>55</v>
      </c>
      <c r="R392" s="133">
        <v>145</v>
      </c>
      <c r="S392" s="156">
        <v>0.72499999999999998</v>
      </c>
    </row>
    <row r="393" spans="1:19">
      <c r="A393" s="133" t="s">
        <v>1180</v>
      </c>
      <c r="B393" s="133" t="s">
        <v>1175</v>
      </c>
      <c r="C393" s="133" t="s">
        <v>1000</v>
      </c>
      <c r="D393" s="133" t="s">
        <v>132</v>
      </c>
      <c r="E393" s="133" t="s">
        <v>133</v>
      </c>
      <c r="F393" s="133" t="s">
        <v>707</v>
      </c>
      <c r="G393" s="133" t="s">
        <v>715</v>
      </c>
      <c r="H393" s="133">
        <v>12.43</v>
      </c>
      <c r="I393" s="133">
        <v>26.99</v>
      </c>
      <c r="J393" s="133">
        <v>115</v>
      </c>
      <c r="K393" s="133">
        <v>0</v>
      </c>
      <c r="L393" s="133">
        <v>0</v>
      </c>
      <c r="M393" s="133" t="s">
        <v>1096</v>
      </c>
      <c r="N393" s="133">
        <v>0</v>
      </c>
      <c r="P393" s="133">
        <v>0</v>
      </c>
      <c r="Q393" s="133">
        <v>0</v>
      </c>
      <c r="R393" s="133">
        <v>0</v>
      </c>
      <c r="S393" s="156"/>
    </row>
    <row r="394" spans="1:19">
      <c r="A394" s="133" t="s">
        <v>1180</v>
      </c>
      <c r="B394" s="133" t="s">
        <v>1175</v>
      </c>
      <c r="C394" s="133" t="s">
        <v>1000</v>
      </c>
      <c r="D394" s="133" t="s">
        <v>134</v>
      </c>
      <c r="E394" s="133" t="s">
        <v>135</v>
      </c>
      <c r="F394" s="133" t="s">
        <v>707</v>
      </c>
      <c r="G394" s="133" t="s">
        <v>715</v>
      </c>
      <c r="H394" s="133">
        <v>3.47</v>
      </c>
      <c r="I394" s="133">
        <v>7.59</v>
      </c>
      <c r="J394" s="133">
        <v>316</v>
      </c>
      <c r="K394" s="133">
        <v>0</v>
      </c>
      <c r="L394" s="133">
        <v>0</v>
      </c>
      <c r="M394" s="133" t="s">
        <v>1096</v>
      </c>
      <c r="N394" s="133">
        <v>0</v>
      </c>
      <c r="P394" s="133">
        <v>0</v>
      </c>
      <c r="Q394" s="133">
        <v>0</v>
      </c>
      <c r="R394" s="133">
        <v>0</v>
      </c>
      <c r="S394" s="156"/>
    </row>
    <row r="395" spans="1:19">
      <c r="A395" s="133" t="s">
        <v>1180</v>
      </c>
      <c r="B395" s="133" t="s">
        <v>1175</v>
      </c>
      <c r="C395" s="133" t="s">
        <v>1000</v>
      </c>
      <c r="D395" s="133" t="s">
        <v>138</v>
      </c>
      <c r="E395" s="133" t="s">
        <v>139</v>
      </c>
      <c r="F395" s="133" t="s">
        <v>707</v>
      </c>
      <c r="G395" s="133" t="s">
        <v>732</v>
      </c>
      <c r="H395" s="133">
        <v>15.11</v>
      </c>
      <c r="I395" s="133">
        <v>25</v>
      </c>
      <c r="J395" s="133">
        <v>0</v>
      </c>
      <c r="K395" s="133">
        <v>0</v>
      </c>
      <c r="L395" s="133">
        <v>0</v>
      </c>
      <c r="M395" s="133" t="s">
        <v>1096</v>
      </c>
      <c r="N395" s="133">
        <v>0</v>
      </c>
      <c r="P395" s="133">
        <v>0</v>
      </c>
      <c r="Q395" s="133">
        <v>0</v>
      </c>
      <c r="R395" s="133">
        <v>0</v>
      </c>
      <c r="S395" s="156"/>
    </row>
    <row r="396" spans="1:19">
      <c r="A396" s="133" t="s">
        <v>1180</v>
      </c>
      <c r="B396" s="133" t="s">
        <v>1175</v>
      </c>
      <c r="C396" s="133" t="s">
        <v>1000</v>
      </c>
      <c r="D396" s="133" t="s">
        <v>140</v>
      </c>
      <c r="E396" s="133" t="s">
        <v>141</v>
      </c>
      <c r="F396" s="133" t="s">
        <v>707</v>
      </c>
      <c r="G396" s="133" t="s">
        <v>732</v>
      </c>
      <c r="H396" s="133">
        <v>267</v>
      </c>
      <c r="I396" s="133">
        <v>372</v>
      </c>
      <c r="J396" s="133">
        <v>3</v>
      </c>
      <c r="K396" s="133">
        <v>0</v>
      </c>
      <c r="L396" s="133">
        <v>0</v>
      </c>
      <c r="M396" s="133" t="s">
        <v>1096</v>
      </c>
      <c r="N396" s="133">
        <v>0</v>
      </c>
      <c r="P396" s="133">
        <v>0</v>
      </c>
      <c r="Q396" s="133">
        <v>0</v>
      </c>
      <c r="R396" s="133">
        <v>0</v>
      </c>
      <c r="S396" s="156"/>
    </row>
    <row r="397" spans="1:19">
      <c r="A397" s="133" t="s">
        <v>1180</v>
      </c>
      <c r="B397" s="133" t="s">
        <v>1175</v>
      </c>
      <c r="C397" s="133" t="s">
        <v>1000</v>
      </c>
      <c r="D397" s="133" t="s">
        <v>142</v>
      </c>
      <c r="E397" s="133" t="s">
        <v>143</v>
      </c>
      <c r="F397" s="133" t="s">
        <v>709</v>
      </c>
      <c r="G397" s="133" t="s">
        <v>719</v>
      </c>
      <c r="H397" s="133">
        <v>0.91</v>
      </c>
      <c r="I397" s="133">
        <v>3.2</v>
      </c>
      <c r="J397" s="133">
        <v>38</v>
      </c>
      <c r="K397" s="133">
        <v>230</v>
      </c>
      <c r="L397" s="133">
        <v>66</v>
      </c>
      <c r="M397" s="133" t="s">
        <v>996</v>
      </c>
      <c r="N397" s="133">
        <v>0</v>
      </c>
      <c r="P397" s="133">
        <v>0</v>
      </c>
      <c r="Q397" s="133">
        <v>66</v>
      </c>
      <c r="R397" s="133">
        <v>164</v>
      </c>
      <c r="S397" s="156">
        <v>0.71304347826086956</v>
      </c>
    </row>
    <row r="398" spans="1:19">
      <c r="A398" s="133" t="s">
        <v>1180</v>
      </c>
      <c r="B398" s="133" t="s">
        <v>1175</v>
      </c>
      <c r="C398" s="133" t="s">
        <v>1000</v>
      </c>
      <c r="D398" s="133" t="s">
        <v>144</v>
      </c>
      <c r="E398" s="133" t="s">
        <v>145</v>
      </c>
      <c r="F398" s="133" t="s">
        <v>709</v>
      </c>
      <c r="G398" s="133" t="s">
        <v>719</v>
      </c>
      <c r="H398" s="133">
        <v>2.79</v>
      </c>
      <c r="I398" s="133">
        <v>6.69</v>
      </c>
      <c r="J398" s="133">
        <v>335</v>
      </c>
      <c r="K398" s="133">
        <v>0</v>
      </c>
      <c r="L398" s="133">
        <v>0</v>
      </c>
      <c r="M398" s="133" t="s">
        <v>1096</v>
      </c>
      <c r="N398" s="133">
        <v>0</v>
      </c>
      <c r="P398" s="133">
        <v>0</v>
      </c>
      <c r="Q398" s="133">
        <v>0</v>
      </c>
      <c r="R398" s="133">
        <v>0</v>
      </c>
      <c r="S398" s="156"/>
    </row>
    <row r="399" spans="1:19">
      <c r="A399" s="133" t="s">
        <v>1180</v>
      </c>
      <c r="B399" s="133" t="s">
        <v>1175</v>
      </c>
      <c r="C399" s="133" t="s">
        <v>1000</v>
      </c>
      <c r="D399" s="133" t="s">
        <v>146</v>
      </c>
      <c r="E399" s="133" t="s">
        <v>147</v>
      </c>
      <c r="F399" s="133" t="s">
        <v>709</v>
      </c>
      <c r="G399" s="133" t="s">
        <v>719</v>
      </c>
      <c r="H399" s="133">
        <v>4.42</v>
      </c>
      <c r="I399" s="133">
        <v>12.39</v>
      </c>
      <c r="J399" s="133">
        <v>41</v>
      </c>
      <c r="K399" s="133">
        <v>0</v>
      </c>
      <c r="L399" s="133">
        <v>0</v>
      </c>
      <c r="M399" s="133" t="s">
        <v>1096</v>
      </c>
      <c r="N399" s="133">
        <v>0</v>
      </c>
      <c r="P399" s="133">
        <v>0</v>
      </c>
      <c r="Q399" s="133">
        <v>0</v>
      </c>
      <c r="R399" s="133">
        <v>0</v>
      </c>
      <c r="S399" s="156"/>
    </row>
    <row r="400" spans="1:19">
      <c r="A400" s="133" t="s">
        <v>1180</v>
      </c>
      <c r="B400" s="133" t="s">
        <v>1175</v>
      </c>
      <c r="C400" s="133" t="s">
        <v>1000</v>
      </c>
      <c r="D400" s="133" t="s">
        <v>148</v>
      </c>
      <c r="E400" s="133" t="s">
        <v>149</v>
      </c>
      <c r="F400" s="133" t="s">
        <v>709</v>
      </c>
      <c r="G400" s="133" t="s">
        <v>719</v>
      </c>
      <c r="H400" s="133">
        <v>11.54</v>
      </c>
      <c r="I400" s="133">
        <v>23.9</v>
      </c>
      <c r="J400" s="133">
        <v>200</v>
      </c>
      <c r="K400" s="133">
        <v>0</v>
      </c>
      <c r="L400" s="133">
        <v>0</v>
      </c>
      <c r="M400" s="133" t="s">
        <v>1096</v>
      </c>
      <c r="N400" s="133">
        <v>0</v>
      </c>
      <c r="P400" s="133">
        <v>0</v>
      </c>
      <c r="Q400" s="133">
        <v>0</v>
      </c>
      <c r="R400" s="133">
        <v>0</v>
      </c>
      <c r="S400" s="156"/>
    </row>
    <row r="401" spans="1:19">
      <c r="A401" s="133" t="s">
        <v>1180</v>
      </c>
      <c r="B401" s="133" t="s">
        <v>1175</v>
      </c>
      <c r="C401" s="133" t="s">
        <v>1000</v>
      </c>
      <c r="D401" s="133" t="s">
        <v>150</v>
      </c>
      <c r="E401" s="133" t="s">
        <v>151</v>
      </c>
      <c r="F401" s="133" t="s">
        <v>709</v>
      </c>
      <c r="G401" s="133" t="s">
        <v>719</v>
      </c>
      <c r="H401" s="133">
        <v>10.83</v>
      </c>
      <c r="I401" s="133">
        <v>16.5</v>
      </c>
      <c r="J401" s="133">
        <v>0</v>
      </c>
      <c r="K401" s="133">
        <v>0</v>
      </c>
      <c r="L401" s="133">
        <v>0</v>
      </c>
      <c r="M401" s="133" t="s">
        <v>1096</v>
      </c>
      <c r="N401" s="133">
        <v>0</v>
      </c>
      <c r="P401" s="133">
        <v>0</v>
      </c>
      <c r="Q401" s="133">
        <v>0</v>
      </c>
      <c r="R401" s="133">
        <v>0</v>
      </c>
      <c r="S401" s="156"/>
    </row>
    <row r="402" spans="1:19">
      <c r="A402" s="133" t="s">
        <v>1180</v>
      </c>
      <c r="B402" s="133" t="s">
        <v>1175</v>
      </c>
      <c r="C402" s="133" t="s">
        <v>1000</v>
      </c>
      <c r="D402" s="133" t="s">
        <v>152</v>
      </c>
      <c r="E402" s="133" t="s">
        <v>153</v>
      </c>
      <c r="F402" s="133" t="s">
        <v>709</v>
      </c>
      <c r="G402" s="133" t="s">
        <v>719</v>
      </c>
      <c r="H402" s="133">
        <v>23.65</v>
      </c>
      <c r="I402" s="133">
        <v>33</v>
      </c>
      <c r="J402" s="133">
        <v>0</v>
      </c>
      <c r="K402" s="133">
        <v>0</v>
      </c>
      <c r="L402" s="133">
        <v>0</v>
      </c>
      <c r="M402" s="133" t="s">
        <v>1096</v>
      </c>
      <c r="N402" s="133">
        <v>0</v>
      </c>
      <c r="P402" s="133">
        <v>0</v>
      </c>
      <c r="Q402" s="133">
        <v>0</v>
      </c>
      <c r="R402" s="133">
        <v>0</v>
      </c>
      <c r="S402" s="156"/>
    </row>
    <row r="403" spans="1:19">
      <c r="A403" s="133" t="s">
        <v>1180</v>
      </c>
      <c r="B403" s="133" t="s">
        <v>1175</v>
      </c>
      <c r="C403" s="133" t="s">
        <v>1000</v>
      </c>
      <c r="D403" s="133" t="s">
        <v>836</v>
      </c>
      <c r="E403" s="133" t="s">
        <v>1178</v>
      </c>
      <c r="F403" s="133" t="s">
        <v>712</v>
      </c>
      <c r="G403" s="133" t="s">
        <v>720</v>
      </c>
      <c r="H403" s="133">
        <v>209.42</v>
      </c>
      <c r="I403" s="133">
        <v>0</v>
      </c>
      <c r="J403" s="133">
        <v>0</v>
      </c>
      <c r="K403" s="133">
        <v>0</v>
      </c>
      <c r="L403" s="133">
        <v>0</v>
      </c>
      <c r="M403" s="133" t="s">
        <v>1096</v>
      </c>
      <c r="N403" s="133">
        <v>0</v>
      </c>
      <c r="P403" s="133">
        <v>0</v>
      </c>
      <c r="Q403" s="133">
        <v>0</v>
      </c>
      <c r="R403" s="133">
        <v>0</v>
      </c>
      <c r="S403" s="156"/>
    </row>
    <row r="404" spans="1:19">
      <c r="A404" s="133" t="s">
        <v>1180</v>
      </c>
      <c r="B404" s="133" t="s">
        <v>1175</v>
      </c>
      <c r="C404" s="133" t="s">
        <v>1000</v>
      </c>
      <c r="D404" s="133" t="s">
        <v>736</v>
      </c>
      <c r="E404" s="133" t="s">
        <v>765</v>
      </c>
      <c r="F404" s="133" t="s">
        <v>712</v>
      </c>
      <c r="G404" s="133" t="s">
        <v>732</v>
      </c>
      <c r="H404" s="133">
        <v>2.89</v>
      </c>
      <c r="I404" s="133">
        <v>5.2</v>
      </c>
      <c r="J404" s="133">
        <v>0</v>
      </c>
      <c r="K404" s="133">
        <v>0</v>
      </c>
      <c r="L404" s="133">
        <v>0</v>
      </c>
      <c r="M404" s="133" t="s">
        <v>1096</v>
      </c>
      <c r="N404" s="133">
        <v>0</v>
      </c>
      <c r="P404" s="133">
        <v>0</v>
      </c>
      <c r="Q404" s="133">
        <v>0</v>
      </c>
      <c r="R404" s="133">
        <v>0</v>
      </c>
      <c r="S404" s="156"/>
    </row>
    <row r="405" spans="1:19">
      <c r="A405" s="133" t="s">
        <v>1180</v>
      </c>
      <c r="B405" s="133" t="s">
        <v>1175</v>
      </c>
      <c r="C405" s="133" t="s">
        <v>1000</v>
      </c>
      <c r="D405" s="133" t="s">
        <v>738</v>
      </c>
      <c r="E405" s="133" t="s">
        <v>762</v>
      </c>
      <c r="F405" s="133" t="s">
        <v>712</v>
      </c>
      <c r="G405" s="133" t="s">
        <v>732</v>
      </c>
      <c r="H405" s="133">
        <v>519.35</v>
      </c>
      <c r="I405" s="133">
        <v>840</v>
      </c>
      <c r="J405" s="133">
        <v>8</v>
      </c>
      <c r="K405" s="133">
        <v>0</v>
      </c>
      <c r="L405" s="133">
        <v>0</v>
      </c>
      <c r="M405" s="133" t="s">
        <v>1096</v>
      </c>
      <c r="N405" s="133">
        <v>0</v>
      </c>
      <c r="P405" s="133">
        <v>0</v>
      </c>
      <c r="Q405" s="133">
        <v>0</v>
      </c>
      <c r="R405" s="133">
        <v>0</v>
      </c>
      <c r="S405" s="156"/>
    </row>
    <row r="406" spans="1:19">
      <c r="A406" s="133" t="s">
        <v>1180</v>
      </c>
      <c r="B406" s="133" t="s">
        <v>1175</v>
      </c>
      <c r="C406" s="133" t="s">
        <v>1000</v>
      </c>
      <c r="D406" s="133" t="s">
        <v>737</v>
      </c>
      <c r="E406" s="133" t="s">
        <v>763</v>
      </c>
      <c r="F406" s="133" t="s">
        <v>712</v>
      </c>
      <c r="G406" s="133" t="s">
        <v>732</v>
      </c>
      <c r="H406" s="133">
        <v>98.3</v>
      </c>
      <c r="I406" s="133">
        <v>171</v>
      </c>
      <c r="J406" s="133">
        <v>12</v>
      </c>
      <c r="K406" s="133">
        <v>0</v>
      </c>
      <c r="L406" s="133">
        <v>0</v>
      </c>
      <c r="M406" s="133" t="s">
        <v>1096</v>
      </c>
      <c r="N406" s="133">
        <v>0</v>
      </c>
      <c r="P406" s="133">
        <v>0</v>
      </c>
      <c r="Q406" s="133">
        <v>0</v>
      </c>
      <c r="R406" s="133">
        <v>0</v>
      </c>
      <c r="S406" s="156"/>
    </row>
    <row r="407" spans="1:19">
      <c r="A407" s="133" t="s">
        <v>1180</v>
      </c>
      <c r="B407" s="133" t="s">
        <v>1175</v>
      </c>
      <c r="C407" s="133" t="s">
        <v>1000</v>
      </c>
      <c r="D407" s="133" t="s">
        <v>742</v>
      </c>
      <c r="E407" s="133" t="s">
        <v>764</v>
      </c>
      <c r="F407" s="133" t="s">
        <v>712</v>
      </c>
      <c r="G407" s="133" t="s">
        <v>732</v>
      </c>
      <c r="H407" s="133">
        <v>26.65</v>
      </c>
      <c r="I407" s="133">
        <v>49.8</v>
      </c>
      <c r="J407" s="133">
        <v>159</v>
      </c>
      <c r="K407" s="133">
        <v>0</v>
      </c>
      <c r="L407" s="133">
        <v>20</v>
      </c>
      <c r="M407" s="133" t="s">
        <v>1096</v>
      </c>
      <c r="N407" s="133">
        <v>0</v>
      </c>
      <c r="P407" s="133">
        <v>0</v>
      </c>
      <c r="Q407" s="133">
        <v>20</v>
      </c>
      <c r="R407" s="133">
        <v>0</v>
      </c>
      <c r="S407" s="156"/>
    </row>
    <row r="408" spans="1:19">
      <c r="A408" s="133" t="s">
        <v>1180</v>
      </c>
      <c r="B408" s="133" t="s">
        <v>1175</v>
      </c>
      <c r="C408" s="133" t="s">
        <v>1000</v>
      </c>
      <c r="D408" s="133" t="s">
        <v>162</v>
      </c>
      <c r="E408" s="133" t="s">
        <v>163</v>
      </c>
      <c r="F408" s="133" t="s">
        <v>712</v>
      </c>
      <c r="G408" s="133" t="s">
        <v>715</v>
      </c>
      <c r="H408" s="133">
        <v>1.87</v>
      </c>
      <c r="I408" s="133">
        <v>5.7</v>
      </c>
      <c r="J408" s="133">
        <v>2</v>
      </c>
      <c r="K408" s="133">
        <v>150</v>
      </c>
      <c r="L408" s="133">
        <v>40</v>
      </c>
      <c r="M408" s="133" t="s">
        <v>996</v>
      </c>
      <c r="N408" s="133">
        <v>0</v>
      </c>
      <c r="P408" s="133">
        <v>0</v>
      </c>
      <c r="Q408" s="133">
        <v>40</v>
      </c>
      <c r="R408" s="133">
        <v>110</v>
      </c>
      <c r="S408" s="156">
        <v>0.73333333333333328</v>
      </c>
    </row>
    <row r="409" spans="1:19">
      <c r="A409" s="133" t="s">
        <v>1180</v>
      </c>
      <c r="B409" s="133" t="s">
        <v>1175</v>
      </c>
      <c r="C409" s="133" t="s">
        <v>1000</v>
      </c>
      <c r="D409" s="133" t="s">
        <v>164</v>
      </c>
      <c r="E409" s="133" t="s">
        <v>165</v>
      </c>
      <c r="F409" s="133" t="s">
        <v>712</v>
      </c>
      <c r="G409" s="133" t="s">
        <v>715</v>
      </c>
      <c r="H409" s="133">
        <v>3.58</v>
      </c>
      <c r="I409" s="133">
        <v>10.69</v>
      </c>
      <c r="J409" s="133">
        <v>62</v>
      </c>
      <c r="K409" s="133">
        <v>0</v>
      </c>
      <c r="L409" s="133">
        <v>0</v>
      </c>
      <c r="M409" s="133" t="s">
        <v>1096</v>
      </c>
      <c r="N409" s="133">
        <v>0</v>
      </c>
      <c r="P409" s="133">
        <v>0</v>
      </c>
      <c r="Q409" s="133">
        <v>0</v>
      </c>
      <c r="R409" s="133">
        <v>0</v>
      </c>
      <c r="S409" s="156"/>
    </row>
    <row r="410" spans="1:19">
      <c r="A410" s="133" t="s">
        <v>1180</v>
      </c>
      <c r="B410" s="133" t="s">
        <v>1175</v>
      </c>
      <c r="C410" s="133" t="s">
        <v>1000</v>
      </c>
      <c r="D410" s="133" t="s">
        <v>166</v>
      </c>
      <c r="E410" s="133" t="s">
        <v>167</v>
      </c>
      <c r="F410" s="133" t="s">
        <v>712</v>
      </c>
      <c r="G410" s="133" t="s">
        <v>715</v>
      </c>
      <c r="H410" s="133">
        <v>6.73</v>
      </c>
      <c r="I410" s="133">
        <v>20.49</v>
      </c>
      <c r="J410" s="133">
        <v>122</v>
      </c>
      <c r="K410" s="133">
        <v>0</v>
      </c>
      <c r="L410" s="133">
        <v>0</v>
      </c>
      <c r="M410" s="133" t="s">
        <v>1096</v>
      </c>
      <c r="N410" s="133">
        <v>0</v>
      </c>
      <c r="P410" s="133">
        <v>0</v>
      </c>
      <c r="Q410" s="133">
        <v>0</v>
      </c>
      <c r="R410" s="133">
        <v>0</v>
      </c>
      <c r="S410" s="156"/>
    </row>
    <row r="411" spans="1:19">
      <c r="A411" s="133" t="s">
        <v>1180</v>
      </c>
      <c r="B411" s="133" t="s">
        <v>1175</v>
      </c>
      <c r="C411" s="133" t="s">
        <v>1000</v>
      </c>
      <c r="D411" s="133" t="s">
        <v>1100</v>
      </c>
      <c r="E411" s="133" t="s">
        <v>1101</v>
      </c>
      <c r="F411" s="133" t="s">
        <v>710</v>
      </c>
      <c r="G411" s="133" t="s">
        <v>718</v>
      </c>
      <c r="H411" s="133">
        <v>0.97</v>
      </c>
      <c r="I411" s="133">
        <v>0</v>
      </c>
      <c r="J411" s="133">
        <v>297</v>
      </c>
      <c r="K411" s="133">
        <v>150</v>
      </c>
      <c r="L411" s="133">
        <v>81</v>
      </c>
      <c r="M411" s="133" t="s">
        <v>714</v>
      </c>
      <c r="N411" s="133">
        <v>0</v>
      </c>
      <c r="P411" s="133">
        <v>0</v>
      </c>
      <c r="Q411" s="133">
        <v>81</v>
      </c>
      <c r="R411" s="133">
        <v>69</v>
      </c>
      <c r="S411" s="156">
        <v>0.46</v>
      </c>
    </row>
    <row r="412" spans="1:19">
      <c r="A412" s="133" t="s">
        <v>1180</v>
      </c>
      <c r="B412" s="133" t="s">
        <v>1175</v>
      </c>
      <c r="C412" s="133" t="s">
        <v>1000</v>
      </c>
      <c r="D412" s="133" t="s">
        <v>852</v>
      </c>
      <c r="E412" s="133" t="s">
        <v>928</v>
      </c>
      <c r="F412" s="133" t="s">
        <v>1181</v>
      </c>
      <c r="G412" s="133" t="s">
        <v>718</v>
      </c>
      <c r="H412" s="133">
        <v>0.74</v>
      </c>
      <c r="I412" s="133">
        <v>0</v>
      </c>
      <c r="J412" s="133">
        <v>279</v>
      </c>
      <c r="K412" s="133">
        <v>200</v>
      </c>
      <c r="L412" s="133">
        <v>81</v>
      </c>
      <c r="M412" s="133" t="s">
        <v>714</v>
      </c>
      <c r="N412" s="133">
        <v>0</v>
      </c>
      <c r="P412" s="133">
        <v>0</v>
      </c>
      <c r="Q412" s="133">
        <v>81</v>
      </c>
      <c r="R412" s="133">
        <v>119</v>
      </c>
      <c r="S412" s="156">
        <v>0.59499999999999997</v>
      </c>
    </row>
    <row r="413" spans="1:19">
      <c r="A413" s="133" t="s">
        <v>1180</v>
      </c>
      <c r="B413" s="133" t="s">
        <v>1175</v>
      </c>
      <c r="C413" s="133" t="s">
        <v>1000</v>
      </c>
      <c r="D413" s="133" t="s">
        <v>1097</v>
      </c>
      <c r="E413" s="133" t="s">
        <v>1098</v>
      </c>
      <c r="F413" s="133" t="s">
        <v>710</v>
      </c>
      <c r="G413" s="133" t="s">
        <v>1190</v>
      </c>
      <c r="H413" s="133">
        <v>0.97</v>
      </c>
      <c r="I413" s="133">
        <v>0</v>
      </c>
      <c r="J413" s="133">
        <v>286</v>
      </c>
      <c r="K413" s="133">
        <v>150</v>
      </c>
      <c r="L413" s="133">
        <v>32</v>
      </c>
      <c r="M413" s="133" t="s">
        <v>996</v>
      </c>
      <c r="N413" s="133">
        <v>0</v>
      </c>
      <c r="P413" s="133">
        <v>0</v>
      </c>
      <c r="Q413" s="133">
        <v>32</v>
      </c>
      <c r="R413" s="133">
        <v>118</v>
      </c>
      <c r="S413" s="156">
        <v>0.78666666666666663</v>
      </c>
    </row>
    <row r="414" spans="1:19">
      <c r="A414" s="133" t="s">
        <v>1180</v>
      </c>
      <c r="B414" s="133" t="s">
        <v>1175</v>
      </c>
      <c r="C414" s="133" t="s">
        <v>1000</v>
      </c>
      <c r="D414" s="133" t="s">
        <v>829</v>
      </c>
      <c r="E414" s="133" t="s">
        <v>888</v>
      </c>
      <c r="F414" s="133" t="s">
        <v>1181</v>
      </c>
      <c r="G414" s="133" t="s">
        <v>718</v>
      </c>
      <c r="H414" s="133">
        <v>0.88</v>
      </c>
      <c r="I414" s="133">
        <v>0</v>
      </c>
      <c r="J414" s="133">
        <v>527</v>
      </c>
      <c r="K414" s="133">
        <v>200</v>
      </c>
      <c r="L414" s="133">
        <v>200</v>
      </c>
      <c r="M414" s="133" t="s">
        <v>998</v>
      </c>
      <c r="N414" s="133">
        <v>0</v>
      </c>
      <c r="P414" s="133">
        <v>0</v>
      </c>
      <c r="Q414" s="133">
        <v>200</v>
      </c>
      <c r="R414" s="133">
        <v>0</v>
      </c>
      <c r="S414" s="156">
        <v>0</v>
      </c>
    </row>
    <row r="415" spans="1:19">
      <c r="A415" s="133" t="s">
        <v>1180</v>
      </c>
      <c r="B415" s="133" t="s">
        <v>1175</v>
      </c>
      <c r="C415" s="133" t="s">
        <v>1000</v>
      </c>
      <c r="D415" s="133" t="s">
        <v>209</v>
      </c>
      <c r="E415" s="133" t="s">
        <v>210</v>
      </c>
      <c r="F415" s="133" t="s">
        <v>709</v>
      </c>
      <c r="G415" s="133" t="s">
        <v>719</v>
      </c>
      <c r="H415" s="133">
        <v>2.92</v>
      </c>
      <c r="I415" s="133">
        <v>8.9</v>
      </c>
      <c r="J415" s="133">
        <v>0</v>
      </c>
      <c r="K415" s="133">
        <v>0</v>
      </c>
      <c r="L415" s="133">
        <v>0</v>
      </c>
      <c r="M415" s="133" t="s">
        <v>1096</v>
      </c>
      <c r="N415" s="133">
        <v>0</v>
      </c>
      <c r="P415" s="133">
        <v>0</v>
      </c>
      <c r="Q415" s="133">
        <v>0</v>
      </c>
      <c r="R415" s="133">
        <v>0</v>
      </c>
      <c r="S415" s="156"/>
    </row>
    <row r="416" spans="1:19">
      <c r="A416" s="133" t="s">
        <v>1180</v>
      </c>
      <c r="B416" s="133" t="s">
        <v>1175</v>
      </c>
      <c r="C416" s="133" t="s">
        <v>1000</v>
      </c>
      <c r="D416" s="133" t="s">
        <v>211</v>
      </c>
      <c r="E416" s="133" t="s">
        <v>212</v>
      </c>
      <c r="F416" s="133" t="s">
        <v>709</v>
      </c>
      <c r="G416" s="133" t="s">
        <v>719</v>
      </c>
      <c r="H416" s="133">
        <v>2.79</v>
      </c>
      <c r="I416" s="133">
        <v>8.9</v>
      </c>
      <c r="J416" s="133">
        <v>1122</v>
      </c>
      <c r="K416" s="133">
        <v>0</v>
      </c>
      <c r="L416" s="133">
        <v>0</v>
      </c>
      <c r="M416" s="133" t="s">
        <v>1096</v>
      </c>
      <c r="N416" s="133">
        <v>0</v>
      </c>
      <c r="P416" s="133">
        <v>0</v>
      </c>
      <c r="Q416" s="133">
        <v>0</v>
      </c>
      <c r="R416" s="133">
        <v>0</v>
      </c>
      <c r="S416" s="156"/>
    </row>
    <row r="417" spans="1:19">
      <c r="A417" s="133" t="s">
        <v>1180</v>
      </c>
      <c r="B417" s="133" t="s">
        <v>1175</v>
      </c>
      <c r="C417" s="133" t="s">
        <v>1000</v>
      </c>
      <c r="D417" s="133" t="s">
        <v>215</v>
      </c>
      <c r="E417" s="133" t="s">
        <v>216</v>
      </c>
      <c r="F417" s="133" t="s">
        <v>709</v>
      </c>
      <c r="G417" s="133" t="s">
        <v>719</v>
      </c>
      <c r="H417" s="133">
        <v>12.92</v>
      </c>
      <c r="I417" s="133">
        <v>42</v>
      </c>
      <c r="J417" s="133">
        <v>0</v>
      </c>
      <c r="K417" s="133">
        <v>0</v>
      </c>
      <c r="L417" s="133">
        <v>0</v>
      </c>
      <c r="M417" s="133" t="s">
        <v>1096</v>
      </c>
      <c r="N417" s="133">
        <v>0</v>
      </c>
      <c r="P417" s="133">
        <v>0</v>
      </c>
      <c r="Q417" s="133">
        <v>0</v>
      </c>
      <c r="R417" s="133">
        <v>0</v>
      </c>
      <c r="S417" s="156"/>
    </row>
    <row r="418" spans="1:19">
      <c r="A418" s="133" t="s">
        <v>1180</v>
      </c>
      <c r="B418" s="133" t="s">
        <v>1175</v>
      </c>
      <c r="C418" s="133" t="s">
        <v>1000</v>
      </c>
      <c r="D418" s="133" t="s">
        <v>217</v>
      </c>
      <c r="E418" s="133" t="s">
        <v>218</v>
      </c>
      <c r="F418" s="133" t="s">
        <v>709</v>
      </c>
      <c r="G418" s="133" t="s">
        <v>719</v>
      </c>
      <c r="H418" s="133">
        <v>2.66</v>
      </c>
      <c r="I418" s="133">
        <v>8.9</v>
      </c>
      <c r="J418" s="133">
        <v>120</v>
      </c>
      <c r="K418" s="133">
        <v>0</v>
      </c>
      <c r="L418" s="133">
        <v>0</v>
      </c>
      <c r="M418" s="133" t="s">
        <v>1096</v>
      </c>
      <c r="N418" s="133">
        <v>0</v>
      </c>
      <c r="P418" s="133">
        <v>0</v>
      </c>
      <c r="Q418" s="133">
        <v>0</v>
      </c>
      <c r="R418" s="133">
        <v>0</v>
      </c>
      <c r="S418" s="156"/>
    </row>
    <row r="419" spans="1:19">
      <c r="A419" s="133" t="s">
        <v>1180</v>
      </c>
      <c r="B419" s="133" t="s">
        <v>1175</v>
      </c>
      <c r="C419" s="133" t="s">
        <v>1000</v>
      </c>
      <c r="D419" s="133" t="s">
        <v>876</v>
      </c>
      <c r="E419" s="133" t="s">
        <v>954</v>
      </c>
      <c r="F419" s="133" t="s">
        <v>707</v>
      </c>
      <c r="G419" s="133" t="s">
        <v>732</v>
      </c>
      <c r="H419" s="133">
        <v>9.81</v>
      </c>
      <c r="I419" s="133">
        <v>15.09</v>
      </c>
      <c r="J419" s="133">
        <v>27</v>
      </c>
      <c r="K419" s="133">
        <v>0</v>
      </c>
      <c r="L419" s="133">
        <v>20</v>
      </c>
      <c r="M419" s="133" t="s">
        <v>1096</v>
      </c>
      <c r="N419" s="133">
        <v>0</v>
      </c>
      <c r="P419" s="133">
        <v>0</v>
      </c>
      <c r="Q419" s="133">
        <v>20</v>
      </c>
      <c r="R419" s="133">
        <v>0</v>
      </c>
      <c r="S419" s="156"/>
    </row>
    <row r="420" spans="1:19">
      <c r="A420" s="133" t="s">
        <v>1180</v>
      </c>
      <c r="B420" s="133" t="s">
        <v>1175</v>
      </c>
      <c r="C420" s="133" t="s">
        <v>1000</v>
      </c>
      <c r="D420" s="133" t="s">
        <v>219</v>
      </c>
      <c r="E420" s="133" t="s">
        <v>220</v>
      </c>
      <c r="F420" s="133" t="s">
        <v>707</v>
      </c>
      <c r="G420" s="133" t="s">
        <v>732</v>
      </c>
      <c r="H420" s="133">
        <v>37.92</v>
      </c>
      <c r="I420" s="133">
        <v>30.9</v>
      </c>
      <c r="J420" s="133">
        <v>53</v>
      </c>
      <c r="K420" s="133">
        <v>0</v>
      </c>
      <c r="L420" s="133">
        <v>0</v>
      </c>
      <c r="M420" s="133" t="s">
        <v>1096</v>
      </c>
      <c r="N420" s="133">
        <v>0</v>
      </c>
      <c r="P420" s="133">
        <v>0</v>
      </c>
      <c r="Q420" s="133">
        <v>0</v>
      </c>
      <c r="R420" s="133">
        <v>0</v>
      </c>
      <c r="S420" s="156"/>
    </row>
    <row r="421" spans="1:19">
      <c r="A421" s="133" t="s">
        <v>1180</v>
      </c>
      <c r="B421" s="133" t="s">
        <v>1175</v>
      </c>
      <c r="C421" s="133" t="s">
        <v>1000</v>
      </c>
      <c r="D421" s="133" t="s">
        <v>227</v>
      </c>
      <c r="E421" s="133" t="s">
        <v>228</v>
      </c>
      <c r="F421" s="133" t="s">
        <v>709</v>
      </c>
      <c r="G421" s="133" t="s">
        <v>719</v>
      </c>
      <c r="H421" s="133">
        <v>1.1499999999999999</v>
      </c>
      <c r="I421" s="133">
        <v>2.44</v>
      </c>
      <c r="J421" s="133">
        <v>275</v>
      </c>
      <c r="K421" s="133">
        <v>0</v>
      </c>
      <c r="L421" s="133">
        <v>0</v>
      </c>
      <c r="M421" s="133" t="s">
        <v>1096</v>
      </c>
      <c r="N421" s="133">
        <v>0</v>
      </c>
      <c r="P421" s="133">
        <v>0</v>
      </c>
      <c r="Q421" s="133">
        <v>0</v>
      </c>
      <c r="R421" s="133">
        <v>0</v>
      </c>
      <c r="S421" s="156"/>
    </row>
    <row r="422" spans="1:19">
      <c r="A422" s="133" t="s">
        <v>1180</v>
      </c>
      <c r="B422" s="133" t="s">
        <v>1175</v>
      </c>
      <c r="C422" s="133" t="s">
        <v>1000</v>
      </c>
      <c r="D422" s="133" t="s">
        <v>229</v>
      </c>
      <c r="E422" s="133" t="s">
        <v>230</v>
      </c>
      <c r="F422" s="133" t="s">
        <v>709</v>
      </c>
      <c r="G422" s="133" t="s">
        <v>719</v>
      </c>
      <c r="H422" s="133">
        <v>2.8</v>
      </c>
      <c r="I422" s="133">
        <v>6.49</v>
      </c>
      <c r="J422" s="133">
        <v>0</v>
      </c>
      <c r="K422" s="133">
        <v>0</v>
      </c>
      <c r="L422" s="133">
        <v>54</v>
      </c>
      <c r="M422" s="133" t="s">
        <v>1096</v>
      </c>
      <c r="N422" s="133">
        <v>0</v>
      </c>
      <c r="P422" s="133">
        <v>0</v>
      </c>
      <c r="Q422" s="133">
        <v>54</v>
      </c>
      <c r="R422" s="133">
        <v>0</v>
      </c>
      <c r="S422" s="156"/>
    </row>
    <row r="423" spans="1:19">
      <c r="A423" s="133" t="s">
        <v>1180</v>
      </c>
      <c r="B423" s="133" t="s">
        <v>1175</v>
      </c>
      <c r="C423" s="133" t="s">
        <v>1000</v>
      </c>
      <c r="D423" s="133" t="s">
        <v>746</v>
      </c>
      <c r="E423" s="133" t="s">
        <v>747</v>
      </c>
      <c r="F423" s="133" t="s">
        <v>709</v>
      </c>
      <c r="G423" s="133" t="s">
        <v>732</v>
      </c>
      <c r="H423" s="133">
        <v>40.32</v>
      </c>
      <c r="I423" s="133">
        <v>62.5</v>
      </c>
      <c r="J423" s="133">
        <v>79</v>
      </c>
      <c r="K423" s="133">
        <v>0</v>
      </c>
      <c r="L423" s="133">
        <v>10</v>
      </c>
      <c r="M423" s="133" t="s">
        <v>1096</v>
      </c>
      <c r="N423" s="133">
        <v>0</v>
      </c>
      <c r="P423" s="133">
        <v>0</v>
      </c>
      <c r="Q423" s="133">
        <v>10</v>
      </c>
      <c r="R423" s="133">
        <v>0</v>
      </c>
      <c r="S423" s="156"/>
    </row>
    <row r="424" spans="1:19">
      <c r="A424" s="133" t="s">
        <v>1180</v>
      </c>
      <c r="B424" s="133" t="s">
        <v>1175</v>
      </c>
      <c r="C424" s="133" t="s">
        <v>1000</v>
      </c>
      <c r="D424" s="133" t="s">
        <v>462</v>
      </c>
      <c r="E424" s="133" t="s">
        <v>463</v>
      </c>
      <c r="F424" s="133" t="s">
        <v>707</v>
      </c>
      <c r="G424" s="133" t="s">
        <v>715</v>
      </c>
      <c r="H424" s="133">
        <v>1.23</v>
      </c>
      <c r="I424" s="133">
        <v>0</v>
      </c>
      <c r="J424" s="133">
        <v>0</v>
      </c>
      <c r="K424" s="133">
        <v>0</v>
      </c>
      <c r="L424" s="133">
        <v>0</v>
      </c>
      <c r="M424" s="133" t="s">
        <v>1096</v>
      </c>
      <c r="N424" s="133">
        <v>0</v>
      </c>
      <c r="P424" s="133">
        <v>0</v>
      </c>
      <c r="Q424" s="133">
        <v>0</v>
      </c>
      <c r="R424" s="133">
        <v>0</v>
      </c>
      <c r="S424" s="156"/>
    </row>
    <row r="425" spans="1:19">
      <c r="A425" s="133" t="s">
        <v>1180</v>
      </c>
      <c r="B425" s="133" t="s">
        <v>1175</v>
      </c>
      <c r="C425" s="133" t="s">
        <v>1000</v>
      </c>
      <c r="D425" s="133" t="s">
        <v>464</v>
      </c>
      <c r="E425" s="133" t="s">
        <v>465</v>
      </c>
      <c r="F425" s="133" t="s">
        <v>707</v>
      </c>
      <c r="G425" s="133" t="s">
        <v>715</v>
      </c>
      <c r="H425" s="133">
        <v>2.19</v>
      </c>
      <c r="I425" s="133">
        <v>0</v>
      </c>
      <c r="J425" s="133">
        <v>0</v>
      </c>
      <c r="K425" s="133">
        <v>0</v>
      </c>
      <c r="L425" s="133">
        <v>0</v>
      </c>
      <c r="M425" s="133" t="s">
        <v>1096</v>
      </c>
      <c r="N425" s="133">
        <v>0</v>
      </c>
      <c r="P425" s="133">
        <v>0</v>
      </c>
      <c r="Q425" s="133">
        <v>0</v>
      </c>
      <c r="R425" s="133">
        <v>0</v>
      </c>
      <c r="S425" s="156"/>
    </row>
    <row r="426" spans="1:19">
      <c r="A426" s="133" t="s">
        <v>1180</v>
      </c>
      <c r="B426" s="133" t="s">
        <v>1175</v>
      </c>
      <c r="C426" s="133" t="s">
        <v>1000</v>
      </c>
      <c r="D426" s="133" t="s">
        <v>466</v>
      </c>
      <c r="E426" s="133" t="s">
        <v>467</v>
      </c>
      <c r="F426" s="133" t="s">
        <v>707</v>
      </c>
      <c r="G426" s="133" t="s">
        <v>715</v>
      </c>
      <c r="H426" s="133">
        <v>4.2699999999999996</v>
      </c>
      <c r="I426" s="133">
        <v>0</v>
      </c>
      <c r="J426" s="133">
        <v>0</v>
      </c>
      <c r="K426" s="133">
        <v>0</v>
      </c>
      <c r="L426" s="133">
        <v>0</v>
      </c>
      <c r="M426" s="133" t="s">
        <v>1096</v>
      </c>
      <c r="N426" s="133">
        <v>0</v>
      </c>
      <c r="P426" s="133">
        <v>0</v>
      </c>
      <c r="Q426" s="133">
        <v>0</v>
      </c>
      <c r="R426" s="133">
        <v>0</v>
      </c>
      <c r="S426" s="156"/>
    </row>
    <row r="427" spans="1:19">
      <c r="A427" s="133" t="s">
        <v>1180</v>
      </c>
      <c r="B427" s="133" t="s">
        <v>1175</v>
      </c>
      <c r="C427" s="133" t="s">
        <v>1000</v>
      </c>
      <c r="D427" s="133" t="s">
        <v>474</v>
      </c>
      <c r="E427" s="133" t="s">
        <v>475</v>
      </c>
      <c r="F427" s="133" t="s">
        <v>709</v>
      </c>
      <c r="G427" s="133" t="s">
        <v>719</v>
      </c>
      <c r="H427" s="133">
        <v>2.68</v>
      </c>
      <c r="I427" s="133">
        <v>8.9</v>
      </c>
      <c r="J427" s="133">
        <v>31</v>
      </c>
      <c r="K427" s="133">
        <v>0</v>
      </c>
      <c r="L427" s="133">
        <v>0</v>
      </c>
      <c r="M427" s="133" t="s">
        <v>1096</v>
      </c>
      <c r="N427" s="133">
        <v>0</v>
      </c>
      <c r="P427" s="133">
        <v>0</v>
      </c>
      <c r="Q427" s="133">
        <v>0</v>
      </c>
      <c r="R427" s="133">
        <v>0</v>
      </c>
      <c r="S427" s="156"/>
    </row>
    <row r="428" spans="1:19">
      <c r="A428" s="133" t="s">
        <v>1180</v>
      </c>
      <c r="B428" s="133" t="s">
        <v>1175</v>
      </c>
      <c r="C428" s="133" t="s">
        <v>1000</v>
      </c>
      <c r="D428" s="133" t="s">
        <v>480</v>
      </c>
      <c r="E428" s="133" t="s">
        <v>832</v>
      </c>
      <c r="F428" s="133" t="s">
        <v>708</v>
      </c>
      <c r="G428" s="133" t="s">
        <v>715</v>
      </c>
      <c r="H428" s="133">
        <v>51.24</v>
      </c>
      <c r="I428" s="133">
        <v>172</v>
      </c>
      <c r="J428" s="133">
        <v>0</v>
      </c>
      <c r="K428" s="133">
        <v>0</v>
      </c>
      <c r="L428" s="133">
        <v>0</v>
      </c>
      <c r="M428" s="133" t="s">
        <v>1096</v>
      </c>
      <c r="N428" s="133">
        <v>0</v>
      </c>
      <c r="P428" s="133">
        <v>0</v>
      </c>
      <c r="Q428" s="133">
        <v>0</v>
      </c>
      <c r="R428" s="133">
        <v>0</v>
      </c>
      <c r="S428" s="156"/>
    </row>
    <row r="429" spans="1:19">
      <c r="A429" s="133" t="s">
        <v>1180</v>
      </c>
      <c r="B429" s="133" t="s">
        <v>1175</v>
      </c>
      <c r="C429" s="133" t="s">
        <v>1000</v>
      </c>
      <c r="D429" s="133" t="s">
        <v>481</v>
      </c>
      <c r="E429" s="133" t="s">
        <v>482</v>
      </c>
      <c r="F429" s="133" t="s">
        <v>708</v>
      </c>
      <c r="G429" s="133" t="s">
        <v>715</v>
      </c>
      <c r="H429" s="133">
        <v>520</v>
      </c>
      <c r="I429" s="133">
        <v>2235.4899999999998</v>
      </c>
      <c r="J429" s="133">
        <v>0</v>
      </c>
      <c r="K429" s="133">
        <v>0</v>
      </c>
      <c r="L429" s="133">
        <v>0</v>
      </c>
      <c r="M429" s="133" t="s">
        <v>1096</v>
      </c>
      <c r="N429" s="133">
        <v>0</v>
      </c>
      <c r="P429" s="133">
        <v>0</v>
      </c>
      <c r="Q429" s="133">
        <v>0</v>
      </c>
      <c r="R429" s="133">
        <v>0</v>
      </c>
      <c r="S429" s="156"/>
    </row>
    <row r="430" spans="1:19">
      <c r="A430" s="133" t="s">
        <v>1180</v>
      </c>
      <c r="B430" s="133" t="s">
        <v>1175</v>
      </c>
      <c r="C430" s="133" t="s">
        <v>1000</v>
      </c>
      <c r="D430" s="133" t="s">
        <v>483</v>
      </c>
      <c r="E430" s="133" t="s">
        <v>484</v>
      </c>
      <c r="F430" s="133" t="s">
        <v>708</v>
      </c>
      <c r="G430" s="133" t="s">
        <v>715</v>
      </c>
      <c r="H430" s="133">
        <v>10.9</v>
      </c>
      <c r="I430" s="133">
        <v>36.369999999999997</v>
      </c>
      <c r="J430" s="133">
        <v>0</v>
      </c>
      <c r="K430" s="133">
        <v>0</v>
      </c>
      <c r="L430" s="133">
        <v>0</v>
      </c>
      <c r="M430" s="133" t="s">
        <v>1096</v>
      </c>
      <c r="N430" s="133">
        <v>0</v>
      </c>
      <c r="P430" s="133">
        <v>0</v>
      </c>
      <c r="Q430" s="133">
        <v>0</v>
      </c>
      <c r="R430" s="133">
        <v>0</v>
      </c>
      <c r="S430" s="156"/>
    </row>
    <row r="431" spans="1:19">
      <c r="A431" s="133" t="s">
        <v>1180</v>
      </c>
      <c r="B431" s="133" t="s">
        <v>1175</v>
      </c>
      <c r="C431" s="133" t="s">
        <v>1000</v>
      </c>
      <c r="D431" s="133" t="s">
        <v>485</v>
      </c>
      <c r="E431" s="133" t="s">
        <v>486</v>
      </c>
      <c r="F431" s="133" t="s">
        <v>708</v>
      </c>
      <c r="G431" s="133" t="s">
        <v>715</v>
      </c>
      <c r="H431" s="133">
        <v>2.83</v>
      </c>
      <c r="I431" s="133">
        <v>9.58</v>
      </c>
      <c r="J431" s="133">
        <v>0</v>
      </c>
      <c r="K431" s="133">
        <v>0</v>
      </c>
      <c r="L431" s="133">
        <v>0</v>
      </c>
      <c r="M431" s="133" t="s">
        <v>1096</v>
      </c>
      <c r="N431" s="133">
        <v>0</v>
      </c>
      <c r="P431" s="133">
        <v>0</v>
      </c>
      <c r="Q431" s="133">
        <v>0</v>
      </c>
      <c r="R431" s="133">
        <v>0</v>
      </c>
      <c r="S431" s="156"/>
    </row>
    <row r="432" spans="1:19">
      <c r="A432" s="133" t="s">
        <v>1180</v>
      </c>
      <c r="B432" s="133" t="s">
        <v>1175</v>
      </c>
      <c r="C432" s="133" t="s">
        <v>1000</v>
      </c>
      <c r="D432" s="133" t="s">
        <v>495</v>
      </c>
      <c r="E432" s="133" t="s">
        <v>496</v>
      </c>
      <c r="F432" s="133" t="s">
        <v>707</v>
      </c>
      <c r="G432" s="133" t="s">
        <v>732</v>
      </c>
      <c r="H432" s="133">
        <v>6.05</v>
      </c>
      <c r="I432" s="133">
        <v>9.49</v>
      </c>
      <c r="J432" s="133">
        <v>105</v>
      </c>
      <c r="K432" s="133">
        <v>150</v>
      </c>
      <c r="L432" s="133">
        <v>92</v>
      </c>
      <c r="M432" s="133" t="s">
        <v>714</v>
      </c>
      <c r="N432" s="133">
        <v>0</v>
      </c>
      <c r="P432" s="133">
        <v>0</v>
      </c>
      <c r="Q432" s="133">
        <v>92</v>
      </c>
      <c r="R432" s="133">
        <v>58</v>
      </c>
      <c r="S432" s="156">
        <v>0.38666666666666666</v>
      </c>
    </row>
    <row r="433" spans="1:19">
      <c r="A433" s="133" t="s">
        <v>1180</v>
      </c>
      <c r="B433" s="133" t="s">
        <v>1175</v>
      </c>
      <c r="C433" s="133" t="s">
        <v>1000</v>
      </c>
      <c r="D433" s="133" t="s">
        <v>497</v>
      </c>
      <c r="E433" s="133" t="s">
        <v>498</v>
      </c>
      <c r="F433" s="133" t="s">
        <v>707</v>
      </c>
      <c r="G433" s="133" t="s">
        <v>732</v>
      </c>
      <c r="H433" s="133">
        <v>23.46</v>
      </c>
      <c r="I433" s="133">
        <v>28.9</v>
      </c>
      <c r="J433" s="133">
        <v>52</v>
      </c>
      <c r="K433" s="133">
        <v>0</v>
      </c>
      <c r="L433" s="133">
        <v>0</v>
      </c>
      <c r="M433" s="133" t="s">
        <v>1096</v>
      </c>
      <c r="N433" s="133">
        <v>0</v>
      </c>
      <c r="P433" s="133">
        <v>0</v>
      </c>
      <c r="Q433" s="133">
        <v>0</v>
      </c>
      <c r="R433" s="133">
        <v>0</v>
      </c>
      <c r="S433" s="156"/>
    </row>
    <row r="434" spans="1:19">
      <c r="A434" s="133" t="s">
        <v>1180</v>
      </c>
      <c r="B434" s="133" t="s">
        <v>1175</v>
      </c>
      <c r="C434" s="133" t="s">
        <v>1000</v>
      </c>
      <c r="D434" s="133" t="s">
        <v>499</v>
      </c>
      <c r="E434" s="133" t="s">
        <v>500</v>
      </c>
      <c r="F434" s="133" t="s">
        <v>708</v>
      </c>
      <c r="G434" s="133" t="s">
        <v>715</v>
      </c>
      <c r="H434" s="133">
        <v>56.08</v>
      </c>
      <c r="I434" s="133">
        <v>127.72</v>
      </c>
      <c r="J434" s="133">
        <v>2</v>
      </c>
      <c r="K434" s="133">
        <v>0</v>
      </c>
      <c r="L434" s="133">
        <v>2</v>
      </c>
      <c r="M434" s="133" t="s">
        <v>1096</v>
      </c>
      <c r="N434" s="133">
        <v>0</v>
      </c>
      <c r="P434" s="133">
        <v>0</v>
      </c>
      <c r="Q434" s="133">
        <v>2</v>
      </c>
      <c r="R434" s="133">
        <v>0</v>
      </c>
      <c r="S434" s="156"/>
    </row>
    <row r="435" spans="1:19">
      <c r="A435" s="133" t="s">
        <v>1180</v>
      </c>
      <c r="B435" s="133" t="s">
        <v>1175</v>
      </c>
      <c r="C435" s="133" t="s">
        <v>1000</v>
      </c>
      <c r="D435" s="133" t="s">
        <v>501</v>
      </c>
      <c r="E435" s="133" t="s">
        <v>502</v>
      </c>
      <c r="F435" s="133" t="s">
        <v>708</v>
      </c>
      <c r="G435" s="133" t="s">
        <v>715</v>
      </c>
      <c r="H435" s="133">
        <v>11.48</v>
      </c>
      <c r="I435" s="133">
        <v>25.91</v>
      </c>
      <c r="J435" s="133">
        <v>47</v>
      </c>
      <c r="K435" s="133">
        <v>8</v>
      </c>
      <c r="L435" s="133">
        <v>4</v>
      </c>
      <c r="M435" s="133" t="s">
        <v>714</v>
      </c>
      <c r="N435" s="133">
        <v>0</v>
      </c>
      <c r="P435" s="133">
        <v>0</v>
      </c>
      <c r="Q435" s="133">
        <v>4</v>
      </c>
      <c r="R435" s="133">
        <v>4</v>
      </c>
      <c r="S435" s="156">
        <v>0.5</v>
      </c>
    </row>
    <row r="436" spans="1:19">
      <c r="A436" s="133" t="s">
        <v>1180</v>
      </c>
      <c r="B436" s="133" t="s">
        <v>1175</v>
      </c>
      <c r="C436" s="133" t="s">
        <v>1000</v>
      </c>
      <c r="D436" s="133" t="s">
        <v>503</v>
      </c>
      <c r="E436" s="133" t="s">
        <v>504</v>
      </c>
      <c r="F436" s="133" t="s">
        <v>708</v>
      </c>
      <c r="G436" s="133" t="s">
        <v>715</v>
      </c>
      <c r="H436" s="133">
        <v>3.38</v>
      </c>
      <c r="I436" s="133">
        <v>7.22</v>
      </c>
      <c r="J436" s="133">
        <v>294</v>
      </c>
      <c r="K436" s="133">
        <v>0</v>
      </c>
      <c r="L436" s="133">
        <v>21</v>
      </c>
      <c r="M436" s="133" t="s">
        <v>1096</v>
      </c>
      <c r="N436" s="133">
        <v>0</v>
      </c>
      <c r="P436" s="133">
        <v>0</v>
      </c>
      <c r="Q436" s="133">
        <v>21</v>
      </c>
      <c r="R436" s="133">
        <v>0</v>
      </c>
      <c r="S436" s="156"/>
    </row>
    <row r="437" spans="1:19">
      <c r="A437" s="133" t="s">
        <v>1180</v>
      </c>
      <c r="B437" s="133" t="s">
        <v>1175</v>
      </c>
      <c r="C437" s="133" t="s">
        <v>1000</v>
      </c>
      <c r="D437" s="133" t="s">
        <v>512</v>
      </c>
      <c r="E437" s="133" t="s">
        <v>513</v>
      </c>
      <c r="F437" s="133" t="s">
        <v>709</v>
      </c>
      <c r="G437" s="133" t="s">
        <v>719</v>
      </c>
      <c r="H437" s="133">
        <v>1.1599999999999999</v>
      </c>
      <c r="I437" s="133">
        <v>1.89</v>
      </c>
      <c r="J437" s="133">
        <v>0</v>
      </c>
      <c r="K437" s="133">
        <v>0</v>
      </c>
      <c r="L437" s="133">
        <v>0</v>
      </c>
      <c r="M437" s="133" t="s">
        <v>1096</v>
      </c>
      <c r="N437" s="133">
        <v>0</v>
      </c>
      <c r="P437" s="133">
        <v>0</v>
      </c>
      <c r="Q437" s="133">
        <v>0</v>
      </c>
      <c r="R437" s="133">
        <v>0</v>
      </c>
      <c r="S437" s="156"/>
    </row>
    <row r="438" spans="1:19">
      <c r="A438" s="133" t="s">
        <v>1180</v>
      </c>
      <c r="B438" s="133" t="s">
        <v>1175</v>
      </c>
      <c r="C438" s="133" t="s">
        <v>1000</v>
      </c>
      <c r="D438" s="133" t="s">
        <v>514</v>
      </c>
      <c r="E438" s="133" t="s">
        <v>515</v>
      </c>
      <c r="F438" s="133" t="s">
        <v>709</v>
      </c>
      <c r="G438" s="133" t="s">
        <v>719</v>
      </c>
      <c r="H438" s="133">
        <v>2.14</v>
      </c>
      <c r="I438" s="133">
        <v>3.37</v>
      </c>
      <c r="J438" s="133">
        <v>0</v>
      </c>
      <c r="K438" s="133">
        <v>0</v>
      </c>
      <c r="L438" s="133">
        <v>0</v>
      </c>
      <c r="M438" s="133" t="s">
        <v>1096</v>
      </c>
      <c r="N438" s="133">
        <v>0</v>
      </c>
      <c r="P438" s="133">
        <v>0</v>
      </c>
      <c r="Q438" s="133">
        <v>0</v>
      </c>
      <c r="R438" s="133">
        <v>0</v>
      </c>
      <c r="S438" s="156"/>
    </row>
    <row r="439" spans="1:19">
      <c r="A439" s="133" t="s">
        <v>1180</v>
      </c>
      <c r="B439" s="133" t="s">
        <v>1175</v>
      </c>
      <c r="C439" s="133" t="s">
        <v>1000</v>
      </c>
      <c r="D439" s="133" t="s">
        <v>516</v>
      </c>
      <c r="E439" s="133" t="s">
        <v>517</v>
      </c>
      <c r="F439" s="133" t="s">
        <v>709</v>
      </c>
      <c r="G439" s="133" t="s">
        <v>719</v>
      </c>
      <c r="H439" s="133">
        <v>4.8499999999999996</v>
      </c>
      <c r="I439" s="133">
        <v>5.4</v>
      </c>
      <c r="J439" s="133">
        <v>0</v>
      </c>
      <c r="K439" s="133">
        <v>0</v>
      </c>
      <c r="L439" s="133">
        <v>0</v>
      </c>
      <c r="M439" s="133" t="s">
        <v>1096</v>
      </c>
      <c r="N439" s="133">
        <v>0</v>
      </c>
      <c r="P439" s="133">
        <v>0</v>
      </c>
      <c r="Q439" s="133">
        <v>0</v>
      </c>
      <c r="R439" s="133">
        <v>0</v>
      </c>
      <c r="S439" s="156"/>
    </row>
    <row r="440" spans="1:19">
      <c r="A440" s="133" t="s">
        <v>1180</v>
      </c>
      <c r="B440" s="133" t="s">
        <v>1175</v>
      </c>
      <c r="C440" s="133" t="s">
        <v>1000</v>
      </c>
      <c r="D440" s="133" t="s">
        <v>524</v>
      </c>
      <c r="E440" s="133" t="s">
        <v>525</v>
      </c>
      <c r="F440" s="133" t="s">
        <v>709</v>
      </c>
      <c r="G440" s="133" t="s">
        <v>719</v>
      </c>
      <c r="H440" s="133">
        <v>0.49</v>
      </c>
      <c r="I440" s="133">
        <v>0.85</v>
      </c>
      <c r="J440" s="133">
        <v>0</v>
      </c>
      <c r="K440" s="133">
        <v>0</v>
      </c>
      <c r="L440" s="133">
        <v>0</v>
      </c>
      <c r="M440" s="133" t="s">
        <v>1096</v>
      </c>
      <c r="N440" s="133">
        <v>0</v>
      </c>
      <c r="P440" s="133">
        <v>0</v>
      </c>
      <c r="Q440" s="133">
        <v>0</v>
      </c>
      <c r="R440" s="133">
        <v>0</v>
      </c>
      <c r="S440" s="156"/>
    </row>
    <row r="441" spans="1:19">
      <c r="A441" s="133" t="s">
        <v>1180</v>
      </c>
      <c r="B441" s="133" t="s">
        <v>1175</v>
      </c>
      <c r="C441" s="133" t="s">
        <v>1000</v>
      </c>
      <c r="D441" s="133" t="s">
        <v>526</v>
      </c>
      <c r="E441" s="133" t="s">
        <v>527</v>
      </c>
      <c r="F441" s="133" t="s">
        <v>712</v>
      </c>
      <c r="G441" s="133" t="s">
        <v>719</v>
      </c>
      <c r="H441" s="133">
        <v>1.72</v>
      </c>
      <c r="I441" s="133">
        <v>3.49</v>
      </c>
      <c r="J441" s="133">
        <v>198</v>
      </c>
      <c r="K441" s="133">
        <v>0</v>
      </c>
      <c r="L441" s="133">
        <v>31</v>
      </c>
      <c r="M441" s="133" t="s">
        <v>1096</v>
      </c>
      <c r="N441" s="133">
        <v>0</v>
      </c>
      <c r="P441" s="133">
        <v>0</v>
      </c>
      <c r="Q441" s="133">
        <v>31</v>
      </c>
      <c r="R441" s="133">
        <v>0</v>
      </c>
      <c r="S441" s="156"/>
    </row>
    <row r="442" spans="1:19">
      <c r="A442" s="133" t="s">
        <v>1180</v>
      </c>
      <c r="B442" s="133" t="s">
        <v>1175</v>
      </c>
      <c r="C442" s="133" t="s">
        <v>1000</v>
      </c>
      <c r="D442" s="133" t="s">
        <v>528</v>
      </c>
      <c r="E442" s="133" t="s">
        <v>529</v>
      </c>
      <c r="F442" s="133" t="s">
        <v>712</v>
      </c>
      <c r="G442" s="133" t="s">
        <v>719</v>
      </c>
      <c r="H442" s="133">
        <v>3.6</v>
      </c>
      <c r="I442" s="133">
        <v>7.59</v>
      </c>
      <c r="J442" s="133">
        <v>100</v>
      </c>
      <c r="K442" s="133">
        <v>0</v>
      </c>
      <c r="L442" s="133">
        <v>5</v>
      </c>
      <c r="M442" s="133" t="s">
        <v>1096</v>
      </c>
      <c r="N442" s="133">
        <v>0</v>
      </c>
      <c r="P442" s="133">
        <v>0</v>
      </c>
      <c r="Q442" s="133">
        <v>5</v>
      </c>
      <c r="R442" s="133">
        <v>0</v>
      </c>
      <c r="S442" s="156"/>
    </row>
    <row r="443" spans="1:19">
      <c r="A443" s="133" t="s">
        <v>1180</v>
      </c>
      <c r="B443" s="133" t="s">
        <v>1175</v>
      </c>
      <c r="C443" s="133" t="s">
        <v>1000</v>
      </c>
      <c r="D443" s="133" t="s">
        <v>530</v>
      </c>
      <c r="E443" s="133" t="s">
        <v>531</v>
      </c>
      <c r="F443" s="133" t="s">
        <v>712</v>
      </c>
      <c r="G443" s="133" t="s">
        <v>719</v>
      </c>
      <c r="H443" s="133">
        <v>6.89</v>
      </c>
      <c r="I443" s="133">
        <v>13.99</v>
      </c>
      <c r="J443" s="133">
        <v>171</v>
      </c>
      <c r="K443" s="133">
        <v>0</v>
      </c>
      <c r="L443" s="133">
        <v>0</v>
      </c>
      <c r="M443" s="133" t="s">
        <v>1096</v>
      </c>
      <c r="N443" s="133">
        <v>0</v>
      </c>
      <c r="P443" s="133">
        <v>0</v>
      </c>
      <c r="Q443" s="133">
        <v>0</v>
      </c>
      <c r="R443" s="133">
        <v>0</v>
      </c>
      <c r="S443" s="156"/>
    </row>
    <row r="444" spans="1:19">
      <c r="A444" s="133" t="s">
        <v>1180</v>
      </c>
      <c r="B444" s="133" t="s">
        <v>1175</v>
      </c>
      <c r="C444" s="133" t="s">
        <v>1000</v>
      </c>
      <c r="D444" s="133" t="s">
        <v>920</v>
      </c>
      <c r="E444" s="133" t="s">
        <v>922</v>
      </c>
      <c r="F444" s="133" t="s">
        <v>712</v>
      </c>
      <c r="G444" s="133" t="s">
        <v>719</v>
      </c>
      <c r="H444" s="133">
        <v>14.48</v>
      </c>
      <c r="I444" s="133">
        <v>28.5</v>
      </c>
      <c r="J444" s="133">
        <v>130</v>
      </c>
      <c r="K444" s="133">
        <v>0</v>
      </c>
      <c r="L444" s="133">
        <v>0</v>
      </c>
      <c r="M444" s="133" t="s">
        <v>1096</v>
      </c>
      <c r="N444" s="133">
        <v>0</v>
      </c>
      <c r="P444" s="133">
        <v>0</v>
      </c>
      <c r="Q444" s="133">
        <v>0</v>
      </c>
      <c r="R444" s="133">
        <v>0</v>
      </c>
      <c r="S444" s="156"/>
    </row>
    <row r="445" spans="1:19">
      <c r="A445" s="133" t="s">
        <v>1180</v>
      </c>
      <c r="B445" s="133" t="s">
        <v>1175</v>
      </c>
      <c r="C445" s="133" t="s">
        <v>1000</v>
      </c>
      <c r="D445" s="133" t="s">
        <v>538</v>
      </c>
      <c r="E445" s="133" t="s">
        <v>539</v>
      </c>
      <c r="F445" s="133" t="s">
        <v>709</v>
      </c>
      <c r="G445" s="133" t="s">
        <v>719</v>
      </c>
      <c r="H445" s="133">
        <v>1.1299999999999999</v>
      </c>
      <c r="I445" s="133">
        <v>4.07</v>
      </c>
      <c r="J445" s="133">
        <v>0</v>
      </c>
      <c r="K445" s="133">
        <v>0</v>
      </c>
      <c r="L445" s="133">
        <v>0</v>
      </c>
      <c r="M445" s="133" t="s">
        <v>1096</v>
      </c>
      <c r="N445" s="133">
        <v>0</v>
      </c>
      <c r="P445" s="133">
        <v>0</v>
      </c>
      <c r="Q445" s="133">
        <v>0</v>
      </c>
      <c r="R445" s="133">
        <v>0</v>
      </c>
      <c r="S445" s="156"/>
    </row>
    <row r="446" spans="1:19">
      <c r="A446" s="133" t="s">
        <v>1180</v>
      </c>
      <c r="B446" s="133" t="s">
        <v>1175</v>
      </c>
      <c r="C446" s="133" t="s">
        <v>1000</v>
      </c>
      <c r="D446" s="133" t="s">
        <v>542</v>
      </c>
      <c r="E446" s="133" t="s">
        <v>543</v>
      </c>
      <c r="F446" s="133" t="s">
        <v>707</v>
      </c>
      <c r="G446" s="133" t="s">
        <v>715</v>
      </c>
      <c r="H446" s="133">
        <v>1.24</v>
      </c>
      <c r="I446" s="133">
        <v>2.99</v>
      </c>
      <c r="J446" s="133">
        <v>337</v>
      </c>
      <c r="K446" s="133">
        <v>0</v>
      </c>
      <c r="L446" s="133">
        <v>0</v>
      </c>
      <c r="M446" s="133" t="s">
        <v>1096</v>
      </c>
      <c r="N446" s="133">
        <v>0</v>
      </c>
      <c r="P446" s="133">
        <v>0</v>
      </c>
      <c r="Q446" s="133">
        <v>0</v>
      </c>
      <c r="R446" s="133">
        <v>0</v>
      </c>
      <c r="S446" s="156"/>
    </row>
    <row r="447" spans="1:19">
      <c r="A447" s="133" t="s">
        <v>1180</v>
      </c>
      <c r="B447" s="133" t="s">
        <v>1175</v>
      </c>
      <c r="C447" s="133" t="s">
        <v>1000</v>
      </c>
      <c r="D447" s="133" t="s">
        <v>544</v>
      </c>
      <c r="E447" s="133" t="s">
        <v>545</v>
      </c>
      <c r="F447" s="133" t="s">
        <v>707</v>
      </c>
      <c r="G447" s="133" t="s">
        <v>715</v>
      </c>
      <c r="H447" s="133">
        <v>2.27</v>
      </c>
      <c r="I447" s="133">
        <v>4.99</v>
      </c>
      <c r="J447" s="133">
        <v>258</v>
      </c>
      <c r="K447" s="133">
        <v>0</v>
      </c>
      <c r="L447" s="133">
        <v>0</v>
      </c>
      <c r="M447" s="133" t="s">
        <v>1096</v>
      </c>
      <c r="N447" s="133">
        <v>0</v>
      </c>
      <c r="P447" s="133">
        <v>0</v>
      </c>
      <c r="Q447" s="133">
        <v>0</v>
      </c>
      <c r="R447" s="133">
        <v>0</v>
      </c>
      <c r="S447" s="156"/>
    </row>
    <row r="448" spans="1:19">
      <c r="A448" s="133" t="s">
        <v>1180</v>
      </c>
      <c r="B448" s="133" t="s">
        <v>1175</v>
      </c>
      <c r="C448" s="133" t="s">
        <v>1000</v>
      </c>
      <c r="D448" s="133" t="s">
        <v>546</v>
      </c>
      <c r="E448" s="133" t="s">
        <v>547</v>
      </c>
      <c r="F448" s="133" t="s">
        <v>707</v>
      </c>
      <c r="G448" s="133" t="s">
        <v>715</v>
      </c>
      <c r="H448" s="133">
        <v>16.43</v>
      </c>
      <c r="I448" s="133">
        <v>29.9</v>
      </c>
      <c r="J448" s="133">
        <v>0</v>
      </c>
      <c r="K448" s="133">
        <v>0</v>
      </c>
      <c r="L448" s="133">
        <v>0</v>
      </c>
      <c r="M448" s="133" t="s">
        <v>1096</v>
      </c>
      <c r="N448" s="133">
        <v>0</v>
      </c>
      <c r="P448" s="133">
        <v>0</v>
      </c>
      <c r="Q448" s="133">
        <v>0</v>
      </c>
      <c r="R448" s="133">
        <v>0</v>
      </c>
      <c r="S448" s="156"/>
    </row>
    <row r="449" spans="1:19">
      <c r="A449" s="133" t="s">
        <v>1180</v>
      </c>
      <c r="B449" s="133" t="s">
        <v>1175</v>
      </c>
      <c r="C449" s="133" t="s">
        <v>1000</v>
      </c>
      <c r="D449" s="133" t="s">
        <v>548</v>
      </c>
      <c r="E449" s="133" t="s">
        <v>549</v>
      </c>
      <c r="F449" s="133" t="s">
        <v>707</v>
      </c>
      <c r="G449" s="133" t="s">
        <v>715</v>
      </c>
      <c r="H449" s="133">
        <v>3.66</v>
      </c>
      <c r="I449" s="133">
        <v>8.69</v>
      </c>
      <c r="J449" s="133">
        <v>200</v>
      </c>
      <c r="K449" s="133">
        <v>0</v>
      </c>
      <c r="L449" s="133">
        <v>0</v>
      </c>
      <c r="M449" s="133" t="s">
        <v>1096</v>
      </c>
      <c r="N449" s="133">
        <v>0</v>
      </c>
      <c r="P449" s="133">
        <v>0</v>
      </c>
      <c r="Q449" s="133">
        <v>0</v>
      </c>
      <c r="R449" s="133">
        <v>0</v>
      </c>
      <c r="S449" s="156"/>
    </row>
    <row r="450" spans="1:19">
      <c r="A450" s="133" t="s">
        <v>1180</v>
      </c>
      <c r="B450" s="133" t="s">
        <v>1175</v>
      </c>
      <c r="C450" s="133" t="s">
        <v>1000</v>
      </c>
      <c r="D450" s="133" t="s">
        <v>553</v>
      </c>
      <c r="E450" s="133" t="s">
        <v>554</v>
      </c>
      <c r="F450" s="133" t="s">
        <v>712</v>
      </c>
      <c r="G450" s="133" t="s">
        <v>715</v>
      </c>
      <c r="H450" s="133">
        <v>4.62</v>
      </c>
      <c r="I450" s="133">
        <v>7.59</v>
      </c>
      <c r="J450" s="133">
        <v>0</v>
      </c>
      <c r="K450" s="133">
        <v>0</v>
      </c>
      <c r="L450" s="133">
        <v>0</v>
      </c>
      <c r="M450" s="133" t="s">
        <v>1096</v>
      </c>
      <c r="N450" s="133">
        <v>0</v>
      </c>
      <c r="P450" s="133">
        <v>0</v>
      </c>
      <c r="Q450" s="133">
        <v>0</v>
      </c>
      <c r="R450" s="133">
        <v>0</v>
      </c>
      <c r="S450" s="156"/>
    </row>
    <row r="451" spans="1:19">
      <c r="A451" s="133" t="s">
        <v>1180</v>
      </c>
      <c r="B451" s="133" t="s">
        <v>1175</v>
      </c>
      <c r="C451" s="133" t="s">
        <v>1000</v>
      </c>
      <c r="D451" s="133" t="s">
        <v>555</v>
      </c>
      <c r="E451" s="133" t="s">
        <v>556</v>
      </c>
      <c r="F451" s="133" t="s">
        <v>712</v>
      </c>
      <c r="G451" s="133" t="s">
        <v>719</v>
      </c>
      <c r="H451" s="133">
        <v>2.59</v>
      </c>
      <c r="I451" s="133">
        <v>0</v>
      </c>
      <c r="J451" s="133">
        <v>1140</v>
      </c>
      <c r="K451" s="133">
        <v>0</v>
      </c>
      <c r="L451" s="133">
        <v>0</v>
      </c>
      <c r="M451" s="133" t="s">
        <v>1096</v>
      </c>
      <c r="N451" s="133">
        <v>0</v>
      </c>
      <c r="P451" s="133">
        <v>0</v>
      </c>
      <c r="Q451" s="133">
        <v>0</v>
      </c>
      <c r="R451" s="133">
        <v>0</v>
      </c>
      <c r="S451" s="156"/>
    </row>
    <row r="452" spans="1:19">
      <c r="A452" s="133" t="s">
        <v>1180</v>
      </c>
      <c r="B452" s="133" t="s">
        <v>1175</v>
      </c>
      <c r="C452" s="133" t="s">
        <v>1000</v>
      </c>
      <c r="D452" s="133" t="s">
        <v>557</v>
      </c>
      <c r="E452" s="133" t="s">
        <v>558</v>
      </c>
      <c r="F452" s="133" t="s">
        <v>712</v>
      </c>
      <c r="G452" s="133" t="s">
        <v>719</v>
      </c>
      <c r="H452" s="133">
        <v>4.75</v>
      </c>
      <c r="I452" s="133">
        <v>0</v>
      </c>
      <c r="J452" s="133">
        <v>2670</v>
      </c>
      <c r="K452" s="133">
        <v>0</v>
      </c>
      <c r="L452" s="133">
        <v>30</v>
      </c>
      <c r="M452" s="133" t="s">
        <v>1096</v>
      </c>
      <c r="N452" s="133">
        <v>0</v>
      </c>
      <c r="P452" s="133">
        <v>0</v>
      </c>
      <c r="Q452" s="133">
        <v>30</v>
      </c>
      <c r="R452" s="133">
        <v>0</v>
      </c>
      <c r="S452" s="156"/>
    </row>
    <row r="453" spans="1:19">
      <c r="A453" s="133" t="s">
        <v>1180</v>
      </c>
      <c r="B453" s="133" t="s">
        <v>1175</v>
      </c>
      <c r="C453" s="133" t="s">
        <v>1000</v>
      </c>
      <c r="D453" s="133" t="s">
        <v>559</v>
      </c>
      <c r="E453" s="133" t="s">
        <v>560</v>
      </c>
      <c r="F453" s="133" t="s">
        <v>712</v>
      </c>
      <c r="G453" s="133" t="s">
        <v>719</v>
      </c>
      <c r="H453" s="133">
        <v>2.4</v>
      </c>
      <c r="I453" s="133">
        <v>4.8899999999999997</v>
      </c>
      <c r="J453" s="133">
        <v>274</v>
      </c>
      <c r="K453" s="133">
        <v>0</v>
      </c>
      <c r="L453" s="133">
        <v>0</v>
      </c>
      <c r="M453" s="133" t="s">
        <v>1096</v>
      </c>
      <c r="N453" s="133">
        <v>0</v>
      </c>
      <c r="P453" s="133">
        <v>0</v>
      </c>
      <c r="Q453" s="133">
        <v>0</v>
      </c>
      <c r="R453" s="133">
        <v>0</v>
      </c>
      <c r="S453" s="156"/>
    </row>
    <row r="454" spans="1:19">
      <c r="A454" s="133" t="s">
        <v>1180</v>
      </c>
      <c r="B454" s="133" t="s">
        <v>1175</v>
      </c>
      <c r="C454" s="133" t="s">
        <v>1000</v>
      </c>
      <c r="D454" s="133" t="s">
        <v>561</v>
      </c>
      <c r="E454" s="133" t="s">
        <v>562</v>
      </c>
      <c r="F454" s="133" t="s">
        <v>712</v>
      </c>
      <c r="G454" s="133" t="s">
        <v>719</v>
      </c>
      <c r="H454" s="133">
        <v>4.47</v>
      </c>
      <c r="I454" s="133">
        <v>9.2899999999999991</v>
      </c>
      <c r="J454" s="133">
        <v>964</v>
      </c>
      <c r="K454" s="133">
        <v>0</v>
      </c>
      <c r="L454" s="133">
        <v>25</v>
      </c>
      <c r="M454" s="133" t="s">
        <v>1096</v>
      </c>
      <c r="N454" s="133">
        <v>0</v>
      </c>
      <c r="P454" s="133">
        <v>0</v>
      </c>
      <c r="Q454" s="133">
        <v>25</v>
      </c>
      <c r="R454" s="133">
        <v>0</v>
      </c>
      <c r="S454" s="156"/>
    </row>
    <row r="455" spans="1:19">
      <c r="A455" s="133" t="s">
        <v>1180</v>
      </c>
      <c r="B455" s="133" t="s">
        <v>1175</v>
      </c>
      <c r="C455" s="133" t="s">
        <v>1000</v>
      </c>
      <c r="D455" s="133" t="s">
        <v>883</v>
      </c>
      <c r="E455" s="133" t="s">
        <v>969</v>
      </c>
      <c r="F455" s="133" t="s">
        <v>712</v>
      </c>
      <c r="G455" s="133" t="s">
        <v>715</v>
      </c>
      <c r="H455" s="133">
        <v>1.66</v>
      </c>
      <c r="I455" s="133">
        <v>2.99</v>
      </c>
      <c r="J455" s="133">
        <v>197</v>
      </c>
      <c r="K455" s="133">
        <v>0</v>
      </c>
      <c r="L455" s="133">
        <v>0</v>
      </c>
      <c r="M455" s="133" t="s">
        <v>1096</v>
      </c>
      <c r="N455" s="133">
        <v>0</v>
      </c>
      <c r="P455" s="133">
        <v>0</v>
      </c>
      <c r="Q455" s="133">
        <v>0</v>
      </c>
      <c r="R455" s="133">
        <v>0</v>
      </c>
      <c r="S455" s="156"/>
    </row>
    <row r="456" spans="1:19">
      <c r="A456" s="133" t="s">
        <v>1180</v>
      </c>
      <c r="B456" s="133" t="s">
        <v>1175</v>
      </c>
      <c r="C456" s="133" t="s">
        <v>1000</v>
      </c>
      <c r="D456" s="133" t="s">
        <v>884</v>
      </c>
      <c r="E456" s="133" t="s">
        <v>970</v>
      </c>
      <c r="F456" s="133" t="s">
        <v>712</v>
      </c>
      <c r="G456" s="133" t="s">
        <v>715</v>
      </c>
      <c r="H456" s="133">
        <v>13.56</v>
      </c>
      <c r="I456" s="133">
        <v>24.9</v>
      </c>
      <c r="J456" s="133">
        <v>141</v>
      </c>
      <c r="K456" s="133">
        <v>0</v>
      </c>
      <c r="L456" s="133">
        <v>0</v>
      </c>
      <c r="M456" s="133" t="s">
        <v>1096</v>
      </c>
      <c r="N456" s="133">
        <v>0</v>
      </c>
      <c r="P456" s="133">
        <v>0</v>
      </c>
      <c r="Q456" s="133">
        <v>0</v>
      </c>
      <c r="R456" s="133">
        <v>0</v>
      </c>
      <c r="S456" s="156"/>
    </row>
    <row r="457" spans="1:19">
      <c r="A457" s="133" t="s">
        <v>1180</v>
      </c>
      <c r="B457" s="133" t="s">
        <v>1175</v>
      </c>
      <c r="C457" s="133" t="s">
        <v>1000</v>
      </c>
      <c r="D457" s="133" t="s">
        <v>576</v>
      </c>
      <c r="E457" s="133" t="s">
        <v>577</v>
      </c>
      <c r="F457" s="133" t="s">
        <v>709</v>
      </c>
      <c r="G457" s="133" t="s">
        <v>715</v>
      </c>
      <c r="H457" s="133">
        <v>0.97</v>
      </c>
      <c r="I457" s="133">
        <v>0</v>
      </c>
      <c r="J457" s="133">
        <v>0</v>
      </c>
      <c r="K457" s="133">
        <v>0</v>
      </c>
      <c r="L457" s="133">
        <v>0</v>
      </c>
      <c r="M457" s="133" t="s">
        <v>1096</v>
      </c>
      <c r="N457" s="133">
        <v>0</v>
      </c>
      <c r="P457" s="133">
        <v>0</v>
      </c>
      <c r="Q457" s="133">
        <v>0</v>
      </c>
      <c r="R457" s="133">
        <v>0</v>
      </c>
      <c r="S457" s="156"/>
    </row>
    <row r="458" spans="1:19">
      <c r="A458" s="133" t="s">
        <v>1180</v>
      </c>
      <c r="B458" s="133" t="s">
        <v>1175</v>
      </c>
      <c r="C458" s="133" t="s">
        <v>1000</v>
      </c>
      <c r="D458" s="133" t="s">
        <v>578</v>
      </c>
      <c r="E458" s="133" t="s">
        <v>579</v>
      </c>
      <c r="F458" s="133" t="s">
        <v>709</v>
      </c>
      <c r="G458" s="133" t="s">
        <v>715</v>
      </c>
      <c r="H458" s="133">
        <v>2.3199999999999998</v>
      </c>
      <c r="I458" s="133">
        <v>0</v>
      </c>
      <c r="J458" s="133">
        <v>0</v>
      </c>
      <c r="K458" s="133">
        <v>0</v>
      </c>
      <c r="L458" s="133">
        <v>0</v>
      </c>
      <c r="M458" s="133" t="s">
        <v>1096</v>
      </c>
      <c r="N458" s="133">
        <v>0</v>
      </c>
      <c r="P458" s="133">
        <v>0</v>
      </c>
      <c r="Q458" s="133">
        <v>0</v>
      </c>
      <c r="R458" s="133">
        <v>0</v>
      </c>
      <c r="S458" s="156"/>
    </row>
    <row r="459" spans="1:19">
      <c r="A459" s="133" t="s">
        <v>1180</v>
      </c>
      <c r="B459" s="133" t="s">
        <v>1175</v>
      </c>
      <c r="C459" s="133" t="s">
        <v>1000</v>
      </c>
      <c r="D459" s="133" t="s">
        <v>580</v>
      </c>
      <c r="E459" s="133" t="s">
        <v>581</v>
      </c>
      <c r="F459" s="133" t="s">
        <v>709</v>
      </c>
      <c r="G459" s="133" t="s">
        <v>715</v>
      </c>
      <c r="H459" s="133">
        <v>3.92</v>
      </c>
      <c r="I459" s="133">
        <v>0</v>
      </c>
      <c r="J459" s="133">
        <v>0</v>
      </c>
      <c r="K459" s="133">
        <v>0</v>
      </c>
      <c r="L459" s="133">
        <v>0</v>
      </c>
      <c r="M459" s="133" t="s">
        <v>1096</v>
      </c>
      <c r="N459" s="133">
        <v>0</v>
      </c>
      <c r="P459" s="133">
        <v>0</v>
      </c>
      <c r="Q459" s="133">
        <v>0</v>
      </c>
      <c r="R459" s="133">
        <v>0</v>
      </c>
      <c r="S459" s="156"/>
    </row>
    <row r="460" spans="1:19">
      <c r="A460" s="133" t="s">
        <v>1180</v>
      </c>
      <c r="B460" s="133" t="s">
        <v>1175</v>
      </c>
      <c r="C460" s="133" t="s">
        <v>1000</v>
      </c>
      <c r="D460" s="133" t="s">
        <v>582</v>
      </c>
      <c r="E460" s="133" t="s">
        <v>583</v>
      </c>
      <c r="F460" s="133" t="s">
        <v>709</v>
      </c>
      <c r="G460" s="133" t="s">
        <v>715</v>
      </c>
      <c r="H460" s="133">
        <v>9.3000000000000007</v>
      </c>
      <c r="I460" s="133">
        <v>0</v>
      </c>
      <c r="J460" s="133">
        <v>0</v>
      </c>
      <c r="K460" s="133">
        <v>0</v>
      </c>
      <c r="L460" s="133">
        <v>0</v>
      </c>
      <c r="M460" s="133" t="s">
        <v>1096</v>
      </c>
      <c r="N460" s="133">
        <v>0</v>
      </c>
      <c r="P460" s="133">
        <v>0</v>
      </c>
      <c r="Q460" s="133">
        <v>0</v>
      </c>
      <c r="R460" s="133">
        <v>0</v>
      </c>
      <c r="S460" s="156"/>
    </row>
    <row r="461" spans="1:19">
      <c r="A461" s="133" t="s">
        <v>1180</v>
      </c>
      <c r="B461" s="133" t="s">
        <v>1175</v>
      </c>
      <c r="C461" s="133" t="s">
        <v>1000</v>
      </c>
      <c r="D461" s="133" t="s">
        <v>584</v>
      </c>
      <c r="E461" s="133" t="s">
        <v>585</v>
      </c>
      <c r="F461" s="133" t="s">
        <v>707</v>
      </c>
      <c r="G461" s="133" t="s">
        <v>715</v>
      </c>
      <c r="H461" s="133">
        <v>4.09</v>
      </c>
      <c r="I461" s="133">
        <v>19.95</v>
      </c>
      <c r="J461" s="133">
        <v>458</v>
      </c>
      <c r="K461" s="133">
        <v>0</v>
      </c>
      <c r="L461" s="133">
        <v>15</v>
      </c>
      <c r="M461" s="133" t="s">
        <v>1096</v>
      </c>
      <c r="N461" s="133">
        <v>0</v>
      </c>
      <c r="P461" s="133">
        <v>0</v>
      </c>
      <c r="Q461" s="133">
        <v>15</v>
      </c>
      <c r="R461" s="133">
        <v>0</v>
      </c>
      <c r="S461" s="156"/>
    </row>
    <row r="462" spans="1:19">
      <c r="A462" s="133" t="s">
        <v>1180</v>
      </c>
      <c r="B462" s="133" t="s">
        <v>1175</v>
      </c>
      <c r="C462" s="133" t="s">
        <v>1000</v>
      </c>
      <c r="D462" s="133" t="s">
        <v>586</v>
      </c>
      <c r="E462" s="133" t="s">
        <v>587</v>
      </c>
      <c r="F462" s="133" t="s">
        <v>707</v>
      </c>
      <c r="G462" s="133" t="s">
        <v>715</v>
      </c>
      <c r="H462" s="133">
        <v>11.23</v>
      </c>
      <c r="I462" s="133">
        <v>19.989999999999998</v>
      </c>
      <c r="J462" s="133">
        <v>0</v>
      </c>
      <c r="K462" s="133">
        <v>0</v>
      </c>
      <c r="L462" s="133">
        <v>0</v>
      </c>
      <c r="M462" s="133" t="s">
        <v>1096</v>
      </c>
      <c r="N462" s="133">
        <v>0</v>
      </c>
      <c r="P462" s="133">
        <v>0</v>
      </c>
      <c r="Q462" s="133">
        <v>0</v>
      </c>
      <c r="R462" s="133">
        <v>0</v>
      </c>
      <c r="S462" s="156"/>
    </row>
    <row r="463" spans="1:19">
      <c r="A463" s="133" t="s">
        <v>1180</v>
      </c>
      <c r="B463" s="133" t="s">
        <v>1175</v>
      </c>
      <c r="C463" s="133" t="s">
        <v>1000</v>
      </c>
      <c r="D463" s="133" t="s">
        <v>588</v>
      </c>
      <c r="E463" s="133" t="s">
        <v>589</v>
      </c>
      <c r="F463" s="133" t="s">
        <v>707</v>
      </c>
      <c r="G463" s="133" t="s">
        <v>715</v>
      </c>
      <c r="H463" s="133">
        <v>3.05</v>
      </c>
      <c r="I463" s="133">
        <v>5.39</v>
      </c>
      <c r="J463" s="133">
        <v>213</v>
      </c>
      <c r="K463" s="133">
        <v>0</v>
      </c>
      <c r="L463" s="133">
        <v>0</v>
      </c>
      <c r="M463" s="133" t="s">
        <v>1096</v>
      </c>
      <c r="N463" s="133">
        <v>0</v>
      </c>
      <c r="P463" s="133">
        <v>0</v>
      </c>
      <c r="Q463" s="133">
        <v>0</v>
      </c>
      <c r="R463" s="133">
        <v>0</v>
      </c>
      <c r="S463" s="156"/>
    </row>
    <row r="464" spans="1:19">
      <c r="A464" s="133" t="s">
        <v>1180</v>
      </c>
      <c r="B464" s="133" t="s">
        <v>1175</v>
      </c>
      <c r="C464" s="133" t="s">
        <v>1000</v>
      </c>
      <c r="D464" s="133" t="s">
        <v>885</v>
      </c>
      <c r="E464" s="133" t="s">
        <v>971</v>
      </c>
      <c r="F464" s="133" t="s">
        <v>712</v>
      </c>
      <c r="G464" s="133" t="s">
        <v>715</v>
      </c>
      <c r="H464" s="133">
        <v>3.49</v>
      </c>
      <c r="I464" s="133">
        <v>6.59</v>
      </c>
      <c r="J464" s="133">
        <v>179</v>
      </c>
      <c r="K464" s="133">
        <v>0</v>
      </c>
      <c r="L464" s="133">
        <v>0</v>
      </c>
      <c r="M464" s="133" t="s">
        <v>1096</v>
      </c>
      <c r="N464" s="133">
        <v>0</v>
      </c>
      <c r="P464" s="133">
        <v>0</v>
      </c>
      <c r="Q464" s="133">
        <v>0</v>
      </c>
      <c r="R464" s="133">
        <v>0</v>
      </c>
      <c r="S464" s="156"/>
    </row>
    <row r="465" spans="1:19">
      <c r="A465" s="133" t="s">
        <v>1180</v>
      </c>
      <c r="B465" s="133" t="s">
        <v>1175</v>
      </c>
      <c r="C465" s="133" t="s">
        <v>1000</v>
      </c>
      <c r="D465" s="133" t="s">
        <v>886</v>
      </c>
      <c r="E465" s="133" t="s">
        <v>972</v>
      </c>
      <c r="F465" s="133" t="s">
        <v>712</v>
      </c>
      <c r="G465" s="133" t="s">
        <v>715</v>
      </c>
      <c r="H465" s="133">
        <v>1.87</v>
      </c>
      <c r="I465" s="133">
        <v>3.79</v>
      </c>
      <c r="J465" s="133">
        <v>135</v>
      </c>
      <c r="K465" s="133">
        <v>0</v>
      </c>
      <c r="L465" s="133">
        <v>0</v>
      </c>
      <c r="M465" s="133" t="s">
        <v>1096</v>
      </c>
      <c r="N465" s="133">
        <v>0</v>
      </c>
      <c r="P465" s="133">
        <v>0</v>
      </c>
      <c r="Q465" s="133">
        <v>0</v>
      </c>
      <c r="R465" s="133">
        <v>0</v>
      </c>
      <c r="S465" s="156"/>
    </row>
    <row r="466" spans="1:19">
      <c r="A466" s="133" t="s">
        <v>1180</v>
      </c>
      <c r="B466" s="133" t="s">
        <v>1175</v>
      </c>
      <c r="C466" s="133" t="s">
        <v>1000</v>
      </c>
      <c r="D466" s="133" t="s">
        <v>887</v>
      </c>
      <c r="E466" s="133" t="s">
        <v>973</v>
      </c>
      <c r="F466" s="133" t="s">
        <v>712</v>
      </c>
      <c r="G466" s="133" t="s">
        <v>715</v>
      </c>
      <c r="H466" s="133">
        <v>6.61</v>
      </c>
      <c r="I466" s="133">
        <v>11.9</v>
      </c>
      <c r="J466" s="133">
        <v>162</v>
      </c>
      <c r="K466" s="133">
        <v>0</v>
      </c>
      <c r="L466" s="133">
        <v>0</v>
      </c>
      <c r="M466" s="133" t="s">
        <v>1096</v>
      </c>
      <c r="N466" s="133">
        <v>0</v>
      </c>
      <c r="P466" s="133">
        <v>0</v>
      </c>
      <c r="Q466" s="133">
        <v>0</v>
      </c>
      <c r="R466" s="133">
        <v>0</v>
      </c>
      <c r="S466" s="156"/>
    </row>
    <row r="467" spans="1:19">
      <c r="A467" s="133" t="s">
        <v>1180</v>
      </c>
      <c r="B467" s="133" t="s">
        <v>1175</v>
      </c>
      <c r="C467" s="133" t="s">
        <v>1000</v>
      </c>
      <c r="D467" s="133" t="s">
        <v>594</v>
      </c>
      <c r="E467" s="133" t="s">
        <v>595</v>
      </c>
      <c r="F467" s="133" t="s">
        <v>712</v>
      </c>
      <c r="G467" s="133" t="s">
        <v>715</v>
      </c>
      <c r="H467" s="133">
        <v>25.89</v>
      </c>
      <c r="I467" s="133">
        <v>41</v>
      </c>
      <c r="J467" s="133">
        <v>702</v>
      </c>
      <c r="K467" s="133">
        <v>0</v>
      </c>
      <c r="L467" s="133">
        <v>0</v>
      </c>
      <c r="M467" s="133" t="s">
        <v>1096</v>
      </c>
      <c r="N467" s="133">
        <v>0</v>
      </c>
      <c r="P467" s="133">
        <v>0</v>
      </c>
      <c r="Q467" s="133">
        <v>0</v>
      </c>
      <c r="R467" s="133">
        <v>0</v>
      </c>
      <c r="S467" s="156"/>
    </row>
    <row r="468" spans="1:19">
      <c r="A468" s="133" t="s">
        <v>1180</v>
      </c>
      <c r="B468" s="133" t="s">
        <v>1175</v>
      </c>
      <c r="C468" s="133" t="s">
        <v>1000</v>
      </c>
      <c r="D468" s="133" t="s">
        <v>596</v>
      </c>
      <c r="E468" s="133" t="s">
        <v>597</v>
      </c>
      <c r="F468" s="133" t="s">
        <v>712</v>
      </c>
      <c r="G468" s="133" t="s">
        <v>715</v>
      </c>
      <c r="H468" s="133">
        <v>2.71</v>
      </c>
      <c r="I468" s="133">
        <v>4.99</v>
      </c>
      <c r="J468" s="133">
        <v>243</v>
      </c>
      <c r="K468" s="133">
        <v>80</v>
      </c>
      <c r="L468" s="133">
        <v>60</v>
      </c>
      <c r="M468" s="133" t="s">
        <v>998</v>
      </c>
      <c r="N468" s="133">
        <v>0</v>
      </c>
      <c r="P468" s="133">
        <v>0</v>
      </c>
      <c r="Q468" s="133">
        <v>60</v>
      </c>
      <c r="R468" s="133">
        <v>20</v>
      </c>
      <c r="S468" s="156">
        <v>0.25</v>
      </c>
    </row>
    <row r="469" spans="1:19">
      <c r="A469" s="133" t="s">
        <v>1180</v>
      </c>
      <c r="B469" s="133" t="s">
        <v>1175</v>
      </c>
      <c r="C469" s="133" t="s">
        <v>1000</v>
      </c>
      <c r="D469" s="133" t="s">
        <v>598</v>
      </c>
      <c r="E469" s="133" t="s">
        <v>599</v>
      </c>
      <c r="F469" s="133" t="s">
        <v>712</v>
      </c>
      <c r="G469" s="133" t="s">
        <v>715</v>
      </c>
      <c r="H469" s="133">
        <v>6.66</v>
      </c>
      <c r="I469" s="133">
        <v>11.9</v>
      </c>
      <c r="J469" s="133">
        <v>220</v>
      </c>
      <c r="K469" s="133">
        <v>40</v>
      </c>
      <c r="L469" s="133">
        <v>30</v>
      </c>
      <c r="M469" s="133" t="s">
        <v>998</v>
      </c>
      <c r="N469" s="133">
        <v>0</v>
      </c>
      <c r="P469" s="133">
        <v>0</v>
      </c>
      <c r="Q469" s="133">
        <v>30</v>
      </c>
      <c r="R469" s="133">
        <v>10</v>
      </c>
      <c r="S469" s="156">
        <v>0.25</v>
      </c>
    </row>
    <row r="470" spans="1:19">
      <c r="A470" s="133" t="s">
        <v>1180</v>
      </c>
      <c r="B470" s="133" t="s">
        <v>1175</v>
      </c>
      <c r="C470" s="133" t="s">
        <v>1000</v>
      </c>
      <c r="D470" s="133" t="s">
        <v>600</v>
      </c>
      <c r="E470" s="133" t="s">
        <v>927</v>
      </c>
      <c r="F470" s="133" t="s">
        <v>712</v>
      </c>
      <c r="G470" s="133" t="s">
        <v>715</v>
      </c>
      <c r="H470" s="133">
        <v>1.43</v>
      </c>
      <c r="I470" s="133">
        <v>3.15</v>
      </c>
      <c r="J470" s="133">
        <v>499</v>
      </c>
      <c r="K470" s="133">
        <v>0</v>
      </c>
      <c r="L470" s="133">
        <v>0</v>
      </c>
      <c r="M470" s="133" t="s">
        <v>1096</v>
      </c>
      <c r="N470" s="133">
        <v>0</v>
      </c>
      <c r="P470" s="133">
        <v>0</v>
      </c>
      <c r="Q470" s="133">
        <v>0</v>
      </c>
      <c r="R470" s="133">
        <v>0</v>
      </c>
      <c r="S470" s="156"/>
    </row>
    <row r="471" spans="1:19">
      <c r="A471" s="133" t="s">
        <v>1180</v>
      </c>
      <c r="B471" s="133" t="s">
        <v>1175</v>
      </c>
      <c r="C471" s="133" t="s">
        <v>1000</v>
      </c>
      <c r="D471" s="133" t="s">
        <v>601</v>
      </c>
      <c r="E471" s="133" t="s">
        <v>602</v>
      </c>
      <c r="F471" s="133" t="s">
        <v>712</v>
      </c>
      <c r="G471" s="133" t="s">
        <v>715</v>
      </c>
      <c r="H471" s="133">
        <v>349.85</v>
      </c>
      <c r="I471" s="133">
        <v>729</v>
      </c>
      <c r="J471" s="133">
        <v>0</v>
      </c>
      <c r="K471" s="133">
        <v>0</v>
      </c>
      <c r="L471" s="133">
        <v>0</v>
      </c>
      <c r="M471" s="133" t="s">
        <v>1096</v>
      </c>
      <c r="N471" s="133">
        <v>0</v>
      </c>
      <c r="P471" s="133">
        <v>0</v>
      </c>
      <c r="Q471" s="133">
        <v>0</v>
      </c>
      <c r="R471" s="133">
        <v>0</v>
      </c>
      <c r="S471" s="156"/>
    </row>
    <row r="472" spans="1:19">
      <c r="A472" s="133" t="s">
        <v>1180</v>
      </c>
      <c r="B472" s="133" t="s">
        <v>1175</v>
      </c>
      <c r="C472" s="133" t="s">
        <v>1000</v>
      </c>
      <c r="D472" s="133" t="s">
        <v>603</v>
      </c>
      <c r="E472" s="133" t="s">
        <v>604</v>
      </c>
      <c r="F472" s="133" t="s">
        <v>712</v>
      </c>
      <c r="G472" s="133" t="s">
        <v>715</v>
      </c>
      <c r="H472" s="133">
        <v>20.54</v>
      </c>
      <c r="I472" s="133">
        <v>41</v>
      </c>
      <c r="J472" s="133">
        <v>0</v>
      </c>
      <c r="K472" s="133">
        <v>0</v>
      </c>
      <c r="L472" s="133">
        <v>0</v>
      </c>
      <c r="M472" s="133" t="s">
        <v>1096</v>
      </c>
      <c r="N472" s="133">
        <v>0</v>
      </c>
      <c r="P472" s="133">
        <v>0</v>
      </c>
      <c r="Q472" s="133">
        <v>0</v>
      </c>
      <c r="R472" s="133">
        <v>0</v>
      </c>
      <c r="S472" s="156"/>
    </row>
    <row r="473" spans="1:19">
      <c r="A473" s="133" t="s">
        <v>1180</v>
      </c>
      <c r="B473" s="133" t="s">
        <v>1175</v>
      </c>
      <c r="C473" s="133" t="s">
        <v>1000</v>
      </c>
      <c r="D473" s="133" t="s">
        <v>605</v>
      </c>
      <c r="E473" s="133" t="s">
        <v>606</v>
      </c>
      <c r="F473" s="133" t="s">
        <v>709</v>
      </c>
      <c r="G473" s="133" t="s">
        <v>719</v>
      </c>
      <c r="H473" s="133">
        <v>1.35</v>
      </c>
      <c r="I473" s="133">
        <v>8.69</v>
      </c>
      <c r="J473" s="133">
        <v>1048</v>
      </c>
      <c r="K473" s="133">
        <v>0</v>
      </c>
      <c r="L473" s="133">
        <v>10</v>
      </c>
      <c r="M473" s="133" t="s">
        <v>1096</v>
      </c>
      <c r="N473" s="133">
        <v>0</v>
      </c>
      <c r="P473" s="133">
        <v>0</v>
      </c>
      <c r="Q473" s="133">
        <v>10</v>
      </c>
      <c r="R473" s="133">
        <v>0</v>
      </c>
      <c r="S473" s="156"/>
    </row>
    <row r="474" spans="1:19">
      <c r="A474" s="133" t="s">
        <v>1180</v>
      </c>
      <c r="B474" s="133" t="s">
        <v>1175</v>
      </c>
      <c r="C474" s="133" t="s">
        <v>1000</v>
      </c>
      <c r="D474" s="133" t="s">
        <v>607</v>
      </c>
      <c r="E474" s="133" t="s">
        <v>608</v>
      </c>
      <c r="F474" s="133" t="s">
        <v>709</v>
      </c>
      <c r="G474" s="133" t="s">
        <v>719</v>
      </c>
      <c r="H474" s="133">
        <v>0.99</v>
      </c>
      <c r="I474" s="133">
        <v>4.8899999999999997</v>
      </c>
      <c r="J474" s="133">
        <v>0</v>
      </c>
      <c r="K474" s="133">
        <v>0</v>
      </c>
      <c r="L474" s="133">
        <v>0</v>
      </c>
      <c r="M474" s="133" t="s">
        <v>1096</v>
      </c>
      <c r="N474" s="133">
        <v>0</v>
      </c>
      <c r="P474" s="133">
        <v>0</v>
      </c>
      <c r="Q474" s="133">
        <v>0</v>
      </c>
      <c r="R474" s="133">
        <v>0</v>
      </c>
      <c r="S474" s="156"/>
    </row>
    <row r="475" spans="1:19">
      <c r="A475" s="133" t="s">
        <v>1180</v>
      </c>
      <c r="B475" s="133" t="s">
        <v>1175</v>
      </c>
      <c r="C475" s="133" t="s">
        <v>1000</v>
      </c>
      <c r="D475" s="133" t="s">
        <v>609</v>
      </c>
      <c r="E475" s="133" t="s">
        <v>610</v>
      </c>
      <c r="F475" s="133" t="s">
        <v>709</v>
      </c>
      <c r="G475" s="133" t="s">
        <v>719</v>
      </c>
      <c r="H475" s="133">
        <v>5.9</v>
      </c>
      <c r="I475" s="133">
        <v>34.9</v>
      </c>
      <c r="J475" s="133">
        <v>20</v>
      </c>
      <c r="K475" s="133">
        <v>0</v>
      </c>
      <c r="L475" s="133">
        <v>9</v>
      </c>
      <c r="M475" s="133" t="s">
        <v>1096</v>
      </c>
      <c r="N475" s="133">
        <v>0</v>
      </c>
      <c r="P475" s="133">
        <v>0</v>
      </c>
      <c r="Q475" s="133">
        <v>9</v>
      </c>
      <c r="R475" s="133">
        <v>0</v>
      </c>
      <c r="S475" s="156"/>
    </row>
    <row r="476" spans="1:19">
      <c r="A476" s="133" t="s">
        <v>1180</v>
      </c>
      <c r="B476" s="133" t="s">
        <v>1175</v>
      </c>
      <c r="C476" s="133" t="s">
        <v>1000</v>
      </c>
      <c r="D476" s="133" t="s">
        <v>611</v>
      </c>
      <c r="E476" s="133" t="s">
        <v>612</v>
      </c>
      <c r="F476" s="133" t="s">
        <v>712</v>
      </c>
      <c r="G476" s="133" t="s">
        <v>719</v>
      </c>
      <c r="H476" s="133">
        <v>0.76</v>
      </c>
      <c r="I476" s="133">
        <v>2.29</v>
      </c>
      <c r="J476" s="133">
        <v>407</v>
      </c>
      <c r="K476" s="133">
        <v>0</v>
      </c>
      <c r="L476" s="133">
        <v>11</v>
      </c>
      <c r="M476" s="133" t="s">
        <v>1096</v>
      </c>
      <c r="N476" s="133">
        <v>0</v>
      </c>
      <c r="P476" s="133">
        <v>0</v>
      </c>
      <c r="Q476" s="133">
        <v>11</v>
      </c>
      <c r="R476" s="133">
        <v>0</v>
      </c>
      <c r="S476" s="156"/>
    </row>
    <row r="477" spans="1:19">
      <c r="A477" s="133" t="s">
        <v>1180</v>
      </c>
      <c r="B477" s="133" t="s">
        <v>1175</v>
      </c>
      <c r="C477" s="133" t="s">
        <v>1000</v>
      </c>
      <c r="D477" s="133" t="s">
        <v>613</v>
      </c>
      <c r="E477" s="133" t="s">
        <v>614</v>
      </c>
      <c r="F477" s="133" t="s">
        <v>712</v>
      </c>
      <c r="G477" s="133" t="s">
        <v>719</v>
      </c>
      <c r="H477" s="133">
        <v>3.05</v>
      </c>
      <c r="I477" s="133">
        <v>7.84</v>
      </c>
      <c r="J477" s="133">
        <v>256</v>
      </c>
      <c r="K477" s="133">
        <v>0</v>
      </c>
      <c r="L477" s="133">
        <v>50</v>
      </c>
      <c r="M477" s="133" t="s">
        <v>1096</v>
      </c>
      <c r="N477" s="133">
        <v>0</v>
      </c>
      <c r="P477" s="133">
        <v>0</v>
      </c>
      <c r="Q477" s="133">
        <v>50</v>
      </c>
      <c r="R477" s="133">
        <v>0</v>
      </c>
      <c r="S477" s="156"/>
    </row>
    <row r="478" spans="1:19">
      <c r="A478" s="133" t="s">
        <v>1180</v>
      </c>
      <c r="B478" s="133" t="s">
        <v>1175</v>
      </c>
      <c r="C478" s="133" t="s">
        <v>1000</v>
      </c>
      <c r="D478" s="133" t="s">
        <v>615</v>
      </c>
      <c r="E478" s="133" t="s">
        <v>616</v>
      </c>
      <c r="F478" s="133" t="s">
        <v>712</v>
      </c>
      <c r="G478" s="133" t="s">
        <v>719</v>
      </c>
      <c r="H478" s="133">
        <v>5.97</v>
      </c>
      <c r="I478" s="133">
        <v>14.39</v>
      </c>
      <c r="J478" s="133">
        <v>267</v>
      </c>
      <c r="K478" s="133">
        <v>0</v>
      </c>
      <c r="L478" s="133">
        <v>0</v>
      </c>
      <c r="M478" s="133" t="s">
        <v>1096</v>
      </c>
      <c r="N478" s="133">
        <v>0</v>
      </c>
      <c r="P478" s="133">
        <v>0</v>
      </c>
      <c r="Q478" s="133">
        <v>0</v>
      </c>
      <c r="R478" s="133">
        <v>0</v>
      </c>
      <c r="S478" s="156"/>
    </row>
    <row r="479" spans="1:19">
      <c r="A479" s="133" t="s">
        <v>1180</v>
      </c>
      <c r="B479" s="133" t="s">
        <v>1175</v>
      </c>
      <c r="C479" s="133" t="s">
        <v>1000</v>
      </c>
      <c r="D479" s="133" t="s">
        <v>617</v>
      </c>
      <c r="E479" s="133" t="s">
        <v>618</v>
      </c>
      <c r="F479" s="133" t="s">
        <v>709</v>
      </c>
      <c r="G479" s="133" t="s">
        <v>719</v>
      </c>
      <c r="H479" s="133">
        <v>2.37</v>
      </c>
      <c r="I479" s="133">
        <v>6.3</v>
      </c>
      <c r="J479" s="133">
        <v>935</v>
      </c>
      <c r="K479" s="133">
        <v>0</v>
      </c>
      <c r="L479" s="133">
        <v>141</v>
      </c>
      <c r="M479" s="133" t="s">
        <v>1096</v>
      </c>
      <c r="N479" s="133">
        <v>0</v>
      </c>
      <c r="P479" s="133">
        <v>0</v>
      </c>
      <c r="Q479" s="133">
        <v>141</v>
      </c>
      <c r="R479" s="133">
        <v>0</v>
      </c>
      <c r="S479" s="156"/>
    </row>
    <row r="480" spans="1:19">
      <c r="A480" s="133" t="s">
        <v>1180</v>
      </c>
      <c r="B480" s="133" t="s">
        <v>1175</v>
      </c>
      <c r="C480" s="133" t="s">
        <v>1000</v>
      </c>
      <c r="D480" s="133" t="s">
        <v>619</v>
      </c>
      <c r="E480" s="133" t="s">
        <v>620</v>
      </c>
      <c r="F480" s="133" t="s">
        <v>709</v>
      </c>
      <c r="G480" s="133" t="s">
        <v>719</v>
      </c>
      <c r="H480" s="133">
        <v>11.05</v>
      </c>
      <c r="I480" s="133">
        <v>29</v>
      </c>
      <c r="J480" s="133">
        <v>64</v>
      </c>
      <c r="K480" s="133">
        <v>0</v>
      </c>
      <c r="L480" s="133">
        <v>20</v>
      </c>
      <c r="M480" s="133" t="s">
        <v>1096</v>
      </c>
      <c r="N480" s="133">
        <v>0</v>
      </c>
      <c r="P480" s="133">
        <v>0</v>
      </c>
      <c r="Q480" s="133">
        <v>20</v>
      </c>
      <c r="R480" s="133">
        <v>0</v>
      </c>
      <c r="S480" s="156"/>
    </row>
    <row r="481" spans="1:19">
      <c r="A481" s="133" t="s">
        <v>1180</v>
      </c>
      <c r="B481" s="133" t="s">
        <v>1175</v>
      </c>
      <c r="C481" s="133" t="s">
        <v>1000</v>
      </c>
      <c r="D481" s="133" t="s">
        <v>621</v>
      </c>
      <c r="E481" s="133" t="s">
        <v>622</v>
      </c>
      <c r="F481" s="133" t="s">
        <v>712</v>
      </c>
      <c r="G481" s="133" t="s">
        <v>719</v>
      </c>
      <c r="H481" s="133">
        <v>0.7</v>
      </c>
      <c r="I481" s="133">
        <v>1.99</v>
      </c>
      <c r="J481" s="133">
        <v>52</v>
      </c>
      <c r="K481" s="133">
        <v>0</v>
      </c>
      <c r="L481" s="133">
        <v>0</v>
      </c>
      <c r="M481" s="133" t="s">
        <v>1096</v>
      </c>
      <c r="N481" s="133">
        <v>0</v>
      </c>
      <c r="P481" s="133">
        <v>0</v>
      </c>
      <c r="Q481" s="133">
        <v>0</v>
      </c>
      <c r="R481" s="133">
        <v>0</v>
      </c>
      <c r="S481" s="156"/>
    </row>
    <row r="482" spans="1:19">
      <c r="A482" s="133" t="s">
        <v>1180</v>
      </c>
      <c r="B482" s="133" t="s">
        <v>1175</v>
      </c>
      <c r="C482" s="133" t="s">
        <v>1000</v>
      </c>
      <c r="D482" s="133" t="s">
        <v>623</v>
      </c>
      <c r="E482" s="133" t="s">
        <v>624</v>
      </c>
      <c r="F482" s="133" t="s">
        <v>712</v>
      </c>
      <c r="G482" s="133" t="s">
        <v>719</v>
      </c>
      <c r="H482" s="133">
        <v>1.3</v>
      </c>
      <c r="I482" s="133">
        <v>2.99</v>
      </c>
      <c r="J482" s="133">
        <v>448</v>
      </c>
      <c r="K482" s="133">
        <v>250</v>
      </c>
      <c r="L482" s="133">
        <v>106</v>
      </c>
      <c r="M482" s="133" t="s">
        <v>714</v>
      </c>
      <c r="N482" s="133">
        <v>0</v>
      </c>
      <c r="P482" s="133">
        <v>0</v>
      </c>
      <c r="Q482" s="133">
        <v>106</v>
      </c>
      <c r="R482" s="133">
        <v>144</v>
      </c>
      <c r="S482" s="156">
        <v>0.57599999999999996</v>
      </c>
    </row>
    <row r="483" spans="1:19">
      <c r="A483" s="133" t="s">
        <v>1180</v>
      </c>
      <c r="B483" s="133" t="s">
        <v>1175</v>
      </c>
      <c r="C483" s="133" t="s">
        <v>1000</v>
      </c>
      <c r="D483" s="133" t="s">
        <v>625</v>
      </c>
      <c r="E483" s="133" t="s">
        <v>626</v>
      </c>
      <c r="F483" s="133" t="s">
        <v>712</v>
      </c>
      <c r="G483" s="133" t="s">
        <v>719</v>
      </c>
      <c r="H483" s="133">
        <v>6</v>
      </c>
      <c r="I483" s="133">
        <v>12.99</v>
      </c>
      <c r="J483" s="133">
        <v>539</v>
      </c>
      <c r="K483" s="133">
        <v>0</v>
      </c>
      <c r="L483" s="133">
        <v>0</v>
      </c>
      <c r="M483" s="133" t="s">
        <v>1096</v>
      </c>
      <c r="N483" s="133">
        <v>0</v>
      </c>
      <c r="P483" s="133">
        <v>0</v>
      </c>
      <c r="Q483" s="133">
        <v>0</v>
      </c>
      <c r="R483" s="133">
        <v>0</v>
      </c>
      <c r="S483" s="156"/>
    </row>
    <row r="484" spans="1:19">
      <c r="A484" s="133" t="s">
        <v>1180</v>
      </c>
      <c r="B484" s="133" t="s">
        <v>1175</v>
      </c>
      <c r="C484" s="133" t="s">
        <v>1000</v>
      </c>
      <c r="D484" s="133" t="s">
        <v>627</v>
      </c>
      <c r="E484" s="133" t="s">
        <v>628</v>
      </c>
      <c r="F484" s="133" t="s">
        <v>712</v>
      </c>
      <c r="G484" s="133" t="s">
        <v>715</v>
      </c>
      <c r="H484" s="133">
        <v>1.05</v>
      </c>
      <c r="I484" s="133">
        <v>2.59</v>
      </c>
      <c r="J484" s="133">
        <v>116</v>
      </c>
      <c r="K484" s="133">
        <v>0</v>
      </c>
      <c r="L484" s="133">
        <v>0</v>
      </c>
      <c r="M484" s="133" t="s">
        <v>1096</v>
      </c>
      <c r="N484" s="133">
        <v>0</v>
      </c>
      <c r="P484" s="133">
        <v>0</v>
      </c>
      <c r="Q484" s="133">
        <v>0</v>
      </c>
      <c r="R484" s="133">
        <v>0</v>
      </c>
      <c r="S484" s="156"/>
    </row>
    <row r="485" spans="1:19">
      <c r="A485" s="133" t="s">
        <v>1180</v>
      </c>
      <c r="B485" s="133" t="s">
        <v>1175</v>
      </c>
      <c r="C485" s="133" t="s">
        <v>1000</v>
      </c>
      <c r="D485" s="133" t="s">
        <v>629</v>
      </c>
      <c r="E485" s="133" t="s">
        <v>630</v>
      </c>
      <c r="F485" s="133" t="s">
        <v>712</v>
      </c>
      <c r="G485" s="133" t="s">
        <v>715</v>
      </c>
      <c r="H485" s="133">
        <v>2.27</v>
      </c>
      <c r="I485" s="133">
        <v>5.49</v>
      </c>
      <c r="J485" s="133">
        <v>317</v>
      </c>
      <c r="K485" s="133">
        <v>0</v>
      </c>
      <c r="L485" s="133">
        <v>0</v>
      </c>
      <c r="M485" s="133" t="s">
        <v>1096</v>
      </c>
      <c r="N485" s="133">
        <v>0</v>
      </c>
      <c r="P485" s="133">
        <v>0</v>
      </c>
      <c r="Q485" s="133">
        <v>0</v>
      </c>
      <c r="R485" s="133">
        <v>0</v>
      </c>
      <c r="S485" s="156"/>
    </row>
    <row r="486" spans="1:19">
      <c r="A486" s="133" t="s">
        <v>1180</v>
      </c>
      <c r="B486" s="133" t="s">
        <v>1175</v>
      </c>
      <c r="C486" s="133" t="s">
        <v>1000</v>
      </c>
      <c r="D486" s="133" t="s">
        <v>631</v>
      </c>
      <c r="E486" s="133" t="s">
        <v>632</v>
      </c>
      <c r="F486" s="133" t="s">
        <v>712</v>
      </c>
      <c r="G486" s="133" t="s">
        <v>715</v>
      </c>
      <c r="H486" s="133">
        <v>4.3600000000000003</v>
      </c>
      <c r="I486" s="133">
        <v>9.99</v>
      </c>
      <c r="J486" s="133">
        <v>132</v>
      </c>
      <c r="K486" s="133">
        <v>0</v>
      </c>
      <c r="L486" s="133">
        <v>0</v>
      </c>
      <c r="M486" s="133" t="s">
        <v>1096</v>
      </c>
      <c r="N486" s="133">
        <v>0</v>
      </c>
      <c r="P486" s="133">
        <v>0</v>
      </c>
      <c r="Q486" s="133">
        <v>0</v>
      </c>
      <c r="R486" s="133">
        <v>0</v>
      </c>
      <c r="S486" s="156"/>
    </row>
    <row r="487" spans="1:19">
      <c r="A487" s="133" t="s">
        <v>1180</v>
      </c>
      <c r="B487" s="133" t="s">
        <v>1175</v>
      </c>
      <c r="C487" s="133" t="s">
        <v>1000</v>
      </c>
      <c r="D487" s="133" t="s">
        <v>633</v>
      </c>
      <c r="E487" s="133" t="s">
        <v>634</v>
      </c>
      <c r="F487" s="133" t="s">
        <v>712</v>
      </c>
      <c r="G487" s="133" t="s">
        <v>715</v>
      </c>
      <c r="H487" s="133">
        <v>8.4600000000000009</v>
      </c>
      <c r="I487" s="133">
        <v>18.989999999999998</v>
      </c>
      <c r="J487" s="133">
        <v>450</v>
      </c>
      <c r="K487" s="133">
        <v>0</v>
      </c>
      <c r="L487" s="133">
        <v>0</v>
      </c>
      <c r="M487" s="133" t="s">
        <v>1096</v>
      </c>
      <c r="N487" s="133">
        <v>0</v>
      </c>
      <c r="P487" s="133">
        <v>0</v>
      </c>
      <c r="Q487" s="133">
        <v>0</v>
      </c>
      <c r="R487" s="133">
        <v>0</v>
      </c>
      <c r="S487" s="156"/>
    </row>
    <row r="488" spans="1:19">
      <c r="A488" s="133" t="s">
        <v>1180</v>
      </c>
      <c r="B488" s="133" t="s">
        <v>1175</v>
      </c>
      <c r="C488" s="133" t="s">
        <v>1000</v>
      </c>
      <c r="D488" s="133" t="s">
        <v>635</v>
      </c>
      <c r="E488" s="133" t="s">
        <v>636</v>
      </c>
      <c r="F488" s="133" t="s">
        <v>709</v>
      </c>
      <c r="G488" s="133" t="s">
        <v>719</v>
      </c>
      <c r="H488" s="133">
        <v>0.82</v>
      </c>
      <c r="I488" s="133">
        <v>1.99</v>
      </c>
      <c r="J488" s="133">
        <v>497</v>
      </c>
      <c r="K488" s="133">
        <v>0</v>
      </c>
      <c r="L488" s="133">
        <v>1</v>
      </c>
      <c r="M488" s="133" t="s">
        <v>1096</v>
      </c>
      <c r="N488" s="133">
        <v>0</v>
      </c>
      <c r="P488" s="133">
        <v>0</v>
      </c>
      <c r="Q488" s="133">
        <v>1</v>
      </c>
      <c r="R488" s="133">
        <v>0</v>
      </c>
      <c r="S488" s="156"/>
    </row>
    <row r="489" spans="1:19">
      <c r="A489" s="133" t="s">
        <v>1180</v>
      </c>
      <c r="B489" s="133" t="s">
        <v>1175</v>
      </c>
      <c r="C489" s="133" t="s">
        <v>1000</v>
      </c>
      <c r="D489" s="133" t="s">
        <v>637</v>
      </c>
      <c r="E489" s="133" t="s">
        <v>638</v>
      </c>
      <c r="F489" s="133" t="s">
        <v>709</v>
      </c>
      <c r="G489" s="133" t="s">
        <v>719</v>
      </c>
      <c r="H489" s="133">
        <v>1.35</v>
      </c>
      <c r="I489" s="133">
        <v>3.59</v>
      </c>
      <c r="J489" s="133">
        <v>1748</v>
      </c>
      <c r="K489" s="133">
        <v>0</v>
      </c>
      <c r="L489" s="133">
        <v>66</v>
      </c>
      <c r="M489" s="133" t="s">
        <v>1096</v>
      </c>
      <c r="N489" s="133">
        <v>0</v>
      </c>
      <c r="P489" s="133">
        <v>0</v>
      </c>
      <c r="Q489" s="133">
        <v>66</v>
      </c>
      <c r="R489" s="133">
        <v>0</v>
      </c>
      <c r="S489" s="156"/>
    </row>
    <row r="490" spans="1:19">
      <c r="A490" s="133" t="s">
        <v>1180</v>
      </c>
      <c r="B490" s="133" t="s">
        <v>1175</v>
      </c>
      <c r="C490" s="133" t="s">
        <v>1000</v>
      </c>
      <c r="D490" s="133" t="s">
        <v>639</v>
      </c>
      <c r="E490" s="133" t="s">
        <v>640</v>
      </c>
      <c r="F490" s="133" t="s">
        <v>709</v>
      </c>
      <c r="G490" s="133" t="s">
        <v>719</v>
      </c>
      <c r="H490" s="133">
        <v>2.34</v>
      </c>
      <c r="I490" s="133">
        <v>5.79</v>
      </c>
      <c r="J490" s="133">
        <v>618</v>
      </c>
      <c r="K490" s="133">
        <v>0</v>
      </c>
      <c r="L490" s="133">
        <v>38</v>
      </c>
      <c r="M490" s="133" t="s">
        <v>1096</v>
      </c>
      <c r="N490" s="133">
        <v>0</v>
      </c>
      <c r="P490" s="133">
        <v>0</v>
      </c>
      <c r="Q490" s="133">
        <v>38</v>
      </c>
      <c r="R490" s="133">
        <v>0</v>
      </c>
      <c r="S490" s="156"/>
    </row>
    <row r="491" spans="1:19">
      <c r="A491" s="133" t="s">
        <v>1180</v>
      </c>
      <c r="B491" s="133" t="s">
        <v>1175</v>
      </c>
      <c r="C491" s="133" t="s">
        <v>1000</v>
      </c>
      <c r="D491" s="133" t="s">
        <v>641</v>
      </c>
      <c r="E491" s="133" t="s">
        <v>642</v>
      </c>
      <c r="F491" s="133" t="s">
        <v>709</v>
      </c>
      <c r="G491" s="133" t="s">
        <v>719</v>
      </c>
      <c r="H491" s="133">
        <v>5.27</v>
      </c>
      <c r="I491" s="133">
        <v>11.5</v>
      </c>
      <c r="J491" s="133">
        <v>724</v>
      </c>
      <c r="K491" s="133">
        <v>0</v>
      </c>
      <c r="L491" s="133">
        <v>2</v>
      </c>
      <c r="M491" s="133" t="s">
        <v>1096</v>
      </c>
      <c r="N491" s="133">
        <v>0</v>
      </c>
      <c r="P491" s="133">
        <v>0</v>
      </c>
      <c r="Q491" s="133">
        <v>2</v>
      </c>
      <c r="R491" s="133">
        <v>0</v>
      </c>
      <c r="S491" s="156"/>
    </row>
    <row r="492" spans="1:19">
      <c r="A492" s="133" t="s">
        <v>1180</v>
      </c>
      <c r="B492" s="133" t="s">
        <v>1175</v>
      </c>
      <c r="C492" s="133" t="s">
        <v>1000</v>
      </c>
      <c r="D492" s="133" t="s">
        <v>647</v>
      </c>
      <c r="E492" s="133" t="s">
        <v>648</v>
      </c>
      <c r="F492" s="133" t="s">
        <v>708</v>
      </c>
      <c r="G492" s="133" t="s">
        <v>715</v>
      </c>
      <c r="H492" s="133">
        <v>10.039999999999999</v>
      </c>
      <c r="I492" s="133">
        <v>24.9</v>
      </c>
      <c r="J492" s="133">
        <v>861</v>
      </c>
      <c r="K492" s="133">
        <v>0</v>
      </c>
      <c r="L492" s="133">
        <v>0</v>
      </c>
      <c r="M492" s="133" t="s">
        <v>1096</v>
      </c>
      <c r="N492" s="133">
        <v>0</v>
      </c>
      <c r="P492" s="133">
        <v>0</v>
      </c>
      <c r="Q492" s="133">
        <v>0</v>
      </c>
      <c r="R492" s="133">
        <v>0</v>
      </c>
      <c r="S492" s="156"/>
    </row>
    <row r="493" spans="1:19">
      <c r="A493" s="133" t="s">
        <v>1180</v>
      </c>
      <c r="B493" s="133" t="s">
        <v>1175</v>
      </c>
      <c r="C493" s="133" t="s">
        <v>1000</v>
      </c>
      <c r="D493" s="133" t="s">
        <v>649</v>
      </c>
      <c r="E493" s="133" t="s">
        <v>650</v>
      </c>
      <c r="F493" s="133" t="s">
        <v>708</v>
      </c>
      <c r="G493" s="133" t="s">
        <v>715</v>
      </c>
      <c r="H493" s="133">
        <v>50.77</v>
      </c>
      <c r="I493" s="133">
        <v>109.81</v>
      </c>
      <c r="J493" s="133">
        <v>5</v>
      </c>
      <c r="K493" s="133">
        <v>0</v>
      </c>
      <c r="L493" s="133">
        <v>0</v>
      </c>
      <c r="M493" s="133" t="s">
        <v>1096</v>
      </c>
      <c r="N493" s="133">
        <v>0</v>
      </c>
      <c r="P493" s="133">
        <v>0</v>
      </c>
      <c r="Q493" s="133">
        <v>0</v>
      </c>
      <c r="R493" s="133">
        <v>0</v>
      </c>
      <c r="S493" s="156"/>
    </row>
    <row r="494" spans="1:19">
      <c r="A494" s="133" t="s">
        <v>1180</v>
      </c>
      <c r="B494" s="133" t="s">
        <v>1175</v>
      </c>
      <c r="C494" s="133" t="s">
        <v>1000</v>
      </c>
      <c r="D494" s="133" t="s">
        <v>659</v>
      </c>
      <c r="E494" s="133" t="s">
        <v>660</v>
      </c>
      <c r="F494" s="133" t="s">
        <v>707</v>
      </c>
      <c r="G494" s="133" t="s">
        <v>732</v>
      </c>
      <c r="H494" s="133">
        <v>121.78</v>
      </c>
      <c r="I494" s="133">
        <v>189</v>
      </c>
      <c r="J494" s="133">
        <v>1</v>
      </c>
      <c r="K494" s="133">
        <v>0</v>
      </c>
      <c r="L494" s="133">
        <v>0</v>
      </c>
      <c r="M494" s="133" t="s">
        <v>1096</v>
      </c>
      <c r="N494" s="133">
        <v>0</v>
      </c>
      <c r="P494" s="133">
        <v>0</v>
      </c>
      <c r="Q494" s="133">
        <v>0</v>
      </c>
      <c r="R494" s="133">
        <v>0</v>
      </c>
      <c r="S494" s="156"/>
    </row>
    <row r="495" spans="1:19">
      <c r="A495" s="133" t="s">
        <v>1180</v>
      </c>
      <c r="B495" s="133" t="s">
        <v>1175</v>
      </c>
      <c r="C495" s="133" t="s">
        <v>1000</v>
      </c>
      <c r="D495" s="133" t="s">
        <v>661</v>
      </c>
      <c r="E495" s="133" t="s">
        <v>662</v>
      </c>
      <c r="F495" s="133" t="s">
        <v>707</v>
      </c>
      <c r="G495" s="133" t="s">
        <v>732</v>
      </c>
      <c r="H495" s="133">
        <v>24.73</v>
      </c>
      <c r="I495" s="133">
        <v>38.4</v>
      </c>
      <c r="J495" s="133">
        <v>8</v>
      </c>
      <c r="K495" s="133">
        <v>0</v>
      </c>
      <c r="L495" s="133">
        <v>0</v>
      </c>
      <c r="M495" s="133" t="s">
        <v>1096</v>
      </c>
      <c r="N495" s="133">
        <v>0</v>
      </c>
      <c r="P495" s="133">
        <v>0</v>
      </c>
      <c r="Q495" s="133">
        <v>0</v>
      </c>
      <c r="R495" s="133">
        <v>0</v>
      </c>
      <c r="S495" s="156"/>
    </row>
    <row r="496" spans="1:19">
      <c r="A496" s="133" t="s">
        <v>1180</v>
      </c>
      <c r="B496" s="133" t="s">
        <v>1175</v>
      </c>
      <c r="C496" s="133" t="s">
        <v>1000</v>
      </c>
      <c r="D496" s="133" t="s">
        <v>663</v>
      </c>
      <c r="E496" s="133" t="s">
        <v>664</v>
      </c>
      <c r="F496" s="133" t="s">
        <v>707</v>
      </c>
      <c r="G496" s="133" t="s">
        <v>732</v>
      </c>
      <c r="H496" s="133">
        <v>6.54</v>
      </c>
      <c r="I496" s="133">
        <v>10.5</v>
      </c>
      <c r="J496" s="133">
        <v>184</v>
      </c>
      <c r="K496" s="133">
        <v>0</v>
      </c>
      <c r="L496" s="133">
        <v>0</v>
      </c>
      <c r="M496" s="133" t="s">
        <v>1096</v>
      </c>
      <c r="N496" s="133">
        <v>0</v>
      </c>
      <c r="P496" s="133">
        <v>0</v>
      </c>
      <c r="Q496" s="133">
        <v>0</v>
      </c>
      <c r="R496" s="133">
        <v>0</v>
      </c>
      <c r="S496" s="156"/>
    </row>
    <row r="497" spans="1:19">
      <c r="A497" s="133" t="s">
        <v>1180</v>
      </c>
      <c r="B497" s="133" t="s">
        <v>1175</v>
      </c>
      <c r="C497" s="133" t="s">
        <v>1000</v>
      </c>
      <c r="D497" s="133" t="s">
        <v>733</v>
      </c>
      <c r="E497" s="133" t="s">
        <v>734</v>
      </c>
      <c r="F497" s="133" t="s">
        <v>709</v>
      </c>
      <c r="G497" s="133" t="s">
        <v>732</v>
      </c>
      <c r="H497" s="133">
        <v>16.05</v>
      </c>
      <c r="I497" s="133">
        <v>30.15</v>
      </c>
      <c r="J497" s="133">
        <v>15</v>
      </c>
      <c r="K497" s="133">
        <v>0</v>
      </c>
      <c r="L497" s="133">
        <v>15</v>
      </c>
      <c r="M497" s="133" t="s">
        <v>1096</v>
      </c>
      <c r="N497" s="133">
        <v>0</v>
      </c>
      <c r="P497" s="133">
        <v>0</v>
      </c>
      <c r="Q497" s="133">
        <v>15</v>
      </c>
      <c r="R497" s="133">
        <v>0</v>
      </c>
      <c r="S497" s="156"/>
    </row>
    <row r="498" spans="1:19">
      <c r="A498" s="133" t="s">
        <v>1180</v>
      </c>
      <c r="B498" s="133" t="s">
        <v>1175</v>
      </c>
      <c r="C498" s="133" t="s">
        <v>1000</v>
      </c>
      <c r="D498" s="133" t="s">
        <v>730</v>
      </c>
      <c r="E498" s="133" t="s">
        <v>731</v>
      </c>
      <c r="F498" s="133" t="s">
        <v>709</v>
      </c>
      <c r="G498" s="133" t="s">
        <v>732</v>
      </c>
      <c r="H498" s="133">
        <v>62.58</v>
      </c>
      <c r="I498" s="133">
        <v>108</v>
      </c>
      <c r="J498" s="133">
        <v>56</v>
      </c>
      <c r="K498" s="133">
        <v>0</v>
      </c>
      <c r="L498" s="133">
        <v>9</v>
      </c>
      <c r="M498" s="133" t="s">
        <v>1096</v>
      </c>
      <c r="N498" s="133">
        <v>0</v>
      </c>
      <c r="P498" s="133">
        <v>0</v>
      </c>
      <c r="Q498" s="133">
        <v>9</v>
      </c>
      <c r="R498" s="133">
        <v>0</v>
      </c>
      <c r="S498" s="156"/>
    </row>
    <row r="499" spans="1:19">
      <c r="A499" s="133" t="s">
        <v>1180</v>
      </c>
      <c r="B499" s="133" t="s">
        <v>1175</v>
      </c>
      <c r="C499" s="133" t="s">
        <v>1000</v>
      </c>
      <c r="D499" s="133" t="s">
        <v>665</v>
      </c>
      <c r="E499" s="133" t="s">
        <v>666</v>
      </c>
      <c r="F499" s="133" t="s">
        <v>709</v>
      </c>
      <c r="G499" s="133" t="s">
        <v>715</v>
      </c>
      <c r="H499" s="133">
        <v>1.42</v>
      </c>
      <c r="I499" s="133">
        <v>6.5</v>
      </c>
      <c r="J499" s="133">
        <v>44</v>
      </c>
      <c r="K499" s="133">
        <v>168</v>
      </c>
      <c r="L499" s="133">
        <v>88</v>
      </c>
      <c r="M499" s="133" t="s">
        <v>714</v>
      </c>
      <c r="N499" s="133">
        <v>0</v>
      </c>
      <c r="P499" s="133">
        <v>0</v>
      </c>
      <c r="Q499" s="133">
        <v>88</v>
      </c>
      <c r="R499" s="133">
        <v>80</v>
      </c>
      <c r="S499" s="156">
        <v>0.47619047619047616</v>
      </c>
    </row>
    <row r="500" spans="1:19">
      <c r="A500" s="133" t="s">
        <v>1180</v>
      </c>
      <c r="B500" s="133" t="s">
        <v>1175</v>
      </c>
      <c r="C500" s="133" t="s">
        <v>1000</v>
      </c>
      <c r="D500" s="133" t="s">
        <v>667</v>
      </c>
      <c r="E500" s="133" t="s">
        <v>668</v>
      </c>
      <c r="F500" s="133" t="s">
        <v>709</v>
      </c>
      <c r="G500" s="133" t="s">
        <v>715</v>
      </c>
      <c r="H500" s="133">
        <v>14.83</v>
      </c>
      <c r="I500" s="133">
        <v>59</v>
      </c>
      <c r="J500" s="133">
        <v>1</v>
      </c>
      <c r="K500" s="133">
        <v>0</v>
      </c>
      <c r="L500" s="133">
        <v>27</v>
      </c>
      <c r="M500" s="133" t="s">
        <v>1096</v>
      </c>
      <c r="N500" s="133">
        <v>0</v>
      </c>
      <c r="P500" s="133">
        <v>0</v>
      </c>
      <c r="Q500" s="133">
        <v>27</v>
      </c>
      <c r="R500" s="133">
        <v>0</v>
      </c>
      <c r="S500" s="156"/>
    </row>
    <row r="501" spans="1:19">
      <c r="A501" s="133" t="s">
        <v>1180</v>
      </c>
      <c r="B501" s="133" t="s">
        <v>1175</v>
      </c>
      <c r="C501" s="133" t="s">
        <v>1000</v>
      </c>
      <c r="D501" s="133" t="s">
        <v>669</v>
      </c>
      <c r="E501" s="133" t="s">
        <v>670</v>
      </c>
      <c r="F501" s="133" t="s">
        <v>708</v>
      </c>
      <c r="G501" s="133" t="s">
        <v>715</v>
      </c>
      <c r="H501" s="133">
        <v>1.75</v>
      </c>
      <c r="I501" s="133">
        <v>7.32</v>
      </c>
      <c r="J501" s="133">
        <v>596</v>
      </c>
      <c r="K501" s="133">
        <v>0</v>
      </c>
      <c r="L501" s="133">
        <v>0</v>
      </c>
      <c r="M501" s="133" t="s">
        <v>1096</v>
      </c>
      <c r="N501" s="133">
        <v>0</v>
      </c>
      <c r="P501" s="133">
        <v>0</v>
      </c>
      <c r="Q501" s="133">
        <v>0</v>
      </c>
      <c r="R501" s="133">
        <v>0</v>
      </c>
      <c r="S501" s="156"/>
    </row>
    <row r="502" spans="1:19">
      <c r="A502" s="133" t="s">
        <v>1182</v>
      </c>
      <c r="B502" s="133" t="s">
        <v>1175</v>
      </c>
      <c r="C502" s="133" t="s">
        <v>1000</v>
      </c>
      <c r="D502" s="133" t="s">
        <v>85</v>
      </c>
      <c r="E502" s="133" t="s">
        <v>86</v>
      </c>
      <c r="F502" s="133" t="s">
        <v>707</v>
      </c>
      <c r="G502" s="133" t="s">
        <v>715</v>
      </c>
      <c r="H502" s="133">
        <v>0.37</v>
      </c>
      <c r="I502" s="133">
        <v>0</v>
      </c>
      <c r="J502" s="133">
        <v>141</v>
      </c>
      <c r="L502" s="133">
        <v>0</v>
      </c>
      <c r="M502" s="133" t="s">
        <v>1096</v>
      </c>
      <c r="N502" s="133">
        <v>0</v>
      </c>
      <c r="P502" s="133">
        <v>0</v>
      </c>
      <c r="Q502" s="133">
        <v>0</v>
      </c>
      <c r="R502" s="133">
        <v>0</v>
      </c>
      <c r="S502" s="156"/>
    </row>
    <row r="503" spans="1:19">
      <c r="A503" s="133" t="s">
        <v>1182</v>
      </c>
      <c r="B503" s="133" t="s">
        <v>1175</v>
      </c>
      <c r="C503" s="133" t="s">
        <v>1000</v>
      </c>
      <c r="D503" s="133" t="s">
        <v>87</v>
      </c>
      <c r="E503" s="133" t="s">
        <v>88</v>
      </c>
      <c r="F503" s="133" t="s">
        <v>707</v>
      </c>
      <c r="G503" s="133" t="s">
        <v>715</v>
      </c>
      <c r="H503" s="133">
        <v>0.66</v>
      </c>
      <c r="I503" s="133">
        <v>0</v>
      </c>
      <c r="J503" s="133">
        <v>457</v>
      </c>
      <c r="K503" s="133">
        <v>120</v>
      </c>
      <c r="L503" s="133">
        <v>120</v>
      </c>
      <c r="M503" s="133" t="s">
        <v>998</v>
      </c>
      <c r="N503" s="133">
        <v>0</v>
      </c>
      <c r="P503" s="133">
        <v>0</v>
      </c>
      <c r="Q503" s="133">
        <v>120</v>
      </c>
      <c r="R503" s="133">
        <v>0</v>
      </c>
      <c r="S503" s="156">
        <v>0</v>
      </c>
    </row>
    <row r="504" spans="1:19">
      <c r="A504" s="133" t="s">
        <v>1182</v>
      </c>
      <c r="B504" s="133" t="s">
        <v>1175</v>
      </c>
      <c r="C504" s="133" t="s">
        <v>1000</v>
      </c>
      <c r="D504" s="133" t="s">
        <v>89</v>
      </c>
      <c r="E504" s="133" t="s">
        <v>90</v>
      </c>
      <c r="F504" s="133" t="s">
        <v>707</v>
      </c>
      <c r="G504" s="133" t="s">
        <v>715</v>
      </c>
      <c r="H504" s="133">
        <v>1.83</v>
      </c>
      <c r="I504" s="133">
        <v>0</v>
      </c>
      <c r="J504" s="133">
        <v>185</v>
      </c>
      <c r="L504" s="133">
        <v>0</v>
      </c>
      <c r="M504" s="133" t="s">
        <v>1096</v>
      </c>
      <c r="N504" s="133">
        <v>0</v>
      </c>
      <c r="P504" s="133">
        <v>0</v>
      </c>
      <c r="Q504" s="133">
        <v>0</v>
      </c>
      <c r="R504" s="133">
        <v>0</v>
      </c>
      <c r="S504" s="156"/>
    </row>
    <row r="505" spans="1:19">
      <c r="A505" s="133" t="s">
        <v>1182</v>
      </c>
      <c r="B505" s="133" t="s">
        <v>1175</v>
      </c>
      <c r="C505" s="133" t="s">
        <v>1000</v>
      </c>
      <c r="D505" s="133" t="s">
        <v>91</v>
      </c>
      <c r="E505" s="133" t="s">
        <v>92</v>
      </c>
      <c r="F505" s="133" t="s">
        <v>707</v>
      </c>
      <c r="G505" s="133" t="s">
        <v>715</v>
      </c>
      <c r="H505" s="133">
        <v>1.9</v>
      </c>
      <c r="I505" s="133">
        <v>0</v>
      </c>
      <c r="J505" s="133">
        <v>0</v>
      </c>
      <c r="L505" s="133">
        <v>0</v>
      </c>
      <c r="M505" s="133" t="s">
        <v>1096</v>
      </c>
      <c r="N505" s="133">
        <v>0</v>
      </c>
      <c r="P505" s="133">
        <v>0</v>
      </c>
      <c r="Q505" s="133">
        <v>0</v>
      </c>
      <c r="R505" s="133">
        <v>0</v>
      </c>
      <c r="S505" s="156"/>
    </row>
    <row r="506" spans="1:19">
      <c r="A506" s="133" t="s">
        <v>1182</v>
      </c>
      <c r="B506" s="133" t="s">
        <v>1175</v>
      </c>
      <c r="C506" s="133" t="s">
        <v>1000</v>
      </c>
      <c r="D506" s="133" t="s">
        <v>93</v>
      </c>
      <c r="E506" s="133" t="s">
        <v>94</v>
      </c>
      <c r="F506" s="133" t="s">
        <v>707</v>
      </c>
      <c r="G506" s="133" t="s">
        <v>715</v>
      </c>
      <c r="H506" s="133">
        <v>1.88</v>
      </c>
      <c r="I506" s="133">
        <v>0</v>
      </c>
      <c r="J506" s="133">
        <v>793</v>
      </c>
      <c r="L506" s="133">
        <v>0</v>
      </c>
      <c r="M506" s="133" t="s">
        <v>1096</v>
      </c>
      <c r="N506" s="133">
        <v>0</v>
      </c>
      <c r="P506" s="133">
        <v>0</v>
      </c>
      <c r="Q506" s="133">
        <v>0</v>
      </c>
      <c r="R506" s="133">
        <v>0</v>
      </c>
      <c r="S506" s="156"/>
    </row>
    <row r="507" spans="1:19">
      <c r="A507" s="133" t="s">
        <v>1182</v>
      </c>
      <c r="B507" s="133" t="s">
        <v>1175</v>
      </c>
      <c r="C507" s="133" t="s">
        <v>1000</v>
      </c>
      <c r="D507" s="133" t="s">
        <v>95</v>
      </c>
      <c r="E507" s="133" t="s">
        <v>96</v>
      </c>
      <c r="F507" s="133" t="s">
        <v>707</v>
      </c>
      <c r="G507" s="133" t="s">
        <v>715</v>
      </c>
      <c r="H507" s="133">
        <v>1.94</v>
      </c>
      <c r="I507" s="133">
        <v>0</v>
      </c>
      <c r="J507" s="133">
        <v>600</v>
      </c>
      <c r="L507" s="133">
        <v>0</v>
      </c>
      <c r="M507" s="133" t="s">
        <v>1096</v>
      </c>
      <c r="N507" s="133">
        <v>0</v>
      </c>
      <c r="P507" s="133">
        <v>0</v>
      </c>
      <c r="Q507" s="133">
        <v>0</v>
      </c>
      <c r="R507" s="133">
        <v>0</v>
      </c>
      <c r="S507" s="156"/>
    </row>
    <row r="508" spans="1:19">
      <c r="A508" s="133" t="s">
        <v>1182</v>
      </c>
      <c r="B508" s="133" t="s">
        <v>1175</v>
      </c>
      <c r="C508" s="133" t="s">
        <v>1000</v>
      </c>
      <c r="D508" s="133" t="s">
        <v>97</v>
      </c>
      <c r="E508" s="133" t="s">
        <v>98</v>
      </c>
      <c r="F508" s="133" t="s">
        <v>707</v>
      </c>
      <c r="G508" s="133" t="s">
        <v>715</v>
      </c>
      <c r="H508" s="133">
        <v>1.78</v>
      </c>
      <c r="I508" s="133">
        <v>0</v>
      </c>
      <c r="J508" s="133">
        <v>600</v>
      </c>
      <c r="L508" s="133">
        <v>0</v>
      </c>
      <c r="M508" s="133" t="s">
        <v>1096</v>
      </c>
      <c r="N508" s="133">
        <v>0</v>
      </c>
      <c r="P508" s="133">
        <v>0</v>
      </c>
      <c r="Q508" s="133">
        <v>0</v>
      </c>
      <c r="R508" s="133">
        <v>0</v>
      </c>
      <c r="S508" s="156"/>
    </row>
    <row r="509" spans="1:19">
      <c r="A509" s="133" t="s">
        <v>1182</v>
      </c>
      <c r="B509" s="133" t="s">
        <v>1175</v>
      </c>
      <c r="C509" s="133" t="s">
        <v>1000</v>
      </c>
      <c r="D509" s="133" t="s">
        <v>99</v>
      </c>
      <c r="E509" s="133" t="s">
        <v>100</v>
      </c>
      <c r="F509" s="133" t="s">
        <v>707</v>
      </c>
      <c r="G509" s="133" t="s">
        <v>715</v>
      </c>
      <c r="H509" s="133">
        <v>2</v>
      </c>
      <c r="I509" s="133">
        <v>0</v>
      </c>
      <c r="J509" s="133">
        <v>590</v>
      </c>
      <c r="L509" s="133">
        <v>0</v>
      </c>
      <c r="M509" s="133" t="s">
        <v>1096</v>
      </c>
      <c r="N509" s="133">
        <v>0</v>
      </c>
      <c r="P509" s="133">
        <v>0</v>
      </c>
      <c r="Q509" s="133">
        <v>0</v>
      </c>
      <c r="R509" s="133">
        <v>0</v>
      </c>
      <c r="S509" s="156"/>
    </row>
    <row r="510" spans="1:19">
      <c r="A510" s="133" t="s">
        <v>1182</v>
      </c>
      <c r="B510" s="133" t="s">
        <v>1175</v>
      </c>
      <c r="C510" s="133" t="s">
        <v>1000</v>
      </c>
      <c r="D510" s="133" t="s">
        <v>101</v>
      </c>
      <c r="E510" s="133" t="s">
        <v>102</v>
      </c>
      <c r="F510" s="133" t="s">
        <v>707</v>
      </c>
      <c r="G510" s="133" t="s">
        <v>715</v>
      </c>
      <c r="H510" s="133">
        <v>0.87</v>
      </c>
      <c r="I510" s="133">
        <v>0</v>
      </c>
      <c r="J510" s="133">
        <v>14</v>
      </c>
      <c r="L510" s="133">
        <v>0</v>
      </c>
      <c r="M510" s="133" t="s">
        <v>1096</v>
      </c>
      <c r="N510" s="133">
        <v>0</v>
      </c>
      <c r="P510" s="133">
        <v>0</v>
      </c>
      <c r="Q510" s="133">
        <v>0</v>
      </c>
      <c r="R510" s="133">
        <v>0</v>
      </c>
      <c r="S510" s="156"/>
    </row>
    <row r="511" spans="1:19">
      <c r="A511" s="133" t="s">
        <v>1182</v>
      </c>
      <c r="B511" s="133" t="s">
        <v>1175</v>
      </c>
      <c r="C511" s="133" t="s">
        <v>1000</v>
      </c>
      <c r="D511" s="133" t="s">
        <v>103</v>
      </c>
      <c r="E511" s="133" t="s">
        <v>104</v>
      </c>
      <c r="F511" s="133" t="s">
        <v>707</v>
      </c>
      <c r="G511" s="133" t="s">
        <v>715</v>
      </c>
      <c r="H511" s="133">
        <v>1.38</v>
      </c>
      <c r="I511" s="133">
        <v>0</v>
      </c>
      <c r="J511" s="133">
        <v>129</v>
      </c>
      <c r="L511" s="133">
        <v>0</v>
      </c>
      <c r="M511" s="133" t="s">
        <v>1096</v>
      </c>
      <c r="N511" s="133">
        <v>0</v>
      </c>
      <c r="P511" s="133">
        <v>0</v>
      </c>
      <c r="Q511" s="133">
        <v>0</v>
      </c>
      <c r="R511" s="133">
        <v>0</v>
      </c>
      <c r="S511" s="156"/>
    </row>
    <row r="512" spans="1:19">
      <c r="A512" s="133" t="s">
        <v>1182</v>
      </c>
      <c r="B512" s="133" t="s">
        <v>1175</v>
      </c>
      <c r="C512" s="133" t="s">
        <v>1000</v>
      </c>
      <c r="D512" s="133" t="s">
        <v>105</v>
      </c>
      <c r="E512" s="133" t="s">
        <v>106</v>
      </c>
      <c r="F512" s="133" t="s">
        <v>707</v>
      </c>
      <c r="G512" s="133" t="s">
        <v>715</v>
      </c>
      <c r="H512" s="133">
        <v>8.39</v>
      </c>
      <c r="I512" s="133">
        <v>0</v>
      </c>
      <c r="J512" s="133">
        <v>0</v>
      </c>
      <c r="L512" s="133">
        <v>0</v>
      </c>
      <c r="M512" s="133" t="s">
        <v>1096</v>
      </c>
      <c r="N512" s="133">
        <v>0</v>
      </c>
      <c r="P512" s="133">
        <v>0</v>
      </c>
      <c r="Q512" s="133">
        <v>0</v>
      </c>
      <c r="R512" s="133">
        <v>0</v>
      </c>
      <c r="S512" s="156"/>
    </row>
    <row r="513" spans="1:19">
      <c r="A513" s="10" t="s">
        <v>1182</v>
      </c>
      <c r="B513" s="10" t="s">
        <v>1175</v>
      </c>
      <c r="C513" s="10" t="s">
        <v>1000</v>
      </c>
      <c r="D513" s="10" t="s">
        <v>107</v>
      </c>
      <c r="E513" s="10" t="s">
        <v>108</v>
      </c>
      <c r="F513" s="10" t="s">
        <v>707</v>
      </c>
      <c r="G513" s="10" t="s">
        <v>715</v>
      </c>
      <c r="H513" s="10">
        <v>2.61</v>
      </c>
      <c r="I513" s="10">
        <v>0</v>
      </c>
      <c r="J513" s="10">
        <v>176</v>
      </c>
      <c r="K513" s="10"/>
      <c r="L513" s="10">
        <v>0</v>
      </c>
      <c r="M513" s="10" t="s">
        <v>1096</v>
      </c>
      <c r="N513" s="10">
        <v>0</v>
      </c>
      <c r="O513" s="10"/>
      <c r="P513" s="10">
        <v>0</v>
      </c>
      <c r="Q513" s="10">
        <v>0</v>
      </c>
      <c r="R513" s="10">
        <v>0</v>
      </c>
      <c r="S513" s="155"/>
    </row>
    <row r="514" spans="1:19">
      <c r="A514" s="133" t="s">
        <v>1182</v>
      </c>
      <c r="B514" s="133" t="s">
        <v>1175</v>
      </c>
      <c r="C514" s="133" t="s">
        <v>1000</v>
      </c>
      <c r="D514" s="133" t="s">
        <v>109</v>
      </c>
      <c r="E514" s="133" t="s">
        <v>110</v>
      </c>
      <c r="F514" s="133" t="s">
        <v>707</v>
      </c>
      <c r="G514" s="133" t="s">
        <v>715</v>
      </c>
      <c r="H514" s="133">
        <v>1.4</v>
      </c>
      <c r="I514" s="133">
        <v>0</v>
      </c>
      <c r="J514" s="133">
        <v>924</v>
      </c>
      <c r="L514" s="133">
        <v>100</v>
      </c>
      <c r="M514" s="133" t="s">
        <v>1096</v>
      </c>
      <c r="N514" s="133">
        <v>0</v>
      </c>
      <c r="P514" s="133">
        <v>0</v>
      </c>
      <c r="Q514" s="133">
        <v>100</v>
      </c>
      <c r="R514" s="133">
        <v>0</v>
      </c>
      <c r="S514" s="156"/>
    </row>
    <row r="515" spans="1:19">
      <c r="A515" s="133" t="s">
        <v>1182</v>
      </c>
      <c r="B515" s="133" t="s">
        <v>1175</v>
      </c>
      <c r="C515" s="133" t="s">
        <v>1000</v>
      </c>
      <c r="D515" s="133" t="s">
        <v>111</v>
      </c>
      <c r="E515" s="133" t="s">
        <v>112</v>
      </c>
      <c r="F515" s="133" t="s">
        <v>707</v>
      </c>
      <c r="G515" s="133" t="s">
        <v>715</v>
      </c>
      <c r="H515" s="133">
        <v>2.34</v>
      </c>
      <c r="I515" s="133">
        <v>0</v>
      </c>
      <c r="J515" s="133">
        <v>305</v>
      </c>
      <c r="L515" s="133">
        <v>0</v>
      </c>
      <c r="M515" s="133" t="s">
        <v>1096</v>
      </c>
      <c r="N515" s="133">
        <v>0</v>
      </c>
      <c r="P515" s="133">
        <v>0</v>
      </c>
      <c r="Q515" s="133">
        <v>0</v>
      </c>
      <c r="R515" s="133">
        <v>0</v>
      </c>
      <c r="S515" s="156"/>
    </row>
    <row r="516" spans="1:19">
      <c r="A516" s="133" t="s">
        <v>1182</v>
      </c>
      <c r="B516" s="133" t="s">
        <v>1175</v>
      </c>
      <c r="C516" s="133" t="s">
        <v>1000</v>
      </c>
      <c r="D516" s="133" t="s">
        <v>113</v>
      </c>
      <c r="E516" s="133" t="s">
        <v>114</v>
      </c>
      <c r="F516" s="133" t="s">
        <v>707</v>
      </c>
      <c r="G516" s="133" t="s">
        <v>715</v>
      </c>
      <c r="H516" s="133">
        <v>4.62</v>
      </c>
      <c r="I516" s="133">
        <v>0</v>
      </c>
      <c r="J516" s="133">
        <v>128</v>
      </c>
      <c r="K516" s="133">
        <v>15</v>
      </c>
      <c r="L516" s="133">
        <v>55</v>
      </c>
      <c r="M516" s="133" t="s">
        <v>997</v>
      </c>
      <c r="N516" s="133">
        <v>0</v>
      </c>
      <c r="P516" s="133">
        <v>0</v>
      </c>
      <c r="Q516" s="133">
        <v>55</v>
      </c>
      <c r="R516" s="133">
        <v>0</v>
      </c>
      <c r="S516" s="156">
        <v>-2.6666666666666665</v>
      </c>
    </row>
    <row r="517" spans="1:19">
      <c r="A517" s="133" t="s">
        <v>1182</v>
      </c>
      <c r="B517" s="133" t="s">
        <v>1175</v>
      </c>
      <c r="C517" s="133" t="s">
        <v>1000</v>
      </c>
      <c r="D517" s="133" t="s">
        <v>115</v>
      </c>
      <c r="E517" s="133" t="s">
        <v>116</v>
      </c>
      <c r="F517" s="133" t="s">
        <v>707</v>
      </c>
      <c r="G517" s="133" t="s">
        <v>715</v>
      </c>
      <c r="H517" s="133">
        <v>1.63</v>
      </c>
      <c r="I517" s="133">
        <v>0</v>
      </c>
      <c r="J517" s="133">
        <v>141</v>
      </c>
      <c r="L517" s="133">
        <v>0</v>
      </c>
      <c r="M517" s="133" t="s">
        <v>1096</v>
      </c>
      <c r="N517" s="133">
        <v>0</v>
      </c>
      <c r="P517" s="133">
        <v>0</v>
      </c>
      <c r="Q517" s="133">
        <v>0</v>
      </c>
      <c r="R517" s="133">
        <v>0</v>
      </c>
      <c r="S517" s="156"/>
    </row>
    <row r="518" spans="1:19">
      <c r="A518" s="133" t="s">
        <v>1182</v>
      </c>
      <c r="B518" s="133" t="s">
        <v>1175</v>
      </c>
      <c r="C518" s="133" t="s">
        <v>1000</v>
      </c>
      <c r="D518" s="133" t="s">
        <v>117</v>
      </c>
      <c r="E518" s="133" t="s">
        <v>118</v>
      </c>
      <c r="F518" s="133" t="s">
        <v>707</v>
      </c>
      <c r="G518" s="133" t="s">
        <v>727</v>
      </c>
      <c r="H518" s="133">
        <v>3.09</v>
      </c>
      <c r="I518" s="133">
        <v>0</v>
      </c>
      <c r="J518" s="133">
        <v>69</v>
      </c>
      <c r="K518" s="133">
        <v>40</v>
      </c>
      <c r="L518" s="133">
        <v>56</v>
      </c>
      <c r="M518" s="133" t="s">
        <v>997</v>
      </c>
      <c r="N518" s="133">
        <v>0</v>
      </c>
      <c r="P518" s="133">
        <v>0</v>
      </c>
      <c r="Q518" s="133">
        <v>56</v>
      </c>
      <c r="R518" s="133">
        <v>0</v>
      </c>
      <c r="S518" s="156">
        <v>-0.4</v>
      </c>
    </row>
    <row r="519" spans="1:19">
      <c r="A519" s="133" t="s">
        <v>1182</v>
      </c>
      <c r="B519" s="133" t="s">
        <v>1175</v>
      </c>
      <c r="C519" s="133" t="s">
        <v>1000</v>
      </c>
      <c r="D519" s="133" t="s">
        <v>119</v>
      </c>
      <c r="E519" s="133" t="s">
        <v>120</v>
      </c>
      <c r="F519" s="133" t="s">
        <v>707</v>
      </c>
      <c r="G519" s="133" t="s">
        <v>715</v>
      </c>
      <c r="H519" s="133">
        <v>1.93</v>
      </c>
      <c r="I519" s="133">
        <v>0</v>
      </c>
      <c r="J519" s="133">
        <v>291</v>
      </c>
      <c r="L519" s="133">
        <v>0</v>
      </c>
      <c r="M519" s="133" t="s">
        <v>1096</v>
      </c>
      <c r="N519" s="133">
        <v>0</v>
      </c>
      <c r="P519" s="133">
        <v>0</v>
      </c>
      <c r="Q519" s="133">
        <v>0</v>
      </c>
      <c r="R519" s="133">
        <v>0</v>
      </c>
      <c r="S519" s="156"/>
    </row>
    <row r="520" spans="1:19">
      <c r="A520" s="133" t="s">
        <v>1182</v>
      </c>
      <c r="B520" s="133" t="s">
        <v>1175</v>
      </c>
      <c r="C520" s="133" t="s">
        <v>1000</v>
      </c>
      <c r="D520" s="133" t="s">
        <v>121</v>
      </c>
      <c r="E520" s="133" t="s">
        <v>122</v>
      </c>
      <c r="F520" s="133" t="s">
        <v>707</v>
      </c>
      <c r="G520" s="133" t="s">
        <v>715</v>
      </c>
      <c r="H520" s="133">
        <v>1.38</v>
      </c>
      <c r="I520" s="133">
        <v>0</v>
      </c>
      <c r="J520" s="133">
        <v>2</v>
      </c>
      <c r="L520" s="133">
        <v>0</v>
      </c>
      <c r="M520" s="133" t="s">
        <v>1096</v>
      </c>
      <c r="N520" s="133">
        <v>0</v>
      </c>
      <c r="P520" s="133">
        <v>0</v>
      </c>
      <c r="Q520" s="133">
        <v>0</v>
      </c>
      <c r="R520" s="133">
        <v>0</v>
      </c>
      <c r="S520" s="156"/>
    </row>
    <row r="521" spans="1:19">
      <c r="A521" s="133" t="s">
        <v>1182</v>
      </c>
      <c r="B521" s="133" t="s">
        <v>1175</v>
      </c>
      <c r="C521" s="133" t="s">
        <v>1000</v>
      </c>
      <c r="D521" s="133" t="s">
        <v>123</v>
      </c>
      <c r="E521" s="133" t="s">
        <v>124</v>
      </c>
      <c r="F521" s="133" t="s">
        <v>707</v>
      </c>
      <c r="G521" s="133" t="s">
        <v>715</v>
      </c>
      <c r="H521" s="133">
        <v>7.04</v>
      </c>
      <c r="I521" s="133">
        <v>0</v>
      </c>
      <c r="J521" s="133">
        <v>0</v>
      </c>
      <c r="L521" s="133">
        <v>0</v>
      </c>
      <c r="M521" s="133" t="s">
        <v>1096</v>
      </c>
      <c r="N521" s="133">
        <v>0</v>
      </c>
      <c r="P521" s="133">
        <v>0</v>
      </c>
      <c r="Q521" s="133">
        <v>0</v>
      </c>
      <c r="R521" s="133">
        <v>0</v>
      </c>
      <c r="S521" s="156"/>
    </row>
    <row r="522" spans="1:19">
      <c r="A522" s="133" t="s">
        <v>1182</v>
      </c>
      <c r="B522" s="133" t="s">
        <v>1175</v>
      </c>
      <c r="C522" s="133" t="s">
        <v>1000</v>
      </c>
      <c r="D522" s="133" t="s">
        <v>125</v>
      </c>
      <c r="E522" s="133" t="s">
        <v>126</v>
      </c>
      <c r="F522" s="133" t="s">
        <v>707</v>
      </c>
      <c r="G522" s="133" t="s">
        <v>715</v>
      </c>
      <c r="H522" s="133">
        <v>2.54</v>
      </c>
      <c r="I522" s="133">
        <v>0</v>
      </c>
      <c r="J522" s="133">
        <v>68</v>
      </c>
      <c r="L522" s="133">
        <v>0</v>
      </c>
      <c r="M522" s="133" t="s">
        <v>1096</v>
      </c>
      <c r="N522" s="133">
        <v>0</v>
      </c>
      <c r="P522" s="133">
        <v>0</v>
      </c>
      <c r="Q522" s="133">
        <v>0</v>
      </c>
      <c r="R522" s="133">
        <v>0</v>
      </c>
      <c r="S522" s="156"/>
    </row>
    <row r="523" spans="1:19">
      <c r="A523" s="133" t="s">
        <v>1182</v>
      </c>
      <c r="B523" s="133" t="s">
        <v>1175</v>
      </c>
      <c r="C523" s="133" t="s">
        <v>1000</v>
      </c>
      <c r="D523" s="133" t="s">
        <v>127</v>
      </c>
      <c r="E523" s="133" t="s">
        <v>942</v>
      </c>
      <c r="F523" s="133" t="s">
        <v>712</v>
      </c>
      <c r="G523" s="133" t="s">
        <v>715</v>
      </c>
      <c r="H523" s="133">
        <v>1.52</v>
      </c>
      <c r="I523" s="133">
        <v>0</v>
      </c>
      <c r="J523" s="133">
        <v>0</v>
      </c>
      <c r="L523" s="133">
        <v>0</v>
      </c>
      <c r="M523" s="133" t="s">
        <v>1096</v>
      </c>
      <c r="N523" s="133">
        <v>0</v>
      </c>
      <c r="P523" s="133">
        <v>0</v>
      </c>
      <c r="Q523" s="133">
        <v>0</v>
      </c>
      <c r="R523" s="133">
        <v>0</v>
      </c>
      <c r="S523" s="156"/>
    </row>
    <row r="524" spans="1:19">
      <c r="A524" s="133" t="s">
        <v>1182</v>
      </c>
      <c r="B524" s="133" t="s">
        <v>1175</v>
      </c>
      <c r="C524" s="133" t="s">
        <v>1000</v>
      </c>
      <c r="D524" s="133" t="s">
        <v>128</v>
      </c>
      <c r="E524" s="133" t="s">
        <v>129</v>
      </c>
      <c r="F524" s="133" t="s">
        <v>712</v>
      </c>
      <c r="G524" s="133" t="s">
        <v>715</v>
      </c>
      <c r="H524" s="133">
        <v>13.29</v>
      </c>
      <c r="I524" s="133">
        <v>0</v>
      </c>
      <c r="J524" s="133">
        <v>0</v>
      </c>
      <c r="L524" s="133">
        <v>0</v>
      </c>
      <c r="M524" s="133" t="s">
        <v>1096</v>
      </c>
      <c r="N524" s="133">
        <v>0</v>
      </c>
      <c r="P524" s="133">
        <v>0</v>
      </c>
      <c r="Q524" s="133">
        <v>0</v>
      </c>
      <c r="R524" s="133">
        <v>0</v>
      </c>
      <c r="S524" s="156"/>
    </row>
    <row r="525" spans="1:19">
      <c r="A525" s="133" t="s">
        <v>1182</v>
      </c>
      <c r="B525" s="133" t="s">
        <v>1175</v>
      </c>
      <c r="C525" s="133" t="s">
        <v>1000</v>
      </c>
      <c r="D525" s="133" t="s">
        <v>130</v>
      </c>
      <c r="E525" s="133" t="s">
        <v>131</v>
      </c>
      <c r="F525" s="133" t="s">
        <v>707</v>
      </c>
      <c r="G525" s="133" t="s">
        <v>715</v>
      </c>
      <c r="H525" s="133">
        <v>1.64</v>
      </c>
      <c r="I525" s="133">
        <v>0</v>
      </c>
      <c r="J525" s="133">
        <v>534</v>
      </c>
      <c r="K525" s="133">
        <v>10</v>
      </c>
      <c r="L525" s="133">
        <v>13</v>
      </c>
      <c r="M525" s="133" t="s">
        <v>997</v>
      </c>
      <c r="N525" s="133">
        <v>0</v>
      </c>
      <c r="P525" s="133">
        <v>0</v>
      </c>
      <c r="Q525" s="133">
        <v>13</v>
      </c>
      <c r="R525" s="133">
        <v>0</v>
      </c>
      <c r="S525" s="156">
        <v>-0.3</v>
      </c>
    </row>
    <row r="526" spans="1:19">
      <c r="A526" s="133" t="s">
        <v>1182</v>
      </c>
      <c r="B526" s="133" t="s">
        <v>1175</v>
      </c>
      <c r="C526" s="133" t="s">
        <v>1000</v>
      </c>
      <c r="D526" s="133" t="s">
        <v>132</v>
      </c>
      <c r="E526" s="133" t="s">
        <v>133</v>
      </c>
      <c r="F526" s="133" t="s">
        <v>707</v>
      </c>
      <c r="G526" s="133" t="s">
        <v>715</v>
      </c>
      <c r="H526" s="133">
        <v>12.43</v>
      </c>
      <c r="I526" s="133">
        <v>0</v>
      </c>
      <c r="J526" s="133">
        <v>115</v>
      </c>
      <c r="L526" s="133">
        <v>0</v>
      </c>
      <c r="M526" s="133" t="s">
        <v>1096</v>
      </c>
      <c r="N526" s="133">
        <v>0</v>
      </c>
      <c r="P526" s="133">
        <v>0</v>
      </c>
      <c r="Q526" s="133">
        <v>0</v>
      </c>
      <c r="R526" s="133">
        <v>0</v>
      </c>
      <c r="S526" s="156"/>
    </row>
    <row r="527" spans="1:19">
      <c r="A527" s="133" t="s">
        <v>1182</v>
      </c>
      <c r="B527" s="133" t="s">
        <v>1175</v>
      </c>
      <c r="C527" s="133" t="s">
        <v>1000</v>
      </c>
      <c r="D527" s="133" t="s">
        <v>134</v>
      </c>
      <c r="E527" s="133" t="s">
        <v>135</v>
      </c>
      <c r="F527" s="133" t="s">
        <v>707</v>
      </c>
      <c r="G527" s="133" t="s">
        <v>715</v>
      </c>
      <c r="H527" s="133">
        <v>3.47</v>
      </c>
      <c r="I527" s="133">
        <v>0</v>
      </c>
      <c r="J527" s="133">
        <v>316</v>
      </c>
      <c r="K527" s="133">
        <v>15</v>
      </c>
      <c r="L527" s="133">
        <v>15</v>
      </c>
      <c r="M527" s="133" t="s">
        <v>998</v>
      </c>
      <c r="N527" s="133">
        <v>0</v>
      </c>
      <c r="P527" s="133">
        <v>0</v>
      </c>
      <c r="Q527" s="133">
        <v>15</v>
      </c>
      <c r="R527" s="133">
        <v>0</v>
      </c>
      <c r="S527" s="156">
        <v>0</v>
      </c>
    </row>
    <row r="528" spans="1:19">
      <c r="A528" s="133" t="s">
        <v>1182</v>
      </c>
      <c r="B528" s="133" t="s">
        <v>1175</v>
      </c>
      <c r="C528" s="133" t="s">
        <v>1000</v>
      </c>
      <c r="D528" s="133" t="s">
        <v>138</v>
      </c>
      <c r="E528" s="133" t="s">
        <v>139</v>
      </c>
      <c r="F528" s="133" t="s">
        <v>707</v>
      </c>
      <c r="G528" s="133" t="s">
        <v>732</v>
      </c>
      <c r="H528" s="133">
        <v>15.11</v>
      </c>
      <c r="I528" s="133">
        <v>0</v>
      </c>
      <c r="J528" s="133">
        <v>0</v>
      </c>
      <c r="L528" s="133">
        <v>0</v>
      </c>
      <c r="M528" s="133" t="s">
        <v>1096</v>
      </c>
      <c r="N528" s="133">
        <v>0</v>
      </c>
      <c r="P528" s="133">
        <v>0</v>
      </c>
      <c r="Q528" s="133">
        <v>0</v>
      </c>
      <c r="R528" s="133">
        <v>0</v>
      </c>
      <c r="S528" s="156"/>
    </row>
    <row r="529" spans="1:19">
      <c r="A529" s="133" t="s">
        <v>1182</v>
      </c>
      <c r="B529" s="133" t="s">
        <v>1175</v>
      </c>
      <c r="C529" s="133" t="s">
        <v>1000</v>
      </c>
      <c r="D529" s="133" t="s">
        <v>140</v>
      </c>
      <c r="E529" s="133" t="s">
        <v>141</v>
      </c>
      <c r="F529" s="133" t="s">
        <v>707</v>
      </c>
      <c r="G529" s="133" t="s">
        <v>732</v>
      </c>
      <c r="H529" s="133">
        <v>267</v>
      </c>
      <c r="I529" s="133">
        <v>0</v>
      </c>
      <c r="J529" s="133">
        <v>3</v>
      </c>
      <c r="L529" s="133">
        <v>0</v>
      </c>
      <c r="M529" s="133" t="s">
        <v>1096</v>
      </c>
      <c r="N529" s="133">
        <v>0</v>
      </c>
      <c r="P529" s="133">
        <v>0</v>
      </c>
      <c r="Q529" s="133">
        <v>0</v>
      </c>
      <c r="R529" s="133">
        <v>0</v>
      </c>
      <c r="S529" s="156"/>
    </row>
    <row r="530" spans="1:19">
      <c r="A530" s="133" t="s">
        <v>1182</v>
      </c>
      <c r="B530" s="133" t="s">
        <v>1175</v>
      </c>
      <c r="C530" s="133" t="s">
        <v>1000</v>
      </c>
      <c r="D530" s="133" t="s">
        <v>142</v>
      </c>
      <c r="E530" s="133" t="s">
        <v>143</v>
      </c>
      <c r="F530" s="133" t="s">
        <v>709</v>
      </c>
      <c r="G530" s="133" t="s">
        <v>719</v>
      </c>
      <c r="H530" s="133">
        <v>0.91</v>
      </c>
      <c r="I530" s="133">
        <v>0</v>
      </c>
      <c r="J530" s="133">
        <v>38</v>
      </c>
      <c r="L530" s="133">
        <v>0</v>
      </c>
      <c r="M530" s="133" t="s">
        <v>1096</v>
      </c>
      <c r="N530" s="133">
        <v>0</v>
      </c>
      <c r="P530" s="133">
        <v>0</v>
      </c>
      <c r="Q530" s="133">
        <v>0</v>
      </c>
      <c r="R530" s="133">
        <v>0</v>
      </c>
      <c r="S530" s="156"/>
    </row>
    <row r="531" spans="1:19">
      <c r="A531" s="133" t="s">
        <v>1182</v>
      </c>
      <c r="B531" s="133" t="s">
        <v>1175</v>
      </c>
      <c r="C531" s="133" t="s">
        <v>1000</v>
      </c>
      <c r="D531" s="133" t="s">
        <v>144</v>
      </c>
      <c r="E531" s="133" t="s">
        <v>145</v>
      </c>
      <c r="F531" s="133" t="s">
        <v>709</v>
      </c>
      <c r="G531" s="133" t="s">
        <v>719</v>
      </c>
      <c r="H531" s="133">
        <v>2.79</v>
      </c>
      <c r="I531" s="133">
        <v>0</v>
      </c>
      <c r="J531" s="133">
        <v>335</v>
      </c>
      <c r="L531" s="133">
        <v>0</v>
      </c>
      <c r="M531" s="133" t="s">
        <v>1096</v>
      </c>
      <c r="N531" s="133">
        <v>0</v>
      </c>
      <c r="P531" s="133">
        <v>0</v>
      </c>
      <c r="Q531" s="133">
        <v>0</v>
      </c>
      <c r="R531" s="133">
        <v>0</v>
      </c>
      <c r="S531" s="156"/>
    </row>
    <row r="532" spans="1:19">
      <c r="A532" s="133" t="s">
        <v>1182</v>
      </c>
      <c r="B532" s="133" t="s">
        <v>1175</v>
      </c>
      <c r="C532" s="133" t="s">
        <v>1000</v>
      </c>
      <c r="D532" s="133" t="s">
        <v>146</v>
      </c>
      <c r="E532" s="133" t="s">
        <v>147</v>
      </c>
      <c r="F532" s="133" t="s">
        <v>709</v>
      </c>
      <c r="G532" s="133" t="s">
        <v>719</v>
      </c>
      <c r="H532" s="133">
        <v>4.42</v>
      </c>
      <c r="I532" s="133">
        <v>0</v>
      </c>
      <c r="J532" s="133">
        <v>41</v>
      </c>
      <c r="L532" s="133">
        <v>0</v>
      </c>
      <c r="M532" s="133" t="s">
        <v>1096</v>
      </c>
      <c r="N532" s="133">
        <v>0</v>
      </c>
      <c r="P532" s="133">
        <v>0</v>
      </c>
      <c r="Q532" s="133">
        <v>0</v>
      </c>
      <c r="R532" s="133">
        <v>0</v>
      </c>
      <c r="S532" s="156"/>
    </row>
    <row r="533" spans="1:19">
      <c r="A533" s="133" t="s">
        <v>1182</v>
      </c>
      <c r="B533" s="133" t="s">
        <v>1175</v>
      </c>
      <c r="C533" s="133" t="s">
        <v>1000</v>
      </c>
      <c r="D533" s="133" t="s">
        <v>148</v>
      </c>
      <c r="E533" s="133" t="s">
        <v>149</v>
      </c>
      <c r="F533" s="133" t="s">
        <v>709</v>
      </c>
      <c r="G533" s="133" t="s">
        <v>719</v>
      </c>
      <c r="H533" s="133">
        <v>11.54</v>
      </c>
      <c r="I533" s="133">
        <v>0</v>
      </c>
      <c r="J533" s="133">
        <v>200</v>
      </c>
      <c r="K533" s="133">
        <v>20</v>
      </c>
      <c r="L533" s="133">
        <v>20</v>
      </c>
      <c r="M533" s="133" t="s">
        <v>998</v>
      </c>
      <c r="N533" s="133">
        <v>0</v>
      </c>
      <c r="P533" s="133">
        <v>0</v>
      </c>
      <c r="Q533" s="133">
        <v>20</v>
      </c>
      <c r="R533" s="133">
        <v>0</v>
      </c>
      <c r="S533" s="156">
        <v>0</v>
      </c>
    </row>
    <row r="534" spans="1:19">
      <c r="A534" s="133" t="s">
        <v>1182</v>
      </c>
      <c r="B534" s="133" t="s">
        <v>1175</v>
      </c>
      <c r="C534" s="133" t="s">
        <v>1000</v>
      </c>
      <c r="D534" s="133" t="s">
        <v>150</v>
      </c>
      <c r="E534" s="133" t="s">
        <v>151</v>
      </c>
      <c r="F534" s="133" t="s">
        <v>709</v>
      </c>
      <c r="G534" s="133" t="s">
        <v>719</v>
      </c>
      <c r="H534" s="133">
        <v>10.83</v>
      </c>
      <c r="I534" s="133">
        <v>0</v>
      </c>
      <c r="J534" s="133">
        <v>0</v>
      </c>
      <c r="L534" s="133">
        <v>0</v>
      </c>
      <c r="M534" s="133" t="s">
        <v>1096</v>
      </c>
      <c r="N534" s="133">
        <v>0</v>
      </c>
      <c r="P534" s="133">
        <v>0</v>
      </c>
      <c r="Q534" s="133">
        <v>0</v>
      </c>
      <c r="R534" s="133">
        <v>0</v>
      </c>
      <c r="S534" s="156"/>
    </row>
    <row r="535" spans="1:19">
      <c r="A535" s="133" t="s">
        <v>1182</v>
      </c>
      <c r="B535" s="133" t="s">
        <v>1175</v>
      </c>
      <c r="C535" s="133" t="s">
        <v>1000</v>
      </c>
      <c r="D535" s="133" t="s">
        <v>152</v>
      </c>
      <c r="E535" s="133" t="s">
        <v>153</v>
      </c>
      <c r="F535" s="133" t="s">
        <v>709</v>
      </c>
      <c r="G535" s="133" t="s">
        <v>719</v>
      </c>
      <c r="H535" s="133">
        <v>23.65</v>
      </c>
      <c r="I535" s="133">
        <v>0</v>
      </c>
      <c r="J535" s="133">
        <v>0</v>
      </c>
      <c r="L535" s="133">
        <v>0</v>
      </c>
      <c r="M535" s="133" t="s">
        <v>1096</v>
      </c>
      <c r="N535" s="133">
        <v>0</v>
      </c>
      <c r="P535" s="133">
        <v>0</v>
      </c>
      <c r="Q535" s="133">
        <v>0</v>
      </c>
      <c r="R535" s="133">
        <v>0</v>
      </c>
      <c r="S535" s="156"/>
    </row>
    <row r="536" spans="1:19">
      <c r="A536" s="133" t="s">
        <v>1182</v>
      </c>
      <c r="B536" s="133" t="s">
        <v>1175</v>
      </c>
      <c r="C536" s="133" t="s">
        <v>1000</v>
      </c>
      <c r="D536" s="133" t="s">
        <v>890</v>
      </c>
      <c r="E536" s="133" t="s">
        <v>945</v>
      </c>
      <c r="F536" s="133" t="s">
        <v>946</v>
      </c>
      <c r="G536" s="133" t="s">
        <v>719</v>
      </c>
      <c r="H536" s="133">
        <v>2.4</v>
      </c>
      <c r="I536" s="133">
        <v>0</v>
      </c>
      <c r="J536" s="133">
        <v>0</v>
      </c>
      <c r="L536" s="133">
        <v>0</v>
      </c>
      <c r="M536" s="133" t="s">
        <v>1096</v>
      </c>
      <c r="N536" s="133">
        <v>0</v>
      </c>
      <c r="P536" s="133">
        <v>0</v>
      </c>
      <c r="Q536" s="133">
        <v>0</v>
      </c>
      <c r="R536" s="133">
        <v>0</v>
      </c>
      <c r="S536" s="156"/>
    </row>
    <row r="537" spans="1:19">
      <c r="A537" s="133" t="s">
        <v>1182</v>
      </c>
      <c r="B537" s="133" t="s">
        <v>1175</v>
      </c>
      <c r="C537" s="133" t="s">
        <v>1000</v>
      </c>
      <c r="D537" s="133" t="s">
        <v>891</v>
      </c>
      <c r="E537" s="133" t="s">
        <v>947</v>
      </c>
      <c r="F537" s="133" t="s">
        <v>946</v>
      </c>
      <c r="G537" s="133" t="s">
        <v>719</v>
      </c>
      <c r="H537" s="133">
        <v>4.1500000000000004</v>
      </c>
      <c r="I537" s="133">
        <v>0</v>
      </c>
      <c r="J537" s="133">
        <v>0</v>
      </c>
      <c r="L537" s="133">
        <v>0</v>
      </c>
      <c r="M537" s="133" t="s">
        <v>1096</v>
      </c>
      <c r="N537" s="133">
        <v>0</v>
      </c>
      <c r="P537" s="133">
        <v>0</v>
      </c>
      <c r="Q537" s="133">
        <v>0</v>
      </c>
      <c r="R537" s="133">
        <v>0</v>
      </c>
      <c r="S537" s="156"/>
    </row>
    <row r="538" spans="1:19">
      <c r="A538" s="133" t="s">
        <v>1182</v>
      </c>
      <c r="B538" s="133" t="s">
        <v>1175</v>
      </c>
      <c r="C538" s="133" t="s">
        <v>1000</v>
      </c>
      <c r="D538" s="133" t="s">
        <v>736</v>
      </c>
      <c r="E538" s="133" t="s">
        <v>765</v>
      </c>
      <c r="F538" s="133" t="s">
        <v>712</v>
      </c>
      <c r="G538" s="133" t="s">
        <v>732</v>
      </c>
      <c r="H538" s="133">
        <v>2.89</v>
      </c>
      <c r="I538" s="133">
        <v>0</v>
      </c>
      <c r="J538" s="133">
        <v>0</v>
      </c>
      <c r="L538" s="133">
        <v>0</v>
      </c>
      <c r="M538" s="133" t="s">
        <v>1096</v>
      </c>
      <c r="N538" s="133">
        <v>0</v>
      </c>
      <c r="P538" s="133">
        <v>0</v>
      </c>
      <c r="Q538" s="133">
        <v>0</v>
      </c>
      <c r="R538" s="133">
        <v>0</v>
      </c>
      <c r="S538" s="156"/>
    </row>
    <row r="539" spans="1:19">
      <c r="A539" s="133" t="s">
        <v>1182</v>
      </c>
      <c r="B539" s="133" t="s">
        <v>1175</v>
      </c>
      <c r="C539" s="133" t="s">
        <v>1000</v>
      </c>
      <c r="D539" s="133" t="s">
        <v>738</v>
      </c>
      <c r="E539" s="133" t="s">
        <v>762</v>
      </c>
      <c r="F539" s="133" t="s">
        <v>712</v>
      </c>
      <c r="G539" s="133" t="s">
        <v>732</v>
      </c>
      <c r="H539" s="133">
        <v>519.35</v>
      </c>
      <c r="I539" s="133">
        <v>0</v>
      </c>
      <c r="J539" s="133">
        <v>8</v>
      </c>
      <c r="L539" s="133">
        <v>0</v>
      </c>
      <c r="M539" s="133" t="s">
        <v>1096</v>
      </c>
      <c r="N539" s="133">
        <v>0</v>
      </c>
      <c r="P539" s="133">
        <v>0</v>
      </c>
      <c r="Q539" s="133">
        <v>0</v>
      </c>
      <c r="R539" s="133">
        <v>0</v>
      </c>
      <c r="S539" s="156"/>
    </row>
    <row r="540" spans="1:19">
      <c r="A540" s="133" t="s">
        <v>1182</v>
      </c>
      <c r="B540" s="133" t="s">
        <v>1175</v>
      </c>
      <c r="C540" s="133" t="s">
        <v>1000</v>
      </c>
      <c r="D540" s="133" t="s">
        <v>875</v>
      </c>
      <c r="E540" s="133" t="s">
        <v>948</v>
      </c>
      <c r="F540" s="133" t="s">
        <v>712</v>
      </c>
      <c r="G540" s="133" t="s">
        <v>732</v>
      </c>
      <c r="H540" s="133">
        <v>6.79</v>
      </c>
      <c r="I540" s="133">
        <v>0</v>
      </c>
      <c r="J540" s="133">
        <v>36</v>
      </c>
      <c r="L540" s="133">
        <v>0</v>
      </c>
      <c r="M540" s="133" t="s">
        <v>1096</v>
      </c>
      <c r="N540" s="133">
        <v>0</v>
      </c>
      <c r="P540" s="133">
        <v>0</v>
      </c>
      <c r="Q540" s="133">
        <v>0</v>
      </c>
      <c r="R540" s="133">
        <v>0</v>
      </c>
      <c r="S540" s="156"/>
    </row>
    <row r="541" spans="1:19">
      <c r="A541" s="133" t="s">
        <v>1182</v>
      </c>
      <c r="B541" s="133" t="s">
        <v>1175</v>
      </c>
      <c r="C541" s="133" t="s">
        <v>1000</v>
      </c>
      <c r="D541" s="133" t="s">
        <v>737</v>
      </c>
      <c r="E541" s="133" t="s">
        <v>763</v>
      </c>
      <c r="F541" s="133" t="s">
        <v>712</v>
      </c>
      <c r="G541" s="133" t="s">
        <v>732</v>
      </c>
      <c r="H541" s="133">
        <v>98.3</v>
      </c>
      <c r="I541" s="133">
        <v>0</v>
      </c>
      <c r="J541" s="133">
        <v>12</v>
      </c>
      <c r="L541" s="133">
        <v>0</v>
      </c>
      <c r="M541" s="133" t="s">
        <v>1096</v>
      </c>
      <c r="N541" s="133">
        <v>0</v>
      </c>
      <c r="P541" s="133">
        <v>0</v>
      </c>
      <c r="Q541" s="133">
        <v>0</v>
      </c>
      <c r="R541" s="133">
        <v>0</v>
      </c>
      <c r="S541" s="156"/>
    </row>
    <row r="542" spans="1:19">
      <c r="A542" s="133" t="s">
        <v>1182</v>
      </c>
      <c r="B542" s="133" t="s">
        <v>1175</v>
      </c>
      <c r="C542" s="133" t="s">
        <v>1000</v>
      </c>
      <c r="D542" s="133" t="s">
        <v>742</v>
      </c>
      <c r="E542" s="133" t="s">
        <v>764</v>
      </c>
      <c r="F542" s="133" t="s">
        <v>712</v>
      </c>
      <c r="G542" s="133" t="s">
        <v>732</v>
      </c>
      <c r="H542" s="133">
        <v>26.65</v>
      </c>
      <c r="I542" s="133">
        <v>0</v>
      </c>
      <c r="J542" s="133">
        <v>159</v>
      </c>
      <c r="L542" s="133">
        <v>0</v>
      </c>
      <c r="M542" s="133" t="s">
        <v>1096</v>
      </c>
      <c r="N542" s="133">
        <v>0</v>
      </c>
      <c r="P542" s="133">
        <v>0</v>
      </c>
      <c r="Q542" s="133">
        <v>0</v>
      </c>
      <c r="R542" s="133">
        <v>0</v>
      </c>
      <c r="S542" s="156"/>
    </row>
    <row r="543" spans="1:19">
      <c r="A543" s="133" t="s">
        <v>1182</v>
      </c>
      <c r="B543" s="133" t="s">
        <v>1175</v>
      </c>
      <c r="C543" s="133" t="s">
        <v>1000</v>
      </c>
      <c r="D543" s="133" t="s">
        <v>162</v>
      </c>
      <c r="E543" s="133" t="s">
        <v>163</v>
      </c>
      <c r="F543" s="133" t="s">
        <v>712</v>
      </c>
      <c r="G543" s="133" t="s">
        <v>715</v>
      </c>
      <c r="H543" s="133">
        <v>1.87</v>
      </c>
      <c r="I543" s="133">
        <v>0</v>
      </c>
      <c r="J543" s="133">
        <v>2</v>
      </c>
      <c r="L543" s="133">
        <v>0</v>
      </c>
      <c r="M543" s="133" t="s">
        <v>1096</v>
      </c>
      <c r="N543" s="133">
        <v>0</v>
      </c>
      <c r="P543" s="133">
        <v>0</v>
      </c>
      <c r="Q543" s="133">
        <v>0</v>
      </c>
      <c r="R543" s="133">
        <v>0</v>
      </c>
      <c r="S543" s="156"/>
    </row>
    <row r="544" spans="1:19">
      <c r="A544" s="133" t="s">
        <v>1182</v>
      </c>
      <c r="B544" s="133" t="s">
        <v>1175</v>
      </c>
      <c r="C544" s="133" t="s">
        <v>1000</v>
      </c>
      <c r="D544" s="133" t="s">
        <v>164</v>
      </c>
      <c r="E544" s="133" t="s">
        <v>165</v>
      </c>
      <c r="F544" s="133" t="s">
        <v>712</v>
      </c>
      <c r="G544" s="133" t="s">
        <v>715</v>
      </c>
      <c r="H544" s="133">
        <v>3.58</v>
      </c>
      <c r="I544" s="133">
        <v>0</v>
      </c>
      <c r="J544" s="133">
        <v>62</v>
      </c>
      <c r="L544" s="133">
        <v>0</v>
      </c>
      <c r="M544" s="133" t="s">
        <v>1096</v>
      </c>
      <c r="N544" s="133">
        <v>0</v>
      </c>
      <c r="P544" s="133">
        <v>0</v>
      </c>
      <c r="Q544" s="133">
        <v>0</v>
      </c>
      <c r="R544" s="133">
        <v>0</v>
      </c>
      <c r="S544" s="156"/>
    </row>
    <row r="545" spans="1:19">
      <c r="A545" s="133" t="s">
        <v>1182</v>
      </c>
      <c r="B545" s="133" t="s">
        <v>1175</v>
      </c>
      <c r="C545" s="133" t="s">
        <v>1000</v>
      </c>
      <c r="D545" s="133" t="s">
        <v>166</v>
      </c>
      <c r="E545" s="133" t="s">
        <v>167</v>
      </c>
      <c r="F545" s="133" t="s">
        <v>712</v>
      </c>
      <c r="G545" s="133" t="s">
        <v>715</v>
      </c>
      <c r="H545" s="133">
        <v>6.73</v>
      </c>
      <c r="I545" s="133">
        <v>0</v>
      </c>
      <c r="J545" s="133">
        <v>122</v>
      </c>
      <c r="K545" s="133">
        <v>20</v>
      </c>
      <c r="L545" s="133">
        <v>20</v>
      </c>
      <c r="M545" s="133" t="s">
        <v>998</v>
      </c>
      <c r="N545" s="133">
        <v>0</v>
      </c>
      <c r="P545" s="133">
        <v>0</v>
      </c>
      <c r="Q545" s="133">
        <v>20</v>
      </c>
      <c r="R545" s="133">
        <v>0</v>
      </c>
      <c r="S545" s="156">
        <v>0</v>
      </c>
    </row>
    <row r="546" spans="1:19">
      <c r="A546" s="133" t="s">
        <v>1182</v>
      </c>
      <c r="B546" s="133" t="s">
        <v>1175</v>
      </c>
      <c r="C546" s="133" t="s">
        <v>1000</v>
      </c>
      <c r="D546" s="133" t="s">
        <v>892</v>
      </c>
      <c r="E546" s="133" t="s">
        <v>949</v>
      </c>
      <c r="F546" s="133" t="s">
        <v>946</v>
      </c>
      <c r="G546" s="133" t="s">
        <v>719</v>
      </c>
      <c r="H546" s="133">
        <v>0.56000000000000005</v>
      </c>
      <c r="I546" s="133">
        <v>0</v>
      </c>
      <c r="J546" s="133">
        <v>0</v>
      </c>
      <c r="L546" s="133">
        <v>0</v>
      </c>
      <c r="M546" s="133" t="s">
        <v>1096</v>
      </c>
      <c r="N546" s="133">
        <v>0</v>
      </c>
      <c r="P546" s="133">
        <v>0</v>
      </c>
      <c r="Q546" s="133">
        <v>0</v>
      </c>
      <c r="R546" s="133">
        <v>0</v>
      </c>
      <c r="S546" s="156"/>
    </row>
    <row r="547" spans="1:19">
      <c r="A547" s="133" t="s">
        <v>1182</v>
      </c>
      <c r="B547" s="133" t="s">
        <v>1175</v>
      </c>
      <c r="C547" s="133" t="s">
        <v>1000</v>
      </c>
      <c r="D547" s="133" t="s">
        <v>893</v>
      </c>
      <c r="E547" s="133" t="s">
        <v>950</v>
      </c>
      <c r="F547" s="133" t="s">
        <v>946</v>
      </c>
      <c r="G547" s="133" t="s">
        <v>719</v>
      </c>
      <c r="H547" s="133">
        <v>1.1299999999999999</v>
      </c>
      <c r="I547" s="133">
        <v>0</v>
      </c>
      <c r="J547" s="133">
        <v>0</v>
      </c>
      <c r="L547" s="133">
        <v>0</v>
      </c>
      <c r="M547" s="133" t="s">
        <v>1096</v>
      </c>
      <c r="N547" s="133">
        <v>0</v>
      </c>
      <c r="P547" s="133">
        <v>0</v>
      </c>
      <c r="Q547" s="133">
        <v>0</v>
      </c>
      <c r="R547" s="133">
        <v>0</v>
      </c>
      <c r="S547" s="156"/>
    </row>
    <row r="548" spans="1:19">
      <c r="A548" s="133" t="s">
        <v>1182</v>
      </c>
      <c r="B548" s="133" t="s">
        <v>1175</v>
      </c>
      <c r="C548" s="133" t="s">
        <v>1000</v>
      </c>
      <c r="D548" s="133" t="s">
        <v>894</v>
      </c>
      <c r="E548" s="133" t="s">
        <v>951</v>
      </c>
      <c r="F548" s="133" t="s">
        <v>946</v>
      </c>
      <c r="G548" s="133" t="s">
        <v>719</v>
      </c>
      <c r="H548" s="133">
        <v>1.32</v>
      </c>
      <c r="I548" s="133">
        <v>0</v>
      </c>
      <c r="J548" s="133">
        <v>0</v>
      </c>
      <c r="L548" s="133">
        <v>0</v>
      </c>
      <c r="M548" s="133" t="s">
        <v>1096</v>
      </c>
      <c r="N548" s="133">
        <v>0</v>
      </c>
      <c r="P548" s="133">
        <v>0</v>
      </c>
      <c r="Q548" s="133">
        <v>0</v>
      </c>
      <c r="R548" s="133">
        <v>0</v>
      </c>
      <c r="S548" s="156"/>
    </row>
    <row r="549" spans="1:19">
      <c r="A549" s="133" t="s">
        <v>1182</v>
      </c>
      <c r="B549" s="133" t="s">
        <v>1175</v>
      </c>
      <c r="C549" s="133" t="s">
        <v>1000</v>
      </c>
      <c r="D549" s="133" t="s">
        <v>895</v>
      </c>
      <c r="E549" s="133" t="s">
        <v>952</v>
      </c>
      <c r="F549" s="133" t="s">
        <v>946</v>
      </c>
      <c r="G549" s="133" t="s">
        <v>719</v>
      </c>
      <c r="H549" s="133">
        <v>2.56</v>
      </c>
      <c r="I549" s="133">
        <v>0</v>
      </c>
      <c r="J549" s="133">
        <v>0</v>
      </c>
      <c r="L549" s="133">
        <v>0</v>
      </c>
      <c r="M549" s="133" t="s">
        <v>1096</v>
      </c>
      <c r="N549" s="133">
        <v>0</v>
      </c>
      <c r="P549" s="133">
        <v>0</v>
      </c>
      <c r="Q549" s="133">
        <v>0</v>
      </c>
      <c r="R549" s="133">
        <v>0</v>
      </c>
      <c r="S549" s="156"/>
    </row>
    <row r="550" spans="1:19">
      <c r="A550" s="133" t="s">
        <v>1182</v>
      </c>
      <c r="B550" s="133" t="s">
        <v>1175</v>
      </c>
      <c r="C550" s="133" t="s">
        <v>1000</v>
      </c>
      <c r="D550" s="133" t="s">
        <v>209</v>
      </c>
      <c r="E550" s="133" t="s">
        <v>210</v>
      </c>
      <c r="F550" s="133" t="s">
        <v>709</v>
      </c>
      <c r="G550" s="133" t="s">
        <v>719</v>
      </c>
      <c r="H550" s="133">
        <v>2.92</v>
      </c>
      <c r="I550" s="133">
        <v>0</v>
      </c>
      <c r="J550" s="133">
        <v>0</v>
      </c>
      <c r="L550" s="133">
        <v>0</v>
      </c>
      <c r="M550" s="133" t="s">
        <v>1096</v>
      </c>
      <c r="N550" s="133">
        <v>0</v>
      </c>
      <c r="P550" s="133">
        <v>0</v>
      </c>
      <c r="Q550" s="133">
        <v>0</v>
      </c>
      <c r="R550" s="133">
        <v>0</v>
      </c>
      <c r="S550" s="156"/>
    </row>
    <row r="551" spans="1:19">
      <c r="A551" s="133" t="s">
        <v>1182</v>
      </c>
      <c r="B551" s="133" t="s">
        <v>1175</v>
      </c>
      <c r="C551" s="133" t="s">
        <v>1000</v>
      </c>
      <c r="D551" s="133" t="s">
        <v>211</v>
      </c>
      <c r="E551" s="133" t="s">
        <v>212</v>
      </c>
      <c r="F551" s="133" t="s">
        <v>709</v>
      </c>
      <c r="G551" s="133" t="s">
        <v>719</v>
      </c>
      <c r="H551" s="133">
        <v>2.79</v>
      </c>
      <c r="I551" s="133">
        <v>0</v>
      </c>
      <c r="J551" s="133">
        <v>1122</v>
      </c>
      <c r="L551" s="133">
        <v>0</v>
      </c>
      <c r="M551" s="133" t="s">
        <v>1096</v>
      </c>
      <c r="N551" s="133">
        <v>0</v>
      </c>
      <c r="P551" s="133">
        <v>0</v>
      </c>
      <c r="Q551" s="133">
        <v>0</v>
      </c>
      <c r="R551" s="133">
        <v>0</v>
      </c>
      <c r="S551" s="156"/>
    </row>
    <row r="552" spans="1:19">
      <c r="A552" s="133" t="s">
        <v>1182</v>
      </c>
      <c r="B552" s="133" t="s">
        <v>1175</v>
      </c>
      <c r="C552" s="133" t="s">
        <v>1000</v>
      </c>
      <c r="D552" s="133" t="s">
        <v>896</v>
      </c>
      <c r="E552" s="133" t="s">
        <v>953</v>
      </c>
      <c r="F552" s="133" t="s">
        <v>946</v>
      </c>
      <c r="G552" s="133" t="s">
        <v>719</v>
      </c>
      <c r="H552" s="133">
        <v>2.56</v>
      </c>
      <c r="I552" s="133">
        <v>0</v>
      </c>
      <c r="J552" s="133">
        <v>0</v>
      </c>
      <c r="L552" s="133">
        <v>0</v>
      </c>
      <c r="M552" s="133" t="s">
        <v>1096</v>
      </c>
      <c r="N552" s="133">
        <v>0</v>
      </c>
      <c r="P552" s="133">
        <v>0</v>
      </c>
      <c r="Q552" s="133">
        <v>0</v>
      </c>
      <c r="R552" s="133">
        <v>0</v>
      </c>
      <c r="S552" s="156"/>
    </row>
    <row r="553" spans="1:19">
      <c r="A553" s="133" t="s">
        <v>1182</v>
      </c>
      <c r="B553" s="133" t="s">
        <v>1175</v>
      </c>
      <c r="C553" s="133" t="s">
        <v>1000</v>
      </c>
      <c r="D553" s="133" t="s">
        <v>215</v>
      </c>
      <c r="E553" s="133" t="s">
        <v>216</v>
      </c>
      <c r="F553" s="133" t="s">
        <v>709</v>
      </c>
      <c r="G553" s="133" t="s">
        <v>719</v>
      </c>
      <c r="H553" s="133">
        <v>12.92</v>
      </c>
      <c r="I553" s="133">
        <v>0</v>
      </c>
      <c r="J553" s="133">
        <v>0</v>
      </c>
      <c r="L553" s="133">
        <v>0</v>
      </c>
      <c r="M553" s="133" t="s">
        <v>1096</v>
      </c>
      <c r="N553" s="133">
        <v>0</v>
      </c>
      <c r="P553" s="133">
        <v>0</v>
      </c>
      <c r="Q553" s="133">
        <v>0</v>
      </c>
      <c r="R553" s="133">
        <v>0</v>
      </c>
      <c r="S553" s="156"/>
    </row>
    <row r="554" spans="1:19">
      <c r="A554" s="133" t="s">
        <v>1182</v>
      </c>
      <c r="B554" s="133" t="s">
        <v>1175</v>
      </c>
      <c r="C554" s="133" t="s">
        <v>1000</v>
      </c>
      <c r="D554" s="133" t="s">
        <v>217</v>
      </c>
      <c r="E554" s="133" t="s">
        <v>218</v>
      </c>
      <c r="F554" s="133" t="s">
        <v>709</v>
      </c>
      <c r="G554" s="133" t="s">
        <v>719</v>
      </c>
      <c r="H554" s="133">
        <v>2.66</v>
      </c>
      <c r="I554" s="133">
        <v>0</v>
      </c>
      <c r="J554" s="133">
        <v>120</v>
      </c>
      <c r="L554" s="133">
        <v>0</v>
      </c>
      <c r="M554" s="133" t="s">
        <v>1096</v>
      </c>
      <c r="N554" s="133">
        <v>0</v>
      </c>
      <c r="P554" s="133">
        <v>0</v>
      </c>
      <c r="Q554" s="133">
        <v>0</v>
      </c>
      <c r="R554" s="133">
        <v>0</v>
      </c>
      <c r="S554" s="156"/>
    </row>
    <row r="555" spans="1:19">
      <c r="A555" s="133" t="s">
        <v>1182</v>
      </c>
      <c r="B555" s="133" t="s">
        <v>1175</v>
      </c>
      <c r="C555" s="133" t="s">
        <v>1000</v>
      </c>
      <c r="D555" s="133" t="s">
        <v>876</v>
      </c>
      <c r="E555" s="133" t="s">
        <v>954</v>
      </c>
      <c r="F555" s="133" t="s">
        <v>707</v>
      </c>
      <c r="G555" s="133" t="s">
        <v>732</v>
      </c>
      <c r="H555" s="133">
        <v>9.81</v>
      </c>
      <c r="I555" s="133">
        <v>0</v>
      </c>
      <c r="J555" s="133">
        <v>27</v>
      </c>
      <c r="L555" s="133">
        <v>0</v>
      </c>
      <c r="M555" s="133" t="s">
        <v>1096</v>
      </c>
      <c r="N555" s="133">
        <v>0</v>
      </c>
      <c r="P555" s="133">
        <v>0</v>
      </c>
      <c r="Q555" s="133">
        <v>0</v>
      </c>
      <c r="R555" s="133">
        <v>0</v>
      </c>
      <c r="S555" s="156"/>
    </row>
    <row r="556" spans="1:19">
      <c r="A556" s="133" t="s">
        <v>1182</v>
      </c>
      <c r="B556" s="133" t="s">
        <v>1175</v>
      </c>
      <c r="C556" s="133" t="s">
        <v>1000</v>
      </c>
      <c r="D556" s="133" t="s">
        <v>219</v>
      </c>
      <c r="E556" s="133" t="s">
        <v>220</v>
      </c>
      <c r="F556" s="133" t="s">
        <v>707</v>
      </c>
      <c r="G556" s="133" t="s">
        <v>732</v>
      </c>
      <c r="H556" s="133">
        <v>37.92</v>
      </c>
      <c r="I556" s="133">
        <v>0</v>
      </c>
      <c r="J556" s="133">
        <v>53</v>
      </c>
      <c r="L556" s="133">
        <v>0</v>
      </c>
      <c r="M556" s="133" t="s">
        <v>1096</v>
      </c>
      <c r="N556" s="133">
        <v>0</v>
      </c>
      <c r="P556" s="133">
        <v>0</v>
      </c>
      <c r="Q556" s="133">
        <v>0</v>
      </c>
      <c r="R556" s="133">
        <v>0</v>
      </c>
      <c r="S556" s="156"/>
    </row>
    <row r="557" spans="1:19">
      <c r="A557" s="133" t="s">
        <v>1182</v>
      </c>
      <c r="B557" s="133" t="s">
        <v>1175</v>
      </c>
      <c r="C557" s="133" t="s">
        <v>1000</v>
      </c>
      <c r="D557" s="133" t="s">
        <v>227</v>
      </c>
      <c r="E557" s="133" t="s">
        <v>228</v>
      </c>
      <c r="F557" s="133" t="s">
        <v>709</v>
      </c>
      <c r="G557" s="133" t="s">
        <v>719</v>
      </c>
      <c r="H557" s="133">
        <v>1.1499999999999999</v>
      </c>
      <c r="I557" s="133">
        <v>0</v>
      </c>
      <c r="J557" s="133">
        <v>275</v>
      </c>
      <c r="L557" s="133">
        <v>0</v>
      </c>
      <c r="M557" s="133" t="s">
        <v>1096</v>
      </c>
      <c r="N557" s="133">
        <v>0</v>
      </c>
      <c r="P557" s="133">
        <v>0</v>
      </c>
      <c r="Q557" s="133">
        <v>0</v>
      </c>
      <c r="R557" s="133">
        <v>0</v>
      </c>
      <c r="S557" s="156"/>
    </row>
    <row r="558" spans="1:19">
      <c r="A558" s="133" t="s">
        <v>1182</v>
      </c>
      <c r="B558" s="133" t="s">
        <v>1175</v>
      </c>
      <c r="C558" s="133" t="s">
        <v>1000</v>
      </c>
      <c r="D558" s="133" t="s">
        <v>229</v>
      </c>
      <c r="E558" s="133" t="s">
        <v>230</v>
      </c>
      <c r="F558" s="133" t="s">
        <v>709</v>
      </c>
      <c r="G558" s="133" t="s">
        <v>719</v>
      </c>
      <c r="H558" s="133">
        <v>2.8</v>
      </c>
      <c r="I558" s="133">
        <v>0</v>
      </c>
      <c r="J558" s="133">
        <v>0</v>
      </c>
      <c r="L558" s="133">
        <v>0</v>
      </c>
      <c r="M558" s="133" t="s">
        <v>1096</v>
      </c>
      <c r="N558" s="133">
        <v>0</v>
      </c>
      <c r="P558" s="133">
        <v>0</v>
      </c>
      <c r="Q558" s="133">
        <v>0</v>
      </c>
      <c r="R558" s="133">
        <v>0</v>
      </c>
      <c r="S558" s="156"/>
    </row>
    <row r="559" spans="1:19">
      <c r="A559" s="133" t="s">
        <v>1182</v>
      </c>
      <c r="B559" s="133" t="s">
        <v>1175</v>
      </c>
      <c r="C559" s="133" t="s">
        <v>1000</v>
      </c>
      <c r="D559" s="133" t="s">
        <v>746</v>
      </c>
      <c r="E559" s="133" t="s">
        <v>747</v>
      </c>
      <c r="F559" s="133" t="s">
        <v>709</v>
      </c>
      <c r="G559" s="133" t="s">
        <v>732</v>
      </c>
      <c r="H559" s="133">
        <v>40.32</v>
      </c>
      <c r="I559" s="133">
        <v>0</v>
      </c>
      <c r="J559" s="133">
        <v>79</v>
      </c>
      <c r="L559" s="133">
        <v>0</v>
      </c>
      <c r="M559" s="133" t="s">
        <v>1096</v>
      </c>
      <c r="N559" s="133">
        <v>0</v>
      </c>
      <c r="P559" s="133">
        <v>0</v>
      </c>
      <c r="Q559" s="133">
        <v>0</v>
      </c>
      <c r="R559" s="133">
        <v>0</v>
      </c>
      <c r="S559" s="156"/>
    </row>
    <row r="560" spans="1:19">
      <c r="A560" s="133" t="s">
        <v>1182</v>
      </c>
      <c r="B560" s="133" t="s">
        <v>1175</v>
      </c>
      <c r="C560" s="133" t="s">
        <v>1000</v>
      </c>
      <c r="D560" s="133" t="s">
        <v>462</v>
      </c>
      <c r="E560" s="133" t="s">
        <v>463</v>
      </c>
      <c r="F560" s="133" t="s">
        <v>707</v>
      </c>
      <c r="G560" s="133" t="s">
        <v>715</v>
      </c>
      <c r="H560" s="133">
        <v>1.23</v>
      </c>
      <c r="I560" s="133">
        <v>0</v>
      </c>
      <c r="J560" s="133">
        <v>0</v>
      </c>
      <c r="L560" s="133">
        <v>0</v>
      </c>
      <c r="M560" s="133" t="s">
        <v>1096</v>
      </c>
      <c r="N560" s="133">
        <v>0</v>
      </c>
      <c r="P560" s="133">
        <v>0</v>
      </c>
      <c r="Q560" s="133">
        <v>0</v>
      </c>
      <c r="R560" s="133">
        <v>0</v>
      </c>
      <c r="S560" s="156"/>
    </row>
    <row r="561" spans="1:19">
      <c r="A561" s="133" t="s">
        <v>1182</v>
      </c>
      <c r="B561" s="133" t="s">
        <v>1175</v>
      </c>
      <c r="C561" s="133" t="s">
        <v>1000</v>
      </c>
      <c r="D561" s="133" t="s">
        <v>464</v>
      </c>
      <c r="E561" s="133" t="s">
        <v>465</v>
      </c>
      <c r="F561" s="133" t="s">
        <v>707</v>
      </c>
      <c r="G561" s="133" t="s">
        <v>715</v>
      </c>
      <c r="H561" s="133">
        <v>2.19</v>
      </c>
      <c r="I561" s="133">
        <v>0</v>
      </c>
      <c r="J561" s="133">
        <v>0</v>
      </c>
      <c r="L561" s="133">
        <v>0</v>
      </c>
      <c r="M561" s="133" t="s">
        <v>1096</v>
      </c>
      <c r="N561" s="133">
        <v>0</v>
      </c>
      <c r="P561" s="133">
        <v>0</v>
      </c>
      <c r="Q561" s="133">
        <v>0</v>
      </c>
      <c r="R561" s="133">
        <v>0</v>
      </c>
      <c r="S561" s="156"/>
    </row>
    <row r="562" spans="1:19">
      <c r="A562" s="133" t="s">
        <v>1182</v>
      </c>
      <c r="B562" s="133" t="s">
        <v>1175</v>
      </c>
      <c r="C562" s="133" t="s">
        <v>1000</v>
      </c>
      <c r="D562" s="133" t="s">
        <v>466</v>
      </c>
      <c r="E562" s="133" t="s">
        <v>467</v>
      </c>
      <c r="F562" s="133" t="s">
        <v>707</v>
      </c>
      <c r="G562" s="133" t="s">
        <v>715</v>
      </c>
      <c r="H562" s="133">
        <v>4.2699999999999996</v>
      </c>
      <c r="I562" s="133">
        <v>0</v>
      </c>
      <c r="J562" s="133">
        <v>0</v>
      </c>
      <c r="L562" s="133">
        <v>0</v>
      </c>
      <c r="M562" s="133" t="s">
        <v>1096</v>
      </c>
      <c r="N562" s="133">
        <v>0</v>
      </c>
      <c r="P562" s="133">
        <v>0</v>
      </c>
      <c r="Q562" s="133">
        <v>0</v>
      </c>
      <c r="R562" s="133">
        <v>0</v>
      </c>
      <c r="S562" s="156"/>
    </row>
    <row r="563" spans="1:19">
      <c r="A563" s="133" t="s">
        <v>1182</v>
      </c>
      <c r="B563" s="133" t="s">
        <v>1175</v>
      </c>
      <c r="C563" s="133" t="s">
        <v>1000</v>
      </c>
      <c r="D563" s="133" t="s">
        <v>897</v>
      </c>
      <c r="E563" s="133" t="s">
        <v>955</v>
      </c>
      <c r="F563" s="133" t="s">
        <v>946</v>
      </c>
      <c r="G563" s="133" t="s">
        <v>719</v>
      </c>
      <c r="H563" s="133">
        <v>0.6</v>
      </c>
      <c r="I563" s="133">
        <v>0</v>
      </c>
      <c r="J563" s="133">
        <v>0</v>
      </c>
      <c r="L563" s="133">
        <v>0</v>
      </c>
      <c r="M563" s="133" t="s">
        <v>1096</v>
      </c>
      <c r="N563" s="133">
        <v>0</v>
      </c>
      <c r="P563" s="133">
        <v>0</v>
      </c>
      <c r="Q563" s="133">
        <v>0</v>
      </c>
      <c r="R563" s="133">
        <v>0</v>
      </c>
      <c r="S563" s="156"/>
    </row>
    <row r="564" spans="1:19">
      <c r="A564" s="133" t="s">
        <v>1182</v>
      </c>
      <c r="B564" s="133" t="s">
        <v>1175</v>
      </c>
      <c r="C564" s="133" t="s">
        <v>1000</v>
      </c>
      <c r="D564" s="133" t="s">
        <v>898</v>
      </c>
      <c r="E564" s="133" t="s">
        <v>956</v>
      </c>
      <c r="F564" s="133" t="s">
        <v>946</v>
      </c>
      <c r="G564" s="133" t="s">
        <v>719</v>
      </c>
      <c r="H564" s="133">
        <v>2.99</v>
      </c>
      <c r="I564" s="133">
        <v>0</v>
      </c>
      <c r="J564" s="133">
        <v>0</v>
      </c>
      <c r="L564" s="133">
        <v>0</v>
      </c>
      <c r="M564" s="133" t="s">
        <v>1096</v>
      </c>
      <c r="N564" s="133">
        <v>0</v>
      </c>
      <c r="P564" s="133">
        <v>0</v>
      </c>
      <c r="Q564" s="133">
        <v>0</v>
      </c>
      <c r="R564" s="133">
        <v>0</v>
      </c>
      <c r="S564" s="156"/>
    </row>
    <row r="565" spans="1:19">
      <c r="A565" s="133" t="s">
        <v>1182</v>
      </c>
      <c r="B565" s="133" t="s">
        <v>1175</v>
      </c>
      <c r="C565" s="133" t="s">
        <v>1000</v>
      </c>
      <c r="D565" s="133" t="s">
        <v>899</v>
      </c>
      <c r="E565" s="133" t="s">
        <v>957</v>
      </c>
      <c r="F565" s="133" t="s">
        <v>946</v>
      </c>
      <c r="G565" s="133" t="s">
        <v>719</v>
      </c>
      <c r="H565" s="133">
        <v>5.98</v>
      </c>
      <c r="I565" s="133">
        <v>0</v>
      </c>
      <c r="J565" s="133">
        <v>0</v>
      </c>
      <c r="L565" s="133">
        <v>0</v>
      </c>
      <c r="M565" s="133" t="s">
        <v>1096</v>
      </c>
      <c r="N565" s="133">
        <v>0</v>
      </c>
      <c r="P565" s="133">
        <v>0</v>
      </c>
      <c r="Q565" s="133">
        <v>0</v>
      </c>
      <c r="R565" s="133">
        <v>0</v>
      </c>
      <c r="S565" s="156"/>
    </row>
    <row r="566" spans="1:19">
      <c r="A566" s="133" t="s">
        <v>1182</v>
      </c>
      <c r="B566" s="133" t="s">
        <v>1175</v>
      </c>
      <c r="C566" s="133" t="s">
        <v>1000</v>
      </c>
      <c r="D566" s="133" t="s">
        <v>474</v>
      </c>
      <c r="E566" s="133" t="s">
        <v>475</v>
      </c>
      <c r="F566" s="133" t="s">
        <v>709</v>
      </c>
      <c r="G566" s="133" t="s">
        <v>719</v>
      </c>
      <c r="H566" s="133">
        <v>2.68</v>
      </c>
      <c r="I566" s="133">
        <v>0</v>
      </c>
      <c r="J566" s="133">
        <v>31</v>
      </c>
      <c r="L566" s="133">
        <v>0</v>
      </c>
      <c r="M566" s="133" t="s">
        <v>1096</v>
      </c>
      <c r="N566" s="133">
        <v>0</v>
      </c>
      <c r="P566" s="133">
        <v>0</v>
      </c>
      <c r="Q566" s="133">
        <v>0</v>
      </c>
      <c r="R566" s="133">
        <v>0</v>
      </c>
      <c r="S566" s="156"/>
    </row>
    <row r="567" spans="1:19">
      <c r="A567" s="133" t="s">
        <v>1182</v>
      </c>
      <c r="B567" s="133" t="s">
        <v>1175</v>
      </c>
      <c r="C567" s="133" t="s">
        <v>1000</v>
      </c>
      <c r="D567" s="133" t="s">
        <v>480</v>
      </c>
      <c r="E567" s="133" t="s">
        <v>832</v>
      </c>
      <c r="F567" s="133" t="s">
        <v>708</v>
      </c>
      <c r="G567" s="133" t="s">
        <v>715</v>
      </c>
      <c r="H567" s="133">
        <v>51.24</v>
      </c>
      <c r="I567" s="133">
        <v>0</v>
      </c>
      <c r="J567" s="133">
        <v>0</v>
      </c>
      <c r="L567" s="133">
        <v>0</v>
      </c>
      <c r="M567" s="133" t="s">
        <v>1096</v>
      </c>
      <c r="N567" s="133">
        <v>0</v>
      </c>
      <c r="P567" s="133">
        <v>0</v>
      </c>
      <c r="Q567" s="133">
        <v>0</v>
      </c>
      <c r="R567" s="133">
        <v>0</v>
      </c>
      <c r="S567" s="156"/>
    </row>
    <row r="568" spans="1:19">
      <c r="A568" s="133" t="s">
        <v>1182</v>
      </c>
      <c r="B568" s="133" t="s">
        <v>1175</v>
      </c>
      <c r="C568" s="133" t="s">
        <v>1000</v>
      </c>
      <c r="D568" s="133" t="s">
        <v>481</v>
      </c>
      <c r="E568" s="133" t="s">
        <v>482</v>
      </c>
      <c r="F568" s="133" t="s">
        <v>708</v>
      </c>
      <c r="G568" s="133" t="s">
        <v>715</v>
      </c>
      <c r="H568" s="133">
        <v>520</v>
      </c>
      <c r="I568" s="133">
        <v>0</v>
      </c>
      <c r="J568" s="133">
        <v>0</v>
      </c>
      <c r="L568" s="133">
        <v>0</v>
      </c>
      <c r="M568" s="133" t="s">
        <v>1096</v>
      </c>
      <c r="N568" s="133">
        <v>0</v>
      </c>
      <c r="P568" s="133">
        <v>0</v>
      </c>
      <c r="Q568" s="133">
        <v>0</v>
      </c>
      <c r="R568" s="133">
        <v>0</v>
      </c>
      <c r="S568" s="156"/>
    </row>
    <row r="569" spans="1:19">
      <c r="A569" s="133" t="s">
        <v>1182</v>
      </c>
      <c r="B569" s="133" t="s">
        <v>1175</v>
      </c>
      <c r="C569" s="133" t="s">
        <v>1000</v>
      </c>
      <c r="D569" s="133" t="s">
        <v>483</v>
      </c>
      <c r="E569" s="133" t="s">
        <v>484</v>
      </c>
      <c r="F569" s="133" t="s">
        <v>708</v>
      </c>
      <c r="G569" s="133" t="s">
        <v>715</v>
      </c>
      <c r="H569" s="133">
        <v>10.9</v>
      </c>
      <c r="I569" s="133">
        <v>0</v>
      </c>
      <c r="J569" s="133">
        <v>0</v>
      </c>
      <c r="L569" s="133">
        <v>0</v>
      </c>
      <c r="M569" s="133" t="s">
        <v>1096</v>
      </c>
      <c r="N569" s="133">
        <v>0</v>
      </c>
      <c r="P569" s="133">
        <v>0</v>
      </c>
      <c r="Q569" s="133">
        <v>0</v>
      </c>
      <c r="R569" s="133">
        <v>0</v>
      </c>
      <c r="S569" s="156"/>
    </row>
    <row r="570" spans="1:19">
      <c r="A570" s="133" t="s">
        <v>1182</v>
      </c>
      <c r="B570" s="133" t="s">
        <v>1175</v>
      </c>
      <c r="C570" s="133" t="s">
        <v>1000</v>
      </c>
      <c r="D570" s="133" t="s">
        <v>485</v>
      </c>
      <c r="E570" s="133" t="s">
        <v>486</v>
      </c>
      <c r="F570" s="133" t="s">
        <v>708</v>
      </c>
      <c r="G570" s="133" t="s">
        <v>715</v>
      </c>
      <c r="H570" s="133">
        <v>2.83</v>
      </c>
      <c r="I570" s="133">
        <v>0</v>
      </c>
      <c r="J570" s="133">
        <v>0</v>
      </c>
      <c r="L570" s="133">
        <v>0</v>
      </c>
      <c r="M570" s="133" t="s">
        <v>1096</v>
      </c>
      <c r="N570" s="133">
        <v>0</v>
      </c>
      <c r="P570" s="133">
        <v>0</v>
      </c>
      <c r="Q570" s="133">
        <v>0</v>
      </c>
      <c r="R570" s="133">
        <v>0</v>
      </c>
      <c r="S570" s="156"/>
    </row>
    <row r="571" spans="1:19">
      <c r="A571" s="133" t="s">
        <v>1182</v>
      </c>
      <c r="B571" s="133" t="s">
        <v>1175</v>
      </c>
      <c r="C571" s="133" t="s">
        <v>1000</v>
      </c>
      <c r="D571" s="133" t="s">
        <v>900</v>
      </c>
      <c r="E571" s="133" t="s">
        <v>958</v>
      </c>
      <c r="F571" s="133" t="s">
        <v>946</v>
      </c>
      <c r="G571" s="133" t="s">
        <v>719</v>
      </c>
      <c r="H571" s="133">
        <v>1.26</v>
      </c>
      <c r="I571" s="133">
        <v>0</v>
      </c>
      <c r="J571" s="133">
        <v>0</v>
      </c>
      <c r="L571" s="133">
        <v>0</v>
      </c>
      <c r="M571" s="133" t="s">
        <v>1096</v>
      </c>
      <c r="N571" s="133">
        <v>0</v>
      </c>
      <c r="P571" s="133">
        <v>0</v>
      </c>
      <c r="Q571" s="133">
        <v>0</v>
      </c>
      <c r="R571" s="133">
        <v>0</v>
      </c>
      <c r="S571" s="156"/>
    </row>
    <row r="572" spans="1:19">
      <c r="A572" s="133" t="s">
        <v>1182</v>
      </c>
      <c r="B572" s="133" t="s">
        <v>1175</v>
      </c>
      <c r="C572" s="133" t="s">
        <v>1000</v>
      </c>
      <c r="D572" s="133" t="s">
        <v>495</v>
      </c>
      <c r="E572" s="133" t="s">
        <v>496</v>
      </c>
      <c r="F572" s="133" t="s">
        <v>707</v>
      </c>
      <c r="G572" s="133" t="s">
        <v>732</v>
      </c>
      <c r="H572" s="133">
        <v>6.05</v>
      </c>
      <c r="I572" s="133">
        <v>0</v>
      </c>
      <c r="J572" s="133">
        <v>105</v>
      </c>
      <c r="L572" s="133">
        <v>0</v>
      </c>
      <c r="M572" s="133" t="s">
        <v>1096</v>
      </c>
      <c r="N572" s="133">
        <v>0</v>
      </c>
      <c r="P572" s="133">
        <v>0</v>
      </c>
      <c r="Q572" s="133">
        <v>0</v>
      </c>
      <c r="R572" s="133">
        <v>0</v>
      </c>
      <c r="S572" s="156"/>
    </row>
    <row r="573" spans="1:19">
      <c r="A573" s="133" t="s">
        <v>1182</v>
      </c>
      <c r="B573" s="133" t="s">
        <v>1175</v>
      </c>
      <c r="C573" s="133" t="s">
        <v>1000</v>
      </c>
      <c r="D573" s="133" t="s">
        <v>497</v>
      </c>
      <c r="E573" s="133" t="s">
        <v>498</v>
      </c>
      <c r="F573" s="133" t="s">
        <v>707</v>
      </c>
      <c r="G573" s="133" t="s">
        <v>732</v>
      </c>
      <c r="H573" s="133">
        <v>23.46</v>
      </c>
      <c r="I573" s="133">
        <v>0</v>
      </c>
      <c r="J573" s="133">
        <v>52</v>
      </c>
      <c r="L573" s="133">
        <v>20</v>
      </c>
      <c r="M573" s="133" t="s">
        <v>1096</v>
      </c>
      <c r="N573" s="133">
        <v>0</v>
      </c>
      <c r="P573" s="133">
        <v>0</v>
      </c>
      <c r="Q573" s="133">
        <v>20</v>
      </c>
      <c r="R573" s="133">
        <v>0</v>
      </c>
      <c r="S573" s="156"/>
    </row>
    <row r="574" spans="1:19">
      <c r="A574" s="133" t="s">
        <v>1182</v>
      </c>
      <c r="B574" s="133" t="s">
        <v>1175</v>
      </c>
      <c r="C574" s="133" t="s">
        <v>1000</v>
      </c>
      <c r="D574" s="133" t="s">
        <v>499</v>
      </c>
      <c r="E574" s="133" t="s">
        <v>500</v>
      </c>
      <c r="F574" s="133" t="s">
        <v>708</v>
      </c>
      <c r="G574" s="133" t="s">
        <v>715</v>
      </c>
      <c r="H574" s="133">
        <v>56.08</v>
      </c>
      <c r="I574" s="133">
        <v>0</v>
      </c>
      <c r="J574" s="133">
        <v>2</v>
      </c>
      <c r="L574" s="133">
        <v>0</v>
      </c>
      <c r="M574" s="133" t="s">
        <v>1096</v>
      </c>
      <c r="N574" s="133">
        <v>0</v>
      </c>
      <c r="P574" s="133">
        <v>0</v>
      </c>
      <c r="Q574" s="133">
        <v>0</v>
      </c>
      <c r="R574" s="133">
        <v>0</v>
      </c>
      <c r="S574" s="156"/>
    </row>
    <row r="575" spans="1:19">
      <c r="A575" s="133" t="s">
        <v>1182</v>
      </c>
      <c r="B575" s="133" t="s">
        <v>1175</v>
      </c>
      <c r="C575" s="133" t="s">
        <v>1000</v>
      </c>
      <c r="D575" s="133" t="s">
        <v>501</v>
      </c>
      <c r="E575" s="133" t="s">
        <v>502</v>
      </c>
      <c r="F575" s="133" t="s">
        <v>708</v>
      </c>
      <c r="G575" s="133" t="s">
        <v>715</v>
      </c>
      <c r="H575" s="133">
        <v>11.48</v>
      </c>
      <c r="I575" s="133">
        <v>0</v>
      </c>
      <c r="J575" s="133">
        <v>47</v>
      </c>
      <c r="K575" s="133">
        <v>8</v>
      </c>
      <c r="L575" s="133">
        <v>8</v>
      </c>
      <c r="M575" s="133" t="s">
        <v>998</v>
      </c>
      <c r="N575" s="133">
        <v>0</v>
      </c>
      <c r="P575" s="133">
        <v>0</v>
      </c>
      <c r="Q575" s="133">
        <v>8</v>
      </c>
      <c r="R575" s="133">
        <v>0</v>
      </c>
      <c r="S575" s="156">
        <v>0</v>
      </c>
    </row>
    <row r="576" spans="1:19">
      <c r="A576" s="133" t="s">
        <v>1182</v>
      </c>
      <c r="B576" s="133" t="s">
        <v>1175</v>
      </c>
      <c r="C576" s="133" t="s">
        <v>1000</v>
      </c>
      <c r="D576" s="133" t="s">
        <v>503</v>
      </c>
      <c r="E576" s="133" t="s">
        <v>504</v>
      </c>
      <c r="F576" s="133" t="s">
        <v>708</v>
      </c>
      <c r="G576" s="133" t="s">
        <v>715</v>
      </c>
      <c r="H576" s="133">
        <v>3.38</v>
      </c>
      <c r="I576" s="133">
        <v>0</v>
      </c>
      <c r="J576" s="133">
        <v>294</v>
      </c>
      <c r="K576" s="133">
        <v>25</v>
      </c>
      <c r="L576" s="133">
        <v>25</v>
      </c>
      <c r="M576" s="133" t="s">
        <v>998</v>
      </c>
      <c r="N576" s="133">
        <v>0</v>
      </c>
      <c r="P576" s="133">
        <v>0</v>
      </c>
      <c r="Q576" s="133">
        <v>25</v>
      </c>
      <c r="R576" s="133">
        <v>0</v>
      </c>
      <c r="S576" s="156">
        <v>0</v>
      </c>
    </row>
    <row r="577" spans="1:19">
      <c r="A577" s="133" t="s">
        <v>1182</v>
      </c>
      <c r="B577" s="133" t="s">
        <v>1175</v>
      </c>
      <c r="C577" s="133" t="s">
        <v>1000</v>
      </c>
      <c r="D577" s="133" t="s">
        <v>505</v>
      </c>
      <c r="E577" s="133" t="s">
        <v>959</v>
      </c>
      <c r="F577" s="133" t="s">
        <v>712</v>
      </c>
      <c r="G577" s="133" t="s">
        <v>715</v>
      </c>
      <c r="H577" s="133">
        <v>1.94</v>
      </c>
      <c r="I577" s="133">
        <v>0</v>
      </c>
      <c r="J577" s="133">
        <v>0</v>
      </c>
      <c r="L577" s="133">
        <v>0</v>
      </c>
      <c r="M577" s="133" t="s">
        <v>1096</v>
      </c>
      <c r="N577" s="133">
        <v>0</v>
      </c>
      <c r="P577" s="133">
        <v>0</v>
      </c>
      <c r="Q577" s="133">
        <v>0</v>
      </c>
      <c r="R577" s="133">
        <v>0</v>
      </c>
      <c r="S577" s="156"/>
    </row>
    <row r="578" spans="1:19">
      <c r="A578" s="133" t="s">
        <v>1182</v>
      </c>
      <c r="B578" s="133" t="s">
        <v>1175</v>
      </c>
      <c r="C578" s="133" t="s">
        <v>1000</v>
      </c>
      <c r="D578" s="133" t="s">
        <v>506</v>
      </c>
      <c r="E578" s="133" t="s">
        <v>507</v>
      </c>
      <c r="F578" s="133" t="s">
        <v>712</v>
      </c>
      <c r="G578" s="133" t="s">
        <v>715</v>
      </c>
      <c r="H578" s="133">
        <v>3.49</v>
      </c>
      <c r="I578" s="133">
        <v>0</v>
      </c>
      <c r="J578" s="133">
        <v>0</v>
      </c>
      <c r="L578" s="133">
        <v>0</v>
      </c>
      <c r="M578" s="133" t="s">
        <v>1096</v>
      </c>
      <c r="N578" s="133">
        <v>0</v>
      </c>
      <c r="P578" s="133">
        <v>0</v>
      </c>
      <c r="Q578" s="133">
        <v>0</v>
      </c>
      <c r="R578" s="133">
        <v>0</v>
      </c>
      <c r="S578" s="156"/>
    </row>
    <row r="579" spans="1:19">
      <c r="A579" s="133" t="s">
        <v>1182</v>
      </c>
      <c r="B579" s="133" t="s">
        <v>1175</v>
      </c>
      <c r="C579" s="133" t="s">
        <v>1000</v>
      </c>
      <c r="D579" s="133" t="s">
        <v>508</v>
      </c>
      <c r="E579" s="133" t="s">
        <v>960</v>
      </c>
      <c r="F579" s="133" t="s">
        <v>712</v>
      </c>
      <c r="G579" s="133" t="s">
        <v>715</v>
      </c>
      <c r="H579" s="133">
        <v>6.94</v>
      </c>
      <c r="I579" s="133">
        <v>0</v>
      </c>
      <c r="J579" s="133">
        <v>0</v>
      </c>
      <c r="L579" s="133">
        <v>0</v>
      </c>
      <c r="M579" s="133" t="s">
        <v>1096</v>
      </c>
      <c r="N579" s="133">
        <v>0</v>
      </c>
      <c r="P579" s="133">
        <v>0</v>
      </c>
      <c r="Q579" s="133">
        <v>0</v>
      </c>
      <c r="R579" s="133">
        <v>0</v>
      </c>
      <c r="S579" s="156"/>
    </row>
    <row r="580" spans="1:19">
      <c r="A580" s="133" t="s">
        <v>1182</v>
      </c>
      <c r="B580" s="133" t="s">
        <v>1175</v>
      </c>
      <c r="C580" s="133" t="s">
        <v>1000</v>
      </c>
      <c r="D580" s="133" t="s">
        <v>901</v>
      </c>
      <c r="E580" s="133" t="s">
        <v>961</v>
      </c>
      <c r="F580" s="133" t="s">
        <v>946</v>
      </c>
      <c r="G580" s="133" t="s">
        <v>719</v>
      </c>
      <c r="H580" s="133">
        <v>0.93</v>
      </c>
      <c r="I580" s="133">
        <v>0</v>
      </c>
      <c r="J580" s="133">
        <v>0</v>
      </c>
      <c r="L580" s="133">
        <v>0</v>
      </c>
      <c r="M580" s="133" t="s">
        <v>1096</v>
      </c>
      <c r="N580" s="133">
        <v>0</v>
      </c>
      <c r="P580" s="133">
        <v>0</v>
      </c>
      <c r="Q580" s="133">
        <v>0</v>
      </c>
      <c r="R580" s="133">
        <v>0</v>
      </c>
      <c r="S580" s="156"/>
    </row>
    <row r="581" spans="1:19">
      <c r="A581" s="133" t="s">
        <v>1182</v>
      </c>
      <c r="B581" s="133" t="s">
        <v>1175</v>
      </c>
      <c r="C581" s="133" t="s">
        <v>1000</v>
      </c>
      <c r="D581" s="133" t="s">
        <v>902</v>
      </c>
      <c r="E581" s="133" t="s">
        <v>962</v>
      </c>
      <c r="F581" s="133" t="s">
        <v>946</v>
      </c>
      <c r="G581" s="133" t="s">
        <v>719</v>
      </c>
      <c r="H581" s="133">
        <v>0.54</v>
      </c>
      <c r="I581" s="133">
        <v>0</v>
      </c>
      <c r="J581" s="133">
        <v>0</v>
      </c>
      <c r="L581" s="133">
        <v>0</v>
      </c>
      <c r="M581" s="133" t="s">
        <v>1096</v>
      </c>
      <c r="N581" s="133">
        <v>0</v>
      </c>
      <c r="P581" s="133">
        <v>0</v>
      </c>
      <c r="Q581" s="133">
        <v>0</v>
      </c>
      <c r="R581" s="133">
        <v>0</v>
      </c>
      <c r="S581" s="156"/>
    </row>
    <row r="582" spans="1:19">
      <c r="A582" s="133" t="s">
        <v>1182</v>
      </c>
      <c r="B582" s="133" t="s">
        <v>1175</v>
      </c>
      <c r="C582" s="133" t="s">
        <v>1000</v>
      </c>
      <c r="D582" s="133" t="s">
        <v>903</v>
      </c>
      <c r="E582" s="133" t="s">
        <v>963</v>
      </c>
      <c r="F582" s="133" t="s">
        <v>946</v>
      </c>
      <c r="G582" s="133" t="s">
        <v>719</v>
      </c>
      <c r="H582" s="133">
        <v>2.13</v>
      </c>
      <c r="I582" s="133">
        <v>0</v>
      </c>
      <c r="J582" s="133">
        <v>0</v>
      </c>
      <c r="L582" s="133">
        <v>0</v>
      </c>
      <c r="M582" s="133" t="s">
        <v>1096</v>
      </c>
      <c r="N582" s="133">
        <v>0</v>
      </c>
      <c r="P582" s="133">
        <v>0</v>
      </c>
      <c r="Q582" s="133">
        <v>0</v>
      </c>
      <c r="R582" s="133">
        <v>0</v>
      </c>
      <c r="S582" s="156"/>
    </row>
    <row r="583" spans="1:19">
      <c r="A583" s="133" t="s">
        <v>1182</v>
      </c>
      <c r="B583" s="133" t="s">
        <v>1175</v>
      </c>
      <c r="C583" s="133" t="s">
        <v>1000</v>
      </c>
      <c r="D583" s="133" t="s">
        <v>904</v>
      </c>
      <c r="E583" s="133" t="s">
        <v>964</v>
      </c>
      <c r="F583" s="133" t="s">
        <v>946</v>
      </c>
      <c r="G583" s="133" t="s">
        <v>719</v>
      </c>
      <c r="H583" s="133">
        <v>4.1100000000000003</v>
      </c>
      <c r="I583" s="133">
        <v>0</v>
      </c>
      <c r="J583" s="133">
        <v>0</v>
      </c>
      <c r="L583" s="133">
        <v>0</v>
      </c>
      <c r="M583" s="133" t="s">
        <v>1096</v>
      </c>
      <c r="N583" s="133">
        <v>0</v>
      </c>
      <c r="P583" s="133">
        <v>0</v>
      </c>
      <c r="Q583" s="133">
        <v>0</v>
      </c>
      <c r="R583" s="133">
        <v>0</v>
      </c>
      <c r="S583" s="156"/>
    </row>
    <row r="584" spans="1:19">
      <c r="A584" s="133" t="s">
        <v>1182</v>
      </c>
      <c r="B584" s="133" t="s">
        <v>1175</v>
      </c>
      <c r="C584" s="133" t="s">
        <v>1000</v>
      </c>
      <c r="D584" s="133" t="s">
        <v>512</v>
      </c>
      <c r="E584" s="133" t="s">
        <v>513</v>
      </c>
      <c r="F584" s="133" t="s">
        <v>709</v>
      </c>
      <c r="G584" s="133" t="s">
        <v>719</v>
      </c>
      <c r="H584" s="133">
        <v>1.1599999999999999</v>
      </c>
      <c r="I584" s="133">
        <v>0</v>
      </c>
      <c r="J584" s="133">
        <v>0</v>
      </c>
      <c r="L584" s="133">
        <v>0</v>
      </c>
      <c r="M584" s="133" t="s">
        <v>1096</v>
      </c>
      <c r="N584" s="133">
        <v>0</v>
      </c>
      <c r="P584" s="133">
        <v>0</v>
      </c>
      <c r="Q584" s="133">
        <v>0</v>
      </c>
      <c r="R584" s="133">
        <v>0</v>
      </c>
      <c r="S584" s="156"/>
    </row>
    <row r="585" spans="1:19">
      <c r="A585" s="133" t="s">
        <v>1182</v>
      </c>
      <c r="B585" s="133" t="s">
        <v>1175</v>
      </c>
      <c r="C585" s="133" t="s">
        <v>1000</v>
      </c>
      <c r="D585" s="133" t="s">
        <v>514</v>
      </c>
      <c r="E585" s="133" t="s">
        <v>515</v>
      </c>
      <c r="F585" s="133" t="s">
        <v>709</v>
      </c>
      <c r="G585" s="133" t="s">
        <v>719</v>
      </c>
      <c r="H585" s="133">
        <v>2.14</v>
      </c>
      <c r="I585" s="133">
        <v>0</v>
      </c>
      <c r="J585" s="133">
        <v>0</v>
      </c>
      <c r="L585" s="133">
        <v>0</v>
      </c>
      <c r="M585" s="133" t="s">
        <v>1096</v>
      </c>
      <c r="N585" s="133">
        <v>0</v>
      </c>
      <c r="P585" s="133">
        <v>0</v>
      </c>
      <c r="Q585" s="133">
        <v>0</v>
      </c>
      <c r="R585" s="133">
        <v>0</v>
      </c>
      <c r="S585" s="156"/>
    </row>
    <row r="586" spans="1:19">
      <c r="A586" s="133" t="s">
        <v>1182</v>
      </c>
      <c r="B586" s="133" t="s">
        <v>1175</v>
      </c>
      <c r="C586" s="133" t="s">
        <v>1000</v>
      </c>
      <c r="D586" s="133" t="s">
        <v>516</v>
      </c>
      <c r="E586" s="133" t="s">
        <v>517</v>
      </c>
      <c r="F586" s="133" t="s">
        <v>709</v>
      </c>
      <c r="G586" s="133" t="s">
        <v>719</v>
      </c>
      <c r="H586" s="133">
        <v>4.8499999999999996</v>
      </c>
      <c r="I586" s="133">
        <v>0</v>
      </c>
      <c r="J586" s="133">
        <v>0</v>
      </c>
      <c r="L586" s="133">
        <v>0</v>
      </c>
      <c r="M586" s="133" t="s">
        <v>1096</v>
      </c>
      <c r="N586" s="133">
        <v>0</v>
      </c>
      <c r="P586" s="133">
        <v>0</v>
      </c>
      <c r="Q586" s="133">
        <v>0</v>
      </c>
      <c r="R586" s="133">
        <v>0</v>
      </c>
      <c r="S586" s="156"/>
    </row>
    <row r="587" spans="1:19">
      <c r="A587" s="133" t="s">
        <v>1182</v>
      </c>
      <c r="B587" s="133" t="s">
        <v>1175</v>
      </c>
      <c r="C587" s="133" t="s">
        <v>1000</v>
      </c>
      <c r="D587" s="133" t="s">
        <v>524</v>
      </c>
      <c r="E587" s="133" t="s">
        <v>525</v>
      </c>
      <c r="F587" s="133" t="s">
        <v>709</v>
      </c>
      <c r="G587" s="133" t="s">
        <v>719</v>
      </c>
      <c r="H587" s="133">
        <v>0.49</v>
      </c>
      <c r="I587" s="133">
        <v>0</v>
      </c>
      <c r="J587" s="133">
        <v>0</v>
      </c>
      <c r="L587" s="133">
        <v>0</v>
      </c>
      <c r="M587" s="133" t="s">
        <v>1096</v>
      </c>
      <c r="N587" s="133">
        <v>0</v>
      </c>
      <c r="P587" s="133">
        <v>0</v>
      </c>
      <c r="Q587" s="133">
        <v>0</v>
      </c>
      <c r="R587" s="133">
        <v>0</v>
      </c>
      <c r="S587" s="156"/>
    </row>
    <row r="588" spans="1:19">
      <c r="A588" s="133" t="s">
        <v>1182</v>
      </c>
      <c r="B588" s="133" t="s">
        <v>1175</v>
      </c>
      <c r="C588" s="133" t="s">
        <v>1000</v>
      </c>
      <c r="D588" s="133" t="s">
        <v>526</v>
      </c>
      <c r="E588" s="133" t="s">
        <v>527</v>
      </c>
      <c r="F588" s="133" t="s">
        <v>712</v>
      </c>
      <c r="G588" s="133" t="s">
        <v>719</v>
      </c>
      <c r="H588" s="133">
        <v>1.72</v>
      </c>
      <c r="I588" s="133">
        <v>0</v>
      </c>
      <c r="J588" s="133">
        <v>198</v>
      </c>
      <c r="L588" s="133">
        <v>0</v>
      </c>
      <c r="M588" s="133" t="s">
        <v>1096</v>
      </c>
      <c r="N588" s="133">
        <v>0</v>
      </c>
      <c r="P588" s="133">
        <v>0</v>
      </c>
      <c r="Q588" s="133">
        <v>0</v>
      </c>
      <c r="R588" s="133">
        <v>0</v>
      </c>
      <c r="S588" s="156"/>
    </row>
    <row r="589" spans="1:19">
      <c r="A589" s="133" t="s">
        <v>1182</v>
      </c>
      <c r="B589" s="133" t="s">
        <v>1175</v>
      </c>
      <c r="C589" s="133" t="s">
        <v>1000</v>
      </c>
      <c r="D589" s="133" t="s">
        <v>528</v>
      </c>
      <c r="E589" s="133" t="s">
        <v>529</v>
      </c>
      <c r="F589" s="133" t="s">
        <v>712</v>
      </c>
      <c r="G589" s="133" t="s">
        <v>719</v>
      </c>
      <c r="H589" s="133">
        <v>3.6</v>
      </c>
      <c r="I589" s="133">
        <v>0</v>
      </c>
      <c r="J589" s="133">
        <v>100</v>
      </c>
      <c r="L589" s="133">
        <v>0</v>
      </c>
      <c r="M589" s="133" t="s">
        <v>1096</v>
      </c>
      <c r="N589" s="133">
        <v>0</v>
      </c>
      <c r="P589" s="133">
        <v>0</v>
      </c>
      <c r="Q589" s="133">
        <v>0</v>
      </c>
      <c r="R589" s="133">
        <v>0</v>
      </c>
      <c r="S589" s="156"/>
    </row>
    <row r="590" spans="1:19">
      <c r="A590" s="133" t="s">
        <v>1182</v>
      </c>
      <c r="B590" s="133" t="s">
        <v>1175</v>
      </c>
      <c r="C590" s="133" t="s">
        <v>1000</v>
      </c>
      <c r="D590" s="133" t="s">
        <v>530</v>
      </c>
      <c r="E590" s="133" t="s">
        <v>531</v>
      </c>
      <c r="F590" s="133" t="s">
        <v>712</v>
      </c>
      <c r="G590" s="133" t="s">
        <v>719</v>
      </c>
      <c r="H590" s="133">
        <v>6.89</v>
      </c>
      <c r="I590" s="133">
        <v>0</v>
      </c>
      <c r="J590" s="133">
        <v>171</v>
      </c>
      <c r="L590" s="133">
        <v>0</v>
      </c>
      <c r="M590" s="133" t="s">
        <v>1096</v>
      </c>
      <c r="N590" s="133">
        <v>0</v>
      </c>
      <c r="P590" s="133">
        <v>0</v>
      </c>
      <c r="Q590" s="133">
        <v>0</v>
      </c>
      <c r="R590" s="133">
        <v>0</v>
      </c>
      <c r="S590" s="156"/>
    </row>
    <row r="591" spans="1:19">
      <c r="A591" s="133" t="s">
        <v>1182</v>
      </c>
      <c r="B591" s="133" t="s">
        <v>1175</v>
      </c>
      <c r="C591" s="133" t="s">
        <v>1000</v>
      </c>
      <c r="D591" s="133" t="s">
        <v>538</v>
      </c>
      <c r="E591" s="133" t="s">
        <v>539</v>
      </c>
      <c r="F591" s="133" t="s">
        <v>709</v>
      </c>
      <c r="G591" s="133" t="s">
        <v>719</v>
      </c>
      <c r="H591" s="133">
        <v>1.1299999999999999</v>
      </c>
      <c r="I591" s="133">
        <v>0</v>
      </c>
      <c r="J591" s="133">
        <v>0</v>
      </c>
      <c r="L591" s="133">
        <v>0</v>
      </c>
      <c r="M591" s="133" t="s">
        <v>1096</v>
      </c>
      <c r="N591" s="133">
        <v>0</v>
      </c>
      <c r="P591" s="133">
        <v>0</v>
      </c>
      <c r="Q591" s="133">
        <v>0</v>
      </c>
      <c r="R591" s="133">
        <v>0</v>
      </c>
      <c r="S591" s="156"/>
    </row>
    <row r="592" spans="1:19">
      <c r="A592" s="133" t="s">
        <v>1182</v>
      </c>
      <c r="B592" s="133" t="s">
        <v>1175</v>
      </c>
      <c r="C592" s="133" t="s">
        <v>1000</v>
      </c>
      <c r="D592" s="133" t="s">
        <v>905</v>
      </c>
      <c r="E592" s="133" t="s">
        <v>967</v>
      </c>
      <c r="F592" s="133" t="s">
        <v>946</v>
      </c>
      <c r="G592" s="133" t="s">
        <v>719</v>
      </c>
      <c r="H592" s="133">
        <v>3.43</v>
      </c>
      <c r="I592" s="133">
        <v>0</v>
      </c>
      <c r="J592" s="133">
        <v>0</v>
      </c>
      <c r="L592" s="133">
        <v>0</v>
      </c>
      <c r="M592" s="133" t="s">
        <v>1096</v>
      </c>
      <c r="N592" s="133">
        <v>0</v>
      </c>
      <c r="P592" s="133">
        <v>0</v>
      </c>
      <c r="Q592" s="133">
        <v>0</v>
      </c>
      <c r="R592" s="133">
        <v>0</v>
      </c>
      <c r="S592" s="156"/>
    </row>
    <row r="593" spans="1:19">
      <c r="A593" s="133" t="s">
        <v>1182</v>
      </c>
      <c r="B593" s="133" t="s">
        <v>1175</v>
      </c>
      <c r="C593" s="133" t="s">
        <v>1000</v>
      </c>
      <c r="D593" s="133" t="s">
        <v>906</v>
      </c>
      <c r="E593" s="133" t="s">
        <v>968</v>
      </c>
      <c r="F593" s="133" t="s">
        <v>946</v>
      </c>
      <c r="G593" s="133" t="s">
        <v>719</v>
      </c>
      <c r="H593" s="133">
        <v>1.48</v>
      </c>
      <c r="I593" s="133">
        <v>0</v>
      </c>
      <c r="J593" s="133">
        <v>0</v>
      </c>
      <c r="L593" s="133">
        <v>0</v>
      </c>
      <c r="M593" s="133" t="s">
        <v>1096</v>
      </c>
      <c r="N593" s="133">
        <v>0</v>
      </c>
      <c r="P593" s="133">
        <v>0</v>
      </c>
      <c r="Q593" s="133">
        <v>0</v>
      </c>
      <c r="R593" s="133">
        <v>0</v>
      </c>
      <c r="S593" s="156"/>
    </row>
    <row r="594" spans="1:19">
      <c r="A594" s="133" t="s">
        <v>1182</v>
      </c>
      <c r="B594" s="133" t="s">
        <v>1175</v>
      </c>
      <c r="C594" s="133" t="s">
        <v>1000</v>
      </c>
      <c r="D594" s="133" t="s">
        <v>542</v>
      </c>
      <c r="E594" s="133" t="s">
        <v>543</v>
      </c>
      <c r="F594" s="133" t="s">
        <v>707</v>
      </c>
      <c r="G594" s="133" t="s">
        <v>715</v>
      </c>
      <c r="H594" s="133">
        <v>1.24</v>
      </c>
      <c r="I594" s="133">
        <v>0</v>
      </c>
      <c r="J594" s="133">
        <v>337</v>
      </c>
      <c r="L594" s="133">
        <v>0</v>
      </c>
      <c r="M594" s="133" t="s">
        <v>1096</v>
      </c>
      <c r="N594" s="133">
        <v>0</v>
      </c>
      <c r="P594" s="133">
        <v>0</v>
      </c>
      <c r="Q594" s="133">
        <v>0</v>
      </c>
      <c r="R594" s="133">
        <v>0</v>
      </c>
      <c r="S594" s="156"/>
    </row>
    <row r="595" spans="1:19">
      <c r="A595" s="133" t="s">
        <v>1182</v>
      </c>
      <c r="B595" s="133" t="s">
        <v>1175</v>
      </c>
      <c r="C595" s="133" t="s">
        <v>1000</v>
      </c>
      <c r="D595" s="133" t="s">
        <v>544</v>
      </c>
      <c r="E595" s="133" t="s">
        <v>545</v>
      </c>
      <c r="F595" s="133" t="s">
        <v>707</v>
      </c>
      <c r="G595" s="133" t="s">
        <v>715</v>
      </c>
      <c r="H595" s="133">
        <v>2.27</v>
      </c>
      <c r="I595" s="133">
        <v>0</v>
      </c>
      <c r="J595" s="133">
        <v>258</v>
      </c>
      <c r="L595" s="133">
        <v>0</v>
      </c>
      <c r="M595" s="133" t="s">
        <v>1096</v>
      </c>
      <c r="N595" s="133">
        <v>0</v>
      </c>
      <c r="P595" s="133">
        <v>0</v>
      </c>
      <c r="Q595" s="133">
        <v>0</v>
      </c>
      <c r="R595" s="133">
        <v>0</v>
      </c>
      <c r="S595" s="156"/>
    </row>
    <row r="596" spans="1:19">
      <c r="A596" s="133" t="s">
        <v>1182</v>
      </c>
      <c r="B596" s="133" t="s">
        <v>1175</v>
      </c>
      <c r="C596" s="133" t="s">
        <v>1000</v>
      </c>
      <c r="D596" s="133" t="s">
        <v>546</v>
      </c>
      <c r="E596" s="133" t="s">
        <v>547</v>
      </c>
      <c r="F596" s="133" t="s">
        <v>707</v>
      </c>
      <c r="G596" s="133" t="s">
        <v>715</v>
      </c>
      <c r="H596" s="133">
        <v>16.43</v>
      </c>
      <c r="I596" s="133">
        <v>0</v>
      </c>
      <c r="J596" s="133">
        <v>0</v>
      </c>
      <c r="L596" s="133">
        <v>0</v>
      </c>
      <c r="M596" s="133" t="s">
        <v>1096</v>
      </c>
      <c r="N596" s="133">
        <v>0</v>
      </c>
      <c r="P596" s="133">
        <v>0</v>
      </c>
      <c r="Q596" s="133">
        <v>0</v>
      </c>
      <c r="R596" s="133">
        <v>0</v>
      </c>
      <c r="S596" s="156"/>
    </row>
    <row r="597" spans="1:19">
      <c r="A597" s="133" t="s">
        <v>1182</v>
      </c>
      <c r="B597" s="133" t="s">
        <v>1175</v>
      </c>
      <c r="C597" s="133" t="s">
        <v>1000</v>
      </c>
      <c r="D597" s="133" t="s">
        <v>548</v>
      </c>
      <c r="E597" s="133" t="s">
        <v>549</v>
      </c>
      <c r="F597" s="133" t="s">
        <v>707</v>
      </c>
      <c r="G597" s="133" t="s">
        <v>715</v>
      </c>
      <c r="H597" s="133">
        <v>3.66</v>
      </c>
      <c r="I597" s="133">
        <v>0</v>
      </c>
      <c r="J597" s="133">
        <v>200</v>
      </c>
      <c r="L597" s="133">
        <v>0</v>
      </c>
      <c r="M597" s="133" t="s">
        <v>1096</v>
      </c>
      <c r="N597" s="133">
        <v>0</v>
      </c>
      <c r="P597" s="133">
        <v>0</v>
      </c>
      <c r="Q597" s="133">
        <v>0</v>
      </c>
      <c r="R597" s="133">
        <v>0</v>
      </c>
      <c r="S597" s="156"/>
    </row>
    <row r="598" spans="1:19">
      <c r="A598" s="133" t="s">
        <v>1182</v>
      </c>
      <c r="B598" s="133" t="s">
        <v>1175</v>
      </c>
      <c r="C598" s="133" t="s">
        <v>1000</v>
      </c>
      <c r="D598" s="133" t="s">
        <v>553</v>
      </c>
      <c r="E598" s="133" t="s">
        <v>554</v>
      </c>
      <c r="F598" s="133" t="s">
        <v>712</v>
      </c>
      <c r="G598" s="133" t="s">
        <v>715</v>
      </c>
      <c r="H598" s="133">
        <v>4.62</v>
      </c>
      <c r="I598" s="133">
        <v>0</v>
      </c>
      <c r="J598" s="133">
        <v>0</v>
      </c>
      <c r="K598" s="133">
        <v>100</v>
      </c>
      <c r="L598" s="133">
        <v>0</v>
      </c>
      <c r="M598" s="133" t="s">
        <v>999</v>
      </c>
      <c r="N598" s="133">
        <v>0</v>
      </c>
      <c r="P598" s="133">
        <v>0</v>
      </c>
      <c r="Q598" s="133">
        <v>0</v>
      </c>
      <c r="R598" s="133">
        <v>100</v>
      </c>
      <c r="S598" s="156">
        <v>1</v>
      </c>
    </row>
    <row r="599" spans="1:19">
      <c r="A599" s="133" t="s">
        <v>1182</v>
      </c>
      <c r="B599" s="133" t="s">
        <v>1175</v>
      </c>
      <c r="C599" s="133" t="s">
        <v>1000</v>
      </c>
      <c r="D599" s="133" t="s">
        <v>555</v>
      </c>
      <c r="E599" s="133" t="s">
        <v>556</v>
      </c>
      <c r="F599" s="133" t="s">
        <v>712</v>
      </c>
      <c r="G599" s="133" t="s">
        <v>719</v>
      </c>
      <c r="H599" s="133">
        <v>2.59</v>
      </c>
      <c r="I599" s="133">
        <v>0</v>
      </c>
      <c r="J599" s="133">
        <v>1140</v>
      </c>
      <c r="L599" s="133">
        <v>0</v>
      </c>
      <c r="M599" s="133" t="s">
        <v>1096</v>
      </c>
      <c r="N599" s="133">
        <v>0</v>
      </c>
      <c r="P599" s="133">
        <v>0</v>
      </c>
      <c r="Q599" s="133">
        <v>0</v>
      </c>
      <c r="R599" s="133">
        <v>0</v>
      </c>
      <c r="S599" s="156"/>
    </row>
    <row r="600" spans="1:19">
      <c r="A600" s="133" t="s">
        <v>1182</v>
      </c>
      <c r="B600" s="133" t="s">
        <v>1175</v>
      </c>
      <c r="C600" s="133" t="s">
        <v>1000</v>
      </c>
      <c r="D600" s="133" t="s">
        <v>557</v>
      </c>
      <c r="E600" s="133" t="s">
        <v>558</v>
      </c>
      <c r="F600" s="133" t="s">
        <v>712</v>
      </c>
      <c r="G600" s="133" t="s">
        <v>719</v>
      </c>
      <c r="H600" s="133">
        <v>4.75</v>
      </c>
      <c r="I600" s="133">
        <v>0</v>
      </c>
      <c r="J600" s="133">
        <v>2670</v>
      </c>
      <c r="L600" s="133">
        <v>0</v>
      </c>
      <c r="M600" s="133" t="s">
        <v>1096</v>
      </c>
      <c r="N600" s="133">
        <v>0</v>
      </c>
      <c r="P600" s="133">
        <v>0</v>
      </c>
      <c r="Q600" s="133">
        <v>0</v>
      </c>
      <c r="R600" s="133">
        <v>0</v>
      </c>
      <c r="S600" s="156"/>
    </row>
    <row r="601" spans="1:19">
      <c r="A601" s="133" t="s">
        <v>1182</v>
      </c>
      <c r="B601" s="133" t="s">
        <v>1175</v>
      </c>
      <c r="C601" s="133" t="s">
        <v>1000</v>
      </c>
      <c r="D601" s="133" t="s">
        <v>559</v>
      </c>
      <c r="E601" s="133" t="s">
        <v>560</v>
      </c>
      <c r="F601" s="133" t="s">
        <v>712</v>
      </c>
      <c r="G601" s="133" t="s">
        <v>719</v>
      </c>
      <c r="H601" s="133">
        <v>2.4</v>
      </c>
      <c r="I601" s="133">
        <v>0</v>
      </c>
      <c r="J601" s="133">
        <v>274</v>
      </c>
      <c r="L601" s="133">
        <v>0</v>
      </c>
      <c r="M601" s="133" t="s">
        <v>1096</v>
      </c>
      <c r="N601" s="133">
        <v>0</v>
      </c>
      <c r="P601" s="133">
        <v>0</v>
      </c>
      <c r="Q601" s="133">
        <v>0</v>
      </c>
      <c r="R601" s="133">
        <v>0</v>
      </c>
      <c r="S601" s="156"/>
    </row>
    <row r="602" spans="1:19">
      <c r="A602" s="133" t="s">
        <v>1182</v>
      </c>
      <c r="B602" s="133" t="s">
        <v>1175</v>
      </c>
      <c r="C602" s="133" t="s">
        <v>1000</v>
      </c>
      <c r="D602" s="133" t="s">
        <v>561</v>
      </c>
      <c r="E602" s="133" t="s">
        <v>562</v>
      </c>
      <c r="F602" s="133" t="s">
        <v>712</v>
      </c>
      <c r="G602" s="133" t="s">
        <v>719</v>
      </c>
      <c r="H602" s="133">
        <v>4.47</v>
      </c>
      <c r="I602" s="133">
        <v>0</v>
      </c>
      <c r="J602" s="133">
        <v>964</v>
      </c>
      <c r="L602" s="133">
        <v>0</v>
      </c>
      <c r="M602" s="133" t="s">
        <v>1096</v>
      </c>
      <c r="N602" s="133">
        <v>0</v>
      </c>
      <c r="P602" s="133">
        <v>0</v>
      </c>
      <c r="Q602" s="133">
        <v>0</v>
      </c>
      <c r="R602" s="133">
        <v>0</v>
      </c>
      <c r="S602" s="156"/>
    </row>
    <row r="603" spans="1:19">
      <c r="A603" s="133" t="s">
        <v>1182</v>
      </c>
      <c r="B603" s="133" t="s">
        <v>1175</v>
      </c>
      <c r="C603" s="133" t="s">
        <v>1000</v>
      </c>
      <c r="D603" s="133" t="s">
        <v>883</v>
      </c>
      <c r="E603" s="133" t="s">
        <v>969</v>
      </c>
      <c r="F603" s="133" t="s">
        <v>712</v>
      </c>
      <c r="G603" s="133" t="s">
        <v>715</v>
      </c>
      <c r="H603" s="133">
        <v>1.66</v>
      </c>
      <c r="I603" s="133">
        <v>0</v>
      </c>
      <c r="J603" s="133">
        <v>197</v>
      </c>
      <c r="L603" s="133">
        <v>0</v>
      </c>
      <c r="M603" s="133" t="s">
        <v>1096</v>
      </c>
      <c r="N603" s="133">
        <v>0</v>
      </c>
      <c r="P603" s="133">
        <v>0</v>
      </c>
      <c r="Q603" s="133">
        <v>0</v>
      </c>
      <c r="R603" s="133">
        <v>0</v>
      </c>
      <c r="S603" s="156"/>
    </row>
    <row r="604" spans="1:19">
      <c r="A604" s="133" t="s">
        <v>1182</v>
      </c>
      <c r="B604" s="133" t="s">
        <v>1175</v>
      </c>
      <c r="C604" s="133" t="s">
        <v>1000</v>
      </c>
      <c r="D604" s="133" t="s">
        <v>884</v>
      </c>
      <c r="E604" s="133" t="s">
        <v>970</v>
      </c>
      <c r="F604" s="133" t="s">
        <v>712</v>
      </c>
      <c r="G604" s="133" t="s">
        <v>715</v>
      </c>
      <c r="H604" s="133">
        <v>13.56</v>
      </c>
      <c r="I604" s="133">
        <v>0</v>
      </c>
      <c r="J604" s="133">
        <v>141</v>
      </c>
      <c r="L604" s="133">
        <v>0</v>
      </c>
      <c r="M604" s="133" t="s">
        <v>1096</v>
      </c>
      <c r="N604" s="133">
        <v>0</v>
      </c>
      <c r="P604" s="133">
        <v>0</v>
      </c>
      <c r="Q604" s="133">
        <v>0</v>
      </c>
      <c r="R604" s="133">
        <v>0</v>
      </c>
      <c r="S604" s="156"/>
    </row>
    <row r="605" spans="1:19">
      <c r="A605" s="133" t="s">
        <v>1182</v>
      </c>
      <c r="B605" s="133" t="s">
        <v>1175</v>
      </c>
      <c r="C605" s="133" t="s">
        <v>1000</v>
      </c>
      <c r="D605" s="133" t="s">
        <v>576</v>
      </c>
      <c r="E605" s="133" t="s">
        <v>577</v>
      </c>
      <c r="F605" s="133" t="s">
        <v>709</v>
      </c>
      <c r="G605" s="133" t="s">
        <v>715</v>
      </c>
      <c r="H605" s="133">
        <v>0.97</v>
      </c>
      <c r="I605" s="133">
        <v>0</v>
      </c>
      <c r="J605" s="133">
        <v>0</v>
      </c>
      <c r="L605" s="133">
        <v>0</v>
      </c>
      <c r="M605" s="133" t="s">
        <v>1096</v>
      </c>
      <c r="N605" s="133">
        <v>0</v>
      </c>
      <c r="P605" s="133">
        <v>0</v>
      </c>
      <c r="Q605" s="133">
        <v>0</v>
      </c>
      <c r="R605" s="133">
        <v>0</v>
      </c>
      <c r="S605" s="156"/>
    </row>
    <row r="606" spans="1:19">
      <c r="A606" s="133" t="s">
        <v>1182</v>
      </c>
      <c r="B606" s="133" t="s">
        <v>1175</v>
      </c>
      <c r="C606" s="133" t="s">
        <v>1000</v>
      </c>
      <c r="D606" s="133" t="s">
        <v>578</v>
      </c>
      <c r="E606" s="133" t="s">
        <v>579</v>
      </c>
      <c r="F606" s="133" t="s">
        <v>709</v>
      </c>
      <c r="G606" s="133" t="s">
        <v>715</v>
      </c>
      <c r="H606" s="133">
        <v>2.3199999999999998</v>
      </c>
      <c r="I606" s="133">
        <v>0</v>
      </c>
      <c r="J606" s="133">
        <v>0</v>
      </c>
      <c r="L606" s="133">
        <v>0</v>
      </c>
      <c r="M606" s="133" t="s">
        <v>1096</v>
      </c>
      <c r="N606" s="133">
        <v>0</v>
      </c>
      <c r="P606" s="133">
        <v>0</v>
      </c>
      <c r="Q606" s="133">
        <v>0</v>
      </c>
      <c r="R606" s="133">
        <v>0</v>
      </c>
      <c r="S606" s="156"/>
    </row>
    <row r="607" spans="1:19">
      <c r="A607" s="133" t="s">
        <v>1182</v>
      </c>
      <c r="B607" s="133" t="s">
        <v>1175</v>
      </c>
      <c r="C607" s="133" t="s">
        <v>1000</v>
      </c>
      <c r="D607" s="133" t="s">
        <v>580</v>
      </c>
      <c r="E607" s="133" t="s">
        <v>581</v>
      </c>
      <c r="F607" s="133" t="s">
        <v>709</v>
      </c>
      <c r="G607" s="133" t="s">
        <v>715</v>
      </c>
      <c r="H607" s="133">
        <v>3.92</v>
      </c>
      <c r="I607" s="133">
        <v>0</v>
      </c>
      <c r="J607" s="133">
        <v>0</v>
      </c>
      <c r="L607" s="133">
        <v>0</v>
      </c>
      <c r="M607" s="133" t="s">
        <v>1096</v>
      </c>
      <c r="N607" s="133">
        <v>0</v>
      </c>
      <c r="P607" s="133">
        <v>0</v>
      </c>
      <c r="Q607" s="133">
        <v>0</v>
      </c>
      <c r="R607" s="133">
        <v>0</v>
      </c>
      <c r="S607" s="156"/>
    </row>
    <row r="608" spans="1:19">
      <c r="A608" s="133" t="s">
        <v>1182</v>
      </c>
      <c r="B608" s="133" t="s">
        <v>1175</v>
      </c>
      <c r="C608" s="133" t="s">
        <v>1000</v>
      </c>
      <c r="D608" s="133" t="s">
        <v>582</v>
      </c>
      <c r="E608" s="133" t="s">
        <v>583</v>
      </c>
      <c r="F608" s="133" t="s">
        <v>709</v>
      </c>
      <c r="G608" s="133" t="s">
        <v>715</v>
      </c>
      <c r="H608" s="133">
        <v>9.3000000000000007</v>
      </c>
      <c r="I608" s="133">
        <v>0</v>
      </c>
      <c r="J608" s="133">
        <v>0</v>
      </c>
      <c r="L608" s="133">
        <v>0</v>
      </c>
      <c r="M608" s="133" t="s">
        <v>1096</v>
      </c>
      <c r="N608" s="133">
        <v>0</v>
      </c>
      <c r="P608" s="133">
        <v>0</v>
      </c>
      <c r="Q608" s="133">
        <v>0</v>
      </c>
      <c r="R608" s="133">
        <v>0</v>
      </c>
      <c r="S608" s="156"/>
    </row>
    <row r="609" spans="1:19">
      <c r="A609" s="133" t="s">
        <v>1182</v>
      </c>
      <c r="B609" s="133" t="s">
        <v>1175</v>
      </c>
      <c r="C609" s="133" t="s">
        <v>1000</v>
      </c>
      <c r="D609" s="133" t="s">
        <v>584</v>
      </c>
      <c r="E609" s="133" t="s">
        <v>585</v>
      </c>
      <c r="F609" s="133" t="s">
        <v>707</v>
      </c>
      <c r="G609" s="133" t="s">
        <v>715</v>
      </c>
      <c r="H609" s="133">
        <v>4.09</v>
      </c>
      <c r="I609" s="133">
        <v>0</v>
      </c>
      <c r="J609" s="133">
        <v>458</v>
      </c>
      <c r="L609" s="133">
        <v>0</v>
      </c>
      <c r="M609" s="133" t="s">
        <v>1096</v>
      </c>
      <c r="N609" s="133">
        <v>0</v>
      </c>
      <c r="P609" s="133">
        <v>0</v>
      </c>
      <c r="Q609" s="133">
        <v>0</v>
      </c>
      <c r="R609" s="133">
        <v>0</v>
      </c>
      <c r="S609" s="156"/>
    </row>
    <row r="610" spans="1:19">
      <c r="A610" s="133" t="s">
        <v>1182</v>
      </c>
      <c r="B610" s="133" t="s">
        <v>1175</v>
      </c>
      <c r="C610" s="133" t="s">
        <v>1000</v>
      </c>
      <c r="D610" s="133" t="s">
        <v>586</v>
      </c>
      <c r="E610" s="133" t="s">
        <v>587</v>
      </c>
      <c r="F610" s="133" t="s">
        <v>707</v>
      </c>
      <c r="G610" s="133" t="s">
        <v>715</v>
      </c>
      <c r="H610" s="133">
        <v>11.23</v>
      </c>
      <c r="I610" s="133">
        <v>0</v>
      </c>
      <c r="J610" s="133">
        <v>0</v>
      </c>
      <c r="L610" s="133">
        <v>0</v>
      </c>
      <c r="M610" s="133" t="s">
        <v>1096</v>
      </c>
      <c r="N610" s="133">
        <v>0</v>
      </c>
      <c r="P610" s="133">
        <v>0</v>
      </c>
      <c r="Q610" s="133">
        <v>0</v>
      </c>
      <c r="R610" s="133">
        <v>0</v>
      </c>
      <c r="S610" s="156"/>
    </row>
    <row r="611" spans="1:19">
      <c r="A611" s="133" t="s">
        <v>1182</v>
      </c>
      <c r="B611" s="133" t="s">
        <v>1175</v>
      </c>
      <c r="C611" s="133" t="s">
        <v>1000</v>
      </c>
      <c r="D611" s="133" t="s">
        <v>588</v>
      </c>
      <c r="E611" s="133" t="s">
        <v>589</v>
      </c>
      <c r="F611" s="133" t="s">
        <v>707</v>
      </c>
      <c r="G611" s="133" t="s">
        <v>715</v>
      </c>
      <c r="H611" s="133">
        <v>3.05</v>
      </c>
      <c r="I611" s="133">
        <v>0</v>
      </c>
      <c r="J611" s="133">
        <v>213</v>
      </c>
      <c r="L611" s="133">
        <v>0</v>
      </c>
      <c r="M611" s="133" t="s">
        <v>1096</v>
      </c>
      <c r="N611" s="133">
        <v>0</v>
      </c>
      <c r="P611" s="133">
        <v>0</v>
      </c>
      <c r="Q611" s="133">
        <v>0</v>
      </c>
      <c r="R611" s="133">
        <v>0</v>
      </c>
      <c r="S611" s="156"/>
    </row>
    <row r="612" spans="1:19">
      <c r="A612" s="133" t="s">
        <v>1182</v>
      </c>
      <c r="B612" s="133" t="s">
        <v>1175</v>
      </c>
      <c r="C612" s="133" t="s">
        <v>1000</v>
      </c>
      <c r="D612" s="133" t="s">
        <v>885</v>
      </c>
      <c r="E612" s="133" t="s">
        <v>971</v>
      </c>
      <c r="F612" s="133" t="s">
        <v>712</v>
      </c>
      <c r="G612" s="133" t="s">
        <v>715</v>
      </c>
      <c r="H612" s="133">
        <v>3.49</v>
      </c>
      <c r="I612" s="133">
        <v>0</v>
      </c>
      <c r="J612" s="133">
        <v>179</v>
      </c>
      <c r="L612" s="133">
        <v>0</v>
      </c>
      <c r="M612" s="133" t="s">
        <v>1096</v>
      </c>
      <c r="N612" s="133">
        <v>0</v>
      </c>
      <c r="P612" s="133">
        <v>0</v>
      </c>
      <c r="Q612" s="133">
        <v>0</v>
      </c>
      <c r="R612" s="133">
        <v>0</v>
      </c>
      <c r="S612" s="156"/>
    </row>
    <row r="613" spans="1:19">
      <c r="A613" s="133" t="s">
        <v>1182</v>
      </c>
      <c r="B613" s="133" t="s">
        <v>1175</v>
      </c>
      <c r="C613" s="133" t="s">
        <v>1000</v>
      </c>
      <c r="D613" s="133" t="s">
        <v>886</v>
      </c>
      <c r="E613" s="133" t="s">
        <v>972</v>
      </c>
      <c r="F613" s="133" t="s">
        <v>712</v>
      </c>
      <c r="G613" s="133" t="s">
        <v>715</v>
      </c>
      <c r="H613" s="133">
        <v>1.87</v>
      </c>
      <c r="I613" s="133">
        <v>0</v>
      </c>
      <c r="J613" s="133">
        <v>135</v>
      </c>
      <c r="L613" s="133">
        <v>0</v>
      </c>
      <c r="M613" s="133" t="s">
        <v>1096</v>
      </c>
      <c r="N613" s="133">
        <v>0</v>
      </c>
      <c r="P613" s="133">
        <v>0</v>
      </c>
      <c r="Q613" s="133">
        <v>0</v>
      </c>
      <c r="R613" s="133">
        <v>0</v>
      </c>
      <c r="S613" s="156"/>
    </row>
    <row r="614" spans="1:19">
      <c r="A614" s="133" t="s">
        <v>1182</v>
      </c>
      <c r="B614" s="133" t="s">
        <v>1175</v>
      </c>
      <c r="C614" s="133" t="s">
        <v>1000</v>
      </c>
      <c r="D614" s="133" t="s">
        <v>887</v>
      </c>
      <c r="E614" s="133" t="s">
        <v>973</v>
      </c>
      <c r="F614" s="133" t="s">
        <v>712</v>
      </c>
      <c r="G614" s="133" t="s">
        <v>715</v>
      </c>
      <c r="H614" s="133">
        <v>6.61</v>
      </c>
      <c r="I614" s="133">
        <v>0</v>
      </c>
      <c r="J614" s="133">
        <v>162</v>
      </c>
      <c r="L614" s="133">
        <v>0</v>
      </c>
      <c r="M614" s="133" t="s">
        <v>1096</v>
      </c>
      <c r="N614" s="133">
        <v>0</v>
      </c>
      <c r="P614" s="133">
        <v>0</v>
      </c>
      <c r="Q614" s="133">
        <v>0</v>
      </c>
      <c r="R614" s="133">
        <v>0</v>
      </c>
      <c r="S614" s="156"/>
    </row>
    <row r="615" spans="1:19">
      <c r="A615" s="133" t="s">
        <v>1182</v>
      </c>
      <c r="B615" s="133" t="s">
        <v>1175</v>
      </c>
      <c r="C615" s="133" t="s">
        <v>1000</v>
      </c>
      <c r="D615" s="133" t="s">
        <v>594</v>
      </c>
      <c r="E615" s="133" t="s">
        <v>595</v>
      </c>
      <c r="F615" s="133" t="s">
        <v>712</v>
      </c>
      <c r="G615" s="133" t="s">
        <v>715</v>
      </c>
      <c r="H615" s="133">
        <v>25.89</v>
      </c>
      <c r="I615" s="133">
        <v>0</v>
      </c>
      <c r="J615" s="133">
        <v>702</v>
      </c>
      <c r="L615" s="133">
        <v>20</v>
      </c>
      <c r="M615" s="133" t="s">
        <v>1096</v>
      </c>
      <c r="N615" s="133">
        <v>0</v>
      </c>
      <c r="P615" s="133">
        <v>0</v>
      </c>
      <c r="Q615" s="133">
        <v>20</v>
      </c>
      <c r="R615" s="133">
        <v>0</v>
      </c>
      <c r="S615" s="156"/>
    </row>
    <row r="616" spans="1:19">
      <c r="A616" s="133" t="s">
        <v>1182</v>
      </c>
      <c r="B616" s="133" t="s">
        <v>1175</v>
      </c>
      <c r="C616" s="133" t="s">
        <v>1000</v>
      </c>
      <c r="D616" s="133" t="s">
        <v>596</v>
      </c>
      <c r="E616" s="133" t="s">
        <v>597</v>
      </c>
      <c r="F616" s="133" t="s">
        <v>712</v>
      </c>
      <c r="G616" s="133" t="s">
        <v>715</v>
      </c>
      <c r="H616" s="133">
        <v>2.71</v>
      </c>
      <c r="I616" s="133">
        <v>0</v>
      </c>
      <c r="J616" s="133">
        <v>243</v>
      </c>
      <c r="L616" s="133">
        <v>0</v>
      </c>
      <c r="M616" s="133" t="s">
        <v>1096</v>
      </c>
      <c r="N616" s="133">
        <v>0</v>
      </c>
      <c r="P616" s="133">
        <v>0</v>
      </c>
      <c r="Q616" s="133">
        <v>0</v>
      </c>
      <c r="R616" s="133">
        <v>0</v>
      </c>
      <c r="S616" s="156"/>
    </row>
    <row r="617" spans="1:19">
      <c r="A617" s="133" t="s">
        <v>1182</v>
      </c>
      <c r="B617" s="133" t="s">
        <v>1175</v>
      </c>
      <c r="C617" s="133" t="s">
        <v>1000</v>
      </c>
      <c r="D617" s="133" t="s">
        <v>598</v>
      </c>
      <c r="E617" s="133" t="s">
        <v>599</v>
      </c>
      <c r="F617" s="133" t="s">
        <v>712</v>
      </c>
      <c r="G617" s="133" t="s">
        <v>715</v>
      </c>
      <c r="H617" s="133">
        <v>6.66</v>
      </c>
      <c r="I617" s="133">
        <v>0</v>
      </c>
      <c r="J617" s="133">
        <v>220</v>
      </c>
      <c r="K617" s="133">
        <v>25</v>
      </c>
      <c r="L617" s="133">
        <v>38</v>
      </c>
      <c r="M617" s="133" t="s">
        <v>997</v>
      </c>
      <c r="N617" s="133">
        <v>0</v>
      </c>
      <c r="P617" s="133">
        <v>0</v>
      </c>
      <c r="Q617" s="133">
        <v>38</v>
      </c>
      <c r="R617" s="133">
        <v>0</v>
      </c>
      <c r="S617" s="156">
        <v>-0.52</v>
      </c>
    </row>
    <row r="618" spans="1:19">
      <c r="A618" s="133" t="s">
        <v>1182</v>
      </c>
      <c r="B618" s="133" t="s">
        <v>1175</v>
      </c>
      <c r="C618" s="133" t="s">
        <v>1000</v>
      </c>
      <c r="D618" s="133" t="s">
        <v>601</v>
      </c>
      <c r="E618" s="133" t="s">
        <v>602</v>
      </c>
      <c r="F618" s="133" t="s">
        <v>712</v>
      </c>
      <c r="G618" s="133" t="s">
        <v>715</v>
      </c>
      <c r="H618" s="133">
        <v>349.85</v>
      </c>
      <c r="I618" s="133">
        <v>0</v>
      </c>
      <c r="J618" s="133">
        <v>0</v>
      </c>
      <c r="L618" s="133">
        <v>0</v>
      </c>
      <c r="M618" s="133" t="s">
        <v>1096</v>
      </c>
      <c r="N618" s="133">
        <v>0</v>
      </c>
      <c r="P618" s="133">
        <v>0</v>
      </c>
      <c r="Q618" s="133">
        <v>0</v>
      </c>
      <c r="R618" s="133">
        <v>0</v>
      </c>
      <c r="S618" s="156"/>
    </row>
    <row r="619" spans="1:19">
      <c r="A619" s="133" t="s">
        <v>1182</v>
      </c>
      <c r="B619" s="133" t="s">
        <v>1175</v>
      </c>
      <c r="C619" s="133" t="s">
        <v>1000</v>
      </c>
      <c r="D619" s="133" t="s">
        <v>603</v>
      </c>
      <c r="E619" s="133" t="s">
        <v>604</v>
      </c>
      <c r="F619" s="133" t="s">
        <v>712</v>
      </c>
      <c r="G619" s="133" t="s">
        <v>715</v>
      </c>
      <c r="H619" s="133">
        <v>20.54</v>
      </c>
      <c r="I619" s="133">
        <v>0</v>
      </c>
      <c r="J619" s="133">
        <v>0</v>
      </c>
      <c r="L619" s="133">
        <v>0</v>
      </c>
      <c r="M619" s="133" t="s">
        <v>1096</v>
      </c>
      <c r="N619" s="133">
        <v>0</v>
      </c>
      <c r="P619" s="133">
        <v>0</v>
      </c>
      <c r="Q619" s="133">
        <v>0</v>
      </c>
      <c r="R619" s="133">
        <v>0</v>
      </c>
      <c r="S619" s="156"/>
    </row>
    <row r="620" spans="1:19">
      <c r="A620" s="133" t="s">
        <v>1182</v>
      </c>
      <c r="B620" s="133" t="s">
        <v>1175</v>
      </c>
      <c r="C620" s="133" t="s">
        <v>1000</v>
      </c>
      <c r="D620" s="133" t="s">
        <v>605</v>
      </c>
      <c r="E620" s="133" t="s">
        <v>606</v>
      </c>
      <c r="F620" s="133" t="s">
        <v>709</v>
      </c>
      <c r="G620" s="133" t="s">
        <v>719</v>
      </c>
      <c r="H620" s="133">
        <v>1.35</v>
      </c>
      <c r="I620" s="133">
        <v>0</v>
      </c>
      <c r="J620" s="133">
        <v>1048</v>
      </c>
      <c r="K620" s="133">
        <v>100</v>
      </c>
      <c r="L620" s="133">
        <v>100</v>
      </c>
      <c r="M620" s="133" t="s">
        <v>998</v>
      </c>
      <c r="N620" s="133">
        <v>0</v>
      </c>
      <c r="P620" s="133">
        <v>0</v>
      </c>
      <c r="Q620" s="133">
        <v>100</v>
      </c>
      <c r="R620" s="133">
        <v>0</v>
      </c>
      <c r="S620" s="156">
        <v>0</v>
      </c>
    </row>
    <row r="621" spans="1:19">
      <c r="A621" s="133" t="s">
        <v>1182</v>
      </c>
      <c r="B621" s="133" t="s">
        <v>1175</v>
      </c>
      <c r="C621" s="133" t="s">
        <v>1000</v>
      </c>
      <c r="D621" s="133" t="s">
        <v>607</v>
      </c>
      <c r="E621" s="133" t="s">
        <v>608</v>
      </c>
      <c r="F621" s="133" t="s">
        <v>709</v>
      </c>
      <c r="G621" s="133" t="s">
        <v>719</v>
      </c>
      <c r="H621" s="133">
        <v>0.99</v>
      </c>
      <c r="I621" s="133">
        <v>0</v>
      </c>
      <c r="J621" s="133">
        <v>0</v>
      </c>
      <c r="L621" s="133">
        <v>0</v>
      </c>
      <c r="M621" s="133" t="s">
        <v>1096</v>
      </c>
      <c r="N621" s="133">
        <v>0</v>
      </c>
      <c r="P621" s="133">
        <v>0</v>
      </c>
      <c r="Q621" s="133">
        <v>0</v>
      </c>
      <c r="R621" s="133">
        <v>0</v>
      </c>
      <c r="S621" s="156"/>
    </row>
    <row r="622" spans="1:19">
      <c r="A622" s="133" t="s">
        <v>1182</v>
      </c>
      <c r="B622" s="133" t="s">
        <v>1175</v>
      </c>
      <c r="C622" s="133" t="s">
        <v>1000</v>
      </c>
      <c r="D622" s="133" t="s">
        <v>609</v>
      </c>
      <c r="E622" s="133" t="s">
        <v>610</v>
      </c>
      <c r="F622" s="133" t="s">
        <v>709</v>
      </c>
      <c r="G622" s="133" t="s">
        <v>719</v>
      </c>
      <c r="H622" s="133">
        <v>5.9</v>
      </c>
      <c r="I622" s="133">
        <v>0</v>
      </c>
      <c r="J622" s="133">
        <v>20</v>
      </c>
      <c r="L622" s="133">
        <v>0</v>
      </c>
      <c r="M622" s="133" t="s">
        <v>1096</v>
      </c>
      <c r="N622" s="133">
        <v>0</v>
      </c>
      <c r="P622" s="133">
        <v>0</v>
      </c>
      <c r="Q622" s="133">
        <v>0</v>
      </c>
      <c r="R622" s="133">
        <v>0</v>
      </c>
      <c r="S622" s="156"/>
    </row>
    <row r="623" spans="1:19">
      <c r="A623" s="133" t="s">
        <v>1182</v>
      </c>
      <c r="B623" s="133" t="s">
        <v>1175</v>
      </c>
      <c r="C623" s="133" t="s">
        <v>1000</v>
      </c>
      <c r="D623" s="133" t="s">
        <v>611</v>
      </c>
      <c r="E623" s="133" t="s">
        <v>612</v>
      </c>
      <c r="F623" s="133" t="s">
        <v>712</v>
      </c>
      <c r="G623" s="133" t="s">
        <v>719</v>
      </c>
      <c r="H623" s="133">
        <v>0.76</v>
      </c>
      <c r="I623" s="133">
        <v>0</v>
      </c>
      <c r="J623" s="133">
        <v>407</v>
      </c>
      <c r="L623" s="133">
        <v>0</v>
      </c>
      <c r="M623" s="133" t="s">
        <v>1096</v>
      </c>
      <c r="N623" s="133">
        <v>0</v>
      </c>
      <c r="P623" s="133">
        <v>0</v>
      </c>
      <c r="Q623" s="133">
        <v>0</v>
      </c>
      <c r="R623" s="133">
        <v>0</v>
      </c>
      <c r="S623" s="156"/>
    </row>
    <row r="624" spans="1:19">
      <c r="A624" s="133" t="s">
        <v>1182</v>
      </c>
      <c r="B624" s="133" t="s">
        <v>1175</v>
      </c>
      <c r="C624" s="133" t="s">
        <v>1000</v>
      </c>
      <c r="D624" s="133" t="s">
        <v>613</v>
      </c>
      <c r="E624" s="133" t="s">
        <v>614</v>
      </c>
      <c r="F624" s="133" t="s">
        <v>712</v>
      </c>
      <c r="G624" s="133" t="s">
        <v>719</v>
      </c>
      <c r="H624" s="133">
        <v>3.05</v>
      </c>
      <c r="I624" s="133">
        <v>0</v>
      </c>
      <c r="J624" s="133">
        <v>256</v>
      </c>
      <c r="L624" s="133">
        <v>0</v>
      </c>
      <c r="M624" s="133" t="s">
        <v>1096</v>
      </c>
      <c r="N624" s="133">
        <v>0</v>
      </c>
      <c r="P624" s="133">
        <v>0</v>
      </c>
      <c r="Q624" s="133">
        <v>0</v>
      </c>
      <c r="R624" s="133">
        <v>0</v>
      </c>
      <c r="S624" s="156"/>
    </row>
    <row r="625" spans="1:19">
      <c r="A625" s="133" t="s">
        <v>1182</v>
      </c>
      <c r="B625" s="133" t="s">
        <v>1175</v>
      </c>
      <c r="C625" s="133" t="s">
        <v>1000</v>
      </c>
      <c r="D625" s="133" t="s">
        <v>615</v>
      </c>
      <c r="E625" s="133" t="s">
        <v>616</v>
      </c>
      <c r="F625" s="133" t="s">
        <v>712</v>
      </c>
      <c r="G625" s="133" t="s">
        <v>719</v>
      </c>
      <c r="H625" s="133">
        <v>5.97</v>
      </c>
      <c r="I625" s="133">
        <v>0</v>
      </c>
      <c r="J625" s="133">
        <v>267</v>
      </c>
      <c r="K625" s="133">
        <v>30</v>
      </c>
      <c r="L625" s="133">
        <v>30</v>
      </c>
      <c r="M625" s="133" t="s">
        <v>998</v>
      </c>
      <c r="N625" s="133">
        <v>0</v>
      </c>
      <c r="P625" s="133">
        <v>0</v>
      </c>
      <c r="Q625" s="133">
        <v>30</v>
      </c>
      <c r="R625" s="133">
        <v>0</v>
      </c>
      <c r="S625" s="156">
        <v>0</v>
      </c>
    </row>
    <row r="626" spans="1:19">
      <c r="A626" s="133" t="s">
        <v>1182</v>
      </c>
      <c r="B626" s="133" t="s">
        <v>1175</v>
      </c>
      <c r="C626" s="133" t="s">
        <v>1000</v>
      </c>
      <c r="D626" s="133" t="s">
        <v>617</v>
      </c>
      <c r="E626" s="133" t="s">
        <v>618</v>
      </c>
      <c r="F626" s="133" t="s">
        <v>709</v>
      </c>
      <c r="G626" s="133" t="s">
        <v>719</v>
      </c>
      <c r="H626" s="133">
        <v>2.37</v>
      </c>
      <c r="I626" s="133">
        <v>0</v>
      </c>
      <c r="J626" s="133">
        <v>935</v>
      </c>
      <c r="K626" s="133">
        <v>20</v>
      </c>
      <c r="L626" s="133">
        <v>23</v>
      </c>
      <c r="M626" s="133" t="s">
        <v>997</v>
      </c>
      <c r="N626" s="133">
        <v>0</v>
      </c>
      <c r="P626" s="133">
        <v>0</v>
      </c>
      <c r="Q626" s="133">
        <v>23</v>
      </c>
      <c r="R626" s="133">
        <v>0</v>
      </c>
      <c r="S626" s="156">
        <v>-0.15</v>
      </c>
    </row>
    <row r="627" spans="1:19">
      <c r="A627" s="133" t="s">
        <v>1182</v>
      </c>
      <c r="B627" s="133" t="s">
        <v>1175</v>
      </c>
      <c r="C627" s="133" t="s">
        <v>1000</v>
      </c>
      <c r="D627" s="133" t="s">
        <v>619</v>
      </c>
      <c r="E627" s="133" t="s">
        <v>620</v>
      </c>
      <c r="F627" s="133" t="s">
        <v>709</v>
      </c>
      <c r="G627" s="133" t="s">
        <v>719</v>
      </c>
      <c r="H627" s="133">
        <v>11.05</v>
      </c>
      <c r="I627" s="133">
        <v>0</v>
      </c>
      <c r="J627" s="133">
        <v>64</v>
      </c>
      <c r="L627" s="133">
        <v>0</v>
      </c>
      <c r="M627" s="133" t="s">
        <v>1096</v>
      </c>
      <c r="N627" s="133">
        <v>0</v>
      </c>
      <c r="P627" s="133">
        <v>0</v>
      </c>
      <c r="Q627" s="133">
        <v>0</v>
      </c>
      <c r="R627" s="133">
        <v>0</v>
      </c>
      <c r="S627" s="156"/>
    </row>
    <row r="628" spans="1:19">
      <c r="A628" s="133" t="s">
        <v>1182</v>
      </c>
      <c r="B628" s="133" t="s">
        <v>1175</v>
      </c>
      <c r="C628" s="133" t="s">
        <v>1000</v>
      </c>
      <c r="D628" s="133" t="s">
        <v>621</v>
      </c>
      <c r="E628" s="133" t="s">
        <v>622</v>
      </c>
      <c r="F628" s="133" t="s">
        <v>712</v>
      </c>
      <c r="G628" s="133" t="s">
        <v>719</v>
      </c>
      <c r="H628" s="133">
        <v>0.7</v>
      </c>
      <c r="I628" s="133">
        <v>0</v>
      </c>
      <c r="J628" s="133">
        <v>52</v>
      </c>
      <c r="L628" s="133">
        <v>0</v>
      </c>
      <c r="M628" s="133" t="s">
        <v>1096</v>
      </c>
      <c r="N628" s="133">
        <v>0</v>
      </c>
      <c r="P628" s="133">
        <v>0</v>
      </c>
      <c r="Q628" s="133">
        <v>0</v>
      </c>
      <c r="R628" s="133">
        <v>0</v>
      </c>
      <c r="S628" s="156"/>
    </row>
    <row r="629" spans="1:19">
      <c r="A629" s="133" t="s">
        <v>1182</v>
      </c>
      <c r="B629" s="133" t="s">
        <v>1175</v>
      </c>
      <c r="C629" s="133" t="s">
        <v>1000</v>
      </c>
      <c r="D629" s="133" t="s">
        <v>623</v>
      </c>
      <c r="E629" s="133" t="s">
        <v>624</v>
      </c>
      <c r="F629" s="133" t="s">
        <v>712</v>
      </c>
      <c r="G629" s="133" t="s">
        <v>719</v>
      </c>
      <c r="H629" s="133">
        <v>1.3</v>
      </c>
      <c r="I629" s="133">
        <v>0</v>
      </c>
      <c r="J629" s="133">
        <v>448</v>
      </c>
      <c r="K629" s="133">
        <v>40</v>
      </c>
      <c r="L629" s="133">
        <v>48</v>
      </c>
      <c r="M629" s="133" t="s">
        <v>997</v>
      </c>
      <c r="N629" s="133">
        <v>0</v>
      </c>
      <c r="P629" s="133">
        <v>0</v>
      </c>
      <c r="Q629" s="133">
        <v>48</v>
      </c>
      <c r="R629" s="133">
        <v>0</v>
      </c>
      <c r="S629" s="156">
        <v>-0.2</v>
      </c>
    </row>
    <row r="630" spans="1:19">
      <c r="A630" s="133" t="s">
        <v>1182</v>
      </c>
      <c r="B630" s="133" t="s">
        <v>1175</v>
      </c>
      <c r="C630" s="133" t="s">
        <v>1000</v>
      </c>
      <c r="D630" s="133" t="s">
        <v>625</v>
      </c>
      <c r="E630" s="133" t="s">
        <v>626</v>
      </c>
      <c r="F630" s="133" t="s">
        <v>712</v>
      </c>
      <c r="G630" s="133" t="s">
        <v>719</v>
      </c>
      <c r="H630" s="133">
        <v>6</v>
      </c>
      <c r="I630" s="133">
        <v>0</v>
      </c>
      <c r="J630" s="133">
        <v>539</v>
      </c>
      <c r="L630" s="133">
        <v>0</v>
      </c>
      <c r="M630" s="133" t="s">
        <v>1096</v>
      </c>
      <c r="N630" s="133">
        <v>0</v>
      </c>
      <c r="P630" s="133">
        <v>0</v>
      </c>
      <c r="Q630" s="133">
        <v>0</v>
      </c>
      <c r="R630" s="133">
        <v>0</v>
      </c>
      <c r="S630" s="156"/>
    </row>
    <row r="631" spans="1:19">
      <c r="A631" s="133" t="s">
        <v>1182</v>
      </c>
      <c r="B631" s="133" t="s">
        <v>1175</v>
      </c>
      <c r="C631" s="133" t="s">
        <v>1000</v>
      </c>
      <c r="D631" s="133" t="s">
        <v>627</v>
      </c>
      <c r="E631" s="133" t="s">
        <v>628</v>
      </c>
      <c r="F631" s="133" t="s">
        <v>712</v>
      </c>
      <c r="G631" s="133" t="s">
        <v>715</v>
      </c>
      <c r="H631" s="133">
        <v>1.05</v>
      </c>
      <c r="I631" s="133">
        <v>0</v>
      </c>
      <c r="J631" s="133">
        <v>116</v>
      </c>
      <c r="L631" s="133">
        <v>0</v>
      </c>
      <c r="M631" s="133" t="s">
        <v>1096</v>
      </c>
      <c r="N631" s="133">
        <v>0</v>
      </c>
      <c r="P631" s="133">
        <v>0</v>
      </c>
      <c r="Q631" s="133">
        <v>0</v>
      </c>
      <c r="R631" s="133">
        <v>0</v>
      </c>
      <c r="S631" s="156"/>
    </row>
    <row r="632" spans="1:19">
      <c r="A632" s="133" t="s">
        <v>1182</v>
      </c>
      <c r="B632" s="133" t="s">
        <v>1175</v>
      </c>
      <c r="C632" s="133" t="s">
        <v>1000</v>
      </c>
      <c r="D632" s="133" t="s">
        <v>629</v>
      </c>
      <c r="E632" s="133" t="s">
        <v>630</v>
      </c>
      <c r="F632" s="133" t="s">
        <v>712</v>
      </c>
      <c r="G632" s="133" t="s">
        <v>715</v>
      </c>
      <c r="H632" s="133">
        <v>2.27</v>
      </c>
      <c r="I632" s="133">
        <v>0</v>
      </c>
      <c r="J632" s="133">
        <v>317</v>
      </c>
      <c r="L632" s="133">
        <v>0</v>
      </c>
      <c r="M632" s="133" t="s">
        <v>1096</v>
      </c>
      <c r="N632" s="133">
        <v>0</v>
      </c>
      <c r="P632" s="133">
        <v>0</v>
      </c>
      <c r="Q632" s="133">
        <v>0</v>
      </c>
      <c r="R632" s="133">
        <v>0</v>
      </c>
      <c r="S632" s="156"/>
    </row>
    <row r="633" spans="1:19">
      <c r="A633" s="133" t="s">
        <v>1182</v>
      </c>
      <c r="B633" s="133" t="s">
        <v>1175</v>
      </c>
      <c r="C633" s="133" t="s">
        <v>1000</v>
      </c>
      <c r="D633" s="133" t="s">
        <v>631</v>
      </c>
      <c r="E633" s="133" t="s">
        <v>632</v>
      </c>
      <c r="F633" s="133" t="s">
        <v>712</v>
      </c>
      <c r="G633" s="133" t="s">
        <v>715</v>
      </c>
      <c r="H633" s="133">
        <v>4.3600000000000003</v>
      </c>
      <c r="I633" s="133">
        <v>0</v>
      </c>
      <c r="J633" s="133">
        <v>132</v>
      </c>
      <c r="L633" s="133">
        <v>0</v>
      </c>
      <c r="M633" s="133" t="s">
        <v>1096</v>
      </c>
      <c r="N633" s="133">
        <v>0</v>
      </c>
      <c r="P633" s="133">
        <v>0</v>
      </c>
      <c r="Q633" s="133">
        <v>0</v>
      </c>
      <c r="R633" s="133">
        <v>0</v>
      </c>
      <c r="S633" s="156"/>
    </row>
    <row r="634" spans="1:19">
      <c r="A634" s="133" t="s">
        <v>1182</v>
      </c>
      <c r="B634" s="133" t="s">
        <v>1175</v>
      </c>
      <c r="C634" s="133" t="s">
        <v>1000</v>
      </c>
      <c r="D634" s="133" t="s">
        <v>633</v>
      </c>
      <c r="E634" s="133" t="s">
        <v>634</v>
      </c>
      <c r="F634" s="133" t="s">
        <v>712</v>
      </c>
      <c r="G634" s="133" t="s">
        <v>715</v>
      </c>
      <c r="H634" s="133">
        <v>8.4600000000000009</v>
      </c>
      <c r="I634" s="133">
        <v>0</v>
      </c>
      <c r="J634" s="133">
        <v>450</v>
      </c>
      <c r="L634" s="133">
        <v>0</v>
      </c>
      <c r="M634" s="133" t="s">
        <v>1096</v>
      </c>
      <c r="N634" s="133">
        <v>0</v>
      </c>
      <c r="P634" s="133">
        <v>0</v>
      </c>
      <c r="Q634" s="133">
        <v>0</v>
      </c>
      <c r="R634" s="133">
        <v>0</v>
      </c>
      <c r="S634" s="156"/>
    </row>
    <row r="635" spans="1:19">
      <c r="A635" s="133" t="s">
        <v>1182</v>
      </c>
      <c r="B635" s="133" t="s">
        <v>1175</v>
      </c>
      <c r="C635" s="133" t="s">
        <v>1000</v>
      </c>
      <c r="D635" s="133" t="s">
        <v>635</v>
      </c>
      <c r="E635" s="133" t="s">
        <v>636</v>
      </c>
      <c r="F635" s="133" t="s">
        <v>709</v>
      </c>
      <c r="G635" s="133" t="s">
        <v>719</v>
      </c>
      <c r="H635" s="133">
        <v>0.82</v>
      </c>
      <c r="I635" s="133">
        <v>0</v>
      </c>
      <c r="J635" s="133">
        <v>497</v>
      </c>
      <c r="L635" s="133">
        <v>0</v>
      </c>
      <c r="M635" s="133" t="s">
        <v>1096</v>
      </c>
      <c r="N635" s="133">
        <v>0</v>
      </c>
      <c r="P635" s="133">
        <v>0</v>
      </c>
      <c r="Q635" s="133">
        <v>0</v>
      </c>
      <c r="R635" s="133">
        <v>0</v>
      </c>
      <c r="S635" s="156"/>
    </row>
    <row r="636" spans="1:19">
      <c r="A636" s="133" t="s">
        <v>1182</v>
      </c>
      <c r="B636" s="133" t="s">
        <v>1175</v>
      </c>
      <c r="C636" s="133" t="s">
        <v>1000</v>
      </c>
      <c r="D636" s="133" t="s">
        <v>637</v>
      </c>
      <c r="E636" s="133" t="s">
        <v>638</v>
      </c>
      <c r="F636" s="133" t="s">
        <v>709</v>
      </c>
      <c r="G636" s="133" t="s">
        <v>719</v>
      </c>
      <c r="H636" s="133">
        <v>1.35</v>
      </c>
      <c r="I636" s="133">
        <v>0</v>
      </c>
      <c r="J636" s="133">
        <v>1748</v>
      </c>
      <c r="K636" s="133">
        <v>100</v>
      </c>
      <c r="L636" s="133">
        <v>100</v>
      </c>
      <c r="M636" s="133" t="s">
        <v>998</v>
      </c>
      <c r="N636" s="133">
        <v>0</v>
      </c>
      <c r="P636" s="133">
        <v>0</v>
      </c>
      <c r="Q636" s="133">
        <v>100</v>
      </c>
      <c r="R636" s="133">
        <v>0</v>
      </c>
      <c r="S636" s="156">
        <v>0</v>
      </c>
    </row>
    <row r="637" spans="1:19">
      <c r="A637" s="133" t="s">
        <v>1182</v>
      </c>
      <c r="B637" s="133" t="s">
        <v>1175</v>
      </c>
      <c r="C637" s="133" t="s">
        <v>1000</v>
      </c>
      <c r="D637" s="133" t="s">
        <v>639</v>
      </c>
      <c r="E637" s="133" t="s">
        <v>640</v>
      </c>
      <c r="F637" s="133" t="s">
        <v>709</v>
      </c>
      <c r="G637" s="133" t="s">
        <v>719</v>
      </c>
      <c r="H637" s="133">
        <v>2.34</v>
      </c>
      <c r="I637" s="133">
        <v>0</v>
      </c>
      <c r="J637" s="133">
        <v>618</v>
      </c>
      <c r="K637" s="133">
        <v>50</v>
      </c>
      <c r="L637" s="133">
        <v>50</v>
      </c>
      <c r="M637" s="133" t="s">
        <v>998</v>
      </c>
      <c r="N637" s="133">
        <v>0</v>
      </c>
      <c r="P637" s="133">
        <v>0</v>
      </c>
      <c r="Q637" s="133">
        <v>50</v>
      </c>
      <c r="R637" s="133">
        <v>0</v>
      </c>
      <c r="S637" s="156">
        <v>0</v>
      </c>
    </row>
    <row r="638" spans="1:19">
      <c r="A638" s="133" t="s">
        <v>1182</v>
      </c>
      <c r="B638" s="133" t="s">
        <v>1175</v>
      </c>
      <c r="C638" s="133" t="s">
        <v>1000</v>
      </c>
      <c r="D638" s="133" t="s">
        <v>641</v>
      </c>
      <c r="E638" s="133" t="s">
        <v>642</v>
      </c>
      <c r="F638" s="133" t="s">
        <v>709</v>
      </c>
      <c r="G638" s="133" t="s">
        <v>719</v>
      </c>
      <c r="H638" s="133">
        <v>5.27</v>
      </c>
      <c r="I638" s="133">
        <v>0</v>
      </c>
      <c r="J638" s="133">
        <v>724</v>
      </c>
      <c r="K638" s="133">
        <v>30</v>
      </c>
      <c r="L638" s="133">
        <v>40</v>
      </c>
      <c r="M638" s="133" t="s">
        <v>997</v>
      </c>
      <c r="N638" s="133">
        <v>0</v>
      </c>
      <c r="P638" s="133">
        <v>0</v>
      </c>
      <c r="Q638" s="133">
        <v>40</v>
      </c>
      <c r="R638" s="133">
        <v>0</v>
      </c>
      <c r="S638" s="156">
        <v>-0.33333333333333331</v>
      </c>
    </row>
    <row r="639" spans="1:19">
      <c r="A639" s="133" t="s">
        <v>1182</v>
      </c>
      <c r="B639" s="133" t="s">
        <v>1175</v>
      </c>
      <c r="C639" s="133" t="s">
        <v>1000</v>
      </c>
      <c r="D639" s="133" t="s">
        <v>647</v>
      </c>
      <c r="E639" s="133" t="s">
        <v>648</v>
      </c>
      <c r="F639" s="133" t="s">
        <v>708</v>
      </c>
      <c r="G639" s="133" t="s">
        <v>715</v>
      </c>
      <c r="H639" s="133">
        <v>10.039999999999999</v>
      </c>
      <c r="I639" s="133">
        <v>0</v>
      </c>
      <c r="J639" s="133">
        <v>861</v>
      </c>
      <c r="K639" s="133">
        <v>120</v>
      </c>
      <c r="L639" s="133">
        <v>120</v>
      </c>
      <c r="M639" s="133" t="s">
        <v>998</v>
      </c>
      <c r="N639" s="133">
        <v>0</v>
      </c>
      <c r="P639" s="133">
        <v>0</v>
      </c>
      <c r="Q639" s="133">
        <v>120</v>
      </c>
      <c r="R639" s="133">
        <v>0</v>
      </c>
      <c r="S639" s="156">
        <v>0</v>
      </c>
    </row>
    <row r="640" spans="1:19">
      <c r="A640" s="133" t="s">
        <v>1182</v>
      </c>
      <c r="B640" s="133" t="s">
        <v>1175</v>
      </c>
      <c r="C640" s="133" t="s">
        <v>1000</v>
      </c>
      <c r="D640" s="133" t="s">
        <v>649</v>
      </c>
      <c r="E640" s="133" t="s">
        <v>650</v>
      </c>
      <c r="F640" s="133" t="s">
        <v>708</v>
      </c>
      <c r="G640" s="133" t="s">
        <v>715</v>
      </c>
      <c r="H640" s="133">
        <v>50.77</v>
      </c>
      <c r="I640" s="133">
        <v>0</v>
      </c>
      <c r="J640" s="133">
        <v>5</v>
      </c>
      <c r="L640" s="133">
        <v>0</v>
      </c>
      <c r="M640" s="133" t="s">
        <v>1096</v>
      </c>
      <c r="N640" s="133">
        <v>0</v>
      </c>
      <c r="P640" s="133">
        <v>0</v>
      </c>
      <c r="Q640" s="133">
        <v>0</v>
      </c>
      <c r="R640" s="133">
        <v>0</v>
      </c>
      <c r="S640" s="156"/>
    </row>
    <row r="641" spans="1:19">
      <c r="A641" s="133" t="s">
        <v>1182</v>
      </c>
      <c r="B641" s="133" t="s">
        <v>1175</v>
      </c>
      <c r="C641" s="133" t="s">
        <v>1000</v>
      </c>
      <c r="D641" s="133" t="s">
        <v>659</v>
      </c>
      <c r="E641" s="133" t="s">
        <v>660</v>
      </c>
      <c r="F641" s="133" t="s">
        <v>707</v>
      </c>
      <c r="G641" s="133" t="s">
        <v>732</v>
      </c>
      <c r="H641" s="133">
        <v>121.78</v>
      </c>
      <c r="I641" s="133">
        <v>0</v>
      </c>
      <c r="J641" s="133">
        <v>1</v>
      </c>
      <c r="L641" s="133">
        <v>0</v>
      </c>
      <c r="M641" s="133" t="s">
        <v>1096</v>
      </c>
      <c r="N641" s="133">
        <v>0</v>
      </c>
      <c r="P641" s="133">
        <v>0</v>
      </c>
      <c r="Q641" s="133">
        <v>0</v>
      </c>
      <c r="R641" s="133">
        <v>0</v>
      </c>
      <c r="S641" s="156"/>
    </row>
    <row r="642" spans="1:19">
      <c r="A642" s="133" t="s">
        <v>1182</v>
      </c>
      <c r="B642" s="133" t="s">
        <v>1175</v>
      </c>
      <c r="C642" s="133" t="s">
        <v>1000</v>
      </c>
      <c r="D642" s="133" t="s">
        <v>661</v>
      </c>
      <c r="E642" s="133" t="s">
        <v>662</v>
      </c>
      <c r="F642" s="133" t="s">
        <v>707</v>
      </c>
      <c r="G642" s="133" t="s">
        <v>732</v>
      </c>
      <c r="H642" s="133">
        <v>24.73</v>
      </c>
      <c r="I642" s="133">
        <v>0</v>
      </c>
      <c r="J642" s="133">
        <v>8</v>
      </c>
      <c r="L642" s="133">
        <v>0</v>
      </c>
      <c r="M642" s="133" t="s">
        <v>1096</v>
      </c>
      <c r="N642" s="133">
        <v>0</v>
      </c>
      <c r="P642" s="133">
        <v>0</v>
      </c>
      <c r="Q642" s="133">
        <v>0</v>
      </c>
      <c r="R642" s="133">
        <v>0</v>
      </c>
      <c r="S642" s="156"/>
    </row>
    <row r="643" spans="1:19">
      <c r="A643" s="133" t="s">
        <v>1182</v>
      </c>
      <c r="B643" s="133" t="s">
        <v>1175</v>
      </c>
      <c r="C643" s="133" t="s">
        <v>1000</v>
      </c>
      <c r="D643" s="133" t="s">
        <v>663</v>
      </c>
      <c r="E643" s="133" t="s">
        <v>664</v>
      </c>
      <c r="F643" s="133" t="s">
        <v>707</v>
      </c>
      <c r="G643" s="133" t="s">
        <v>732</v>
      </c>
      <c r="H643" s="133">
        <v>6.54</v>
      </c>
      <c r="I643" s="133">
        <v>0</v>
      </c>
      <c r="J643" s="133">
        <v>184</v>
      </c>
      <c r="L643" s="133">
        <v>0</v>
      </c>
      <c r="M643" s="133" t="s">
        <v>1096</v>
      </c>
      <c r="N643" s="133">
        <v>0</v>
      </c>
      <c r="P643" s="133">
        <v>0</v>
      </c>
      <c r="Q643" s="133">
        <v>0</v>
      </c>
      <c r="R643" s="133">
        <v>0</v>
      </c>
      <c r="S643" s="156"/>
    </row>
    <row r="644" spans="1:19">
      <c r="A644" s="133" t="s">
        <v>1182</v>
      </c>
      <c r="B644" s="133" t="s">
        <v>1175</v>
      </c>
      <c r="C644" s="133" t="s">
        <v>1000</v>
      </c>
      <c r="D644" s="133" t="s">
        <v>733</v>
      </c>
      <c r="E644" s="133" t="s">
        <v>734</v>
      </c>
      <c r="F644" s="133" t="s">
        <v>709</v>
      </c>
      <c r="G644" s="133" t="s">
        <v>732</v>
      </c>
      <c r="H644" s="133">
        <v>16.05</v>
      </c>
      <c r="I644" s="133">
        <v>0</v>
      </c>
      <c r="J644" s="133">
        <v>15</v>
      </c>
      <c r="L644" s="133">
        <v>0</v>
      </c>
      <c r="M644" s="133" t="s">
        <v>1096</v>
      </c>
      <c r="N644" s="133">
        <v>0</v>
      </c>
      <c r="P644" s="133">
        <v>0</v>
      </c>
      <c r="Q644" s="133">
        <v>0</v>
      </c>
      <c r="R644" s="133">
        <v>0</v>
      </c>
      <c r="S644" s="156"/>
    </row>
    <row r="645" spans="1:19">
      <c r="A645" s="133" t="s">
        <v>1182</v>
      </c>
      <c r="B645" s="133" t="s">
        <v>1175</v>
      </c>
      <c r="C645" s="133" t="s">
        <v>1000</v>
      </c>
      <c r="D645" s="133" t="s">
        <v>730</v>
      </c>
      <c r="E645" s="133" t="s">
        <v>731</v>
      </c>
      <c r="F645" s="133" t="s">
        <v>709</v>
      </c>
      <c r="G645" s="133" t="s">
        <v>732</v>
      </c>
      <c r="H645" s="133">
        <v>62.58</v>
      </c>
      <c r="I645" s="133">
        <v>0</v>
      </c>
      <c r="J645" s="133">
        <v>56</v>
      </c>
      <c r="L645" s="133">
        <v>0</v>
      </c>
      <c r="M645" s="133" t="s">
        <v>1096</v>
      </c>
      <c r="N645" s="133">
        <v>0</v>
      </c>
      <c r="P645" s="133">
        <v>0</v>
      </c>
      <c r="Q645" s="133">
        <v>0</v>
      </c>
      <c r="R645" s="133">
        <v>0</v>
      </c>
      <c r="S645" s="156"/>
    </row>
    <row r="646" spans="1:19">
      <c r="A646" s="133" t="s">
        <v>1182</v>
      </c>
      <c r="B646" s="133" t="s">
        <v>1175</v>
      </c>
      <c r="C646" s="133" t="s">
        <v>1000</v>
      </c>
      <c r="D646" s="133" t="s">
        <v>665</v>
      </c>
      <c r="E646" s="133" t="s">
        <v>666</v>
      </c>
      <c r="F646" s="133" t="s">
        <v>709</v>
      </c>
      <c r="G646" s="133" t="s">
        <v>715</v>
      </c>
      <c r="H646" s="133">
        <v>1.42</v>
      </c>
      <c r="I646" s="133">
        <v>0</v>
      </c>
      <c r="J646" s="133">
        <v>44</v>
      </c>
      <c r="K646" s="133">
        <v>15</v>
      </c>
      <c r="L646" s="133">
        <v>15</v>
      </c>
      <c r="M646" s="133" t="s">
        <v>998</v>
      </c>
      <c r="N646" s="133">
        <v>0</v>
      </c>
      <c r="P646" s="133">
        <v>0</v>
      </c>
      <c r="Q646" s="133">
        <v>15</v>
      </c>
      <c r="R646" s="133">
        <v>0</v>
      </c>
      <c r="S646" s="156">
        <v>0</v>
      </c>
    </row>
    <row r="647" spans="1:19">
      <c r="A647" s="133" t="s">
        <v>1182</v>
      </c>
      <c r="B647" s="133" t="s">
        <v>1175</v>
      </c>
      <c r="C647" s="133" t="s">
        <v>1000</v>
      </c>
      <c r="D647" s="133" t="s">
        <v>667</v>
      </c>
      <c r="E647" s="133" t="s">
        <v>668</v>
      </c>
      <c r="F647" s="133" t="s">
        <v>709</v>
      </c>
      <c r="G647" s="133" t="s">
        <v>715</v>
      </c>
      <c r="H647" s="133">
        <v>14.83</v>
      </c>
      <c r="I647" s="133">
        <v>0</v>
      </c>
      <c r="J647" s="133">
        <v>1</v>
      </c>
      <c r="L647" s="133">
        <v>20</v>
      </c>
      <c r="M647" s="133" t="s">
        <v>1096</v>
      </c>
      <c r="N647" s="133">
        <v>0</v>
      </c>
      <c r="P647" s="133">
        <v>0</v>
      </c>
      <c r="Q647" s="133">
        <v>20</v>
      </c>
      <c r="R647" s="133">
        <v>0</v>
      </c>
      <c r="S647" s="156"/>
    </row>
    <row r="648" spans="1:19">
      <c r="A648" s="133" t="s">
        <v>1182</v>
      </c>
      <c r="B648" s="133" t="s">
        <v>1175</v>
      </c>
      <c r="C648" s="133" t="s">
        <v>1000</v>
      </c>
      <c r="D648" s="133" t="s">
        <v>669</v>
      </c>
      <c r="E648" s="133" t="s">
        <v>670</v>
      </c>
      <c r="F648" s="133" t="s">
        <v>708</v>
      </c>
      <c r="G648" s="133" t="s">
        <v>715</v>
      </c>
      <c r="H648" s="133">
        <v>1.75</v>
      </c>
      <c r="I648" s="133">
        <v>0</v>
      </c>
      <c r="J648" s="133">
        <v>596</v>
      </c>
      <c r="K648" s="133">
        <v>100</v>
      </c>
      <c r="L648" s="133">
        <v>95</v>
      </c>
      <c r="M648" s="133" t="s">
        <v>998</v>
      </c>
      <c r="N648" s="133">
        <v>0</v>
      </c>
      <c r="P648" s="133">
        <v>0</v>
      </c>
      <c r="Q648" s="133">
        <v>95</v>
      </c>
      <c r="R648" s="133">
        <v>5</v>
      </c>
      <c r="S648" s="156">
        <v>0.05</v>
      </c>
    </row>
    <row r="649" spans="1:19">
      <c r="A649" s="133" t="s">
        <v>1183</v>
      </c>
      <c r="B649" s="133" t="s">
        <v>1175</v>
      </c>
      <c r="C649" s="133" t="s">
        <v>1000</v>
      </c>
      <c r="D649" s="133" t="s">
        <v>85</v>
      </c>
      <c r="E649" s="133" t="s">
        <v>86</v>
      </c>
      <c r="F649" s="133" t="s">
        <v>707</v>
      </c>
      <c r="G649" s="133" t="s">
        <v>715</v>
      </c>
      <c r="H649" s="133">
        <v>0.37</v>
      </c>
      <c r="I649" s="133">
        <v>0</v>
      </c>
      <c r="J649" s="133">
        <v>141</v>
      </c>
      <c r="K649" s="133">
        <v>0</v>
      </c>
      <c r="L649" s="133">
        <v>0</v>
      </c>
      <c r="M649" s="133" t="s">
        <v>1096</v>
      </c>
      <c r="N649" s="133">
        <v>0</v>
      </c>
      <c r="P649" s="133">
        <v>0</v>
      </c>
      <c r="Q649" s="133">
        <v>0</v>
      </c>
      <c r="R649" s="133">
        <v>0</v>
      </c>
      <c r="S649" s="156"/>
    </row>
    <row r="650" spans="1:19">
      <c r="A650" s="133" t="s">
        <v>1183</v>
      </c>
      <c r="B650" s="133" t="s">
        <v>1175</v>
      </c>
      <c r="C650" s="133" t="s">
        <v>1000</v>
      </c>
      <c r="D650" s="133" t="s">
        <v>87</v>
      </c>
      <c r="E650" s="133" t="s">
        <v>88</v>
      </c>
      <c r="F650" s="133" t="s">
        <v>707</v>
      </c>
      <c r="G650" s="133" t="s">
        <v>715</v>
      </c>
      <c r="H650" s="133">
        <v>0.66</v>
      </c>
      <c r="I650" s="133">
        <v>0</v>
      </c>
      <c r="J650" s="133">
        <v>457</v>
      </c>
      <c r="K650" s="133">
        <v>20</v>
      </c>
      <c r="L650" s="133">
        <v>81</v>
      </c>
      <c r="M650" s="133" t="s">
        <v>997</v>
      </c>
      <c r="N650" s="133">
        <v>0</v>
      </c>
      <c r="P650" s="133">
        <v>0</v>
      </c>
      <c r="Q650" s="133">
        <v>81</v>
      </c>
      <c r="R650" s="133">
        <v>0</v>
      </c>
      <c r="S650" s="156">
        <v>-3.05</v>
      </c>
    </row>
    <row r="651" spans="1:19">
      <c r="A651" s="133" t="s">
        <v>1183</v>
      </c>
      <c r="B651" s="133" t="s">
        <v>1175</v>
      </c>
      <c r="C651" s="133" t="s">
        <v>1000</v>
      </c>
      <c r="D651" s="133" t="s">
        <v>89</v>
      </c>
      <c r="E651" s="133" t="s">
        <v>90</v>
      </c>
      <c r="F651" s="133" t="s">
        <v>707</v>
      </c>
      <c r="G651" s="133" t="s">
        <v>715</v>
      </c>
      <c r="H651" s="133">
        <v>1.83</v>
      </c>
      <c r="I651" s="133">
        <v>0</v>
      </c>
      <c r="J651" s="133">
        <v>185</v>
      </c>
      <c r="L651" s="133">
        <v>0</v>
      </c>
      <c r="M651" s="133" t="s">
        <v>1096</v>
      </c>
      <c r="N651" s="133">
        <v>0</v>
      </c>
      <c r="P651" s="133">
        <v>0</v>
      </c>
      <c r="Q651" s="133">
        <v>0</v>
      </c>
      <c r="R651" s="133">
        <v>0</v>
      </c>
      <c r="S651" s="156"/>
    </row>
    <row r="652" spans="1:19">
      <c r="A652" s="133" t="s">
        <v>1183</v>
      </c>
      <c r="B652" s="133" t="s">
        <v>1175</v>
      </c>
      <c r="C652" s="133" t="s">
        <v>1000</v>
      </c>
      <c r="D652" s="133" t="s">
        <v>91</v>
      </c>
      <c r="E652" s="133" t="s">
        <v>92</v>
      </c>
      <c r="F652" s="133" t="s">
        <v>707</v>
      </c>
      <c r="G652" s="133" t="s">
        <v>715</v>
      </c>
      <c r="H652" s="133">
        <v>1.9</v>
      </c>
      <c r="I652" s="133">
        <v>0</v>
      </c>
      <c r="J652" s="133">
        <v>0</v>
      </c>
      <c r="L652" s="133">
        <v>0</v>
      </c>
      <c r="M652" s="133" t="s">
        <v>1096</v>
      </c>
      <c r="N652" s="133">
        <v>0</v>
      </c>
      <c r="P652" s="133">
        <v>0</v>
      </c>
      <c r="Q652" s="133">
        <v>0</v>
      </c>
      <c r="R652" s="133">
        <v>0</v>
      </c>
      <c r="S652" s="156"/>
    </row>
    <row r="653" spans="1:19">
      <c r="A653" s="133" t="s">
        <v>1183</v>
      </c>
      <c r="B653" s="133" t="s">
        <v>1175</v>
      </c>
      <c r="C653" s="133" t="s">
        <v>1000</v>
      </c>
      <c r="D653" s="133" t="s">
        <v>93</v>
      </c>
      <c r="E653" s="133" t="s">
        <v>94</v>
      </c>
      <c r="F653" s="133" t="s">
        <v>707</v>
      </c>
      <c r="G653" s="133" t="s">
        <v>715</v>
      </c>
      <c r="H653" s="133">
        <v>1.88</v>
      </c>
      <c r="I653" s="133">
        <v>0</v>
      </c>
      <c r="J653" s="133">
        <v>793</v>
      </c>
      <c r="K653" s="133">
        <v>70</v>
      </c>
      <c r="L653" s="133">
        <v>84</v>
      </c>
      <c r="M653" s="133" t="s">
        <v>997</v>
      </c>
      <c r="N653" s="133">
        <v>0</v>
      </c>
      <c r="P653" s="133">
        <v>0</v>
      </c>
      <c r="Q653" s="133">
        <v>84</v>
      </c>
      <c r="R653" s="133">
        <v>0</v>
      </c>
      <c r="S653" s="156">
        <v>-0.2</v>
      </c>
    </row>
    <row r="654" spans="1:19">
      <c r="A654" s="133" t="s">
        <v>1183</v>
      </c>
      <c r="B654" s="133" t="s">
        <v>1175</v>
      </c>
      <c r="C654" s="133" t="s">
        <v>1000</v>
      </c>
      <c r="D654" s="133" t="s">
        <v>95</v>
      </c>
      <c r="E654" s="133" t="s">
        <v>96</v>
      </c>
      <c r="F654" s="133" t="s">
        <v>707</v>
      </c>
      <c r="G654" s="133" t="s">
        <v>715</v>
      </c>
      <c r="H654" s="133">
        <v>1.94</v>
      </c>
      <c r="I654" s="133">
        <v>0</v>
      </c>
      <c r="J654" s="133">
        <v>600</v>
      </c>
      <c r="K654" s="133">
        <v>70</v>
      </c>
      <c r="L654" s="133">
        <v>70</v>
      </c>
      <c r="M654" s="133" t="s">
        <v>998</v>
      </c>
      <c r="N654" s="133">
        <v>0</v>
      </c>
      <c r="P654" s="133">
        <v>0</v>
      </c>
      <c r="Q654" s="133">
        <v>70</v>
      </c>
      <c r="R654" s="133">
        <v>0</v>
      </c>
      <c r="S654" s="156">
        <v>0</v>
      </c>
    </row>
    <row r="655" spans="1:19">
      <c r="A655" s="133" t="s">
        <v>1183</v>
      </c>
      <c r="B655" s="133" t="s">
        <v>1175</v>
      </c>
      <c r="C655" s="133" t="s">
        <v>1000</v>
      </c>
      <c r="D655" s="133" t="s">
        <v>97</v>
      </c>
      <c r="E655" s="133" t="s">
        <v>98</v>
      </c>
      <c r="F655" s="133" t="s">
        <v>707</v>
      </c>
      <c r="G655" s="133" t="s">
        <v>715</v>
      </c>
      <c r="H655" s="133">
        <v>1.78</v>
      </c>
      <c r="I655" s="133">
        <v>0</v>
      </c>
      <c r="J655" s="133">
        <v>600</v>
      </c>
      <c r="K655" s="133">
        <v>70</v>
      </c>
      <c r="L655" s="133">
        <v>70</v>
      </c>
      <c r="M655" s="133" t="s">
        <v>998</v>
      </c>
      <c r="N655" s="133">
        <v>0</v>
      </c>
      <c r="P655" s="133">
        <v>0</v>
      </c>
      <c r="Q655" s="133">
        <v>70</v>
      </c>
      <c r="R655" s="133">
        <v>0</v>
      </c>
      <c r="S655" s="156">
        <v>0</v>
      </c>
    </row>
    <row r="656" spans="1:19">
      <c r="A656" s="133" t="s">
        <v>1183</v>
      </c>
      <c r="B656" s="133" t="s">
        <v>1175</v>
      </c>
      <c r="C656" s="133" t="s">
        <v>1000</v>
      </c>
      <c r="D656" s="133" t="s">
        <v>99</v>
      </c>
      <c r="E656" s="133" t="s">
        <v>100</v>
      </c>
      <c r="F656" s="133" t="s">
        <v>707</v>
      </c>
      <c r="G656" s="133" t="s">
        <v>715</v>
      </c>
      <c r="H656" s="133">
        <v>2</v>
      </c>
      <c r="I656" s="133">
        <v>0</v>
      </c>
      <c r="J656" s="133">
        <v>590</v>
      </c>
      <c r="K656" s="133">
        <v>70</v>
      </c>
      <c r="L656" s="133">
        <v>50</v>
      </c>
      <c r="M656" s="133" t="s">
        <v>998</v>
      </c>
      <c r="N656" s="133">
        <v>0</v>
      </c>
      <c r="P656" s="133">
        <v>0</v>
      </c>
      <c r="Q656" s="133">
        <v>50</v>
      </c>
      <c r="R656" s="133">
        <v>20</v>
      </c>
      <c r="S656" s="156">
        <v>0.2857142857142857</v>
      </c>
    </row>
    <row r="657" spans="1:19">
      <c r="A657" s="133" t="s">
        <v>1183</v>
      </c>
      <c r="B657" s="133" t="s">
        <v>1175</v>
      </c>
      <c r="C657" s="133" t="s">
        <v>1000</v>
      </c>
      <c r="D657" s="133" t="s">
        <v>101</v>
      </c>
      <c r="E657" s="133" t="s">
        <v>102</v>
      </c>
      <c r="F657" s="133" t="s">
        <v>707</v>
      </c>
      <c r="G657" s="133" t="s">
        <v>715</v>
      </c>
      <c r="H657" s="133">
        <v>0.87</v>
      </c>
      <c r="I657" s="133">
        <v>0</v>
      </c>
      <c r="J657" s="133">
        <v>14</v>
      </c>
      <c r="L657" s="133">
        <v>0</v>
      </c>
      <c r="M657" s="133" t="s">
        <v>1096</v>
      </c>
      <c r="N657" s="133">
        <v>0</v>
      </c>
      <c r="P657" s="133">
        <v>0</v>
      </c>
      <c r="Q657" s="133">
        <v>0</v>
      </c>
      <c r="R657" s="133">
        <v>0</v>
      </c>
      <c r="S657" s="156"/>
    </row>
    <row r="658" spans="1:19">
      <c r="A658" s="133" t="s">
        <v>1183</v>
      </c>
      <c r="B658" s="133" t="s">
        <v>1175</v>
      </c>
      <c r="C658" s="133" t="s">
        <v>1000</v>
      </c>
      <c r="D658" s="133" t="s">
        <v>103</v>
      </c>
      <c r="E658" s="133" t="s">
        <v>104</v>
      </c>
      <c r="F658" s="133" t="s">
        <v>707</v>
      </c>
      <c r="G658" s="133" t="s">
        <v>715</v>
      </c>
      <c r="H658" s="133">
        <v>1.38</v>
      </c>
      <c r="I658" s="133">
        <v>0</v>
      </c>
      <c r="J658" s="133">
        <v>129</v>
      </c>
      <c r="L658" s="133">
        <v>0</v>
      </c>
      <c r="M658" s="133" t="s">
        <v>1096</v>
      </c>
      <c r="N658" s="133">
        <v>0</v>
      </c>
      <c r="P658" s="133">
        <v>0</v>
      </c>
      <c r="Q658" s="133">
        <v>0</v>
      </c>
      <c r="R658" s="133">
        <v>0</v>
      </c>
      <c r="S658" s="156"/>
    </row>
    <row r="659" spans="1:19">
      <c r="A659" s="133" t="s">
        <v>1183</v>
      </c>
      <c r="B659" s="133" t="s">
        <v>1175</v>
      </c>
      <c r="C659" s="133" t="s">
        <v>1000</v>
      </c>
      <c r="D659" s="133" t="s">
        <v>105</v>
      </c>
      <c r="E659" s="133" t="s">
        <v>106</v>
      </c>
      <c r="F659" s="133" t="s">
        <v>707</v>
      </c>
      <c r="G659" s="133" t="s">
        <v>715</v>
      </c>
      <c r="H659" s="133">
        <v>8.39</v>
      </c>
      <c r="I659" s="133">
        <v>0</v>
      </c>
      <c r="J659" s="133">
        <v>0</v>
      </c>
      <c r="L659" s="133">
        <v>0</v>
      </c>
      <c r="M659" s="133" t="s">
        <v>1096</v>
      </c>
      <c r="N659" s="133">
        <v>0</v>
      </c>
      <c r="P659" s="133">
        <v>0</v>
      </c>
      <c r="Q659" s="133">
        <v>0</v>
      </c>
      <c r="R659" s="133">
        <v>0</v>
      </c>
      <c r="S659" s="156"/>
    </row>
    <row r="660" spans="1:19">
      <c r="A660" s="133" t="s">
        <v>1183</v>
      </c>
      <c r="B660" s="133" t="s">
        <v>1175</v>
      </c>
      <c r="C660" s="133" t="s">
        <v>1000</v>
      </c>
      <c r="D660" s="133" t="s">
        <v>107</v>
      </c>
      <c r="E660" s="133" t="s">
        <v>108</v>
      </c>
      <c r="F660" s="133" t="s">
        <v>707</v>
      </c>
      <c r="G660" s="133" t="s">
        <v>715</v>
      </c>
      <c r="H660" s="133">
        <v>2.61</v>
      </c>
      <c r="I660" s="133">
        <v>0</v>
      </c>
      <c r="J660" s="133">
        <v>176</v>
      </c>
      <c r="K660" s="133">
        <v>50</v>
      </c>
      <c r="L660" s="133">
        <v>60</v>
      </c>
      <c r="M660" s="133" t="s">
        <v>997</v>
      </c>
      <c r="N660" s="133">
        <v>0</v>
      </c>
      <c r="P660" s="133">
        <v>0</v>
      </c>
      <c r="Q660" s="133">
        <v>60</v>
      </c>
      <c r="R660" s="133">
        <v>0</v>
      </c>
      <c r="S660" s="156">
        <v>-0.2</v>
      </c>
    </row>
    <row r="661" spans="1:19">
      <c r="A661" s="133" t="s">
        <v>1183</v>
      </c>
      <c r="B661" s="133" t="s">
        <v>1175</v>
      </c>
      <c r="C661" s="133" t="s">
        <v>1000</v>
      </c>
      <c r="D661" s="133" t="s">
        <v>109</v>
      </c>
      <c r="E661" s="133" t="s">
        <v>110</v>
      </c>
      <c r="F661" s="133" t="s">
        <v>707</v>
      </c>
      <c r="G661" s="133" t="s">
        <v>715</v>
      </c>
      <c r="H661" s="133">
        <v>1.4</v>
      </c>
      <c r="I661" s="133">
        <v>0</v>
      </c>
      <c r="J661" s="133">
        <v>924</v>
      </c>
      <c r="K661" s="133">
        <v>80</v>
      </c>
      <c r="L661" s="133">
        <v>204</v>
      </c>
      <c r="M661" s="133" t="s">
        <v>997</v>
      </c>
      <c r="N661" s="133">
        <v>0</v>
      </c>
      <c r="P661" s="133">
        <v>0</v>
      </c>
      <c r="Q661" s="133">
        <v>204</v>
      </c>
      <c r="R661" s="133">
        <v>0</v>
      </c>
      <c r="S661" s="156">
        <v>-1.55</v>
      </c>
    </row>
    <row r="662" spans="1:19">
      <c r="A662" s="133" t="s">
        <v>1183</v>
      </c>
      <c r="B662" s="133" t="s">
        <v>1175</v>
      </c>
      <c r="C662" s="133" t="s">
        <v>1000</v>
      </c>
      <c r="D662" s="133" t="s">
        <v>111</v>
      </c>
      <c r="E662" s="133" t="s">
        <v>112</v>
      </c>
      <c r="F662" s="133" t="s">
        <v>707</v>
      </c>
      <c r="G662" s="133" t="s">
        <v>715</v>
      </c>
      <c r="H662" s="133">
        <v>2.34</v>
      </c>
      <c r="I662" s="133">
        <v>0</v>
      </c>
      <c r="J662" s="133">
        <v>305</v>
      </c>
      <c r="K662" s="133">
        <v>40</v>
      </c>
      <c r="L662" s="133">
        <v>61</v>
      </c>
      <c r="M662" s="133" t="s">
        <v>997</v>
      </c>
      <c r="N662" s="133">
        <v>0</v>
      </c>
      <c r="P662" s="133">
        <v>0</v>
      </c>
      <c r="Q662" s="133">
        <v>61</v>
      </c>
      <c r="R662" s="133">
        <v>0</v>
      </c>
      <c r="S662" s="156">
        <v>-0.52500000000000002</v>
      </c>
    </row>
    <row r="663" spans="1:19">
      <c r="A663" s="133" t="s">
        <v>1183</v>
      </c>
      <c r="B663" s="133" t="s">
        <v>1175</v>
      </c>
      <c r="C663" s="133" t="s">
        <v>1000</v>
      </c>
      <c r="D663" s="133" t="s">
        <v>113</v>
      </c>
      <c r="E663" s="133" t="s">
        <v>114</v>
      </c>
      <c r="F663" s="133" t="s">
        <v>707</v>
      </c>
      <c r="G663" s="133" t="s">
        <v>715</v>
      </c>
      <c r="H663" s="133">
        <v>4.62</v>
      </c>
      <c r="I663" s="133">
        <v>0</v>
      </c>
      <c r="J663" s="133">
        <v>128</v>
      </c>
      <c r="K663" s="133">
        <v>40</v>
      </c>
      <c r="L663" s="133">
        <v>52</v>
      </c>
      <c r="M663" s="133" t="s">
        <v>997</v>
      </c>
      <c r="N663" s="133">
        <v>0</v>
      </c>
      <c r="P663" s="133">
        <v>0</v>
      </c>
      <c r="Q663" s="133">
        <v>52</v>
      </c>
      <c r="R663" s="133">
        <v>0</v>
      </c>
      <c r="S663" s="156">
        <v>-0.3</v>
      </c>
    </row>
    <row r="664" spans="1:19">
      <c r="A664" s="133" t="s">
        <v>1183</v>
      </c>
      <c r="B664" s="133" t="s">
        <v>1175</v>
      </c>
      <c r="C664" s="133" t="s">
        <v>1000</v>
      </c>
      <c r="D664" s="133" t="s">
        <v>115</v>
      </c>
      <c r="E664" s="133" t="s">
        <v>116</v>
      </c>
      <c r="F664" s="133" t="s">
        <v>707</v>
      </c>
      <c r="G664" s="133" t="s">
        <v>715</v>
      </c>
      <c r="H664" s="133">
        <v>1.63</v>
      </c>
      <c r="I664" s="133">
        <v>0</v>
      </c>
      <c r="J664" s="133">
        <v>141</v>
      </c>
      <c r="L664" s="133">
        <v>0</v>
      </c>
      <c r="M664" s="133" t="s">
        <v>1096</v>
      </c>
      <c r="N664" s="133">
        <v>0</v>
      </c>
      <c r="P664" s="133">
        <v>0</v>
      </c>
      <c r="Q664" s="133">
        <v>0</v>
      </c>
      <c r="R664" s="133">
        <v>0</v>
      </c>
      <c r="S664" s="156"/>
    </row>
    <row r="665" spans="1:19">
      <c r="A665" s="133" t="s">
        <v>1183</v>
      </c>
      <c r="B665" s="133" t="s">
        <v>1175</v>
      </c>
      <c r="C665" s="133" t="s">
        <v>1000</v>
      </c>
      <c r="D665" s="133" t="s">
        <v>117</v>
      </c>
      <c r="E665" s="133" t="s">
        <v>118</v>
      </c>
      <c r="F665" s="133" t="s">
        <v>707</v>
      </c>
      <c r="G665" s="133" t="s">
        <v>727</v>
      </c>
      <c r="H665" s="133">
        <v>3.09</v>
      </c>
      <c r="I665" s="133">
        <v>0</v>
      </c>
      <c r="J665" s="133">
        <v>69</v>
      </c>
      <c r="K665" s="133">
        <v>20</v>
      </c>
      <c r="L665" s="133">
        <v>70</v>
      </c>
      <c r="M665" s="133" t="s">
        <v>997</v>
      </c>
      <c r="N665" s="133">
        <v>0</v>
      </c>
      <c r="P665" s="133">
        <v>0</v>
      </c>
      <c r="Q665" s="133">
        <v>70</v>
      </c>
      <c r="R665" s="133">
        <v>0</v>
      </c>
      <c r="S665" s="156">
        <v>-2.5</v>
      </c>
    </row>
    <row r="666" spans="1:19">
      <c r="A666" s="133" t="s">
        <v>1183</v>
      </c>
      <c r="B666" s="133" t="s">
        <v>1175</v>
      </c>
      <c r="C666" s="133" t="s">
        <v>1000</v>
      </c>
      <c r="D666" s="133" t="s">
        <v>119</v>
      </c>
      <c r="E666" s="133" t="s">
        <v>120</v>
      </c>
      <c r="F666" s="133" t="s">
        <v>707</v>
      </c>
      <c r="G666" s="133" t="s">
        <v>715</v>
      </c>
      <c r="H666" s="133">
        <v>1.93</v>
      </c>
      <c r="I666" s="133">
        <v>0</v>
      </c>
      <c r="J666" s="133">
        <v>291</v>
      </c>
      <c r="K666" s="133">
        <v>50</v>
      </c>
      <c r="L666" s="133">
        <v>98</v>
      </c>
      <c r="M666" s="133" t="s">
        <v>997</v>
      </c>
      <c r="N666" s="133">
        <v>0</v>
      </c>
      <c r="P666" s="133">
        <v>0</v>
      </c>
      <c r="Q666" s="133">
        <v>98</v>
      </c>
      <c r="R666" s="133">
        <v>0</v>
      </c>
      <c r="S666" s="156">
        <v>-0.96</v>
      </c>
    </row>
    <row r="667" spans="1:19">
      <c r="A667" s="133" t="s">
        <v>1183</v>
      </c>
      <c r="B667" s="133" t="s">
        <v>1175</v>
      </c>
      <c r="C667" s="133" t="s">
        <v>1000</v>
      </c>
      <c r="D667" s="133" t="s">
        <v>121</v>
      </c>
      <c r="E667" s="133" t="s">
        <v>122</v>
      </c>
      <c r="F667" s="133" t="s">
        <v>707</v>
      </c>
      <c r="G667" s="133" t="s">
        <v>715</v>
      </c>
      <c r="H667" s="133">
        <v>1.38</v>
      </c>
      <c r="I667" s="133">
        <v>0</v>
      </c>
      <c r="J667" s="133">
        <v>2</v>
      </c>
      <c r="L667" s="133">
        <v>0</v>
      </c>
      <c r="M667" s="133" t="s">
        <v>1096</v>
      </c>
      <c r="N667" s="133">
        <v>0</v>
      </c>
      <c r="P667" s="133">
        <v>0</v>
      </c>
      <c r="Q667" s="133">
        <v>0</v>
      </c>
      <c r="R667" s="133">
        <v>0</v>
      </c>
      <c r="S667" s="156"/>
    </row>
    <row r="668" spans="1:19">
      <c r="A668" s="133" t="s">
        <v>1183</v>
      </c>
      <c r="B668" s="133" t="s">
        <v>1175</v>
      </c>
      <c r="C668" s="133" t="s">
        <v>1000</v>
      </c>
      <c r="D668" s="133" t="s">
        <v>123</v>
      </c>
      <c r="E668" s="133" t="s">
        <v>124</v>
      </c>
      <c r="F668" s="133" t="s">
        <v>707</v>
      </c>
      <c r="G668" s="133" t="s">
        <v>715</v>
      </c>
      <c r="H668" s="133">
        <v>7.04</v>
      </c>
      <c r="I668" s="133">
        <v>0</v>
      </c>
      <c r="J668" s="133">
        <v>0</v>
      </c>
      <c r="L668" s="133">
        <v>0</v>
      </c>
      <c r="M668" s="133" t="s">
        <v>1096</v>
      </c>
      <c r="N668" s="133">
        <v>0</v>
      </c>
      <c r="P668" s="133">
        <v>0</v>
      </c>
      <c r="Q668" s="133">
        <v>0</v>
      </c>
      <c r="R668" s="133">
        <v>0</v>
      </c>
      <c r="S668" s="156"/>
    </row>
    <row r="669" spans="1:19">
      <c r="A669" s="133" t="s">
        <v>1183</v>
      </c>
      <c r="B669" s="133" t="s">
        <v>1175</v>
      </c>
      <c r="C669" s="133" t="s">
        <v>1000</v>
      </c>
      <c r="D669" s="133" t="s">
        <v>125</v>
      </c>
      <c r="E669" s="133" t="s">
        <v>126</v>
      </c>
      <c r="F669" s="133" t="s">
        <v>707</v>
      </c>
      <c r="G669" s="133" t="s">
        <v>715</v>
      </c>
      <c r="H669" s="133">
        <v>2.54</v>
      </c>
      <c r="I669" s="133">
        <v>0</v>
      </c>
      <c r="J669" s="133">
        <v>68</v>
      </c>
      <c r="K669" s="133">
        <v>20</v>
      </c>
      <c r="L669" s="133">
        <v>60</v>
      </c>
      <c r="M669" s="133" t="s">
        <v>997</v>
      </c>
      <c r="N669" s="133">
        <v>0</v>
      </c>
      <c r="P669" s="133">
        <v>0</v>
      </c>
      <c r="Q669" s="133">
        <v>60</v>
      </c>
      <c r="R669" s="133">
        <v>0</v>
      </c>
      <c r="S669" s="156">
        <v>-2</v>
      </c>
    </row>
    <row r="670" spans="1:19">
      <c r="A670" s="133" t="s">
        <v>1183</v>
      </c>
      <c r="B670" s="133" t="s">
        <v>1175</v>
      </c>
      <c r="C670" s="133" t="s">
        <v>1000</v>
      </c>
      <c r="D670" s="133" t="s">
        <v>127</v>
      </c>
      <c r="E670" s="133" t="s">
        <v>942</v>
      </c>
      <c r="F670" s="133" t="s">
        <v>712</v>
      </c>
      <c r="G670" s="133" t="s">
        <v>715</v>
      </c>
      <c r="H670" s="133">
        <v>1.52</v>
      </c>
      <c r="I670" s="133">
        <v>0</v>
      </c>
      <c r="J670" s="133">
        <v>0</v>
      </c>
      <c r="L670" s="133">
        <v>0</v>
      </c>
      <c r="M670" s="133" t="s">
        <v>1096</v>
      </c>
      <c r="N670" s="133">
        <v>0</v>
      </c>
      <c r="P670" s="133">
        <v>0</v>
      </c>
      <c r="Q670" s="133">
        <v>0</v>
      </c>
      <c r="R670" s="133">
        <v>0</v>
      </c>
      <c r="S670" s="156"/>
    </row>
    <row r="671" spans="1:19">
      <c r="A671" s="133" t="s">
        <v>1183</v>
      </c>
      <c r="B671" s="133" t="s">
        <v>1175</v>
      </c>
      <c r="C671" s="133" t="s">
        <v>1000</v>
      </c>
      <c r="D671" s="133" t="s">
        <v>128</v>
      </c>
      <c r="E671" s="133" t="s">
        <v>129</v>
      </c>
      <c r="F671" s="133" t="s">
        <v>712</v>
      </c>
      <c r="G671" s="133" t="s">
        <v>715</v>
      </c>
      <c r="H671" s="133">
        <v>13.29</v>
      </c>
      <c r="I671" s="133">
        <v>0</v>
      </c>
      <c r="J671" s="133">
        <v>0</v>
      </c>
      <c r="K671" s="133">
        <v>0</v>
      </c>
      <c r="L671" s="133">
        <v>19</v>
      </c>
      <c r="M671" s="133" t="s">
        <v>1096</v>
      </c>
      <c r="N671" s="133">
        <v>0</v>
      </c>
      <c r="P671" s="133">
        <v>0</v>
      </c>
      <c r="Q671" s="133">
        <v>19</v>
      </c>
      <c r="R671" s="133">
        <v>0</v>
      </c>
      <c r="S671" s="156"/>
    </row>
    <row r="672" spans="1:19">
      <c r="A672" s="133" t="s">
        <v>1183</v>
      </c>
      <c r="B672" s="133" t="s">
        <v>1175</v>
      </c>
      <c r="C672" s="133" t="s">
        <v>1000</v>
      </c>
      <c r="D672" s="133" t="s">
        <v>130</v>
      </c>
      <c r="E672" s="133" t="s">
        <v>131</v>
      </c>
      <c r="F672" s="133" t="s">
        <v>707</v>
      </c>
      <c r="G672" s="133" t="s">
        <v>715</v>
      </c>
      <c r="H672" s="133">
        <v>1.64</v>
      </c>
      <c r="I672" s="133">
        <v>0</v>
      </c>
      <c r="J672" s="133">
        <v>534</v>
      </c>
      <c r="K672" s="133">
        <v>40</v>
      </c>
      <c r="L672" s="133">
        <v>66</v>
      </c>
      <c r="M672" s="133" t="s">
        <v>997</v>
      </c>
      <c r="N672" s="133">
        <v>0</v>
      </c>
      <c r="P672" s="133">
        <v>0</v>
      </c>
      <c r="Q672" s="133">
        <v>66</v>
      </c>
      <c r="R672" s="133">
        <v>0</v>
      </c>
      <c r="S672" s="156">
        <v>-0.65</v>
      </c>
    </row>
    <row r="673" spans="1:19">
      <c r="A673" s="133" t="s">
        <v>1183</v>
      </c>
      <c r="B673" s="133" t="s">
        <v>1175</v>
      </c>
      <c r="C673" s="133" t="s">
        <v>1000</v>
      </c>
      <c r="D673" s="133" t="s">
        <v>132</v>
      </c>
      <c r="E673" s="133" t="s">
        <v>133</v>
      </c>
      <c r="F673" s="133" t="s">
        <v>707</v>
      </c>
      <c r="G673" s="133" t="s">
        <v>715</v>
      </c>
      <c r="H673" s="133">
        <v>12.43</v>
      </c>
      <c r="I673" s="133">
        <v>0</v>
      </c>
      <c r="J673" s="133">
        <v>115</v>
      </c>
      <c r="L673" s="133">
        <v>0</v>
      </c>
      <c r="M673" s="133" t="s">
        <v>1096</v>
      </c>
      <c r="N673" s="133">
        <v>0</v>
      </c>
      <c r="P673" s="133">
        <v>0</v>
      </c>
      <c r="Q673" s="133">
        <v>0</v>
      </c>
      <c r="R673" s="133">
        <v>0</v>
      </c>
      <c r="S673" s="156"/>
    </row>
    <row r="674" spans="1:19">
      <c r="A674" s="133" t="s">
        <v>1183</v>
      </c>
      <c r="B674" s="133" t="s">
        <v>1175</v>
      </c>
      <c r="C674" s="133" t="s">
        <v>1000</v>
      </c>
      <c r="D674" s="133" t="s">
        <v>134</v>
      </c>
      <c r="E674" s="133" t="s">
        <v>135</v>
      </c>
      <c r="F674" s="133" t="s">
        <v>707</v>
      </c>
      <c r="G674" s="133" t="s">
        <v>715</v>
      </c>
      <c r="H674" s="133">
        <v>3.47</v>
      </c>
      <c r="I674" s="133">
        <v>0</v>
      </c>
      <c r="J674" s="133">
        <v>316</v>
      </c>
      <c r="K674" s="133">
        <v>60</v>
      </c>
      <c r="L674" s="133">
        <v>60</v>
      </c>
      <c r="M674" s="133" t="s">
        <v>998</v>
      </c>
      <c r="N674" s="133">
        <v>0</v>
      </c>
      <c r="P674" s="133">
        <v>0</v>
      </c>
      <c r="Q674" s="133">
        <v>60</v>
      </c>
      <c r="R674" s="133">
        <v>0</v>
      </c>
      <c r="S674" s="156">
        <v>0</v>
      </c>
    </row>
    <row r="675" spans="1:19">
      <c r="A675" s="133" t="s">
        <v>1183</v>
      </c>
      <c r="B675" s="133" t="s">
        <v>1175</v>
      </c>
      <c r="C675" s="133" t="s">
        <v>1000</v>
      </c>
      <c r="D675" s="133" t="s">
        <v>138</v>
      </c>
      <c r="E675" s="133" t="s">
        <v>139</v>
      </c>
      <c r="F675" s="133" t="s">
        <v>707</v>
      </c>
      <c r="G675" s="133" t="s">
        <v>732</v>
      </c>
      <c r="H675" s="133">
        <v>15.11</v>
      </c>
      <c r="I675" s="133">
        <v>0</v>
      </c>
      <c r="J675" s="133">
        <v>0</v>
      </c>
      <c r="L675" s="133">
        <v>0</v>
      </c>
      <c r="M675" s="133" t="s">
        <v>1096</v>
      </c>
      <c r="N675" s="133">
        <v>0</v>
      </c>
      <c r="P675" s="133">
        <v>0</v>
      </c>
      <c r="Q675" s="133">
        <v>0</v>
      </c>
      <c r="R675" s="133">
        <v>0</v>
      </c>
      <c r="S675" s="156"/>
    </row>
    <row r="676" spans="1:19">
      <c r="A676" s="133" t="s">
        <v>1183</v>
      </c>
      <c r="B676" s="133" t="s">
        <v>1175</v>
      </c>
      <c r="C676" s="133" t="s">
        <v>1000</v>
      </c>
      <c r="D676" s="133" t="s">
        <v>140</v>
      </c>
      <c r="E676" s="133" t="s">
        <v>141</v>
      </c>
      <c r="F676" s="133" t="s">
        <v>707</v>
      </c>
      <c r="G676" s="133" t="s">
        <v>732</v>
      </c>
      <c r="H676" s="133">
        <v>267</v>
      </c>
      <c r="I676" s="133">
        <v>0</v>
      </c>
      <c r="J676" s="133">
        <v>3</v>
      </c>
      <c r="L676" s="133">
        <v>0</v>
      </c>
      <c r="M676" s="133" t="s">
        <v>1096</v>
      </c>
      <c r="N676" s="133">
        <v>0</v>
      </c>
      <c r="P676" s="133">
        <v>0</v>
      </c>
      <c r="Q676" s="133">
        <v>0</v>
      </c>
      <c r="R676" s="133">
        <v>0</v>
      </c>
      <c r="S676" s="156"/>
    </row>
    <row r="677" spans="1:19">
      <c r="A677" s="133" t="s">
        <v>1183</v>
      </c>
      <c r="B677" s="133" t="s">
        <v>1175</v>
      </c>
      <c r="C677" s="133" t="s">
        <v>1000</v>
      </c>
      <c r="D677" s="133" t="s">
        <v>142</v>
      </c>
      <c r="E677" s="133" t="s">
        <v>143</v>
      </c>
      <c r="F677" s="133" t="s">
        <v>709</v>
      </c>
      <c r="G677" s="133" t="s">
        <v>719</v>
      </c>
      <c r="H677" s="133">
        <v>0.91</v>
      </c>
      <c r="I677" s="133">
        <v>0</v>
      </c>
      <c r="J677" s="133">
        <v>38</v>
      </c>
      <c r="L677" s="133">
        <v>0</v>
      </c>
      <c r="M677" s="133" t="s">
        <v>1096</v>
      </c>
      <c r="N677" s="133">
        <v>0</v>
      </c>
      <c r="P677" s="133">
        <v>0</v>
      </c>
      <c r="Q677" s="133">
        <v>0</v>
      </c>
      <c r="R677" s="133">
        <v>0</v>
      </c>
      <c r="S677" s="156"/>
    </row>
    <row r="678" spans="1:19">
      <c r="A678" s="133" t="s">
        <v>1183</v>
      </c>
      <c r="B678" s="133" t="s">
        <v>1175</v>
      </c>
      <c r="C678" s="133" t="s">
        <v>1000</v>
      </c>
      <c r="D678" s="133" t="s">
        <v>144</v>
      </c>
      <c r="E678" s="133" t="s">
        <v>145</v>
      </c>
      <c r="F678" s="133" t="s">
        <v>709</v>
      </c>
      <c r="G678" s="133" t="s">
        <v>719</v>
      </c>
      <c r="H678" s="133">
        <v>2.79</v>
      </c>
      <c r="I678" s="133">
        <v>0</v>
      </c>
      <c r="J678" s="133">
        <v>335</v>
      </c>
      <c r="L678" s="133">
        <v>0</v>
      </c>
      <c r="M678" s="133" t="s">
        <v>1096</v>
      </c>
      <c r="N678" s="133">
        <v>0</v>
      </c>
      <c r="P678" s="133">
        <v>0</v>
      </c>
      <c r="Q678" s="133">
        <v>0</v>
      </c>
      <c r="R678" s="133">
        <v>0</v>
      </c>
      <c r="S678" s="156"/>
    </row>
    <row r="679" spans="1:19">
      <c r="A679" s="133" t="s">
        <v>1183</v>
      </c>
      <c r="B679" s="133" t="s">
        <v>1175</v>
      </c>
      <c r="C679" s="133" t="s">
        <v>1000</v>
      </c>
      <c r="D679" s="133" t="s">
        <v>146</v>
      </c>
      <c r="E679" s="133" t="s">
        <v>147</v>
      </c>
      <c r="F679" s="133" t="s">
        <v>709</v>
      </c>
      <c r="G679" s="133" t="s">
        <v>719</v>
      </c>
      <c r="H679" s="133">
        <v>4.42</v>
      </c>
      <c r="I679" s="133">
        <v>0</v>
      </c>
      <c r="J679" s="133">
        <v>41</v>
      </c>
      <c r="L679" s="133">
        <v>0</v>
      </c>
      <c r="M679" s="133" t="s">
        <v>1096</v>
      </c>
      <c r="N679" s="133">
        <v>0</v>
      </c>
      <c r="P679" s="133">
        <v>0</v>
      </c>
      <c r="Q679" s="133">
        <v>0</v>
      </c>
      <c r="R679" s="133">
        <v>0</v>
      </c>
      <c r="S679" s="156"/>
    </row>
    <row r="680" spans="1:19">
      <c r="A680" s="133" t="s">
        <v>1183</v>
      </c>
      <c r="B680" s="133" t="s">
        <v>1175</v>
      </c>
      <c r="C680" s="133" t="s">
        <v>1000</v>
      </c>
      <c r="D680" s="133" t="s">
        <v>148</v>
      </c>
      <c r="E680" s="133" t="s">
        <v>149</v>
      </c>
      <c r="F680" s="133" t="s">
        <v>709</v>
      </c>
      <c r="G680" s="133" t="s">
        <v>719</v>
      </c>
      <c r="H680" s="133">
        <v>11.54</v>
      </c>
      <c r="I680" s="133">
        <v>0</v>
      </c>
      <c r="J680" s="133">
        <v>200</v>
      </c>
      <c r="K680" s="133">
        <v>30</v>
      </c>
      <c r="L680" s="133">
        <v>39</v>
      </c>
      <c r="M680" s="133" t="s">
        <v>997</v>
      </c>
      <c r="N680" s="133">
        <v>0</v>
      </c>
      <c r="P680" s="133">
        <v>0</v>
      </c>
      <c r="Q680" s="133">
        <v>39</v>
      </c>
      <c r="R680" s="133">
        <v>0</v>
      </c>
      <c r="S680" s="156">
        <v>-0.3</v>
      </c>
    </row>
    <row r="681" spans="1:19">
      <c r="A681" s="133" t="s">
        <v>1183</v>
      </c>
      <c r="B681" s="133" t="s">
        <v>1175</v>
      </c>
      <c r="C681" s="133" t="s">
        <v>1000</v>
      </c>
      <c r="D681" s="133" t="s">
        <v>150</v>
      </c>
      <c r="E681" s="133" t="s">
        <v>151</v>
      </c>
      <c r="F681" s="133" t="s">
        <v>709</v>
      </c>
      <c r="G681" s="133" t="s">
        <v>719</v>
      </c>
      <c r="H681" s="133">
        <v>10.83</v>
      </c>
      <c r="I681" s="133">
        <v>0</v>
      </c>
      <c r="J681" s="133">
        <v>0</v>
      </c>
      <c r="L681" s="133">
        <v>0</v>
      </c>
      <c r="M681" s="133" t="s">
        <v>1096</v>
      </c>
      <c r="N681" s="133">
        <v>0</v>
      </c>
      <c r="P681" s="133">
        <v>0</v>
      </c>
      <c r="Q681" s="133">
        <v>0</v>
      </c>
      <c r="R681" s="133">
        <v>0</v>
      </c>
      <c r="S681" s="156"/>
    </row>
    <row r="682" spans="1:19">
      <c r="A682" s="133" t="s">
        <v>1183</v>
      </c>
      <c r="B682" s="133" t="s">
        <v>1175</v>
      </c>
      <c r="C682" s="133" t="s">
        <v>1000</v>
      </c>
      <c r="D682" s="133" t="s">
        <v>152</v>
      </c>
      <c r="E682" s="133" t="s">
        <v>153</v>
      </c>
      <c r="F682" s="133" t="s">
        <v>709</v>
      </c>
      <c r="G682" s="133" t="s">
        <v>719</v>
      </c>
      <c r="H682" s="133">
        <v>23.65</v>
      </c>
      <c r="I682" s="133">
        <v>0</v>
      </c>
      <c r="J682" s="133">
        <v>0</v>
      </c>
      <c r="L682" s="133">
        <v>0</v>
      </c>
      <c r="M682" s="133" t="s">
        <v>1096</v>
      </c>
      <c r="N682" s="133">
        <v>0</v>
      </c>
      <c r="P682" s="133">
        <v>0</v>
      </c>
      <c r="Q682" s="133">
        <v>0</v>
      </c>
      <c r="R682" s="133">
        <v>0</v>
      </c>
      <c r="S682" s="156"/>
    </row>
    <row r="683" spans="1:19">
      <c r="A683" s="133" t="s">
        <v>1183</v>
      </c>
      <c r="B683" s="133" t="s">
        <v>1175</v>
      </c>
      <c r="C683" s="133" t="s">
        <v>1000</v>
      </c>
      <c r="D683" s="133" t="s">
        <v>890</v>
      </c>
      <c r="E683" s="133" t="s">
        <v>945</v>
      </c>
      <c r="F683" s="133" t="s">
        <v>946</v>
      </c>
      <c r="G683" s="133" t="s">
        <v>719</v>
      </c>
      <c r="H683" s="133">
        <v>2.4</v>
      </c>
      <c r="I683" s="133">
        <v>0</v>
      </c>
      <c r="J683" s="133">
        <v>0</v>
      </c>
      <c r="L683" s="133">
        <v>0</v>
      </c>
      <c r="M683" s="133" t="s">
        <v>1096</v>
      </c>
      <c r="N683" s="133">
        <v>0</v>
      </c>
      <c r="P683" s="133">
        <v>0</v>
      </c>
      <c r="Q683" s="133">
        <v>0</v>
      </c>
      <c r="R683" s="133">
        <v>0</v>
      </c>
      <c r="S683" s="156"/>
    </row>
    <row r="684" spans="1:19">
      <c r="A684" s="133" t="s">
        <v>1183</v>
      </c>
      <c r="B684" s="133" t="s">
        <v>1175</v>
      </c>
      <c r="C684" s="133" t="s">
        <v>1000</v>
      </c>
      <c r="D684" s="133" t="s">
        <v>891</v>
      </c>
      <c r="E684" s="133" t="s">
        <v>947</v>
      </c>
      <c r="F684" s="133" t="s">
        <v>946</v>
      </c>
      <c r="G684" s="133" t="s">
        <v>719</v>
      </c>
      <c r="H684" s="133">
        <v>4.1500000000000004</v>
      </c>
      <c r="I684" s="133">
        <v>0</v>
      </c>
      <c r="J684" s="133">
        <v>0</v>
      </c>
      <c r="L684" s="133">
        <v>0</v>
      </c>
      <c r="M684" s="133" t="s">
        <v>1096</v>
      </c>
      <c r="N684" s="133">
        <v>0</v>
      </c>
      <c r="P684" s="133">
        <v>0</v>
      </c>
      <c r="Q684" s="133">
        <v>0</v>
      </c>
      <c r="R684" s="133">
        <v>0</v>
      </c>
      <c r="S684" s="156"/>
    </row>
    <row r="685" spans="1:19">
      <c r="A685" s="133" t="s">
        <v>1183</v>
      </c>
      <c r="B685" s="133" t="s">
        <v>1175</v>
      </c>
      <c r="C685" s="133" t="s">
        <v>1000</v>
      </c>
      <c r="D685" s="133" t="s">
        <v>736</v>
      </c>
      <c r="E685" s="133" t="s">
        <v>765</v>
      </c>
      <c r="F685" s="133" t="s">
        <v>712</v>
      </c>
      <c r="G685" s="133" t="s">
        <v>732</v>
      </c>
      <c r="H685" s="133">
        <v>2.89</v>
      </c>
      <c r="I685" s="133">
        <v>0</v>
      </c>
      <c r="J685" s="133">
        <v>0</v>
      </c>
      <c r="L685" s="133">
        <v>0</v>
      </c>
      <c r="M685" s="133" t="s">
        <v>1096</v>
      </c>
      <c r="N685" s="133">
        <v>0</v>
      </c>
      <c r="P685" s="133">
        <v>0</v>
      </c>
      <c r="Q685" s="133">
        <v>0</v>
      </c>
      <c r="R685" s="133">
        <v>0</v>
      </c>
      <c r="S685" s="156"/>
    </row>
    <row r="686" spans="1:19">
      <c r="A686" s="133" t="s">
        <v>1183</v>
      </c>
      <c r="B686" s="133" t="s">
        <v>1175</v>
      </c>
      <c r="C686" s="133" t="s">
        <v>1000</v>
      </c>
      <c r="D686" s="133" t="s">
        <v>738</v>
      </c>
      <c r="E686" s="133" t="s">
        <v>762</v>
      </c>
      <c r="F686" s="133" t="s">
        <v>712</v>
      </c>
      <c r="G686" s="133" t="s">
        <v>732</v>
      </c>
      <c r="H686" s="133">
        <v>519.35</v>
      </c>
      <c r="I686" s="133">
        <v>0</v>
      </c>
      <c r="J686" s="133">
        <v>8</v>
      </c>
      <c r="L686" s="133">
        <v>0</v>
      </c>
      <c r="M686" s="133" t="s">
        <v>1096</v>
      </c>
      <c r="N686" s="133">
        <v>0</v>
      </c>
      <c r="P686" s="133">
        <v>0</v>
      </c>
      <c r="Q686" s="133">
        <v>0</v>
      </c>
      <c r="R686" s="133">
        <v>0</v>
      </c>
      <c r="S686" s="156"/>
    </row>
    <row r="687" spans="1:19">
      <c r="A687" s="133" t="s">
        <v>1183</v>
      </c>
      <c r="B687" s="133" t="s">
        <v>1175</v>
      </c>
      <c r="C687" s="133" t="s">
        <v>1000</v>
      </c>
      <c r="D687" s="133" t="s">
        <v>875</v>
      </c>
      <c r="E687" s="133" t="s">
        <v>948</v>
      </c>
      <c r="F687" s="133" t="s">
        <v>712</v>
      </c>
      <c r="G687" s="133" t="s">
        <v>732</v>
      </c>
      <c r="H687" s="133">
        <v>6.79</v>
      </c>
      <c r="I687" s="133">
        <v>0</v>
      </c>
      <c r="J687" s="133">
        <v>36</v>
      </c>
      <c r="L687" s="133">
        <v>0</v>
      </c>
      <c r="M687" s="133" t="s">
        <v>1096</v>
      </c>
      <c r="N687" s="133">
        <v>0</v>
      </c>
      <c r="P687" s="133">
        <v>0</v>
      </c>
      <c r="Q687" s="133">
        <v>0</v>
      </c>
      <c r="R687" s="133">
        <v>0</v>
      </c>
      <c r="S687" s="156"/>
    </row>
    <row r="688" spans="1:19">
      <c r="A688" s="133" t="s">
        <v>1183</v>
      </c>
      <c r="B688" s="133" t="s">
        <v>1175</v>
      </c>
      <c r="C688" s="133" t="s">
        <v>1000</v>
      </c>
      <c r="D688" s="133" t="s">
        <v>737</v>
      </c>
      <c r="E688" s="133" t="s">
        <v>763</v>
      </c>
      <c r="F688" s="133" t="s">
        <v>712</v>
      </c>
      <c r="G688" s="133" t="s">
        <v>732</v>
      </c>
      <c r="H688" s="133">
        <v>98.3</v>
      </c>
      <c r="I688" s="133">
        <v>0</v>
      </c>
      <c r="J688" s="133">
        <v>12</v>
      </c>
      <c r="L688" s="133">
        <v>0</v>
      </c>
      <c r="M688" s="133" t="s">
        <v>1096</v>
      </c>
      <c r="N688" s="133">
        <v>0</v>
      </c>
      <c r="P688" s="133">
        <v>0</v>
      </c>
      <c r="Q688" s="133">
        <v>0</v>
      </c>
      <c r="R688" s="133">
        <v>0</v>
      </c>
      <c r="S688" s="156"/>
    </row>
    <row r="689" spans="1:19">
      <c r="A689" s="133" t="s">
        <v>1183</v>
      </c>
      <c r="B689" s="133" t="s">
        <v>1175</v>
      </c>
      <c r="C689" s="133" t="s">
        <v>1000</v>
      </c>
      <c r="D689" s="133" t="s">
        <v>742</v>
      </c>
      <c r="E689" s="133" t="s">
        <v>764</v>
      </c>
      <c r="F689" s="133" t="s">
        <v>712</v>
      </c>
      <c r="G689" s="133" t="s">
        <v>732</v>
      </c>
      <c r="H689" s="133">
        <v>26.65</v>
      </c>
      <c r="I689" s="133">
        <v>0</v>
      </c>
      <c r="J689" s="133">
        <v>159</v>
      </c>
      <c r="L689" s="133">
        <v>0</v>
      </c>
      <c r="M689" s="133" t="s">
        <v>1096</v>
      </c>
      <c r="N689" s="133">
        <v>0</v>
      </c>
      <c r="P689" s="133">
        <v>0</v>
      </c>
      <c r="Q689" s="133">
        <v>0</v>
      </c>
      <c r="R689" s="133">
        <v>0</v>
      </c>
      <c r="S689" s="156"/>
    </row>
    <row r="690" spans="1:19">
      <c r="A690" s="133" t="s">
        <v>1183</v>
      </c>
      <c r="B690" s="133" t="s">
        <v>1175</v>
      </c>
      <c r="C690" s="133" t="s">
        <v>1000</v>
      </c>
      <c r="D690" s="133" t="s">
        <v>162</v>
      </c>
      <c r="E690" s="133" t="s">
        <v>163</v>
      </c>
      <c r="F690" s="133" t="s">
        <v>712</v>
      </c>
      <c r="G690" s="133" t="s">
        <v>715</v>
      </c>
      <c r="H690" s="133">
        <v>1.87</v>
      </c>
      <c r="I690" s="133">
        <v>0</v>
      </c>
      <c r="J690" s="133">
        <v>2</v>
      </c>
      <c r="L690" s="133">
        <v>0</v>
      </c>
      <c r="M690" s="133" t="s">
        <v>1096</v>
      </c>
      <c r="N690" s="133">
        <v>0</v>
      </c>
      <c r="P690" s="133">
        <v>0</v>
      </c>
      <c r="Q690" s="133">
        <v>0</v>
      </c>
      <c r="R690" s="133">
        <v>0</v>
      </c>
      <c r="S690" s="156"/>
    </row>
    <row r="691" spans="1:19">
      <c r="A691" s="133" t="s">
        <v>1183</v>
      </c>
      <c r="B691" s="133" t="s">
        <v>1175</v>
      </c>
      <c r="C691" s="133" t="s">
        <v>1000</v>
      </c>
      <c r="D691" s="133" t="s">
        <v>164</v>
      </c>
      <c r="E691" s="133" t="s">
        <v>165</v>
      </c>
      <c r="F691" s="133" t="s">
        <v>712</v>
      </c>
      <c r="G691" s="133" t="s">
        <v>715</v>
      </c>
      <c r="H691" s="133">
        <v>3.58</v>
      </c>
      <c r="I691" s="133">
        <v>0</v>
      </c>
      <c r="J691" s="133">
        <v>62</v>
      </c>
      <c r="L691" s="133">
        <v>0</v>
      </c>
      <c r="M691" s="133" t="s">
        <v>1096</v>
      </c>
      <c r="N691" s="133">
        <v>0</v>
      </c>
      <c r="P691" s="133">
        <v>0</v>
      </c>
      <c r="Q691" s="133">
        <v>0</v>
      </c>
      <c r="R691" s="133">
        <v>0</v>
      </c>
      <c r="S691" s="156"/>
    </row>
    <row r="692" spans="1:19">
      <c r="A692" s="133" t="s">
        <v>1183</v>
      </c>
      <c r="B692" s="133" t="s">
        <v>1175</v>
      </c>
      <c r="C692" s="133" t="s">
        <v>1000</v>
      </c>
      <c r="D692" s="133" t="s">
        <v>166</v>
      </c>
      <c r="E692" s="133" t="s">
        <v>167</v>
      </c>
      <c r="F692" s="133" t="s">
        <v>712</v>
      </c>
      <c r="G692" s="133" t="s">
        <v>715</v>
      </c>
      <c r="H692" s="133">
        <v>6.73</v>
      </c>
      <c r="I692" s="133">
        <v>0</v>
      </c>
      <c r="J692" s="133">
        <v>122</v>
      </c>
      <c r="K692" s="133">
        <v>30</v>
      </c>
      <c r="L692" s="133">
        <v>30</v>
      </c>
      <c r="M692" s="133" t="s">
        <v>998</v>
      </c>
      <c r="N692" s="133">
        <v>0</v>
      </c>
      <c r="P692" s="133">
        <v>0</v>
      </c>
      <c r="Q692" s="133">
        <v>30</v>
      </c>
      <c r="R692" s="133">
        <v>0</v>
      </c>
      <c r="S692" s="156">
        <v>0</v>
      </c>
    </row>
    <row r="693" spans="1:19">
      <c r="A693" s="133" t="s">
        <v>1183</v>
      </c>
      <c r="B693" s="133" t="s">
        <v>1175</v>
      </c>
      <c r="C693" s="133" t="s">
        <v>1000</v>
      </c>
      <c r="D693" s="133" t="s">
        <v>892</v>
      </c>
      <c r="E693" s="133" t="s">
        <v>949</v>
      </c>
      <c r="F693" s="133" t="s">
        <v>946</v>
      </c>
      <c r="G693" s="133" t="s">
        <v>719</v>
      </c>
      <c r="H693" s="133">
        <v>0.56000000000000005</v>
      </c>
      <c r="I693" s="133">
        <v>0</v>
      </c>
      <c r="J693" s="133">
        <v>0</v>
      </c>
      <c r="L693" s="133">
        <v>0</v>
      </c>
      <c r="M693" s="133" t="s">
        <v>1096</v>
      </c>
      <c r="N693" s="133">
        <v>0</v>
      </c>
      <c r="P693" s="133">
        <v>0</v>
      </c>
      <c r="Q693" s="133">
        <v>0</v>
      </c>
      <c r="R693" s="133">
        <v>0</v>
      </c>
      <c r="S693" s="156"/>
    </row>
    <row r="694" spans="1:19">
      <c r="A694" s="133" t="s">
        <v>1183</v>
      </c>
      <c r="B694" s="133" t="s">
        <v>1175</v>
      </c>
      <c r="C694" s="133" t="s">
        <v>1000</v>
      </c>
      <c r="D694" s="133" t="s">
        <v>893</v>
      </c>
      <c r="E694" s="133" t="s">
        <v>950</v>
      </c>
      <c r="F694" s="133" t="s">
        <v>946</v>
      </c>
      <c r="G694" s="133" t="s">
        <v>719</v>
      </c>
      <c r="H694" s="133">
        <v>1.1299999999999999</v>
      </c>
      <c r="I694" s="133">
        <v>0</v>
      </c>
      <c r="J694" s="133">
        <v>0</v>
      </c>
      <c r="L694" s="133">
        <v>0</v>
      </c>
      <c r="M694" s="133" t="s">
        <v>1096</v>
      </c>
      <c r="N694" s="133">
        <v>0</v>
      </c>
      <c r="P694" s="133">
        <v>0</v>
      </c>
      <c r="Q694" s="133">
        <v>0</v>
      </c>
      <c r="R694" s="133">
        <v>0</v>
      </c>
      <c r="S694" s="156"/>
    </row>
    <row r="695" spans="1:19">
      <c r="A695" s="133" t="s">
        <v>1183</v>
      </c>
      <c r="B695" s="133" t="s">
        <v>1175</v>
      </c>
      <c r="C695" s="133" t="s">
        <v>1000</v>
      </c>
      <c r="D695" s="133" t="s">
        <v>894</v>
      </c>
      <c r="E695" s="133" t="s">
        <v>951</v>
      </c>
      <c r="F695" s="133" t="s">
        <v>946</v>
      </c>
      <c r="G695" s="133" t="s">
        <v>719</v>
      </c>
      <c r="H695" s="133">
        <v>1.32</v>
      </c>
      <c r="I695" s="133">
        <v>0</v>
      </c>
      <c r="J695" s="133">
        <v>0</v>
      </c>
      <c r="L695" s="133">
        <v>0</v>
      </c>
      <c r="M695" s="133" t="s">
        <v>1096</v>
      </c>
      <c r="N695" s="133">
        <v>0</v>
      </c>
      <c r="P695" s="133">
        <v>0</v>
      </c>
      <c r="Q695" s="133">
        <v>0</v>
      </c>
      <c r="R695" s="133">
        <v>0</v>
      </c>
      <c r="S695" s="156"/>
    </row>
    <row r="696" spans="1:19">
      <c r="A696" s="133" t="s">
        <v>1183</v>
      </c>
      <c r="B696" s="133" t="s">
        <v>1175</v>
      </c>
      <c r="C696" s="133" t="s">
        <v>1000</v>
      </c>
      <c r="D696" s="133" t="s">
        <v>895</v>
      </c>
      <c r="E696" s="133" t="s">
        <v>952</v>
      </c>
      <c r="F696" s="133" t="s">
        <v>946</v>
      </c>
      <c r="G696" s="133" t="s">
        <v>719</v>
      </c>
      <c r="H696" s="133">
        <v>2.56</v>
      </c>
      <c r="I696" s="133">
        <v>0</v>
      </c>
      <c r="J696" s="133">
        <v>0</v>
      </c>
      <c r="L696" s="133">
        <v>0</v>
      </c>
      <c r="M696" s="133" t="s">
        <v>1096</v>
      </c>
      <c r="N696" s="133">
        <v>0</v>
      </c>
      <c r="P696" s="133">
        <v>0</v>
      </c>
      <c r="Q696" s="133">
        <v>0</v>
      </c>
      <c r="R696" s="133">
        <v>0</v>
      </c>
      <c r="S696" s="156"/>
    </row>
    <row r="697" spans="1:19">
      <c r="A697" s="133" t="s">
        <v>1183</v>
      </c>
      <c r="B697" s="133" t="s">
        <v>1175</v>
      </c>
      <c r="C697" s="133" t="s">
        <v>1000</v>
      </c>
      <c r="D697" s="133" t="s">
        <v>209</v>
      </c>
      <c r="E697" s="133" t="s">
        <v>210</v>
      </c>
      <c r="F697" s="133" t="s">
        <v>709</v>
      </c>
      <c r="G697" s="133" t="s">
        <v>719</v>
      </c>
      <c r="H697" s="133">
        <v>2.92</v>
      </c>
      <c r="I697" s="133">
        <v>0</v>
      </c>
      <c r="J697" s="133">
        <v>0</v>
      </c>
      <c r="L697" s="133">
        <v>0</v>
      </c>
      <c r="M697" s="133" t="s">
        <v>1096</v>
      </c>
      <c r="N697" s="133">
        <v>0</v>
      </c>
      <c r="P697" s="133">
        <v>0</v>
      </c>
      <c r="Q697" s="133">
        <v>0</v>
      </c>
      <c r="R697" s="133">
        <v>0</v>
      </c>
      <c r="S697" s="156"/>
    </row>
    <row r="698" spans="1:19">
      <c r="A698" s="133" t="s">
        <v>1183</v>
      </c>
      <c r="B698" s="133" t="s">
        <v>1175</v>
      </c>
      <c r="C698" s="133" t="s">
        <v>1000</v>
      </c>
      <c r="D698" s="133" t="s">
        <v>211</v>
      </c>
      <c r="E698" s="133" t="s">
        <v>212</v>
      </c>
      <c r="F698" s="133" t="s">
        <v>709</v>
      </c>
      <c r="G698" s="133" t="s">
        <v>719</v>
      </c>
      <c r="H698" s="133">
        <v>2.79</v>
      </c>
      <c r="I698" s="133">
        <v>0</v>
      </c>
      <c r="J698" s="133">
        <v>1122</v>
      </c>
      <c r="K698" s="133">
        <v>0</v>
      </c>
      <c r="L698" s="133">
        <v>0</v>
      </c>
      <c r="M698" s="133" t="s">
        <v>1096</v>
      </c>
      <c r="N698" s="133">
        <v>0</v>
      </c>
      <c r="P698" s="133">
        <v>0</v>
      </c>
      <c r="Q698" s="133">
        <v>0</v>
      </c>
      <c r="R698" s="133">
        <v>0</v>
      </c>
      <c r="S698" s="156"/>
    </row>
    <row r="699" spans="1:19">
      <c r="A699" s="133" t="s">
        <v>1183</v>
      </c>
      <c r="B699" s="133" t="s">
        <v>1175</v>
      </c>
      <c r="C699" s="133" t="s">
        <v>1000</v>
      </c>
      <c r="D699" s="133" t="s">
        <v>896</v>
      </c>
      <c r="E699" s="133" t="s">
        <v>953</v>
      </c>
      <c r="F699" s="133" t="s">
        <v>946</v>
      </c>
      <c r="G699" s="133" t="s">
        <v>719</v>
      </c>
      <c r="H699" s="133">
        <v>2.56</v>
      </c>
      <c r="I699" s="133">
        <v>0</v>
      </c>
      <c r="J699" s="133">
        <v>0</v>
      </c>
      <c r="L699" s="133">
        <v>0</v>
      </c>
      <c r="M699" s="133" t="s">
        <v>1096</v>
      </c>
      <c r="N699" s="133">
        <v>0</v>
      </c>
      <c r="P699" s="133">
        <v>0</v>
      </c>
      <c r="Q699" s="133">
        <v>0</v>
      </c>
      <c r="R699" s="133">
        <v>0</v>
      </c>
      <c r="S699" s="156"/>
    </row>
    <row r="700" spans="1:19">
      <c r="A700" s="133" t="s">
        <v>1183</v>
      </c>
      <c r="B700" s="133" t="s">
        <v>1175</v>
      </c>
      <c r="C700" s="133" t="s">
        <v>1000</v>
      </c>
      <c r="D700" s="133" t="s">
        <v>215</v>
      </c>
      <c r="E700" s="133" t="s">
        <v>216</v>
      </c>
      <c r="F700" s="133" t="s">
        <v>709</v>
      </c>
      <c r="G700" s="133" t="s">
        <v>719</v>
      </c>
      <c r="H700" s="133">
        <v>12.92</v>
      </c>
      <c r="I700" s="133">
        <v>0</v>
      </c>
      <c r="J700" s="133">
        <v>0</v>
      </c>
      <c r="K700" s="133">
        <v>0</v>
      </c>
      <c r="L700" s="133">
        <v>0</v>
      </c>
      <c r="M700" s="133" t="s">
        <v>1096</v>
      </c>
      <c r="N700" s="133">
        <v>0</v>
      </c>
      <c r="P700" s="133">
        <v>0</v>
      </c>
      <c r="Q700" s="133">
        <v>0</v>
      </c>
      <c r="R700" s="133">
        <v>0</v>
      </c>
      <c r="S700" s="156"/>
    </row>
    <row r="701" spans="1:19">
      <c r="A701" s="133" t="s">
        <v>1183</v>
      </c>
      <c r="B701" s="133" t="s">
        <v>1175</v>
      </c>
      <c r="C701" s="133" t="s">
        <v>1000</v>
      </c>
      <c r="D701" s="133" t="s">
        <v>217</v>
      </c>
      <c r="E701" s="133" t="s">
        <v>218</v>
      </c>
      <c r="F701" s="133" t="s">
        <v>709</v>
      </c>
      <c r="G701" s="133" t="s">
        <v>719</v>
      </c>
      <c r="H701" s="133">
        <v>2.66</v>
      </c>
      <c r="I701" s="133">
        <v>0</v>
      </c>
      <c r="J701" s="133">
        <v>120</v>
      </c>
      <c r="K701" s="133">
        <v>200</v>
      </c>
      <c r="L701" s="133">
        <v>200</v>
      </c>
      <c r="M701" s="133" t="s">
        <v>998</v>
      </c>
      <c r="N701" s="133">
        <v>0</v>
      </c>
      <c r="P701" s="133">
        <v>0</v>
      </c>
      <c r="Q701" s="133">
        <v>200</v>
      </c>
      <c r="R701" s="133">
        <v>0</v>
      </c>
      <c r="S701" s="156">
        <v>0</v>
      </c>
    </row>
    <row r="702" spans="1:19">
      <c r="A702" s="133" t="s">
        <v>1183</v>
      </c>
      <c r="B702" s="133" t="s">
        <v>1175</v>
      </c>
      <c r="C702" s="133" t="s">
        <v>1000</v>
      </c>
      <c r="D702" s="133" t="s">
        <v>876</v>
      </c>
      <c r="E702" s="133" t="s">
        <v>954</v>
      </c>
      <c r="F702" s="133" t="s">
        <v>707</v>
      </c>
      <c r="G702" s="133" t="s">
        <v>732</v>
      </c>
      <c r="H702" s="133">
        <v>9.81</v>
      </c>
      <c r="I702" s="133">
        <v>0</v>
      </c>
      <c r="J702" s="133">
        <v>27</v>
      </c>
      <c r="L702" s="133">
        <v>0</v>
      </c>
      <c r="M702" s="133" t="s">
        <v>1096</v>
      </c>
      <c r="N702" s="133">
        <v>0</v>
      </c>
      <c r="P702" s="133">
        <v>0</v>
      </c>
      <c r="Q702" s="133">
        <v>0</v>
      </c>
      <c r="R702" s="133">
        <v>0</v>
      </c>
      <c r="S702" s="156"/>
    </row>
    <row r="703" spans="1:19">
      <c r="A703" s="133" t="s">
        <v>1183</v>
      </c>
      <c r="B703" s="133" t="s">
        <v>1175</v>
      </c>
      <c r="C703" s="133" t="s">
        <v>1000</v>
      </c>
      <c r="D703" s="133" t="s">
        <v>219</v>
      </c>
      <c r="E703" s="133" t="s">
        <v>220</v>
      </c>
      <c r="F703" s="133" t="s">
        <v>707</v>
      </c>
      <c r="G703" s="133" t="s">
        <v>732</v>
      </c>
      <c r="H703" s="133">
        <v>37.92</v>
      </c>
      <c r="I703" s="133">
        <v>0</v>
      </c>
      <c r="J703" s="133">
        <v>53</v>
      </c>
      <c r="L703" s="133">
        <v>0</v>
      </c>
      <c r="M703" s="133" t="s">
        <v>1096</v>
      </c>
      <c r="N703" s="133">
        <v>0</v>
      </c>
      <c r="P703" s="133">
        <v>0</v>
      </c>
      <c r="Q703" s="133">
        <v>0</v>
      </c>
      <c r="R703" s="133">
        <v>0</v>
      </c>
      <c r="S703" s="156"/>
    </row>
    <row r="704" spans="1:19">
      <c r="A704" s="133" t="s">
        <v>1183</v>
      </c>
      <c r="B704" s="133" t="s">
        <v>1175</v>
      </c>
      <c r="C704" s="133" t="s">
        <v>1000</v>
      </c>
      <c r="D704" s="133" t="s">
        <v>227</v>
      </c>
      <c r="E704" s="133" t="s">
        <v>228</v>
      </c>
      <c r="F704" s="133" t="s">
        <v>709</v>
      </c>
      <c r="G704" s="133" t="s">
        <v>719</v>
      </c>
      <c r="H704" s="133">
        <v>1.1499999999999999</v>
      </c>
      <c r="I704" s="133">
        <v>0</v>
      </c>
      <c r="J704" s="133">
        <v>275</v>
      </c>
      <c r="L704" s="133">
        <v>0</v>
      </c>
      <c r="M704" s="133" t="s">
        <v>1096</v>
      </c>
      <c r="N704" s="133">
        <v>0</v>
      </c>
      <c r="P704" s="133">
        <v>0</v>
      </c>
      <c r="Q704" s="133">
        <v>0</v>
      </c>
      <c r="R704" s="133">
        <v>0</v>
      </c>
      <c r="S704" s="156"/>
    </row>
    <row r="705" spans="1:19">
      <c r="A705" s="133" t="s">
        <v>1183</v>
      </c>
      <c r="B705" s="133" t="s">
        <v>1175</v>
      </c>
      <c r="C705" s="133" t="s">
        <v>1000</v>
      </c>
      <c r="D705" s="133" t="s">
        <v>229</v>
      </c>
      <c r="E705" s="133" t="s">
        <v>230</v>
      </c>
      <c r="F705" s="133" t="s">
        <v>709</v>
      </c>
      <c r="G705" s="133" t="s">
        <v>719</v>
      </c>
      <c r="H705" s="133">
        <v>2.8</v>
      </c>
      <c r="I705" s="133">
        <v>0</v>
      </c>
      <c r="J705" s="133">
        <v>0</v>
      </c>
      <c r="L705" s="133">
        <v>0</v>
      </c>
      <c r="M705" s="133" t="s">
        <v>1096</v>
      </c>
      <c r="N705" s="133">
        <v>0</v>
      </c>
      <c r="P705" s="133">
        <v>0</v>
      </c>
      <c r="Q705" s="133">
        <v>0</v>
      </c>
      <c r="R705" s="133">
        <v>0</v>
      </c>
      <c r="S705" s="156"/>
    </row>
    <row r="706" spans="1:19">
      <c r="A706" s="133" t="s">
        <v>1183</v>
      </c>
      <c r="B706" s="133" t="s">
        <v>1175</v>
      </c>
      <c r="C706" s="133" t="s">
        <v>1000</v>
      </c>
      <c r="D706" s="133" t="s">
        <v>746</v>
      </c>
      <c r="E706" s="133" t="s">
        <v>747</v>
      </c>
      <c r="F706" s="133" t="s">
        <v>709</v>
      </c>
      <c r="G706" s="133" t="s">
        <v>732</v>
      </c>
      <c r="H706" s="133">
        <v>40.32</v>
      </c>
      <c r="I706" s="133">
        <v>0</v>
      </c>
      <c r="J706" s="133">
        <v>79</v>
      </c>
      <c r="L706" s="133">
        <v>0</v>
      </c>
      <c r="M706" s="133" t="s">
        <v>1096</v>
      </c>
      <c r="N706" s="133">
        <v>0</v>
      </c>
      <c r="P706" s="133">
        <v>0</v>
      </c>
      <c r="Q706" s="133">
        <v>0</v>
      </c>
      <c r="R706" s="133">
        <v>0</v>
      </c>
      <c r="S706" s="156"/>
    </row>
    <row r="707" spans="1:19">
      <c r="A707" s="133" t="s">
        <v>1183</v>
      </c>
      <c r="B707" s="133" t="s">
        <v>1175</v>
      </c>
      <c r="C707" s="133" t="s">
        <v>1000</v>
      </c>
      <c r="D707" s="133" t="s">
        <v>462</v>
      </c>
      <c r="E707" s="133" t="s">
        <v>463</v>
      </c>
      <c r="F707" s="133" t="s">
        <v>707</v>
      </c>
      <c r="G707" s="133" t="s">
        <v>715</v>
      </c>
      <c r="H707" s="133">
        <v>1.23</v>
      </c>
      <c r="I707" s="133">
        <v>0</v>
      </c>
      <c r="J707" s="133">
        <v>0</v>
      </c>
      <c r="L707" s="133">
        <v>0</v>
      </c>
      <c r="M707" s="133" t="s">
        <v>1096</v>
      </c>
      <c r="N707" s="133">
        <v>0</v>
      </c>
      <c r="P707" s="133">
        <v>0</v>
      </c>
      <c r="Q707" s="133">
        <v>0</v>
      </c>
      <c r="R707" s="133">
        <v>0</v>
      </c>
      <c r="S707" s="156"/>
    </row>
    <row r="708" spans="1:19">
      <c r="A708" s="133" t="s">
        <v>1183</v>
      </c>
      <c r="B708" s="133" t="s">
        <v>1175</v>
      </c>
      <c r="C708" s="133" t="s">
        <v>1000</v>
      </c>
      <c r="D708" s="133" t="s">
        <v>464</v>
      </c>
      <c r="E708" s="133" t="s">
        <v>465</v>
      </c>
      <c r="F708" s="133" t="s">
        <v>707</v>
      </c>
      <c r="G708" s="133" t="s">
        <v>715</v>
      </c>
      <c r="H708" s="133">
        <v>2.19</v>
      </c>
      <c r="I708" s="133">
        <v>0</v>
      </c>
      <c r="J708" s="133">
        <v>0</v>
      </c>
      <c r="L708" s="133">
        <v>0</v>
      </c>
      <c r="M708" s="133" t="s">
        <v>1096</v>
      </c>
      <c r="N708" s="133">
        <v>0</v>
      </c>
      <c r="P708" s="133">
        <v>0</v>
      </c>
      <c r="Q708" s="133">
        <v>0</v>
      </c>
      <c r="R708" s="133">
        <v>0</v>
      </c>
      <c r="S708" s="156"/>
    </row>
    <row r="709" spans="1:19">
      <c r="A709" s="133" t="s">
        <v>1183</v>
      </c>
      <c r="B709" s="133" t="s">
        <v>1175</v>
      </c>
      <c r="C709" s="133" t="s">
        <v>1000</v>
      </c>
      <c r="D709" s="133" t="s">
        <v>466</v>
      </c>
      <c r="E709" s="133" t="s">
        <v>467</v>
      </c>
      <c r="F709" s="133" t="s">
        <v>707</v>
      </c>
      <c r="G709" s="133" t="s">
        <v>715</v>
      </c>
      <c r="H709" s="133">
        <v>4.2699999999999996</v>
      </c>
      <c r="I709" s="133">
        <v>0</v>
      </c>
      <c r="J709" s="133">
        <v>0</v>
      </c>
      <c r="L709" s="133">
        <v>0</v>
      </c>
      <c r="M709" s="133" t="s">
        <v>1096</v>
      </c>
      <c r="N709" s="133">
        <v>0</v>
      </c>
      <c r="P709" s="133">
        <v>0</v>
      </c>
      <c r="Q709" s="133">
        <v>0</v>
      </c>
      <c r="R709" s="133">
        <v>0</v>
      </c>
      <c r="S709" s="156"/>
    </row>
    <row r="710" spans="1:19">
      <c r="A710" s="133" t="s">
        <v>1183</v>
      </c>
      <c r="B710" s="133" t="s">
        <v>1175</v>
      </c>
      <c r="C710" s="133" t="s">
        <v>1000</v>
      </c>
      <c r="D710" s="133" t="s">
        <v>897</v>
      </c>
      <c r="E710" s="133" t="s">
        <v>955</v>
      </c>
      <c r="F710" s="133" t="s">
        <v>946</v>
      </c>
      <c r="G710" s="133" t="s">
        <v>719</v>
      </c>
      <c r="H710" s="133">
        <v>0.6</v>
      </c>
      <c r="I710" s="133">
        <v>0</v>
      </c>
      <c r="J710" s="133">
        <v>0</v>
      </c>
      <c r="L710" s="133">
        <v>0</v>
      </c>
      <c r="M710" s="133" t="s">
        <v>1096</v>
      </c>
      <c r="N710" s="133">
        <v>0</v>
      </c>
      <c r="P710" s="133">
        <v>0</v>
      </c>
      <c r="Q710" s="133">
        <v>0</v>
      </c>
      <c r="R710" s="133">
        <v>0</v>
      </c>
      <c r="S710" s="156"/>
    </row>
    <row r="711" spans="1:19">
      <c r="A711" s="133" t="s">
        <v>1183</v>
      </c>
      <c r="B711" s="133" t="s">
        <v>1175</v>
      </c>
      <c r="C711" s="133" t="s">
        <v>1000</v>
      </c>
      <c r="D711" s="133" t="s">
        <v>898</v>
      </c>
      <c r="E711" s="133" t="s">
        <v>956</v>
      </c>
      <c r="F711" s="133" t="s">
        <v>946</v>
      </c>
      <c r="G711" s="133" t="s">
        <v>719</v>
      </c>
      <c r="H711" s="133">
        <v>2.99</v>
      </c>
      <c r="I711" s="133">
        <v>0</v>
      </c>
      <c r="J711" s="133">
        <v>0</v>
      </c>
      <c r="L711" s="133">
        <v>0</v>
      </c>
      <c r="M711" s="133" t="s">
        <v>1096</v>
      </c>
      <c r="N711" s="133">
        <v>0</v>
      </c>
      <c r="P711" s="133">
        <v>0</v>
      </c>
      <c r="Q711" s="133">
        <v>0</v>
      </c>
      <c r="R711" s="133">
        <v>0</v>
      </c>
      <c r="S711" s="156"/>
    </row>
    <row r="712" spans="1:19">
      <c r="A712" s="133" t="s">
        <v>1183</v>
      </c>
      <c r="B712" s="133" t="s">
        <v>1175</v>
      </c>
      <c r="C712" s="133" t="s">
        <v>1000</v>
      </c>
      <c r="D712" s="133" t="s">
        <v>899</v>
      </c>
      <c r="E712" s="133" t="s">
        <v>957</v>
      </c>
      <c r="F712" s="133" t="s">
        <v>946</v>
      </c>
      <c r="G712" s="133" t="s">
        <v>719</v>
      </c>
      <c r="H712" s="133">
        <v>5.98</v>
      </c>
      <c r="I712" s="133">
        <v>0</v>
      </c>
      <c r="J712" s="133">
        <v>0</v>
      </c>
      <c r="L712" s="133">
        <v>0</v>
      </c>
      <c r="M712" s="133" t="s">
        <v>1096</v>
      </c>
      <c r="N712" s="133">
        <v>0</v>
      </c>
      <c r="P712" s="133">
        <v>0</v>
      </c>
      <c r="Q712" s="133">
        <v>0</v>
      </c>
      <c r="R712" s="133">
        <v>0</v>
      </c>
      <c r="S712" s="156"/>
    </row>
    <row r="713" spans="1:19">
      <c r="A713" s="133" t="s">
        <v>1183</v>
      </c>
      <c r="B713" s="133" t="s">
        <v>1175</v>
      </c>
      <c r="C713" s="133" t="s">
        <v>1000</v>
      </c>
      <c r="D713" s="133" t="s">
        <v>474</v>
      </c>
      <c r="E713" s="133" t="s">
        <v>475</v>
      </c>
      <c r="F713" s="133" t="s">
        <v>709</v>
      </c>
      <c r="G713" s="133" t="s">
        <v>719</v>
      </c>
      <c r="H713" s="133">
        <v>2.68</v>
      </c>
      <c r="I713" s="133">
        <v>0</v>
      </c>
      <c r="J713" s="133">
        <v>31</v>
      </c>
      <c r="L713" s="133">
        <v>0</v>
      </c>
      <c r="M713" s="133" t="s">
        <v>1096</v>
      </c>
      <c r="N713" s="133">
        <v>0</v>
      </c>
      <c r="P713" s="133">
        <v>0</v>
      </c>
      <c r="Q713" s="133">
        <v>0</v>
      </c>
      <c r="R713" s="133">
        <v>0</v>
      </c>
      <c r="S713" s="156"/>
    </row>
    <row r="714" spans="1:19">
      <c r="A714" s="133" t="s">
        <v>1183</v>
      </c>
      <c r="B714" s="133" t="s">
        <v>1175</v>
      </c>
      <c r="C714" s="133" t="s">
        <v>1000</v>
      </c>
      <c r="D714" s="133" t="s">
        <v>480</v>
      </c>
      <c r="E714" s="133" t="s">
        <v>832</v>
      </c>
      <c r="F714" s="133" t="s">
        <v>708</v>
      </c>
      <c r="G714" s="133" t="s">
        <v>715</v>
      </c>
      <c r="H714" s="133">
        <v>51.24</v>
      </c>
      <c r="I714" s="133">
        <v>0</v>
      </c>
      <c r="J714" s="133">
        <v>0</v>
      </c>
      <c r="L714" s="133">
        <v>0</v>
      </c>
      <c r="M714" s="133" t="s">
        <v>1096</v>
      </c>
      <c r="N714" s="133">
        <v>0</v>
      </c>
      <c r="P714" s="133">
        <v>0</v>
      </c>
      <c r="Q714" s="133">
        <v>0</v>
      </c>
      <c r="R714" s="133">
        <v>0</v>
      </c>
      <c r="S714" s="156"/>
    </row>
    <row r="715" spans="1:19">
      <c r="A715" s="133" t="s">
        <v>1183</v>
      </c>
      <c r="B715" s="133" t="s">
        <v>1175</v>
      </c>
      <c r="C715" s="133" t="s">
        <v>1000</v>
      </c>
      <c r="D715" s="133" t="s">
        <v>481</v>
      </c>
      <c r="E715" s="133" t="s">
        <v>482</v>
      </c>
      <c r="F715" s="133" t="s">
        <v>708</v>
      </c>
      <c r="G715" s="133" t="s">
        <v>715</v>
      </c>
      <c r="H715" s="133">
        <v>520</v>
      </c>
      <c r="I715" s="133">
        <v>0</v>
      </c>
      <c r="J715" s="133">
        <v>0</v>
      </c>
      <c r="L715" s="133">
        <v>0</v>
      </c>
      <c r="M715" s="133" t="s">
        <v>1096</v>
      </c>
      <c r="N715" s="133">
        <v>0</v>
      </c>
      <c r="P715" s="133">
        <v>0</v>
      </c>
      <c r="Q715" s="133">
        <v>0</v>
      </c>
      <c r="R715" s="133">
        <v>0</v>
      </c>
      <c r="S715" s="156"/>
    </row>
    <row r="716" spans="1:19">
      <c r="A716" s="133" t="s">
        <v>1183</v>
      </c>
      <c r="B716" s="133" t="s">
        <v>1175</v>
      </c>
      <c r="C716" s="133" t="s">
        <v>1000</v>
      </c>
      <c r="D716" s="133" t="s">
        <v>483</v>
      </c>
      <c r="E716" s="133" t="s">
        <v>484</v>
      </c>
      <c r="F716" s="133" t="s">
        <v>708</v>
      </c>
      <c r="G716" s="133" t="s">
        <v>715</v>
      </c>
      <c r="H716" s="133">
        <v>10.9</v>
      </c>
      <c r="I716" s="133">
        <v>0</v>
      </c>
      <c r="J716" s="133">
        <v>0</v>
      </c>
      <c r="L716" s="133">
        <v>0</v>
      </c>
      <c r="M716" s="133" t="s">
        <v>1096</v>
      </c>
      <c r="N716" s="133">
        <v>0</v>
      </c>
      <c r="P716" s="133">
        <v>0</v>
      </c>
      <c r="Q716" s="133">
        <v>0</v>
      </c>
      <c r="R716" s="133">
        <v>0</v>
      </c>
      <c r="S716" s="156"/>
    </row>
    <row r="717" spans="1:19">
      <c r="A717" s="133" t="s">
        <v>1183</v>
      </c>
      <c r="B717" s="133" t="s">
        <v>1175</v>
      </c>
      <c r="C717" s="133" t="s">
        <v>1000</v>
      </c>
      <c r="D717" s="133" t="s">
        <v>485</v>
      </c>
      <c r="E717" s="133" t="s">
        <v>486</v>
      </c>
      <c r="F717" s="133" t="s">
        <v>708</v>
      </c>
      <c r="G717" s="133" t="s">
        <v>715</v>
      </c>
      <c r="H717" s="133">
        <v>2.83</v>
      </c>
      <c r="I717" s="133">
        <v>0</v>
      </c>
      <c r="J717" s="133">
        <v>0</v>
      </c>
      <c r="L717" s="133">
        <v>0</v>
      </c>
      <c r="M717" s="133" t="s">
        <v>1096</v>
      </c>
      <c r="N717" s="133">
        <v>0</v>
      </c>
      <c r="P717" s="133">
        <v>0</v>
      </c>
      <c r="Q717" s="133">
        <v>0</v>
      </c>
      <c r="R717" s="133">
        <v>0</v>
      </c>
      <c r="S717" s="156"/>
    </row>
    <row r="718" spans="1:19">
      <c r="A718" s="133" t="s">
        <v>1183</v>
      </c>
      <c r="B718" s="133" t="s">
        <v>1175</v>
      </c>
      <c r="C718" s="133" t="s">
        <v>1000</v>
      </c>
      <c r="D718" s="133" t="s">
        <v>900</v>
      </c>
      <c r="E718" s="133" t="s">
        <v>958</v>
      </c>
      <c r="F718" s="133" t="s">
        <v>946</v>
      </c>
      <c r="G718" s="133" t="s">
        <v>719</v>
      </c>
      <c r="H718" s="133">
        <v>1.26</v>
      </c>
      <c r="I718" s="133">
        <v>0</v>
      </c>
      <c r="J718" s="133">
        <v>0</v>
      </c>
      <c r="L718" s="133">
        <v>0</v>
      </c>
      <c r="M718" s="133" t="s">
        <v>1096</v>
      </c>
      <c r="N718" s="133">
        <v>0</v>
      </c>
      <c r="P718" s="133">
        <v>0</v>
      </c>
      <c r="Q718" s="133">
        <v>0</v>
      </c>
      <c r="R718" s="133">
        <v>0</v>
      </c>
      <c r="S718" s="156"/>
    </row>
    <row r="719" spans="1:19">
      <c r="A719" s="133" t="s">
        <v>1183</v>
      </c>
      <c r="B719" s="133" t="s">
        <v>1175</v>
      </c>
      <c r="C719" s="133" t="s">
        <v>1000</v>
      </c>
      <c r="D719" s="133" t="s">
        <v>495</v>
      </c>
      <c r="E719" s="133" t="s">
        <v>496</v>
      </c>
      <c r="F719" s="133" t="s">
        <v>707</v>
      </c>
      <c r="G719" s="133" t="s">
        <v>732</v>
      </c>
      <c r="H719" s="133">
        <v>6.05</v>
      </c>
      <c r="I719" s="133">
        <v>0</v>
      </c>
      <c r="J719" s="133">
        <v>105</v>
      </c>
      <c r="K719" s="133">
        <v>10</v>
      </c>
      <c r="L719" s="133">
        <v>10</v>
      </c>
      <c r="M719" s="133" t="s">
        <v>998</v>
      </c>
      <c r="N719" s="133">
        <v>0</v>
      </c>
      <c r="P719" s="133">
        <v>0</v>
      </c>
      <c r="Q719" s="133">
        <v>10</v>
      </c>
      <c r="R719" s="133">
        <v>0</v>
      </c>
      <c r="S719" s="156">
        <v>0</v>
      </c>
    </row>
    <row r="720" spans="1:19">
      <c r="A720" s="133" t="s">
        <v>1183</v>
      </c>
      <c r="B720" s="133" t="s">
        <v>1175</v>
      </c>
      <c r="C720" s="133" t="s">
        <v>1000</v>
      </c>
      <c r="D720" s="133" t="s">
        <v>497</v>
      </c>
      <c r="E720" s="133" t="s">
        <v>498</v>
      </c>
      <c r="F720" s="133" t="s">
        <v>707</v>
      </c>
      <c r="G720" s="133" t="s">
        <v>732</v>
      </c>
      <c r="H720" s="133">
        <v>23.46</v>
      </c>
      <c r="I720" s="133">
        <v>0</v>
      </c>
      <c r="J720" s="133">
        <v>52</v>
      </c>
      <c r="K720" s="133">
        <v>30</v>
      </c>
      <c r="L720" s="133">
        <v>31</v>
      </c>
      <c r="M720" s="133" t="s">
        <v>997</v>
      </c>
      <c r="N720" s="133">
        <v>0</v>
      </c>
      <c r="P720" s="133">
        <v>0</v>
      </c>
      <c r="Q720" s="133">
        <v>31</v>
      </c>
      <c r="R720" s="133">
        <v>0</v>
      </c>
      <c r="S720" s="156">
        <v>-3.3333333333333333E-2</v>
      </c>
    </row>
    <row r="721" spans="1:19">
      <c r="A721" s="133" t="s">
        <v>1183</v>
      </c>
      <c r="B721" s="133" t="s">
        <v>1175</v>
      </c>
      <c r="C721" s="133" t="s">
        <v>1000</v>
      </c>
      <c r="D721" s="133" t="s">
        <v>499</v>
      </c>
      <c r="E721" s="133" t="s">
        <v>500</v>
      </c>
      <c r="F721" s="133" t="s">
        <v>708</v>
      </c>
      <c r="G721" s="133" t="s">
        <v>715</v>
      </c>
      <c r="H721" s="133">
        <v>56.08</v>
      </c>
      <c r="I721" s="133">
        <v>0</v>
      </c>
      <c r="J721" s="133">
        <v>2</v>
      </c>
      <c r="L721" s="133">
        <v>0</v>
      </c>
      <c r="M721" s="133" t="s">
        <v>1096</v>
      </c>
      <c r="N721" s="133">
        <v>0</v>
      </c>
      <c r="P721" s="133">
        <v>0</v>
      </c>
      <c r="Q721" s="133">
        <v>0</v>
      </c>
      <c r="R721" s="133">
        <v>0</v>
      </c>
      <c r="S721" s="156"/>
    </row>
    <row r="722" spans="1:19">
      <c r="A722" s="133" t="s">
        <v>1183</v>
      </c>
      <c r="B722" s="133" t="s">
        <v>1175</v>
      </c>
      <c r="C722" s="133" t="s">
        <v>1000</v>
      </c>
      <c r="D722" s="133" t="s">
        <v>501</v>
      </c>
      <c r="E722" s="133" t="s">
        <v>502</v>
      </c>
      <c r="F722" s="133" t="s">
        <v>708</v>
      </c>
      <c r="G722" s="133" t="s">
        <v>715</v>
      </c>
      <c r="H722" s="133">
        <v>11.48</v>
      </c>
      <c r="I722" s="133">
        <v>0</v>
      </c>
      <c r="J722" s="133">
        <v>47</v>
      </c>
      <c r="K722" s="133">
        <v>0</v>
      </c>
      <c r="L722" s="133">
        <v>10</v>
      </c>
      <c r="M722" s="133" t="s">
        <v>1096</v>
      </c>
      <c r="N722" s="133">
        <v>0</v>
      </c>
      <c r="P722" s="133">
        <v>0</v>
      </c>
      <c r="Q722" s="133">
        <v>10</v>
      </c>
      <c r="R722" s="133">
        <v>0</v>
      </c>
      <c r="S722" s="156"/>
    </row>
    <row r="723" spans="1:19">
      <c r="A723" s="133" t="s">
        <v>1183</v>
      </c>
      <c r="B723" s="133" t="s">
        <v>1175</v>
      </c>
      <c r="C723" s="133" t="s">
        <v>1000</v>
      </c>
      <c r="D723" s="133" t="s">
        <v>503</v>
      </c>
      <c r="E723" s="133" t="s">
        <v>504</v>
      </c>
      <c r="F723" s="133" t="s">
        <v>708</v>
      </c>
      <c r="G723" s="133" t="s">
        <v>715</v>
      </c>
      <c r="H723" s="133">
        <v>3.38</v>
      </c>
      <c r="I723" s="133">
        <v>0</v>
      </c>
      <c r="J723" s="133">
        <v>294</v>
      </c>
      <c r="K723" s="133">
        <v>40</v>
      </c>
      <c r="L723" s="133">
        <v>70</v>
      </c>
      <c r="M723" s="133" t="s">
        <v>997</v>
      </c>
      <c r="N723" s="133">
        <v>0</v>
      </c>
      <c r="P723" s="133">
        <v>0</v>
      </c>
      <c r="Q723" s="133">
        <v>70</v>
      </c>
      <c r="R723" s="133">
        <v>0</v>
      </c>
      <c r="S723" s="156">
        <v>-0.75</v>
      </c>
    </row>
    <row r="724" spans="1:19">
      <c r="A724" s="133" t="s">
        <v>1183</v>
      </c>
      <c r="B724" s="133" t="s">
        <v>1175</v>
      </c>
      <c r="C724" s="133" t="s">
        <v>1000</v>
      </c>
      <c r="D724" s="133" t="s">
        <v>505</v>
      </c>
      <c r="E724" s="133" t="s">
        <v>959</v>
      </c>
      <c r="F724" s="133" t="s">
        <v>712</v>
      </c>
      <c r="G724" s="133" t="s">
        <v>715</v>
      </c>
      <c r="H724" s="133">
        <v>1.94</v>
      </c>
      <c r="I724" s="133">
        <v>0</v>
      </c>
      <c r="J724" s="133">
        <v>0</v>
      </c>
      <c r="L724" s="133">
        <v>0</v>
      </c>
      <c r="M724" s="133" t="s">
        <v>1096</v>
      </c>
      <c r="N724" s="133">
        <v>0</v>
      </c>
      <c r="P724" s="133">
        <v>0</v>
      </c>
      <c r="Q724" s="133">
        <v>0</v>
      </c>
      <c r="R724" s="133">
        <v>0</v>
      </c>
      <c r="S724" s="156"/>
    </row>
    <row r="725" spans="1:19">
      <c r="A725" s="133" t="s">
        <v>1183</v>
      </c>
      <c r="B725" s="133" t="s">
        <v>1175</v>
      </c>
      <c r="C725" s="133" t="s">
        <v>1000</v>
      </c>
      <c r="D725" s="133" t="s">
        <v>506</v>
      </c>
      <c r="E725" s="133" t="s">
        <v>507</v>
      </c>
      <c r="F725" s="133" t="s">
        <v>712</v>
      </c>
      <c r="G725" s="133" t="s">
        <v>715</v>
      </c>
      <c r="H725" s="133">
        <v>3.49</v>
      </c>
      <c r="I725" s="133">
        <v>0</v>
      </c>
      <c r="J725" s="133">
        <v>0</v>
      </c>
      <c r="L725" s="133">
        <v>0</v>
      </c>
      <c r="M725" s="133" t="s">
        <v>1096</v>
      </c>
      <c r="N725" s="133">
        <v>0</v>
      </c>
      <c r="P725" s="133">
        <v>0</v>
      </c>
      <c r="Q725" s="133">
        <v>0</v>
      </c>
      <c r="R725" s="133">
        <v>0</v>
      </c>
      <c r="S725" s="156"/>
    </row>
    <row r="726" spans="1:19">
      <c r="A726" s="133" t="s">
        <v>1183</v>
      </c>
      <c r="B726" s="133" t="s">
        <v>1175</v>
      </c>
      <c r="C726" s="133" t="s">
        <v>1000</v>
      </c>
      <c r="D726" s="133" t="s">
        <v>508</v>
      </c>
      <c r="E726" s="133" t="s">
        <v>960</v>
      </c>
      <c r="F726" s="133" t="s">
        <v>712</v>
      </c>
      <c r="G726" s="133" t="s">
        <v>715</v>
      </c>
      <c r="H726" s="133">
        <v>6.94</v>
      </c>
      <c r="I726" s="133">
        <v>0</v>
      </c>
      <c r="J726" s="133">
        <v>0</v>
      </c>
      <c r="K726" s="133">
        <v>0</v>
      </c>
      <c r="L726" s="133">
        <v>16</v>
      </c>
      <c r="M726" s="133" t="s">
        <v>1096</v>
      </c>
      <c r="N726" s="133">
        <v>0</v>
      </c>
      <c r="P726" s="133">
        <v>0</v>
      </c>
      <c r="Q726" s="133">
        <v>16</v>
      </c>
      <c r="R726" s="133">
        <v>0</v>
      </c>
      <c r="S726" s="156"/>
    </row>
    <row r="727" spans="1:19">
      <c r="A727" s="133" t="s">
        <v>1183</v>
      </c>
      <c r="B727" s="133" t="s">
        <v>1175</v>
      </c>
      <c r="C727" s="133" t="s">
        <v>1000</v>
      </c>
      <c r="D727" s="133" t="s">
        <v>901</v>
      </c>
      <c r="E727" s="133" t="s">
        <v>961</v>
      </c>
      <c r="F727" s="133" t="s">
        <v>946</v>
      </c>
      <c r="G727" s="133" t="s">
        <v>719</v>
      </c>
      <c r="H727" s="133">
        <v>0.93</v>
      </c>
      <c r="I727" s="133">
        <v>0</v>
      </c>
      <c r="J727" s="133">
        <v>0</v>
      </c>
      <c r="L727" s="133">
        <v>0</v>
      </c>
      <c r="M727" s="133" t="s">
        <v>1096</v>
      </c>
      <c r="N727" s="133">
        <v>0</v>
      </c>
      <c r="P727" s="133">
        <v>0</v>
      </c>
      <c r="Q727" s="133">
        <v>0</v>
      </c>
      <c r="R727" s="133">
        <v>0</v>
      </c>
      <c r="S727" s="156"/>
    </row>
    <row r="728" spans="1:19">
      <c r="A728" s="133" t="s">
        <v>1183</v>
      </c>
      <c r="B728" s="133" t="s">
        <v>1175</v>
      </c>
      <c r="C728" s="133" t="s">
        <v>1000</v>
      </c>
      <c r="D728" s="133" t="s">
        <v>902</v>
      </c>
      <c r="E728" s="133" t="s">
        <v>962</v>
      </c>
      <c r="F728" s="133" t="s">
        <v>946</v>
      </c>
      <c r="G728" s="133" t="s">
        <v>719</v>
      </c>
      <c r="H728" s="133">
        <v>0.54</v>
      </c>
      <c r="I728" s="133">
        <v>0</v>
      </c>
      <c r="J728" s="133">
        <v>0</v>
      </c>
      <c r="L728" s="133">
        <v>0</v>
      </c>
      <c r="M728" s="133" t="s">
        <v>1096</v>
      </c>
      <c r="N728" s="133">
        <v>0</v>
      </c>
      <c r="P728" s="133">
        <v>0</v>
      </c>
      <c r="Q728" s="133">
        <v>0</v>
      </c>
      <c r="R728" s="133">
        <v>0</v>
      </c>
      <c r="S728" s="156"/>
    </row>
    <row r="729" spans="1:19">
      <c r="A729" s="133" t="s">
        <v>1183</v>
      </c>
      <c r="B729" s="133" t="s">
        <v>1175</v>
      </c>
      <c r="C729" s="133" t="s">
        <v>1000</v>
      </c>
      <c r="D729" s="133" t="s">
        <v>903</v>
      </c>
      <c r="E729" s="133" t="s">
        <v>963</v>
      </c>
      <c r="F729" s="133" t="s">
        <v>946</v>
      </c>
      <c r="G729" s="133" t="s">
        <v>719</v>
      </c>
      <c r="H729" s="133">
        <v>2.13</v>
      </c>
      <c r="I729" s="133">
        <v>0</v>
      </c>
      <c r="J729" s="133">
        <v>0</v>
      </c>
      <c r="L729" s="133">
        <v>0</v>
      </c>
      <c r="M729" s="133" t="s">
        <v>1096</v>
      </c>
      <c r="N729" s="133">
        <v>0</v>
      </c>
      <c r="P729" s="133">
        <v>0</v>
      </c>
      <c r="Q729" s="133">
        <v>0</v>
      </c>
      <c r="R729" s="133">
        <v>0</v>
      </c>
      <c r="S729" s="156"/>
    </row>
    <row r="730" spans="1:19">
      <c r="A730" s="133" t="s">
        <v>1183</v>
      </c>
      <c r="B730" s="133" t="s">
        <v>1175</v>
      </c>
      <c r="C730" s="133" t="s">
        <v>1000</v>
      </c>
      <c r="D730" s="133" t="s">
        <v>904</v>
      </c>
      <c r="E730" s="133" t="s">
        <v>964</v>
      </c>
      <c r="F730" s="133" t="s">
        <v>946</v>
      </c>
      <c r="G730" s="133" t="s">
        <v>719</v>
      </c>
      <c r="H730" s="133">
        <v>4.1100000000000003</v>
      </c>
      <c r="I730" s="133">
        <v>0</v>
      </c>
      <c r="J730" s="133">
        <v>0</v>
      </c>
      <c r="L730" s="133">
        <v>0</v>
      </c>
      <c r="M730" s="133" t="s">
        <v>1096</v>
      </c>
      <c r="N730" s="133">
        <v>0</v>
      </c>
      <c r="P730" s="133">
        <v>0</v>
      </c>
      <c r="Q730" s="133">
        <v>0</v>
      </c>
      <c r="R730" s="133">
        <v>0</v>
      </c>
      <c r="S730" s="156"/>
    </row>
    <row r="731" spans="1:19">
      <c r="A731" s="133" t="s">
        <v>1183</v>
      </c>
      <c r="B731" s="133" t="s">
        <v>1175</v>
      </c>
      <c r="C731" s="133" t="s">
        <v>1000</v>
      </c>
      <c r="D731" s="133" t="s">
        <v>512</v>
      </c>
      <c r="E731" s="133" t="s">
        <v>513</v>
      </c>
      <c r="F731" s="133" t="s">
        <v>709</v>
      </c>
      <c r="G731" s="133" t="s">
        <v>719</v>
      </c>
      <c r="H731" s="133">
        <v>1.1599999999999999</v>
      </c>
      <c r="I731" s="133">
        <v>0</v>
      </c>
      <c r="J731" s="133">
        <v>0</v>
      </c>
      <c r="L731" s="133">
        <v>0</v>
      </c>
      <c r="M731" s="133" t="s">
        <v>1096</v>
      </c>
      <c r="N731" s="133">
        <v>0</v>
      </c>
      <c r="P731" s="133">
        <v>0</v>
      </c>
      <c r="Q731" s="133">
        <v>0</v>
      </c>
      <c r="R731" s="133">
        <v>0</v>
      </c>
      <c r="S731" s="156"/>
    </row>
    <row r="732" spans="1:19">
      <c r="A732" s="133" t="s">
        <v>1183</v>
      </c>
      <c r="B732" s="133" t="s">
        <v>1175</v>
      </c>
      <c r="C732" s="133" t="s">
        <v>1000</v>
      </c>
      <c r="D732" s="133" t="s">
        <v>514</v>
      </c>
      <c r="E732" s="133" t="s">
        <v>515</v>
      </c>
      <c r="F732" s="133" t="s">
        <v>709</v>
      </c>
      <c r="G732" s="133" t="s">
        <v>719</v>
      </c>
      <c r="H732" s="133">
        <v>2.14</v>
      </c>
      <c r="I732" s="133">
        <v>0</v>
      </c>
      <c r="J732" s="133">
        <v>0</v>
      </c>
      <c r="L732" s="133">
        <v>0</v>
      </c>
      <c r="M732" s="133" t="s">
        <v>1096</v>
      </c>
      <c r="N732" s="133">
        <v>0</v>
      </c>
      <c r="P732" s="133">
        <v>0</v>
      </c>
      <c r="Q732" s="133">
        <v>0</v>
      </c>
      <c r="R732" s="133">
        <v>0</v>
      </c>
      <c r="S732" s="156"/>
    </row>
    <row r="733" spans="1:19">
      <c r="A733" s="133" t="s">
        <v>1183</v>
      </c>
      <c r="B733" s="133" t="s">
        <v>1175</v>
      </c>
      <c r="C733" s="133" t="s">
        <v>1000</v>
      </c>
      <c r="D733" s="133" t="s">
        <v>516</v>
      </c>
      <c r="E733" s="133" t="s">
        <v>517</v>
      </c>
      <c r="F733" s="133" t="s">
        <v>709</v>
      </c>
      <c r="G733" s="133" t="s">
        <v>719</v>
      </c>
      <c r="H733" s="133">
        <v>4.8499999999999996</v>
      </c>
      <c r="I733" s="133">
        <v>0</v>
      </c>
      <c r="J733" s="133">
        <v>0</v>
      </c>
      <c r="L733" s="133">
        <v>0</v>
      </c>
      <c r="M733" s="133" t="s">
        <v>1096</v>
      </c>
      <c r="N733" s="133">
        <v>0</v>
      </c>
      <c r="P733" s="133">
        <v>0</v>
      </c>
      <c r="Q733" s="133">
        <v>0</v>
      </c>
      <c r="R733" s="133">
        <v>0</v>
      </c>
      <c r="S733" s="156"/>
    </row>
    <row r="734" spans="1:19">
      <c r="A734" s="133" t="s">
        <v>1183</v>
      </c>
      <c r="B734" s="133" t="s">
        <v>1175</v>
      </c>
      <c r="C734" s="133" t="s">
        <v>1000</v>
      </c>
      <c r="D734" s="133" t="s">
        <v>524</v>
      </c>
      <c r="E734" s="133" t="s">
        <v>525</v>
      </c>
      <c r="F734" s="133" t="s">
        <v>709</v>
      </c>
      <c r="G734" s="133" t="s">
        <v>719</v>
      </c>
      <c r="H734" s="133">
        <v>0.49</v>
      </c>
      <c r="I734" s="133">
        <v>0</v>
      </c>
      <c r="J734" s="133">
        <v>0</v>
      </c>
      <c r="L734" s="133">
        <v>0</v>
      </c>
      <c r="M734" s="133" t="s">
        <v>1096</v>
      </c>
      <c r="N734" s="133">
        <v>0</v>
      </c>
      <c r="P734" s="133">
        <v>0</v>
      </c>
      <c r="Q734" s="133">
        <v>0</v>
      </c>
      <c r="R734" s="133">
        <v>0</v>
      </c>
      <c r="S734" s="156"/>
    </row>
    <row r="735" spans="1:19">
      <c r="A735" s="133" t="s">
        <v>1183</v>
      </c>
      <c r="B735" s="133" t="s">
        <v>1175</v>
      </c>
      <c r="C735" s="133" t="s">
        <v>1000</v>
      </c>
      <c r="D735" s="133" t="s">
        <v>526</v>
      </c>
      <c r="E735" s="133" t="s">
        <v>527</v>
      </c>
      <c r="F735" s="133" t="s">
        <v>712</v>
      </c>
      <c r="G735" s="133" t="s">
        <v>719</v>
      </c>
      <c r="H735" s="133">
        <v>1.72</v>
      </c>
      <c r="I735" s="133">
        <v>0</v>
      </c>
      <c r="J735" s="133">
        <v>198</v>
      </c>
      <c r="L735" s="133">
        <v>0</v>
      </c>
      <c r="M735" s="133" t="s">
        <v>1096</v>
      </c>
      <c r="N735" s="133">
        <v>0</v>
      </c>
      <c r="P735" s="133">
        <v>0</v>
      </c>
      <c r="Q735" s="133">
        <v>0</v>
      </c>
      <c r="R735" s="133">
        <v>0</v>
      </c>
      <c r="S735" s="156"/>
    </row>
    <row r="736" spans="1:19">
      <c r="A736" s="133" t="s">
        <v>1183</v>
      </c>
      <c r="B736" s="133" t="s">
        <v>1175</v>
      </c>
      <c r="C736" s="133" t="s">
        <v>1000</v>
      </c>
      <c r="D736" s="133" t="s">
        <v>528</v>
      </c>
      <c r="E736" s="133" t="s">
        <v>529</v>
      </c>
      <c r="F736" s="133" t="s">
        <v>712</v>
      </c>
      <c r="G736" s="133" t="s">
        <v>719</v>
      </c>
      <c r="H736" s="133">
        <v>3.6</v>
      </c>
      <c r="I736" s="133">
        <v>0</v>
      </c>
      <c r="J736" s="133">
        <v>100</v>
      </c>
      <c r="L736" s="133">
        <v>0</v>
      </c>
      <c r="M736" s="133" t="s">
        <v>1096</v>
      </c>
      <c r="N736" s="133">
        <v>0</v>
      </c>
      <c r="P736" s="133">
        <v>0</v>
      </c>
      <c r="Q736" s="133">
        <v>0</v>
      </c>
      <c r="R736" s="133">
        <v>0</v>
      </c>
      <c r="S736" s="156"/>
    </row>
    <row r="737" spans="1:19">
      <c r="A737" s="133" t="s">
        <v>1183</v>
      </c>
      <c r="B737" s="133" t="s">
        <v>1175</v>
      </c>
      <c r="C737" s="133" t="s">
        <v>1000</v>
      </c>
      <c r="D737" s="133" t="s">
        <v>530</v>
      </c>
      <c r="E737" s="133" t="s">
        <v>531</v>
      </c>
      <c r="F737" s="133" t="s">
        <v>712</v>
      </c>
      <c r="G737" s="133" t="s">
        <v>719</v>
      </c>
      <c r="H737" s="133">
        <v>6.89</v>
      </c>
      <c r="I737" s="133">
        <v>0</v>
      </c>
      <c r="J737" s="133">
        <v>171</v>
      </c>
      <c r="L737" s="133">
        <v>0</v>
      </c>
      <c r="M737" s="133" t="s">
        <v>1096</v>
      </c>
      <c r="N737" s="133">
        <v>0</v>
      </c>
      <c r="P737" s="133">
        <v>0</v>
      </c>
      <c r="Q737" s="133">
        <v>0</v>
      </c>
      <c r="R737" s="133">
        <v>0</v>
      </c>
      <c r="S737" s="156"/>
    </row>
    <row r="738" spans="1:19">
      <c r="A738" s="133" t="s">
        <v>1183</v>
      </c>
      <c r="B738" s="133" t="s">
        <v>1175</v>
      </c>
      <c r="C738" s="133" t="s">
        <v>1000</v>
      </c>
      <c r="D738" s="133" t="s">
        <v>538</v>
      </c>
      <c r="E738" s="133" t="s">
        <v>539</v>
      </c>
      <c r="F738" s="133" t="s">
        <v>709</v>
      </c>
      <c r="G738" s="133" t="s">
        <v>719</v>
      </c>
      <c r="H738" s="133">
        <v>1.1299999999999999</v>
      </c>
      <c r="I738" s="133">
        <v>0</v>
      </c>
      <c r="J738" s="133">
        <v>0</v>
      </c>
      <c r="L738" s="133">
        <v>0</v>
      </c>
      <c r="M738" s="133" t="s">
        <v>1096</v>
      </c>
      <c r="N738" s="133">
        <v>0</v>
      </c>
      <c r="P738" s="133">
        <v>0</v>
      </c>
      <c r="Q738" s="133">
        <v>0</v>
      </c>
      <c r="R738" s="133">
        <v>0</v>
      </c>
      <c r="S738" s="156"/>
    </row>
    <row r="739" spans="1:19">
      <c r="A739" s="133" t="s">
        <v>1183</v>
      </c>
      <c r="B739" s="133" t="s">
        <v>1175</v>
      </c>
      <c r="C739" s="133" t="s">
        <v>1000</v>
      </c>
      <c r="D739" s="133" t="s">
        <v>905</v>
      </c>
      <c r="E739" s="133" t="s">
        <v>967</v>
      </c>
      <c r="F739" s="133" t="s">
        <v>946</v>
      </c>
      <c r="G739" s="133" t="s">
        <v>719</v>
      </c>
      <c r="H739" s="133">
        <v>3.43</v>
      </c>
      <c r="I739" s="133">
        <v>0</v>
      </c>
      <c r="J739" s="133">
        <v>0</v>
      </c>
      <c r="L739" s="133">
        <v>0</v>
      </c>
      <c r="M739" s="133" t="s">
        <v>1096</v>
      </c>
      <c r="N739" s="133">
        <v>0</v>
      </c>
      <c r="P739" s="133">
        <v>0</v>
      </c>
      <c r="Q739" s="133">
        <v>0</v>
      </c>
      <c r="R739" s="133">
        <v>0</v>
      </c>
      <c r="S739" s="156"/>
    </row>
    <row r="740" spans="1:19">
      <c r="A740" s="133" t="s">
        <v>1183</v>
      </c>
      <c r="B740" s="133" t="s">
        <v>1175</v>
      </c>
      <c r="C740" s="133" t="s">
        <v>1000</v>
      </c>
      <c r="D740" s="133" t="s">
        <v>906</v>
      </c>
      <c r="E740" s="133" t="s">
        <v>968</v>
      </c>
      <c r="F740" s="133" t="s">
        <v>946</v>
      </c>
      <c r="G740" s="133" t="s">
        <v>719</v>
      </c>
      <c r="H740" s="133">
        <v>1.48</v>
      </c>
      <c r="I740" s="133">
        <v>0</v>
      </c>
      <c r="J740" s="133">
        <v>0</v>
      </c>
      <c r="L740" s="133">
        <v>0</v>
      </c>
      <c r="M740" s="133" t="s">
        <v>1096</v>
      </c>
      <c r="N740" s="133">
        <v>0</v>
      </c>
      <c r="P740" s="133">
        <v>0</v>
      </c>
      <c r="Q740" s="133">
        <v>0</v>
      </c>
      <c r="R740" s="133">
        <v>0</v>
      </c>
      <c r="S740" s="156"/>
    </row>
    <row r="741" spans="1:19">
      <c r="A741" s="133" t="s">
        <v>1183</v>
      </c>
      <c r="B741" s="133" t="s">
        <v>1175</v>
      </c>
      <c r="C741" s="133" t="s">
        <v>1000</v>
      </c>
      <c r="D741" s="133" t="s">
        <v>542</v>
      </c>
      <c r="E741" s="133" t="s">
        <v>543</v>
      </c>
      <c r="F741" s="133" t="s">
        <v>707</v>
      </c>
      <c r="G741" s="133" t="s">
        <v>715</v>
      </c>
      <c r="H741" s="133">
        <v>1.24</v>
      </c>
      <c r="I741" s="133">
        <v>0</v>
      </c>
      <c r="J741" s="133">
        <v>337</v>
      </c>
      <c r="L741" s="133">
        <v>0</v>
      </c>
      <c r="M741" s="133" t="s">
        <v>1096</v>
      </c>
      <c r="N741" s="133">
        <v>0</v>
      </c>
      <c r="P741" s="133">
        <v>0</v>
      </c>
      <c r="Q741" s="133">
        <v>0</v>
      </c>
      <c r="R741" s="133">
        <v>0</v>
      </c>
      <c r="S741" s="156"/>
    </row>
    <row r="742" spans="1:19">
      <c r="A742" s="133" t="s">
        <v>1183</v>
      </c>
      <c r="B742" s="133" t="s">
        <v>1175</v>
      </c>
      <c r="C742" s="133" t="s">
        <v>1000</v>
      </c>
      <c r="D742" s="133" t="s">
        <v>544</v>
      </c>
      <c r="E742" s="133" t="s">
        <v>545</v>
      </c>
      <c r="F742" s="133" t="s">
        <v>707</v>
      </c>
      <c r="G742" s="133" t="s">
        <v>715</v>
      </c>
      <c r="H742" s="133">
        <v>2.27</v>
      </c>
      <c r="I742" s="133">
        <v>0</v>
      </c>
      <c r="J742" s="133">
        <v>258</v>
      </c>
      <c r="L742" s="133">
        <v>0</v>
      </c>
      <c r="M742" s="133" t="s">
        <v>1096</v>
      </c>
      <c r="N742" s="133">
        <v>0</v>
      </c>
      <c r="P742" s="133">
        <v>0</v>
      </c>
      <c r="Q742" s="133">
        <v>0</v>
      </c>
      <c r="R742" s="133">
        <v>0</v>
      </c>
      <c r="S742" s="156"/>
    </row>
    <row r="743" spans="1:19">
      <c r="A743" s="133" t="s">
        <v>1183</v>
      </c>
      <c r="B743" s="133" t="s">
        <v>1175</v>
      </c>
      <c r="C743" s="133" t="s">
        <v>1000</v>
      </c>
      <c r="D743" s="133" t="s">
        <v>546</v>
      </c>
      <c r="E743" s="133" t="s">
        <v>547</v>
      </c>
      <c r="F743" s="133" t="s">
        <v>707</v>
      </c>
      <c r="G743" s="133" t="s">
        <v>715</v>
      </c>
      <c r="H743" s="133">
        <v>16.43</v>
      </c>
      <c r="I743" s="133">
        <v>0</v>
      </c>
      <c r="J743" s="133">
        <v>0</v>
      </c>
      <c r="L743" s="133">
        <v>0</v>
      </c>
      <c r="M743" s="133" t="s">
        <v>1096</v>
      </c>
      <c r="N743" s="133">
        <v>0</v>
      </c>
      <c r="P743" s="133">
        <v>0</v>
      </c>
      <c r="Q743" s="133">
        <v>0</v>
      </c>
      <c r="R743" s="133">
        <v>0</v>
      </c>
      <c r="S743" s="156"/>
    </row>
    <row r="744" spans="1:19">
      <c r="A744" s="133" t="s">
        <v>1183</v>
      </c>
      <c r="B744" s="133" t="s">
        <v>1175</v>
      </c>
      <c r="C744" s="133" t="s">
        <v>1000</v>
      </c>
      <c r="D744" s="133" t="s">
        <v>548</v>
      </c>
      <c r="E744" s="133" t="s">
        <v>549</v>
      </c>
      <c r="F744" s="133" t="s">
        <v>707</v>
      </c>
      <c r="G744" s="133" t="s">
        <v>715</v>
      </c>
      <c r="H744" s="133">
        <v>3.66</v>
      </c>
      <c r="I744" s="133">
        <v>0</v>
      </c>
      <c r="J744" s="133">
        <v>200</v>
      </c>
      <c r="L744" s="133">
        <v>0</v>
      </c>
      <c r="M744" s="133" t="s">
        <v>1096</v>
      </c>
      <c r="N744" s="133">
        <v>0</v>
      </c>
      <c r="P744" s="133">
        <v>0</v>
      </c>
      <c r="Q744" s="133">
        <v>0</v>
      </c>
      <c r="R744" s="133">
        <v>0</v>
      </c>
      <c r="S744" s="156"/>
    </row>
    <row r="745" spans="1:19">
      <c r="A745" s="133" t="s">
        <v>1183</v>
      </c>
      <c r="B745" s="133" t="s">
        <v>1175</v>
      </c>
      <c r="C745" s="133" t="s">
        <v>1000</v>
      </c>
      <c r="D745" s="133" t="s">
        <v>553</v>
      </c>
      <c r="E745" s="133" t="s">
        <v>554</v>
      </c>
      <c r="F745" s="133" t="s">
        <v>712</v>
      </c>
      <c r="G745" s="133" t="s">
        <v>715</v>
      </c>
      <c r="H745" s="133">
        <v>4.62</v>
      </c>
      <c r="I745" s="133">
        <v>0</v>
      </c>
      <c r="J745" s="133">
        <v>0</v>
      </c>
      <c r="L745" s="133">
        <v>0</v>
      </c>
      <c r="M745" s="133" t="s">
        <v>1096</v>
      </c>
      <c r="N745" s="133">
        <v>0</v>
      </c>
      <c r="P745" s="133">
        <v>0</v>
      </c>
      <c r="Q745" s="133">
        <v>0</v>
      </c>
      <c r="R745" s="133">
        <v>0</v>
      </c>
      <c r="S745" s="156"/>
    </row>
    <row r="746" spans="1:19">
      <c r="A746" s="133" t="s">
        <v>1183</v>
      </c>
      <c r="B746" s="133" t="s">
        <v>1175</v>
      </c>
      <c r="C746" s="133" t="s">
        <v>1000</v>
      </c>
      <c r="D746" s="133" t="s">
        <v>555</v>
      </c>
      <c r="E746" s="133" t="s">
        <v>556</v>
      </c>
      <c r="F746" s="133" t="s">
        <v>712</v>
      </c>
      <c r="G746" s="133" t="s">
        <v>719</v>
      </c>
      <c r="H746" s="133">
        <v>2.59</v>
      </c>
      <c r="I746" s="133">
        <v>0</v>
      </c>
      <c r="J746" s="133">
        <v>1140</v>
      </c>
      <c r="L746" s="133">
        <v>0</v>
      </c>
      <c r="M746" s="133" t="s">
        <v>1096</v>
      </c>
      <c r="N746" s="133">
        <v>0</v>
      </c>
      <c r="P746" s="133">
        <v>0</v>
      </c>
      <c r="Q746" s="133">
        <v>0</v>
      </c>
      <c r="R746" s="133">
        <v>0</v>
      </c>
      <c r="S746" s="156"/>
    </row>
    <row r="747" spans="1:19">
      <c r="A747" s="133" t="s">
        <v>1183</v>
      </c>
      <c r="B747" s="133" t="s">
        <v>1175</v>
      </c>
      <c r="C747" s="133" t="s">
        <v>1000</v>
      </c>
      <c r="D747" s="133" t="s">
        <v>557</v>
      </c>
      <c r="E747" s="133" t="s">
        <v>558</v>
      </c>
      <c r="F747" s="133" t="s">
        <v>712</v>
      </c>
      <c r="G747" s="133" t="s">
        <v>719</v>
      </c>
      <c r="H747" s="133">
        <v>4.75</v>
      </c>
      <c r="I747" s="133">
        <v>0</v>
      </c>
      <c r="J747" s="133">
        <v>2670</v>
      </c>
      <c r="K747" s="133">
        <v>20</v>
      </c>
      <c r="L747" s="133">
        <v>20</v>
      </c>
      <c r="M747" s="133" t="s">
        <v>998</v>
      </c>
      <c r="N747" s="133">
        <v>0</v>
      </c>
      <c r="P747" s="133">
        <v>0</v>
      </c>
      <c r="Q747" s="133">
        <v>20</v>
      </c>
      <c r="R747" s="133">
        <v>0</v>
      </c>
      <c r="S747" s="156">
        <v>0</v>
      </c>
    </row>
    <row r="748" spans="1:19">
      <c r="A748" s="133" t="s">
        <v>1183</v>
      </c>
      <c r="B748" s="133" t="s">
        <v>1175</v>
      </c>
      <c r="C748" s="133" t="s">
        <v>1000</v>
      </c>
      <c r="D748" s="133" t="s">
        <v>559</v>
      </c>
      <c r="E748" s="133" t="s">
        <v>560</v>
      </c>
      <c r="F748" s="133" t="s">
        <v>712</v>
      </c>
      <c r="G748" s="133" t="s">
        <v>719</v>
      </c>
      <c r="H748" s="133">
        <v>2.4</v>
      </c>
      <c r="I748" s="133">
        <v>0</v>
      </c>
      <c r="J748" s="133">
        <v>274</v>
      </c>
      <c r="L748" s="133">
        <v>0</v>
      </c>
      <c r="M748" s="133" t="s">
        <v>1096</v>
      </c>
      <c r="N748" s="133">
        <v>0</v>
      </c>
      <c r="P748" s="133">
        <v>0</v>
      </c>
      <c r="Q748" s="133">
        <v>0</v>
      </c>
      <c r="R748" s="133">
        <v>0</v>
      </c>
      <c r="S748" s="156"/>
    </row>
    <row r="749" spans="1:19">
      <c r="A749" s="133" t="s">
        <v>1183</v>
      </c>
      <c r="B749" s="133" t="s">
        <v>1175</v>
      </c>
      <c r="C749" s="133" t="s">
        <v>1000</v>
      </c>
      <c r="D749" s="133" t="s">
        <v>561</v>
      </c>
      <c r="E749" s="133" t="s">
        <v>562</v>
      </c>
      <c r="F749" s="133" t="s">
        <v>712</v>
      </c>
      <c r="G749" s="133" t="s">
        <v>719</v>
      </c>
      <c r="H749" s="133">
        <v>4.47</v>
      </c>
      <c r="I749" s="133">
        <v>0</v>
      </c>
      <c r="J749" s="133">
        <v>964</v>
      </c>
      <c r="K749" s="133">
        <v>40</v>
      </c>
      <c r="L749" s="133">
        <v>40</v>
      </c>
      <c r="M749" s="133" t="s">
        <v>998</v>
      </c>
      <c r="N749" s="133">
        <v>0</v>
      </c>
      <c r="P749" s="133">
        <v>0</v>
      </c>
      <c r="Q749" s="133">
        <v>40</v>
      </c>
      <c r="R749" s="133">
        <v>0</v>
      </c>
      <c r="S749" s="156">
        <v>0</v>
      </c>
    </row>
    <row r="750" spans="1:19">
      <c r="A750" s="133" t="s">
        <v>1183</v>
      </c>
      <c r="B750" s="133" t="s">
        <v>1175</v>
      </c>
      <c r="C750" s="133" t="s">
        <v>1000</v>
      </c>
      <c r="D750" s="133" t="s">
        <v>883</v>
      </c>
      <c r="E750" s="133" t="s">
        <v>969</v>
      </c>
      <c r="F750" s="133" t="s">
        <v>712</v>
      </c>
      <c r="G750" s="133" t="s">
        <v>715</v>
      </c>
      <c r="H750" s="133">
        <v>1.66</v>
      </c>
      <c r="I750" s="133">
        <v>0</v>
      </c>
      <c r="J750" s="133">
        <v>197</v>
      </c>
      <c r="L750" s="133">
        <v>0</v>
      </c>
      <c r="M750" s="133" t="s">
        <v>1096</v>
      </c>
      <c r="N750" s="133">
        <v>0</v>
      </c>
      <c r="P750" s="133">
        <v>0</v>
      </c>
      <c r="Q750" s="133">
        <v>0</v>
      </c>
      <c r="R750" s="133">
        <v>0</v>
      </c>
      <c r="S750" s="156"/>
    </row>
    <row r="751" spans="1:19">
      <c r="A751" s="133" t="s">
        <v>1183</v>
      </c>
      <c r="B751" s="133" t="s">
        <v>1175</v>
      </c>
      <c r="C751" s="133" t="s">
        <v>1000</v>
      </c>
      <c r="D751" s="133" t="s">
        <v>884</v>
      </c>
      <c r="E751" s="133" t="s">
        <v>970</v>
      </c>
      <c r="F751" s="133" t="s">
        <v>712</v>
      </c>
      <c r="G751" s="133" t="s">
        <v>715</v>
      </c>
      <c r="H751" s="133">
        <v>13.56</v>
      </c>
      <c r="I751" s="133">
        <v>0</v>
      </c>
      <c r="J751" s="133">
        <v>141</v>
      </c>
      <c r="K751" s="133">
        <v>10</v>
      </c>
      <c r="L751" s="133">
        <v>10</v>
      </c>
      <c r="M751" s="133" t="s">
        <v>998</v>
      </c>
      <c r="N751" s="133">
        <v>0</v>
      </c>
      <c r="P751" s="133">
        <v>0</v>
      </c>
      <c r="Q751" s="133">
        <v>10</v>
      </c>
      <c r="R751" s="133">
        <v>0</v>
      </c>
      <c r="S751" s="156">
        <v>0</v>
      </c>
    </row>
    <row r="752" spans="1:19">
      <c r="A752" s="133" t="s">
        <v>1183</v>
      </c>
      <c r="B752" s="133" t="s">
        <v>1175</v>
      </c>
      <c r="C752" s="133" t="s">
        <v>1000</v>
      </c>
      <c r="D752" s="133" t="s">
        <v>576</v>
      </c>
      <c r="E752" s="133" t="s">
        <v>577</v>
      </c>
      <c r="F752" s="133" t="s">
        <v>709</v>
      </c>
      <c r="G752" s="133" t="s">
        <v>715</v>
      </c>
      <c r="H752" s="133">
        <v>0.97</v>
      </c>
      <c r="I752" s="133">
        <v>0</v>
      </c>
      <c r="J752" s="133">
        <v>0</v>
      </c>
      <c r="L752" s="133">
        <v>0</v>
      </c>
      <c r="M752" s="133" t="s">
        <v>1096</v>
      </c>
      <c r="N752" s="133">
        <v>0</v>
      </c>
      <c r="P752" s="133">
        <v>0</v>
      </c>
      <c r="Q752" s="133">
        <v>0</v>
      </c>
      <c r="R752" s="133">
        <v>0</v>
      </c>
      <c r="S752" s="156"/>
    </row>
    <row r="753" spans="1:19">
      <c r="A753" s="133" t="s">
        <v>1183</v>
      </c>
      <c r="B753" s="133" t="s">
        <v>1175</v>
      </c>
      <c r="C753" s="133" t="s">
        <v>1000</v>
      </c>
      <c r="D753" s="133" t="s">
        <v>578</v>
      </c>
      <c r="E753" s="133" t="s">
        <v>579</v>
      </c>
      <c r="F753" s="133" t="s">
        <v>709</v>
      </c>
      <c r="G753" s="133" t="s">
        <v>715</v>
      </c>
      <c r="H753" s="133">
        <v>2.3199999999999998</v>
      </c>
      <c r="I753" s="133">
        <v>0</v>
      </c>
      <c r="J753" s="133">
        <v>0</v>
      </c>
      <c r="L753" s="133">
        <v>0</v>
      </c>
      <c r="M753" s="133" t="s">
        <v>1096</v>
      </c>
      <c r="N753" s="133">
        <v>0</v>
      </c>
      <c r="P753" s="133">
        <v>0</v>
      </c>
      <c r="Q753" s="133">
        <v>0</v>
      </c>
      <c r="R753" s="133">
        <v>0</v>
      </c>
      <c r="S753" s="156"/>
    </row>
    <row r="754" spans="1:19">
      <c r="A754" s="133" t="s">
        <v>1183</v>
      </c>
      <c r="B754" s="133" t="s">
        <v>1175</v>
      </c>
      <c r="C754" s="133" t="s">
        <v>1000</v>
      </c>
      <c r="D754" s="133" t="s">
        <v>580</v>
      </c>
      <c r="E754" s="133" t="s">
        <v>581</v>
      </c>
      <c r="F754" s="133" t="s">
        <v>709</v>
      </c>
      <c r="G754" s="133" t="s">
        <v>715</v>
      </c>
      <c r="H754" s="133">
        <v>3.92</v>
      </c>
      <c r="I754" s="133">
        <v>0</v>
      </c>
      <c r="J754" s="133">
        <v>0</v>
      </c>
      <c r="L754" s="133">
        <v>0</v>
      </c>
      <c r="M754" s="133" t="s">
        <v>1096</v>
      </c>
      <c r="N754" s="133">
        <v>0</v>
      </c>
      <c r="P754" s="133">
        <v>0</v>
      </c>
      <c r="Q754" s="133">
        <v>0</v>
      </c>
      <c r="R754" s="133">
        <v>0</v>
      </c>
      <c r="S754" s="156"/>
    </row>
    <row r="755" spans="1:19">
      <c r="A755" s="133" t="s">
        <v>1183</v>
      </c>
      <c r="B755" s="133" t="s">
        <v>1175</v>
      </c>
      <c r="C755" s="133" t="s">
        <v>1000</v>
      </c>
      <c r="D755" s="133" t="s">
        <v>582</v>
      </c>
      <c r="E755" s="133" t="s">
        <v>583</v>
      </c>
      <c r="F755" s="133" t="s">
        <v>709</v>
      </c>
      <c r="G755" s="133" t="s">
        <v>715</v>
      </c>
      <c r="H755" s="133">
        <v>9.3000000000000007</v>
      </c>
      <c r="I755" s="133">
        <v>0</v>
      </c>
      <c r="J755" s="133">
        <v>0</v>
      </c>
      <c r="L755" s="133">
        <v>0</v>
      </c>
      <c r="M755" s="133" t="s">
        <v>1096</v>
      </c>
      <c r="N755" s="133">
        <v>0</v>
      </c>
      <c r="P755" s="133">
        <v>0</v>
      </c>
      <c r="Q755" s="133">
        <v>0</v>
      </c>
      <c r="R755" s="133">
        <v>0</v>
      </c>
      <c r="S755" s="156"/>
    </row>
    <row r="756" spans="1:19">
      <c r="A756" s="133" t="s">
        <v>1183</v>
      </c>
      <c r="B756" s="133" t="s">
        <v>1175</v>
      </c>
      <c r="C756" s="133" t="s">
        <v>1000</v>
      </c>
      <c r="D756" s="133" t="s">
        <v>584</v>
      </c>
      <c r="E756" s="133" t="s">
        <v>585</v>
      </c>
      <c r="F756" s="133" t="s">
        <v>707</v>
      </c>
      <c r="G756" s="133" t="s">
        <v>715</v>
      </c>
      <c r="H756" s="133">
        <v>4.09</v>
      </c>
      <c r="I756" s="133">
        <v>0</v>
      </c>
      <c r="J756" s="133">
        <v>458</v>
      </c>
      <c r="L756" s="133">
        <v>0</v>
      </c>
      <c r="M756" s="133" t="s">
        <v>1096</v>
      </c>
      <c r="N756" s="133">
        <v>0</v>
      </c>
      <c r="P756" s="133">
        <v>0</v>
      </c>
      <c r="Q756" s="133">
        <v>0</v>
      </c>
      <c r="R756" s="133">
        <v>0</v>
      </c>
      <c r="S756" s="156"/>
    </row>
    <row r="757" spans="1:19">
      <c r="A757" s="133" t="s">
        <v>1183</v>
      </c>
      <c r="B757" s="133" t="s">
        <v>1175</v>
      </c>
      <c r="C757" s="133" t="s">
        <v>1000</v>
      </c>
      <c r="D757" s="133" t="s">
        <v>586</v>
      </c>
      <c r="E757" s="133" t="s">
        <v>587</v>
      </c>
      <c r="F757" s="133" t="s">
        <v>707</v>
      </c>
      <c r="G757" s="133" t="s">
        <v>715</v>
      </c>
      <c r="H757" s="133">
        <v>11.23</v>
      </c>
      <c r="I757" s="133">
        <v>0</v>
      </c>
      <c r="J757" s="133">
        <v>0</v>
      </c>
      <c r="L757" s="133">
        <v>0</v>
      </c>
      <c r="M757" s="133" t="s">
        <v>1096</v>
      </c>
      <c r="N757" s="133">
        <v>0</v>
      </c>
      <c r="P757" s="133">
        <v>0</v>
      </c>
      <c r="Q757" s="133">
        <v>0</v>
      </c>
      <c r="R757" s="133">
        <v>0</v>
      </c>
      <c r="S757" s="156"/>
    </row>
    <row r="758" spans="1:19">
      <c r="A758" s="133" t="s">
        <v>1183</v>
      </c>
      <c r="B758" s="133" t="s">
        <v>1175</v>
      </c>
      <c r="C758" s="133" t="s">
        <v>1000</v>
      </c>
      <c r="D758" s="133" t="s">
        <v>588</v>
      </c>
      <c r="E758" s="133" t="s">
        <v>589</v>
      </c>
      <c r="F758" s="133" t="s">
        <v>707</v>
      </c>
      <c r="G758" s="133" t="s">
        <v>715</v>
      </c>
      <c r="H758" s="133">
        <v>3.05</v>
      </c>
      <c r="I758" s="133">
        <v>0</v>
      </c>
      <c r="J758" s="133">
        <v>213</v>
      </c>
      <c r="K758" s="133">
        <v>45</v>
      </c>
      <c r="L758" s="133">
        <v>46</v>
      </c>
      <c r="M758" s="133" t="s">
        <v>997</v>
      </c>
      <c r="N758" s="133">
        <v>0</v>
      </c>
      <c r="P758" s="133">
        <v>0</v>
      </c>
      <c r="Q758" s="133">
        <v>46</v>
      </c>
      <c r="R758" s="133">
        <v>0</v>
      </c>
      <c r="S758" s="156">
        <v>-2.2222222222222223E-2</v>
      </c>
    </row>
    <row r="759" spans="1:19">
      <c r="A759" s="133" t="s">
        <v>1183</v>
      </c>
      <c r="B759" s="133" t="s">
        <v>1175</v>
      </c>
      <c r="C759" s="133" t="s">
        <v>1000</v>
      </c>
      <c r="D759" s="133" t="s">
        <v>885</v>
      </c>
      <c r="E759" s="133" t="s">
        <v>971</v>
      </c>
      <c r="F759" s="133" t="s">
        <v>712</v>
      </c>
      <c r="G759" s="133" t="s">
        <v>715</v>
      </c>
      <c r="H759" s="133">
        <v>3.49</v>
      </c>
      <c r="I759" s="133">
        <v>0</v>
      </c>
      <c r="J759" s="133">
        <v>179</v>
      </c>
      <c r="L759" s="133">
        <v>0</v>
      </c>
      <c r="M759" s="133" t="s">
        <v>1096</v>
      </c>
      <c r="N759" s="133">
        <v>0</v>
      </c>
      <c r="P759" s="133">
        <v>0</v>
      </c>
      <c r="Q759" s="133">
        <v>0</v>
      </c>
      <c r="R759" s="133">
        <v>0</v>
      </c>
      <c r="S759" s="156"/>
    </row>
    <row r="760" spans="1:19">
      <c r="A760" s="133" t="s">
        <v>1183</v>
      </c>
      <c r="B760" s="133" t="s">
        <v>1175</v>
      </c>
      <c r="C760" s="133" t="s">
        <v>1000</v>
      </c>
      <c r="D760" s="133" t="s">
        <v>886</v>
      </c>
      <c r="E760" s="133" t="s">
        <v>972</v>
      </c>
      <c r="F760" s="133" t="s">
        <v>712</v>
      </c>
      <c r="G760" s="133" t="s">
        <v>715</v>
      </c>
      <c r="H760" s="133">
        <v>1.87</v>
      </c>
      <c r="I760" s="133">
        <v>0</v>
      </c>
      <c r="J760" s="133">
        <v>135</v>
      </c>
      <c r="L760" s="133">
        <v>0</v>
      </c>
      <c r="M760" s="133" t="s">
        <v>1096</v>
      </c>
      <c r="N760" s="133">
        <v>0</v>
      </c>
      <c r="P760" s="133">
        <v>0</v>
      </c>
      <c r="Q760" s="133">
        <v>0</v>
      </c>
      <c r="R760" s="133">
        <v>0</v>
      </c>
      <c r="S760" s="156"/>
    </row>
    <row r="761" spans="1:19">
      <c r="A761" s="133" t="s">
        <v>1183</v>
      </c>
      <c r="B761" s="133" t="s">
        <v>1175</v>
      </c>
      <c r="C761" s="133" t="s">
        <v>1000</v>
      </c>
      <c r="D761" s="133" t="s">
        <v>887</v>
      </c>
      <c r="E761" s="133" t="s">
        <v>973</v>
      </c>
      <c r="F761" s="133" t="s">
        <v>712</v>
      </c>
      <c r="G761" s="133" t="s">
        <v>715</v>
      </c>
      <c r="H761" s="133">
        <v>6.61</v>
      </c>
      <c r="I761" s="133">
        <v>0</v>
      </c>
      <c r="J761" s="133">
        <v>162</v>
      </c>
      <c r="K761" s="133">
        <v>10</v>
      </c>
      <c r="L761" s="133">
        <v>10</v>
      </c>
      <c r="M761" s="133" t="s">
        <v>998</v>
      </c>
      <c r="N761" s="133">
        <v>0</v>
      </c>
      <c r="P761" s="133">
        <v>0</v>
      </c>
      <c r="Q761" s="133">
        <v>10</v>
      </c>
      <c r="R761" s="133">
        <v>0</v>
      </c>
      <c r="S761" s="156">
        <v>0</v>
      </c>
    </row>
    <row r="762" spans="1:19">
      <c r="A762" s="133" t="s">
        <v>1183</v>
      </c>
      <c r="B762" s="133" t="s">
        <v>1175</v>
      </c>
      <c r="C762" s="133" t="s">
        <v>1000</v>
      </c>
      <c r="D762" s="133" t="s">
        <v>594</v>
      </c>
      <c r="E762" s="133" t="s">
        <v>595</v>
      </c>
      <c r="F762" s="133" t="s">
        <v>712</v>
      </c>
      <c r="G762" s="133" t="s">
        <v>715</v>
      </c>
      <c r="H762" s="133">
        <v>25.89</v>
      </c>
      <c r="I762" s="133">
        <v>0</v>
      </c>
      <c r="J762" s="133">
        <v>702</v>
      </c>
      <c r="K762" s="133">
        <v>80</v>
      </c>
      <c r="L762" s="133">
        <v>80</v>
      </c>
      <c r="M762" s="133" t="s">
        <v>998</v>
      </c>
      <c r="N762" s="133">
        <v>0</v>
      </c>
      <c r="P762" s="133">
        <v>0</v>
      </c>
      <c r="Q762" s="133">
        <v>80</v>
      </c>
      <c r="R762" s="133">
        <v>0</v>
      </c>
      <c r="S762" s="156">
        <v>0</v>
      </c>
    </row>
    <row r="763" spans="1:19">
      <c r="A763" s="133" t="s">
        <v>1183</v>
      </c>
      <c r="B763" s="133" t="s">
        <v>1175</v>
      </c>
      <c r="C763" s="133" t="s">
        <v>1000</v>
      </c>
      <c r="D763" s="133" t="s">
        <v>596</v>
      </c>
      <c r="E763" s="133" t="s">
        <v>597</v>
      </c>
      <c r="F763" s="133" t="s">
        <v>712</v>
      </c>
      <c r="G763" s="133" t="s">
        <v>715</v>
      </c>
      <c r="H763" s="133">
        <v>2.71</v>
      </c>
      <c r="I763" s="133">
        <v>0</v>
      </c>
      <c r="J763" s="133">
        <v>243</v>
      </c>
      <c r="L763" s="133">
        <v>0</v>
      </c>
      <c r="M763" s="133" t="s">
        <v>1096</v>
      </c>
      <c r="N763" s="133">
        <v>0</v>
      </c>
      <c r="P763" s="133">
        <v>0</v>
      </c>
      <c r="Q763" s="133">
        <v>0</v>
      </c>
      <c r="R763" s="133">
        <v>0</v>
      </c>
      <c r="S763" s="156"/>
    </row>
    <row r="764" spans="1:19">
      <c r="A764" s="133" t="s">
        <v>1183</v>
      </c>
      <c r="B764" s="133" t="s">
        <v>1175</v>
      </c>
      <c r="C764" s="133" t="s">
        <v>1000</v>
      </c>
      <c r="D764" s="133" t="s">
        <v>598</v>
      </c>
      <c r="E764" s="133" t="s">
        <v>599</v>
      </c>
      <c r="F764" s="133" t="s">
        <v>712</v>
      </c>
      <c r="G764" s="133" t="s">
        <v>715</v>
      </c>
      <c r="H764" s="133">
        <v>6.66</v>
      </c>
      <c r="I764" s="133">
        <v>0</v>
      </c>
      <c r="J764" s="133">
        <v>220</v>
      </c>
      <c r="K764" s="133">
        <v>25</v>
      </c>
      <c r="L764" s="133">
        <v>38</v>
      </c>
      <c r="M764" s="133" t="s">
        <v>997</v>
      </c>
      <c r="N764" s="133">
        <v>0</v>
      </c>
      <c r="P764" s="133">
        <v>0</v>
      </c>
      <c r="Q764" s="133">
        <v>38</v>
      </c>
      <c r="R764" s="133">
        <v>0</v>
      </c>
      <c r="S764" s="156">
        <v>-0.52</v>
      </c>
    </row>
    <row r="765" spans="1:19">
      <c r="A765" s="133" t="s">
        <v>1183</v>
      </c>
      <c r="B765" s="133" t="s">
        <v>1175</v>
      </c>
      <c r="C765" s="133" t="s">
        <v>1000</v>
      </c>
      <c r="D765" s="133" t="s">
        <v>601</v>
      </c>
      <c r="E765" s="133" t="s">
        <v>602</v>
      </c>
      <c r="F765" s="133" t="s">
        <v>712</v>
      </c>
      <c r="G765" s="133" t="s">
        <v>715</v>
      </c>
      <c r="H765" s="133">
        <v>349.85</v>
      </c>
      <c r="I765" s="133">
        <v>0</v>
      </c>
      <c r="J765" s="133">
        <v>0</v>
      </c>
      <c r="L765" s="133">
        <v>0</v>
      </c>
      <c r="M765" s="133" t="s">
        <v>1096</v>
      </c>
      <c r="N765" s="133">
        <v>0</v>
      </c>
      <c r="P765" s="133">
        <v>0</v>
      </c>
      <c r="Q765" s="133">
        <v>0</v>
      </c>
      <c r="R765" s="133">
        <v>0</v>
      </c>
      <c r="S765" s="156"/>
    </row>
    <row r="766" spans="1:19">
      <c r="A766" s="133" t="s">
        <v>1183</v>
      </c>
      <c r="B766" s="133" t="s">
        <v>1175</v>
      </c>
      <c r="C766" s="133" t="s">
        <v>1000</v>
      </c>
      <c r="D766" s="133" t="s">
        <v>603</v>
      </c>
      <c r="E766" s="133" t="s">
        <v>604</v>
      </c>
      <c r="F766" s="133" t="s">
        <v>712</v>
      </c>
      <c r="G766" s="133" t="s">
        <v>715</v>
      </c>
      <c r="H766" s="133">
        <v>20.54</v>
      </c>
      <c r="I766" s="133">
        <v>0</v>
      </c>
      <c r="J766" s="133">
        <v>0</v>
      </c>
      <c r="L766" s="133">
        <v>0</v>
      </c>
      <c r="M766" s="133" t="s">
        <v>1096</v>
      </c>
      <c r="N766" s="133">
        <v>0</v>
      </c>
      <c r="P766" s="133">
        <v>0</v>
      </c>
      <c r="Q766" s="133">
        <v>0</v>
      </c>
      <c r="R766" s="133">
        <v>0</v>
      </c>
      <c r="S766" s="156"/>
    </row>
    <row r="767" spans="1:19">
      <c r="A767" s="133" t="s">
        <v>1183</v>
      </c>
      <c r="B767" s="133" t="s">
        <v>1175</v>
      </c>
      <c r="C767" s="133" t="s">
        <v>1000</v>
      </c>
      <c r="D767" s="133" t="s">
        <v>605</v>
      </c>
      <c r="E767" s="133" t="s">
        <v>606</v>
      </c>
      <c r="F767" s="133" t="s">
        <v>709</v>
      </c>
      <c r="G767" s="133" t="s">
        <v>719</v>
      </c>
      <c r="H767" s="133">
        <v>1.35</v>
      </c>
      <c r="I767" s="133">
        <v>0</v>
      </c>
      <c r="J767" s="133">
        <v>1048</v>
      </c>
      <c r="K767" s="133">
        <v>300</v>
      </c>
      <c r="L767" s="133">
        <v>300</v>
      </c>
      <c r="M767" s="133" t="s">
        <v>998</v>
      </c>
      <c r="N767" s="133">
        <v>0</v>
      </c>
      <c r="P767" s="133">
        <v>0</v>
      </c>
      <c r="Q767" s="133">
        <v>300</v>
      </c>
      <c r="R767" s="133">
        <v>0</v>
      </c>
      <c r="S767" s="156">
        <v>0</v>
      </c>
    </row>
    <row r="768" spans="1:19">
      <c r="A768" s="133" t="s">
        <v>1183</v>
      </c>
      <c r="B768" s="133" t="s">
        <v>1175</v>
      </c>
      <c r="C768" s="133" t="s">
        <v>1000</v>
      </c>
      <c r="D768" s="133" t="s">
        <v>607</v>
      </c>
      <c r="E768" s="133" t="s">
        <v>608</v>
      </c>
      <c r="F768" s="133" t="s">
        <v>709</v>
      </c>
      <c r="G768" s="133" t="s">
        <v>719</v>
      </c>
      <c r="H768" s="133">
        <v>0.99</v>
      </c>
      <c r="I768" s="133">
        <v>0</v>
      </c>
      <c r="J768" s="133">
        <v>0</v>
      </c>
      <c r="L768" s="133">
        <v>0</v>
      </c>
      <c r="M768" s="133" t="s">
        <v>1096</v>
      </c>
      <c r="N768" s="133">
        <v>0</v>
      </c>
      <c r="P768" s="133">
        <v>0</v>
      </c>
      <c r="Q768" s="133">
        <v>0</v>
      </c>
      <c r="R768" s="133">
        <v>0</v>
      </c>
      <c r="S768" s="156"/>
    </row>
    <row r="769" spans="1:19">
      <c r="A769" s="10" t="s">
        <v>1183</v>
      </c>
      <c r="B769" s="10" t="s">
        <v>1175</v>
      </c>
      <c r="C769" s="10" t="s">
        <v>1000</v>
      </c>
      <c r="D769" s="10" t="s">
        <v>609</v>
      </c>
      <c r="E769" s="10" t="s">
        <v>610</v>
      </c>
      <c r="F769" s="10" t="s">
        <v>709</v>
      </c>
      <c r="G769" s="10" t="s">
        <v>719</v>
      </c>
      <c r="H769" s="10">
        <v>5.9</v>
      </c>
      <c r="I769" s="10">
        <v>0</v>
      </c>
      <c r="J769" s="10">
        <v>20</v>
      </c>
      <c r="K769" s="10"/>
      <c r="L769" s="10">
        <v>0</v>
      </c>
      <c r="M769" s="10" t="s">
        <v>1096</v>
      </c>
      <c r="N769" s="10">
        <v>0</v>
      </c>
      <c r="O769" s="10"/>
      <c r="P769" s="10">
        <v>0</v>
      </c>
      <c r="Q769" s="10">
        <v>0</v>
      </c>
      <c r="R769" s="10">
        <v>0</v>
      </c>
      <c r="S769" s="155"/>
    </row>
    <row r="770" spans="1:19">
      <c r="A770" s="133" t="s">
        <v>1183</v>
      </c>
      <c r="B770" s="133" t="s">
        <v>1175</v>
      </c>
      <c r="C770" s="133" t="s">
        <v>1000</v>
      </c>
      <c r="D770" s="133" t="s">
        <v>611</v>
      </c>
      <c r="E770" s="133" t="s">
        <v>612</v>
      </c>
      <c r="F770" s="133" t="s">
        <v>712</v>
      </c>
      <c r="G770" s="133" t="s">
        <v>719</v>
      </c>
      <c r="H770" s="133">
        <v>0.76</v>
      </c>
      <c r="I770" s="133">
        <v>0</v>
      </c>
      <c r="J770" s="133">
        <v>407</v>
      </c>
      <c r="L770" s="133">
        <v>0</v>
      </c>
      <c r="M770" s="133" t="s">
        <v>1096</v>
      </c>
      <c r="N770" s="133">
        <v>0</v>
      </c>
      <c r="P770" s="133">
        <v>0</v>
      </c>
      <c r="Q770" s="133">
        <v>0</v>
      </c>
      <c r="R770" s="133">
        <v>0</v>
      </c>
      <c r="S770" s="156"/>
    </row>
    <row r="771" spans="1:19">
      <c r="A771" s="133" t="s">
        <v>1183</v>
      </c>
      <c r="B771" s="133" t="s">
        <v>1175</v>
      </c>
      <c r="C771" s="133" t="s">
        <v>1000</v>
      </c>
      <c r="D771" s="133" t="s">
        <v>613</v>
      </c>
      <c r="E771" s="133" t="s">
        <v>614</v>
      </c>
      <c r="F771" s="133" t="s">
        <v>712</v>
      </c>
      <c r="G771" s="133" t="s">
        <v>719</v>
      </c>
      <c r="H771" s="133">
        <v>3.05</v>
      </c>
      <c r="I771" s="133">
        <v>0</v>
      </c>
      <c r="J771" s="133">
        <v>256</v>
      </c>
      <c r="L771" s="133">
        <v>0</v>
      </c>
      <c r="M771" s="133" t="s">
        <v>1096</v>
      </c>
      <c r="N771" s="133">
        <v>0</v>
      </c>
      <c r="P771" s="133">
        <v>0</v>
      </c>
      <c r="Q771" s="133">
        <v>0</v>
      </c>
      <c r="R771" s="133">
        <v>0</v>
      </c>
      <c r="S771" s="156"/>
    </row>
    <row r="772" spans="1:19">
      <c r="A772" s="133" t="s">
        <v>1183</v>
      </c>
      <c r="B772" s="133" t="s">
        <v>1175</v>
      </c>
      <c r="C772" s="133" t="s">
        <v>1000</v>
      </c>
      <c r="D772" s="133" t="s">
        <v>615</v>
      </c>
      <c r="E772" s="133" t="s">
        <v>616</v>
      </c>
      <c r="F772" s="133" t="s">
        <v>712</v>
      </c>
      <c r="G772" s="133" t="s">
        <v>719</v>
      </c>
      <c r="H772" s="133">
        <v>5.97</v>
      </c>
      <c r="I772" s="133">
        <v>0</v>
      </c>
      <c r="J772" s="133">
        <v>267</v>
      </c>
      <c r="K772" s="133">
        <v>60</v>
      </c>
      <c r="L772" s="133">
        <v>60</v>
      </c>
      <c r="M772" s="133" t="s">
        <v>998</v>
      </c>
      <c r="N772" s="133">
        <v>0</v>
      </c>
      <c r="P772" s="133">
        <v>0</v>
      </c>
      <c r="Q772" s="133">
        <v>60</v>
      </c>
      <c r="R772" s="133">
        <v>0</v>
      </c>
      <c r="S772" s="156">
        <v>0</v>
      </c>
    </row>
    <row r="773" spans="1:19">
      <c r="A773" s="133" t="s">
        <v>1183</v>
      </c>
      <c r="B773" s="133" t="s">
        <v>1175</v>
      </c>
      <c r="C773" s="133" t="s">
        <v>1000</v>
      </c>
      <c r="D773" s="133" t="s">
        <v>617</v>
      </c>
      <c r="E773" s="133" t="s">
        <v>618</v>
      </c>
      <c r="F773" s="133" t="s">
        <v>709</v>
      </c>
      <c r="G773" s="133" t="s">
        <v>719</v>
      </c>
      <c r="H773" s="133">
        <v>2.37</v>
      </c>
      <c r="I773" s="133">
        <v>0</v>
      </c>
      <c r="J773" s="133">
        <v>935</v>
      </c>
      <c r="L773" s="133">
        <v>0</v>
      </c>
      <c r="M773" s="133" t="s">
        <v>1096</v>
      </c>
      <c r="N773" s="133">
        <v>0</v>
      </c>
      <c r="P773" s="133">
        <v>0</v>
      </c>
      <c r="Q773" s="133">
        <v>0</v>
      </c>
      <c r="R773" s="133">
        <v>0</v>
      </c>
      <c r="S773" s="156"/>
    </row>
    <row r="774" spans="1:19">
      <c r="A774" s="133" t="s">
        <v>1183</v>
      </c>
      <c r="B774" s="133" t="s">
        <v>1175</v>
      </c>
      <c r="C774" s="133" t="s">
        <v>1000</v>
      </c>
      <c r="D774" s="133" t="s">
        <v>619</v>
      </c>
      <c r="E774" s="133" t="s">
        <v>620</v>
      </c>
      <c r="F774" s="133" t="s">
        <v>709</v>
      </c>
      <c r="G774" s="133" t="s">
        <v>719</v>
      </c>
      <c r="H774" s="133">
        <v>11.05</v>
      </c>
      <c r="I774" s="133">
        <v>0</v>
      </c>
      <c r="J774" s="133">
        <v>64</v>
      </c>
      <c r="K774" s="133">
        <v>20</v>
      </c>
      <c r="L774" s="133">
        <v>30</v>
      </c>
      <c r="M774" s="133" t="s">
        <v>997</v>
      </c>
      <c r="N774" s="133">
        <v>0</v>
      </c>
      <c r="P774" s="133">
        <v>0</v>
      </c>
      <c r="Q774" s="133">
        <v>30</v>
      </c>
      <c r="R774" s="133">
        <v>0</v>
      </c>
      <c r="S774" s="156">
        <v>-0.5</v>
      </c>
    </row>
    <row r="775" spans="1:19">
      <c r="A775" s="133" t="s">
        <v>1183</v>
      </c>
      <c r="B775" s="133" t="s">
        <v>1175</v>
      </c>
      <c r="C775" s="133" t="s">
        <v>1000</v>
      </c>
      <c r="D775" s="133" t="s">
        <v>621</v>
      </c>
      <c r="E775" s="133" t="s">
        <v>622</v>
      </c>
      <c r="F775" s="133" t="s">
        <v>712</v>
      </c>
      <c r="G775" s="133" t="s">
        <v>719</v>
      </c>
      <c r="H775" s="133">
        <v>0.7</v>
      </c>
      <c r="I775" s="133">
        <v>0</v>
      </c>
      <c r="J775" s="133">
        <v>52</v>
      </c>
      <c r="L775" s="133">
        <v>0</v>
      </c>
      <c r="M775" s="133" t="s">
        <v>1096</v>
      </c>
      <c r="N775" s="133">
        <v>0</v>
      </c>
      <c r="P775" s="133">
        <v>0</v>
      </c>
      <c r="Q775" s="133">
        <v>0</v>
      </c>
      <c r="R775" s="133">
        <v>0</v>
      </c>
      <c r="S775" s="156"/>
    </row>
    <row r="776" spans="1:19">
      <c r="A776" s="133" t="s">
        <v>1183</v>
      </c>
      <c r="B776" s="133" t="s">
        <v>1175</v>
      </c>
      <c r="C776" s="133" t="s">
        <v>1000</v>
      </c>
      <c r="D776" s="133" t="s">
        <v>623</v>
      </c>
      <c r="E776" s="133" t="s">
        <v>624</v>
      </c>
      <c r="F776" s="133" t="s">
        <v>712</v>
      </c>
      <c r="G776" s="133" t="s">
        <v>719</v>
      </c>
      <c r="H776" s="133">
        <v>1.3</v>
      </c>
      <c r="I776" s="133">
        <v>0</v>
      </c>
      <c r="J776" s="133">
        <v>448</v>
      </c>
      <c r="K776" s="133">
        <v>100</v>
      </c>
      <c r="L776" s="133">
        <v>200</v>
      </c>
      <c r="M776" s="133" t="s">
        <v>997</v>
      </c>
      <c r="N776" s="133">
        <v>0</v>
      </c>
      <c r="P776" s="133">
        <v>0</v>
      </c>
      <c r="Q776" s="133">
        <v>200</v>
      </c>
      <c r="R776" s="133">
        <v>0</v>
      </c>
      <c r="S776" s="156">
        <v>-1</v>
      </c>
    </row>
    <row r="777" spans="1:19">
      <c r="A777" s="133" t="s">
        <v>1183</v>
      </c>
      <c r="B777" s="133" t="s">
        <v>1175</v>
      </c>
      <c r="C777" s="133" t="s">
        <v>1000</v>
      </c>
      <c r="D777" s="133" t="s">
        <v>625</v>
      </c>
      <c r="E777" s="133" t="s">
        <v>626</v>
      </c>
      <c r="F777" s="133" t="s">
        <v>712</v>
      </c>
      <c r="G777" s="133" t="s">
        <v>719</v>
      </c>
      <c r="H777" s="133">
        <v>6</v>
      </c>
      <c r="I777" s="133">
        <v>0</v>
      </c>
      <c r="J777" s="133">
        <v>539</v>
      </c>
      <c r="L777" s="133">
        <v>0</v>
      </c>
      <c r="M777" s="133" t="s">
        <v>1096</v>
      </c>
      <c r="N777" s="133">
        <v>0</v>
      </c>
      <c r="P777" s="133">
        <v>0</v>
      </c>
      <c r="Q777" s="133">
        <v>0</v>
      </c>
      <c r="R777" s="133">
        <v>0</v>
      </c>
      <c r="S777" s="156"/>
    </row>
    <row r="778" spans="1:19">
      <c r="A778" s="133" t="s">
        <v>1183</v>
      </c>
      <c r="B778" s="133" t="s">
        <v>1175</v>
      </c>
      <c r="C778" s="133" t="s">
        <v>1000</v>
      </c>
      <c r="D778" s="133" t="s">
        <v>627</v>
      </c>
      <c r="E778" s="133" t="s">
        <v>628</v>
      </c>
      <c r="F778" s="133" t="s">
        <v>712</v>
      </c>
      <c r="G778" s="133" t="s">
        <v>715</v>
      </c>
      <c r="H778" s="133">
        <v>1.05</v>
      </c>
      <c r="I778" s="133">
        <v>0</v>
      </c>
      <c r="J778" s="133">
        <v>116</v>
      </c>
      <c r="L778" s="133">
        <v>0</v>
      </c>
      <c r="M778" s="133" t="s">
        <v>1096</v>
      </c>
      <c r="N778" s="133">
        <v>0</v>
      </c>
      <c r="P778" s="133">
        <v>0</v>
      </c>
      <c r="Q778" s="133">
        <v>0</v>
      </c>
      <c r="R778" s="133">
        <v>0</v>
      </c>
      <c r="S778" s="156"/>
    </row>
    <row r="779" spans="1:19">
      <c r="A779" s="133" t="s">
        <v>1183</v>
      </c>
      <c r="B779" s="133" t="s">
        <v>1175</v>
      </c>
      <c r="C779" s="133" t="s">
        <v>1000</v>
      </c>
      <c r="D779" s="133" t="s">
        <v>629</v>
      </c>
      <c r="E779" s="133" t="s">
        <v>630</v>
      </c>
      <c r="F779" s="133" t="s">
        <v>712</v>
      </c>
      <c r="G779" s="133" t="s">
        <v>715</v>
      </c>
      <c r="H779" s="133">
        <v>2.27</v>
      </c>
      <c r="I779" s="133">
        <v>0</v>
      </c>
      <c r="J779" s="133">
        <v>317</v>
      </c>
      <c r="L779" s="133">
        <v>0</v>
      </c>
      <c r="M779" s="133" t="s">
        <v>1096</v>
      </c>
      <c r="N779" s="133">
        <v>0</v>
      </c>
      <c r="P779" s="133">
        <v>0</v>
      </c>
      <c r="Q779" s="133">
        <v>0</v>
      </c>
      <c r="R779" s="133">
        <v>0</v>
      </c>
      <c r="S779" s="156"/>
    </row>
    <row r="780" spans="1:19">
      <c r="A780" s="133" t="s">
        <v>1183</v>
      </c>
      <c r="B780" s="133" t="s">
        <v>1175</v>
      </c>
      <c r="C780" s="133" t="s">
        <v>1000</v>
      </c>
      <c r="D780" s="133" t="s">
        <v>631</v>
      </c>
      <c r="E780" s="133" t="s">
        <v>632</v>
      </c>
      <c r="F780" s="133" t="s">
        <v>712</v>
      </c>
      <c r="G780" s="133" t="s">
        <v>715</v>
      </c>
      <c r="H780" s="133">
        <v>4.3600000000000003</v>
      </c>
      <c r="I780" s="133">
        <v>0</v>
      </c>
      <c r="J780" s="133">
        <v>132</v>
      </c>
      <c r="L780" s="133">
        <v>0</v>
      </c>
      <c r="M780" s="133" t="s">
        <v>1096</v>
      </c>
      <c r="N780" s="133">
        <v>0</v>
      </c>
      <c r="P780" s="133">
        <v>0</v>
      </c>
      <c r="Q780" s="133">
        <v>0</v>
      </c>
      <c r="R780" s="133">
        <v>0</v>
      </c>
      <c r="S780" s="156"/>
    </row>
    <row r="781" spans="1:19">
      <c r="A781" s="133" t="s">
        <v>1183</v>
      </c>
      <c r="B781" s="133" t="s">
        <v>1175</v>
      </c>
      <c r="C781" s="133" t="s">
        <v>1000</v>
      </c>
      <c r="D781" s="133" t="s">
        <v>633</v>
      </c>
      <c r="E781" s="133" t="s">
        <v>634</v>
      </c>
      <c r="F781" s="133" t="s">
        <v>712</v>
      </c>
      <c r="G781" s="133" t="s">
        <v>715</v>
      </c>
      <c r="H781" s="133">
        <v>8.4600000000000009</v>
      </c>
      <c r="I781" s="133">
        <v>0</v>
      </c>
      <c r="J781" s="133">
        <v>450</v>
      </c>
      <c r="K781" s="133">
        <v>60</v>
      </c>
      <c r="L781" s="133">
        <v>60</v>
      </c>
      <c r="M781" s="133" t="s">
        <v>998</v>
      </c>
      <c r="N781" s="133">
        <v>0</v>
      </c>
      <c r="P781" s="133">
        <v>0</v>
      </c>
      <c r="Q781" s="133">
        <v>60</v>
      </c>
      <c r="R781" s="133">
        <v>0</v>
      </c>
      <c r="S781" s="156">
        <v>0</v>
      </c>
    </row>
    <row r="782" spans="1:19">
      <c r="A782" s="133" t="s">
        <v>1183</v>
      </c>
      <c r="B782" s="133" t="s">
        <v>1175</v>
      </c>
      <c r="C782" s="133" t="s">
        <v>1000</v>
      </c>
      <c r="D782" s="133" t="s">
        <v>635</v>
      </c>
      <c r="E782" s="133" t="s">
        <v>636</v>
      </c>
      <c r="F782" s="133" t="s">
        <v>709</v>
      </c>
      <c r="G782" s="133" t="s">
        <v>719</v>
      </c>
      <c r="H782" s="133">
        <v>0.82</v>
      </c>
      <c r="I782" s="133">
        <v>0</v>
      </c>
      <c r="J782" s="133">
        <v>497</v>
      </c>
      <c r="L782" s="133">
        <v>0</v>
      </c>
      <c r="M782" s="133" t="s">
        <v>1096</v>
      </c>
      <c r="N782" s="133">
        <v>0</v>
      </c>
      <c r="P782" s="133">
        <v>0</v>
      </c>
      <c r="Q782" s="133">
        <v>0</v>
      </c>
      <c r="R782" s="133">
        <v>0</v>
      </c>
      <c r="S782" s="156"/>
    </row>
    <row r="783" spans="1:19">
      <c r="A783" s="133" t="s">
        <v>1183</v>
      </c>
      <c r="B783" s="133" t="s">
        <v>1175</v>
      </c>
      <c r="C783" s="133" t="s">
        <v>1000</v>
      </c>
      <c r="D783" s="133" t="s">
        <v>637</v>
      </c>
      <c r="E783" s="133" t="s">
        <v>638</v>
      </c>
      <c r="F783" s="133" t="s">
        <v>709</v>
      </c>
      <c r="G783" s="133" t="s">
        <v>719</v>
      </c>
      <c r="H783" s="133">
        <v>1.35</v>
      </c>
      <c r="I783" s="133">
        <v>0</v>
      </c>
      <c r="J783" s="133">
        <v>1748</v>
      </c>
      <c r="K783" s="133">
        <v>60</v>
      </c>
      <c r="L783" s="133">
        <v>133</v>
      </c>
      <c r="M783" s="133" t="s">
        <v>997</v>
      </c>
      <c r="N783" s="133">
        <v>0</v>
      </c>
      <c r="P783" s="133">
        <v>0</v>
      </c>
      <c r="Q783" s="133">
        <v>133</v>
      </c>
      <c r="R783" s="133">
        <v>0</v>
      </c>
      <c r="S783" s="156">
        <v>-1.2166666666666666</v>
      </c>
    </row>
    <row r="784" spans="1:19">
      <c r="A784" s="133" t="s">
        <v>1183</v>
      </c>
      <c r="B784" s="133" t="s">
        <v>1175</v>
      </c>
      <c r="C784" s="133" t="s">
        <v>1000</v>
      </c>
      <c r="D784" s="133" t="s">
        <v>639</v>
      </c>
      <c r="E784" s="133" t="s">
        <v>640</v>
      </c>
      <c r="F784" s="133" t="s">
        <v>709</v>
      </c>
      <c r="G784" s="133" t="s">
        <v>719</v>
      </c>
      <c r="H784" s="133">
        <v>2.34</v>
      </c>
      <c r="I784" s="133">
        <v>0</v>
      </c>
      <c r="J784" s="133">
        <v>618</v>
      </c>
      <c r="L784" s="133">
        <v>0</v>
      </c>
      <c r="M784" s="133" t="s">
        <v>1096</v>
      </c>
      <c r="N784" s="133">
        <v>0</v>
      </c>
      <c r="P784" s="133">
        <v>0</v>
      </c>
      <c r="Q784" s="133">
        <v>0</v>
      </c>
      <c r="R784" s="133">
        <v>0</v>
      </c>
      <c r="S784" s="156"/>
    </row>
    <row r="785" spans="1:19">
      <c r="A785" s="133" t="s">
        <v>1183</v>
      </c>
      <c r="B785" s="133" t="s">
        <v>1175</v>
      </c>
      <c r="C785" s="133" t="s">
        <v>1000</v>
      </c>
      <c r="D785" s="133" t="s">
        <v>641</v>
      </c>
      <c r="E785" s="133" t="s">
        <v>642</v>
      </c>
      <c r="F785" s="133" t="s">
        <v>709</v>
      </c>
      <c r="G785" s="133" t="s">
        <v>719</v>
      </c>
      <c r="H785" s="133">
        <v>5.27</v>
      </c>
      <c r="I785" s="133">
        <v>0</v>
      </c>
      <c r="J785" s="133">
        <v>724</v>
      </c>
      <c r="K785" s="133">
        <v>50</v>
      </c>
      <c r="L785" s="133">
        <v>50</v>
      </c>
      <c r="M785" s="133" t="s">
        <v>998</v>
      </c>
      <c r="N785" s="133">
        <v>0</v>
      </c>
      <c r="P785" s="133">
        <v>0</v>
      </c>
      <c r="Q785" s="133">
        <v>50</v>
      </c>
      <c r="R785" s="133">
        <v>0</v>
      </c>
      <c r="S785" s="156">
        <v>0</v>
      </c>
    </row>
    <row r="786" spans="1:19">
      <c r="A786" s="133" t="s">
        <v>1183</v>
      </c>
      <c r="B786" s="133" t="s">
        <v>1175</v>
      </c>
      <c r="C786" s="133" t="s">
        <v>1000</v>
      </c>
      <c r="D786" s="133" t="s">
        <v>647</v>
      </c>
      <c r="E786" s="133" t="s">
        <v>648</v>
      </c>
      <c r="F786" s="133" t="s">
        <v>708</v>
      </c>
      <c r="G786" s="133" t="s">
        <v>715</v>
      </c>
      <c r="H786" s="133">
        <v>10.039999999999999</v>
      </c>
      <c r="I786" s="133">
        <v>0</v>
      </c>
      <c r="J786" s="133">
        <v>861</v>
      </c>
      <c r="K786" s="133">
        <v>46</v>
      </c>
      <c r="L786" s="133">
        <v>77</v>
      </c>
      <c r="M786" s="133" t="s">
        <v>997</v>
      </c>
      <c r="N786" s="133">
        <v>0</v>
      </c>
      <c r="P786" s="133">
        <v>0</v>
      </c>
      <c r="Q786" s="133">
        <v>77</v>
      </c>
      <c r="R786" s="133">
        <v>0</v>
      </c>
      <c r="S786" s="156">
        <v>-0.67391304347826086</v>
      </c>
    </row>
    <row r="787" spans="1:19">
      <c r="A787" s="133" t="s">
        <v>1183</v>
      </c>
      <c r="B787" s="133" t="s">
        <v>1175</v>
      </c>
      <c r="C787" s="133" t="s">
        <v>1000</v>
      </c>
      <c r="D787" s="133" t="s">
        <v>649</v>
      </c>
      <c r="E787" s="133" t="s">
        <v>650</v>
      </c>
      <c r="F787" s="133" t="s">
        <v>708</v>
      </c>
      <c r="G787" s="133" t="s">
        <v>715</v>
      </c>
      <c r="H787" s="133">
        <v>50.77</v>
      </c>
      <c r="I787" s="133">
        <v>0</v>
      </c>
      <c r="J787" s="133">
        <v>5</v>
      </c>
      <c r="L787" s="133">
        <v>0</v>
      </c>
      <c r="M787" s="133" t="s">
        <v>1096</v>
      </c>
      <c r="N787" s="133">
        <v>0</v>
      </c>
      <c r="P787" s="133">
        <v>0</v>
      </c>
      <c r="Q787" s="133">
        <v>0</v>
      </c>
      <c r="R787" s="133">
        <v>0</v>
      </c>
      <c r="S787" s="156"/>
    </row>
    <row r="788" spans="1:19">
      <c r="A788" s="133" t="s">
        <v>1183</v>
      </c>
      <c r="B788" s="133" t="s">
        <v>1175</v>
      </c>
      <c r="C788" s="133" t="s">
        <v>1000</v>
      </c>
      <c r="D788" s="133" t="s">
        <v>659</v>
      </c>
      <c r="E788" s="133" t="s">
        <v>660</v>
      </c>
      <c r="F788" s="133" t="s">
        <v>707</v>
      </c>
      <c r="G788" s="133" t="s">
        <v>732</v>
      </c>
      <c r="H788" s="133">
        <v>121.78</v>
      </c>
      <c r="I788" s="133">
        <v>0</v>
      </c>
      <c r="J788" s="133">
        <v>1</v>
      </c>
      <c r="L788" s="133">
        <v>0</v>
      </c>
      <c r="M788" s="133" t="s">
        <v>1096</v>
      </c>
      <c r="N788" s="133">
        <v>0</v>
      </c>
      <c r="P788" s="133">
        <v>0</v>
      </c>
      <c r="Q788" s="133">
        <v>0</v>
      </c>
      <c r="R788" s="133">
        <v>0</v>
      </c>
      <c r="S788" s="156"/>
    </row>
    <row r="789" spans="1:19">
      <c r="A789" s="133" t="s">
        <v>1183</v>
      </c>
      <c r="B789" s="133" t="s">
        <v>1175</v>
      </c>
      <c r="C789" s="133" t="s">
        <v>1000</v>
      </c>
      <c r="D789" s="133" t="s">
        <v>661</v>
      </c>
      <c r="E789" s="133" t="s">
        <v>662</v>
      </c>
      <c r="F789" s="133" t="s">
        <v>707</v>
      </c>
      <c r="G789" s="133" t="s">
        <v>732</v>
      </c>
      <c r="H789" s="133">
        <v>24.73</v>
      </c>
      <c r="I789" s="133">
        <v>0</v>
      </c>
      <c r="J789" s="133">
        <v>8</v>
      </c>
      <c r="L789" s="133">
        <v>0</v>
      </c>
      <c r="M789" s="133" t="s">
        <v>1096</v>
      </c>
      <c r="N789" s="133">
        <v>0</v>
      </c>
      <c r="P789" s="133">
        <v>0</v>
      </c>
      <c r="Q789" s="133">
        <v>0</v>
      </c>
      <c r="R789" s="133">
        <v>0</v>
      </c>
      <c r="S789" s="156"/>
    </row>
    <row r="790" spans="1:19">
      <c r="A790" s="133" t="s">
        <v>1183</v>
      </c>
      <c r="B790" s="133" t="s">
        <v>1175</v>
      </c>
      <c r="C790" s="133" t="s">
        <v>1000</v>
      </c>
      <c r="D790" s="133" t="s">
        <v>663</v>
      </c>
      <c r="E790" s="133" t="s">
        <v>664</v>
      </c>
      <c r="F790" s="133" t="s">
        <v>707</v>
      </c>
      <c r="G790" s="133" t="s">
        <v>732</v>
      </c>
      <c r="H790" s="133">
        <v>6.54</v>
      </c>
      <c r="I790" s="133">
        <v>0</v>
      </c>
      <c r="J790" s="133">
        <v>184</v>
      </c>
      <c r="L790" s="133">
        <v>0</v>
      </c>
      <c r="M790" s="133" t="s">
        <v>1096</v>
      </c>
      <c r="N790" s="133">
        <v>0</v>
      </c>
      <c r="P790" s="133">
        <v>0</v>
      </c>
      <c r="Q790" s="133">
        <v>0</v>
      </c>
      <c r="R790" s="133">
        <v>0</v>
      </c>
      <c r="S790" s="156"/>
    </row>
    <row r="791" spans="1:19">
      <c r="A791" s="133" t="s">
        <v>1183</v>
      </c>
      <c r="B791" s="133" t="s">
        <v>1175</v>
      </c>
      <c r="C791" s="133" t="s">
        <v>1000</v>
      </c>
      <c r="D791" s="133" t="s">
        <v>733</v>
      </c>
      <c r="E791" s="133" t="s">
        <v>734</v>
      </c>
      <c r="F791" s="133" t="s">
        <v>709</v>
      </c>
      <c r="G791" s="133" t="s">
        <v>732</v>
      </c>
      <c r="H791" s="133">
        <v>16.05</v>
      </c>
      <c r="I791" s="133">
        <v>0</v>
      </c>
      <c r="J791" s="133">
        <v>15</v>
      </c>
      <c r="L791" s="133">
        <v>0</v>
      </c>
      <c r="M791" s="133" t="s">
        <v>1096</v>
      </c>
      <c r="N791" s="133">
        <v>0</v>
      </c>
      <c r="P791" s="133">
        <v>0</v>
      </c>
      <c r="Q791" s="133">
        <v>0</v>
      </c>
      <c r="R791" s="133">
        <v>0</v>
      </c>
      <c r="S791" s="156"/>
    </row>
    <row r="792" spans="1:19">
      <c r="A792" s="133" t="s">
        <v>1183</v>
      </c>
      <c r="B792" s="133" t="s">
        <v>1175</v>
      </c>
      <c r="C792" s="133" t="s">
        <v>1000</v>
      </c>
      <c r="D792" s="133" t="s">
        <v>730</v>
      </c>
      <c r="E792" s="133" t="s">
        <v>731</v>
      </c>
      <c r="F792" s="133" t="s">
        <v>709</v>
      </c>
      <c r="G792" s="133" t="s">
        <v>732</v>
      </c>
      <c r="H792" s="133">
        <v>62.58</v>
      </c>
      <c r="I792" s="133">
        <v>0</v>
      </c>
      <c r="J792" s="133">
        <v>56</v>
      </c>
      <c r="K792" s="133">
        <v>4</v>
      </c>
      <c r="L792" s="133">
        <v>4</v>
      </c>
      <c r="M792" s="133" t="s">
        <v>998</v>
      </c>
      <c r="N792" s="133">
        <v>0</v>
      </c>
      <c r="P792" s="133">
        <v>0</v>
      </c>
      <c r="Q792" s="133">
        <v>4</v>
      </c>
      <c r="R792" s="133">
        <v>0</v>
      </c>
      <c r="S792" s="156">
        <v>0</v>
      </c>
    </row>
    <row r="793" spans="1:19">
      <c r="A793" s="133" t="s">
        <v>1183</v>
      </c>
      <c r="B793" s="133" t="s">
        <v>1175</v>
      </c>
      <c r="C793" s="133" t="s">
        <v>1000</v>
      </c>
      <c r="D793" s="133" t="s">
        <v>665</v>
      </c>
      <c r="E793" s="133" t="s">
        <v>666</v>
      </c>
      <c r="F793" s="133" t="s">
        <v>709</v>
      </c>
      <c r="G793" s="133" t="s">
        <v>715</v>
      </c>
      <c r="H793" s="133">
        <v>1.42</v>
      </c>
      <c r="I793" s="133">
        <v>0</v>
      </c>
      <c r="J793" s="133">
        <v>44</v>
      </c>
      <c r="K793" s="133">
        <v>40</v>
      </c>
      <c r="L793" s="133">
        <v>34</v>
      </c>
      <c r="M793" s="133" t="s">
        <v>998</v>
      </c>
      <c r="N793" s="133">
        <v>0</v>
      </c>
      <c r="P793" s="133">
        <v>0</v>
      </c>
      <c r="Q793" s="133">
        <v>34</v>
      </c>
      <c r="R793" s="133">
        <v>6</v>
      </c>
      <c r="S793" s="156">
        <v>0.15</v>
      </c>
    </row>
    <row r="794" spans="1:19">
      <c r="A794" s="133" t="s">
        <v>1183</v>
      </c>
      <c r="B794" s="133" t="s">
        <v>1175</v>
      </c>
      <c r="C794" s="133" t="s">
        <v>1000</v>
      </c>
      <c r="D794" s="133" t="s">
        <v>667</v>
      </c>
      <c r="E794" s="133" t="s">
        <v>668</v>
      </c>
      <c r="F794" s="133" t="s">
        <v>709</v>
      </c>
      <c r="G794" s="133" t="s">
        <v>715</v>
      </c>
      <c r="H794" s="133">
        <v>14.83</v>
      </c>
      <c r="I794" s="133">
        <v>0</v>
      </c>
      <c r="J794" s="133">
        <v>1</v>
      </c>
      <c r="K794" s="133">
        <v>20</v>
      </c>
      <c r="L794" s="133">
        <v>20</v>
      </c>
      <c r="M794" s="133" t="s">
        <v>998</v>
      </c>
      <c r="N794" s="133">
        <v>0</v>
      </c>
      <c r="P794" s="133">
        <v>0</v>
      </c>
      <c r="Q794" s="133">
        <v>20</v>
      </c>
      <c r="R794" s="133">
        <v>0</v>
      </c>
      <c r="S794" s="156">
        <v>0</v>
      </c>
    </row>
    <row r="795" spans="1:19">
      <c r="A795" s="133" t="s">
        <v>1183</v>
      </c>
      <c r="B795" s="133" t="s">
        <v>1175</v>
      </c>
      <c r="C795" s="133" t="s">
        <v>1000</v>
      </c>
      <c r="D795" s="133" t="s">
        <v>669</v>
      </c>
      <c r="E795" s="133" t="s">
        <v>670</v>
      </c>
      <c r="F795" s="133" t="s">
        <v>708</v>
      </c>
      <c r="G795" s="133" t="s">
        <v>715</v>
      </c>
      <c r="H795" s="133">
        <v>1.75</v>
      </c>
      <c r="I795" s="133">
        <v>0</v>
      </c>
      <c r="J795" s="133">
        <v>596</v>
      </c>
      <c r="K795" s="133">
        <v>50</v>
      </c>
      <c r="L795" s="133">
        <v>85</v>
      </c>
      <c r="M795" s="133" t="s">
        <v>997</v>
      </c>
      <c r="N795" s="133">
        <v>0</v>
      </c>
      <c r="P795" s="133">
        <v>0</v>
      </c>
      <c r="Q795" s="133">
        <v>85</v>
      </c>
      <c r="R795" s="133">
        <v>0</v>
      </c>
      <c r="S795" s="156">
        <v>-0.7</v>
      </c>
    </row>
    <row r="796" spans="1:19">
      <c r="A796" s="133" t="s">
        <v>1184</v>
      </c>
      <c r="B796" s="133" t="s">
        <v>1180</v>
      </c>
      <c r="C796" s="133" t="s">
        <v>1000</v>
      </c>
      <c r="D796" s="133" t="s">
        <v>85</v>
      </c>
      <c r="E796" s="133" t="s">
        <v>86</v>
      </c>
      <c r="F796" s="133" t="s">
        <v>707</v>
      </c>
      <c r="G796" s="133" t="s">
        <v>715</v>
      </c>
      <c r="H796" s="133">
        <v>0.37</v>
      </c>
      <c r="I796" s="133">
        <v>0</v>
      </c>
      <c r="J796" s="133">
        <v>0</v>
      </c>
      <c r="L796" s="133">
        <v>0</v>
      </c>
      <c r="M796" s="133" t="s">
        <v>1096</v>
      </c>
      <c r="N796" s="133">
        <v>0</v>
      </c>
      <c r="P796" s="133">
        <v>0</v>
      </c>
      <c r="Q796" s="133">
        <v>0</v>
      </c>
      <c r="R796" s="133">
        <v>0</v>
      </c>
      <c r="S796" s="156"/>
    </row>
    <row r="797" spans="1:19">
      <c r="A797" s="133" t="s">
        <v>1184</v>
      </c>
      <c r="B797" s="133" t="s">
        <v>1180</v>
      </c>
      <c r="C797" s="133" t="s">
        <v>1000</v>
      </c>
      <c r="D797" s="133" t="s">
        <v>87</v>
      </c>
      <c r="E797" s="133" t="s">
        <v>88</v>
      </c>
      <c r="F797" s="133" t="s">
        <v>707</v>
      </c>
      <c r="G797" s="133" t="s">
        <v>715</v>
      </c>
      <c r="H797" s="133">
        <v>0.66</v>
      </c>
      <c r="I797" s="133">
        <v>0</v>
      </c>
      <c r="J797" s="133">
        <v>0</v>
      </c>
      <c r="L797" s="133">
        <v>0</v>
      </c>
      <c r="M797" s="133" t="s">
        <v>1096</v>
      </c>
      <c r="N797" s="133">
        <v>0</v>
      </c>
      <c r="P797" s="133">
        <v>0</v>
      </c>
      <c r="Q797" s="133">
        <v>0</v>
      </c>
      <c r="R797" s="133">
        <v>0</v>
      </c>
      <c r="S797" s="156"/>
    </row>
    <row r="798" spans="1:19">
      <c r="A798" s="133" t="s">
        <v>1184</v>
      </c>
      <c r="B798" s="133" t="s">
        <v>1180</v>
      </c>
      <c r="C798" s="133" t="s">
        <v>1000</v>
      </c>
      <c r="D798" s="133" t="s">
        <v>89</v>
      </c>
      <c r="E798" s="133" t="s">
        <v>90</v>
      </c>
      <c r="F798" s="133" t="s">
        <v>707</v>
      </c>
      <c r="G798" s="133" t="s">
        <v>715</v>
      </c>
      <c r="H798" s="133">
        <v>1.83</v>
      </c>
      <c r="I798" s="133">
        <v>0</v>
      </c>
      <c r="J798" s="133">
        <v>0</v>
      </c>
      <c r="L798" s="133">
        <v>0</v>
      </c>
      <c r="M798" s="133" t="s">
        <v>1096</v>
      </c>
      <c r="N798" s="133">
        <v>0</v>
      </c>
      <c r="P798" s="133">
        <v>0</v>
      </c>
      <c r="Q798" s="133">
        <v>0</v>
      </c>
      <c r="R798" s="133">
        <v>0</v>
      </c>
      <c r="S798" s="156"/>
    </row>
    <row r="799" spans="1:19">
      <c r="A799" s="133" t="s">
        <v>1184</v>
      </c>
      <c r="B799" s="133" t="s">
        <v>1180</v>
      </c>
      <c r="C799" s="133" t="s">
        <v>1000</v>
      </c>
      <c r="D799" s="133" t="s">
        <v>91</v>
      </c>
      <c r="E799" s="133" t="s">
        <v>92</v>
      </c>
      <c r="F799" s="133" t="s">
        <v>707</v>
      </c>
      <c r="G799" s="133" t="s">
        <v>715</v>
      </c>
      <c r="H799" s="133">
        <v>1.9</v>
      </c>
      <c r="I799" s="133">
        <v>0</v>
      </c>
      <c r="J799" s="133">
        <v>0</v>
      </c>
      <c r="L799" s="133">
        <v>0</v>
      </c>
      <c r="M799" s="133" t="s">
        <v>1096</v>
      </c>
      <c r="N799" s="133">
        <v>0</v>
      </c>
      <c r="P799" s="133">
        <v>0</v>
      </c>
      <c r="Q799" s="133">
        <v>0</v>
      </c>
      <c r="R799" s="133">
        <v>0</v>
      </c>
      <c r="S799" s="156"/>
    </row>
    <row r="800" spans="1:19">
      <c r="A800" s="133" t="s">
        <v>1184</v>
      </c>
      <c r="B800" s="133" t="s">
        <v>1180</v>
      </c>
      <c r="C800" s="133" t="s">
        <v>1000</v>
      </c>
      <c r="D800" s="133" t="s">
        <v>93</v>
      </c>
      <c r="E800" s="133" t="s">
        <v>94</v>
      </c>
      <c r="F800" s="133" t="s">
        <v>707</v>
      </c>
      <c r="G800" s="133" t="s">
        <v>715</v>
      </c>
      <c r="H800" s="133">
        <v>1.88</v>
      </c>
      <c r="I800" s="133">
        <v>0</v>
      </c>
      <c r="J800" s="133">
        <v>0</v>
      </c>
      <c r="L800" s="133">
        <v>0</v>
      </c>
      <c r="M800" s="133" t="s">
        <v>1096</v>
      </c>
      <c r="N800" s="133">
        <v>0</v>
      </c>
      <c r="P800" s="133">
        <v>0</v>
      </c>
      <c r="Q800" s="133">
        <v>0</v>
      </c>
      <c r="R800" s="133">
        <v>0</v>
      </c>
      <c r="S800" s="156"/>
    </row>
    <row r="801" spans="1:19">
      <c r="A801" s="133" t="s">
        <v>1184</v>
      </c>
      <c r="B801" s="133" t="s">
        <v>1180</v>
      </c>
      <c r="C801" s="133" t="s">
        <v>1000</v>
      </c>
      <c r="D801" s="133" t="s">
        <v>95</v>
      </c>
      <c r="E801" s="133" t="s">
        <v>96</v>
      </c>
      <c r="F801" s="133" t="s">
        <v>707</v>
      </c>
      <c r="G801" s="133" t="s">
        <v>715</v>
      </c>
      <c r="H801" s="133">
        <v>1.94</v>
      </c>
      <c r="I801" s="133">
        <v>0</v>
      </c>
      <c r="J801" s="133">
        <v>40</v>
      </c>
      <c r="K801" s="133">
        <v>25</v>
      </c>
      <c r="L801" s="133">
        <v>3</v>
      </c>
      <c r="M801" s="133" t="s">
        <v>996</v>
      </c>
      <c r="N801" s="133">
        <v>0</v>
      </c>
      <c r="P801" s="133">
        <v>0</v>
      </c>
      <c r="Q801" s="133">
        <v>3</v>
      </c>
      <c r="R801" s="133">
        <v>22</v>
      </c>
      <c r="S801" s="156">
        <v>0.88</v>
      </c>
    </row>
    <row r="802" spans="1:19">
      <c r="A802" s="133" t="s">
        <v>1184</v>
      </c>
      <c r="B802" s="133" t="s">
        <v>1180</v>
      </c>
      <c r="C802" s="133" t="s">
        <v>1000</v>
      </c>
      <c r="D802" s="133" t="s">
        <v>97</v>
      </c>
      <c r="E802" s="133" t="s">
        <v>98</v>
      </c>
      <c r="F802" s="133" t="s">
        <v>707</v>
      </c>
      <c r="G802" s="133" t="s">
        <v>715</v>
      </c>
      <c r="H802" s="133">
        <v>1.78</v>
      </c>
      <c r="I802" s="133">
        <v>0</v>
      </c>
      <c r="J802" s="133">
        <v>90</v>
      </c>
      <c r="K802" s="133">
        <v>25</v>
      </c>
      <c r="L802" s="133">
        <v>0</v>
      </c>
      <c r="M802" s="133" t="s">
        <v>999</v>
      </c>
      <c r="N802" s="133">
        <v>0</v>
      </c>
      <c r="P802" s="133">
        <v>0</v>
      </c>
      <c r="Q802" s="133">
        <v>0</v>
      </c>
      <c r="R802" s="133">
        <v>25</v>
      </c>
      <c r="S802" s="156">
        <v>1</v>
      </c>
    </row>
    <row r="803" spans="1:19">
      <c r="A803" s="133" t="s">
        <v>1184</v>
      </c>
      <c r="B803" s="133" t="s">
        <v>1180</v>
      </c>
      <c r="C803" s="133" t="s">
        <v>1000</v>
      </c>
      <c r="D803" s="133" t="s">
        <v>99</v>
      </c>
      <c r="E803" s="133" t="s">
        <v>100</v>
      </c>
      <c r="F803" s="133" t="s">
        <v>707</v>
      </c>
      <c r="G803" s="133" t="s">
        <v>715</v>
      </c>
      <c r="H803" s="133">
        <v>2</v>
      </c>
      <c r="I803" s="133">
        <v>0</v>
      </c>
      <c r="J803" s="133">
        <v>16</v>
      </c>
      <c r="L803" s="133">
        <v>0</v>
      </c>
      <c r="M803" s="133" t="s">
        <v>1096</v>
      </c>
      <c r="N803" s="133">
        <v>0</v>
      </c>
      <c r="P803" s="133">
        <v>0</v>
      </c>
      <c r="Q803" s="133">
        <v>0</v>
      </c>
      <c r="R803" s="133">
        <v>0</v>
      </c>
      <c r="S803" s="156"/>
    </row>
    <row r="804" spans="1:19">
      <c r="A804" s="133" t="s">
        <v>1184</v>
      </c>
      <c r="B804" s="133" t="s">
        <v>1180</v>
      </c>
      <c r="C804" s="133" t="s">
        <v>1000</v>
      </c>
      <c r="D804" s="133" t="s">
        <v>101</v>
      </c>
      <c r="E804" s="133" t="s">
        <v>102</v>
      </c>
      <c r="F804" s="133" t="s">
        <v>707</v>
      </c>
      <c r="G804" s="133" t="s">
        <v>715</v>
      </c>
      <c r="H804" s="133">
        <v>0.87</v>
      </c>
      <c r="I804" s="133">
        <v>0</v>
      </c>
      <c r="J804" s="133">
        <v>10</v>
      </c>
      <c r="K804" s="133">
        <v>4</v>
      </c>
      <c r="L804" s="133">
        <v>3</v>
      </c>
      <c r="M804" s="133" t="s">
        <v>714</v>
      </c>
      <c r="N804" s="133">
        <v>0</v>
      </c>
      <c r="P804" s="133">
        <v>0</v>
      </c>
      <c r="Q804" s="133">
        <v>3</v>
      </c>
      <c r="R804" s="133">
        <v>1</v>
      </c>
      <c r="S804" s="156">
        <v>0.25</v>
      </c>
    </row>
    <row r="805" spans="1:19">
      <c r="A805" s="133" t="s">
        <v>1184</v>
      </c>
      <c r="B805" s="133" t="s">
        <v>1180</v>
      </c>
      <c r="C805" s="133" t="s">
        <v>1000</v>
      </c>
      <c r="D805" s="133" t="s">
        <v>103</v>
      </c>
      <c r="E805" s="133" t="s">
        <v>104</v>
      </c>
      <c r="F805" s="133" t="s">
        <v>707</v>
      </c>
      <c r="G805" s="133" t="s">
        <v>715</v>
      </c>
      <c r="H805" s="133">
        <v>1.38</v>
      </c>
      <c r="I805" s="133">
        <v>0</v>
      </c>
      <c r="J805" s="133">
        <v>50</v>
      </c>
      <c r="K805" s="133">
        <v>20</v>
      </c>
      <c r="L805" s="133">
        <v>16</v>
      </c>
      <c r="M805" s="133" t="s">
        <v>998</v>
      </c>
      <c r="N805" s="133">
        <v>0</v>
      </c>
      <c r="P805" s="133">
        <v>0</v>
      </c>
      <c r="Q805" s="133">
        <v>16</v>
      </c>
      <c r="R805" s="133">
        <v>4</v>
      </c>
      <c r="S805" s="156">
        <v>0.2</v>
      </c>
    </row>
    <row r="806" spans="1:19">
      <c r="A806" s="133" t="s">
        <v>1184</v>
      </c>
      <c r="B806" s="133" t="s">
        <v>1180</v>
      </c>
      <c r="C806" s="133" t="s">
        <v>1000</v>
      </c>
      <c r="D806" s="133" t="s">
        <v>105</v>
      </c>
      <c r="E806" s="133" t="s">
        <v>106</v>
      </c>
      <c r="F806" s="133" t="s">
        <v>707</v>
      </c>
      <c r="G806" s="133" t="s">
        <v>715</v>
      </c>
      <c r="H806" s="133">
        <v>8.39</v>
      </c>
      <c r="I806" s="133">
        <v>0</v>
      </c>
      <c r="J806" s="133">
        <v>0</v>
      </c>
      <c r="L806" s="133">
        <v>0</v>
      </c>
      <c r="M806" s="133" t="s">
        <v>1096</v>
      </c>
      <c r="N806" s="133">
        <v>0</v>
      </c>
      <c r="P806" s="133">
        <v>0</v>
      </c>
      <c r="Q806" s="133">
        <v>0</v>
      </c>
      <c r="R806" s="133">
        <v>0</v>
      </c>
      <c r="S806" s="156"/>
    </row>
    <row r="807" spans="1:19">
      <c r="A807" s="133" t="s">
        <v>1184</v>
      </c>
      <c r="B807" s="133" t="s">
        <v>1180</v>
      </c>
      <c r="C807" s="133" t="s">
        <v>1000</v>
      </c>
      <c r="D807" s="133" t="s">
        <v>107</v>
      </c>
      <c r="E807" s="133" t="s">
        <v>108</v>
      </c>
      <c r="F807" s="133" t="s">
        <v>707</v>
      </c>
      <c r="G807" s="133" t="s">
        <v>715</v>
      </c>
      <c r="H807" s="133">
        <v>2.61</v>
      </c>
      <c r="I807" s="133">
        <v>0</v>
      </c>
      <c r="J807" s="133">
        <v>0</v>
      </c>
      <c r="K807" s="133">
        <v>8</v>
      </c>
      <c r="L807" s="133">
        <v>3</v>
      </c>
      <c r="M807" s="133" t="s">
        <v>996</v>
      </c>
      <c r="N807" s="133">
        <v>0</v>
      </c>
      <c r="P807" s="133">
        <v>0</v>
      </c>
      <c r="Q807" s="133">
        <v>3</v>
      </c>
      <c r="R807" s="133">
        <v>5</v>
      </c>
      <c r="S807" s="156">
        <v>0.625</v>
      </c>
    </row>
    <row r="808" spans="1:19">
      <c r="A808" s="133" t="s">
        <v>1184</v>
      </c>
      <c r="B808" s="133" t="s">
        <v>1180</v>
      </c>
      <c r="C808" s="133" t="s">
        <v>1000</v>
      </c>
      <c r="D808" s="133" t="s">
        <v>109</v>
      </c>
      <c r="E808" s="133" t="s">
        <v>110</v>
      </c>
      <c r="F808" s="133" t="s">
        <v>707</v>
      </c>
      <c r="G808" s="133" t="s">
        <v>715</v>
      </c>
      <c r="H808" s="133">
        <v>1.4</v>
      </c>
      <c r="I808" s="133">
        <v>0</v>
      </c>
      <c r="J808" s="133">
        <v>64</v>
      </c>
      <c r="K808" s="133">
        <v>20</v>
      </c>
      <c r="L808" s="133">
        <v>26</v>
      </c>
      <c r="M808" s="133" t="s">
        <v>997</v>
      </c>
      <c r="N808" s="133">
        <v>0</v>
      </c>
      <c r="P808" s="133">
        <v>0</v>
      </c>
      <c r="Q808" s="133">
        <v>26</v>
      </c>
      <c r="R808" s="133">
        <v>0</v>
      </c>
      <c r="S808" s="156">
        <v>-0.3</v>
      </c>
    </row>
    <row r="809" spans="1:19">
      <c r="A809" s="133" t="s">
        <v>1184</v>
      </c>
      <c r="B809" s="133" t="s">
        <v>1180</v>
      </c>
      <c r="C809" s="133" t="s">
        <v>1000</v>
      </c>
      <c r="D809" s="133" t="s">
        <v>111</v>
      </c>
      <c r="E809" s="133" t="s">
        <v>112</v>
      </c>
      <c r="F809" s="133" t="s">
        <v>707</v>
      </c>
      <c r="G809" s="133" t="s">
        <v>715</v>
      </c>
      <c r="H809" s="133">
        <v>2.34</v>
      </c>
      <c r="I809" s="133">
        <v>0</v>
      </c>
      <c r="J809" s="133">
        <v>30</v>
      </c>
      <c r="L809" s="133">
        <v>0</v>
      </c>
      <c r="M809" s="133" t="s">
        <v>1096</v>
      </c>
      <c r="N809" s="133">
        <v>0</v>
      </c>
      <c r="P809" s="133">
        <v>0</v>
      </c>
      <c r="Q809" s="133">
        <v>0</v>
      </c>
      <c r="R809" s="133">
        <v>0</v>
      </c>
      <c r="S809" s="156"/>
    </row>
    <row r="810" spans="1:19">
      <c r="A810" s="133" t="s">
        <v>1184</v>
      </c>
      <c r="B810" s="133" t="s">
        <v>1180</v>
      </c>
      <c r="C810" s="133" t="s">
        <v>1000</v>
      </c>
      <c r="D810" s="133" t="s">
        <v>113</v>
      </c>
      <c r="E810" s="133" t="s">
        <v>114</v>
      </c>
      <c r="F810" s="133" t="s">
        <v>707</v>
      </c>
      <c r="G810" s="133" t="s">
        <v>715</v>
      </c>
      <c r="H810" s="133">
        <v>4.62</v>
      </c>
      <c r="I810" s="133">
        <v>0</v>
      </c>
      <c r="J810" s="133">
        <v>0</v>
      </c>
      <c r="L810" s="133">
        <v>0</v>
      </c>
      <c r="M810" s="133" t="s">
        <v>1096</v>
      </c>
      <c r="N810" s="133">
        <v>0</v>
      </c>
      <c r="P810" s="133">
        <v>0</v>
      </c>
      <c r="Q810" s="133">
        <v>0</v>
      </c>
      <c r="R810" s="133">
        <v>0</v>
      </c>
      <c r="S810" s="156"/>
    </row>
    <row r="811" spans="1:19">
      <c r="A811" s="133" t="s">
        <v>1184</v>
      </c>
      <c r="B811" s="133" t="s">
        <v>1180</v>
      </c>
      <c r="C811" s="133" t="s">
        <v>1000</v>
      </c>
      <c r="D811" s="133" t="s">
        <v>115</v>
      </c>
      <c r="E811" s="133" t="s">
        <v>116</v>
      </c>
      <c r="F811" s="133" t="s">
        <v>707</v>
      </c>
      <c r="G811" s="133" t="s">
        <v>715</v>
      </c>
      <c r="H811" s="133">
        <v>1.63</v>
      </c>
      <c r="I811" s="133">
        <v>0</v>
      </c>
      <c r="J811" s="133">
        <v>0</v>
      </c>
      <c r="K811" s="133">
        <v>5</v>
      </c>
      <c r="L811" s="133">
        <v>5</v>
      </c>
      <c r="M811" s="133" t="s">
        <v>998</v>
      </c>
      <c r="N811" s="133">
        <v>0</v>
      </c>
      <c r="P811" s="133">
        <v>0</v>
      </c>
      <c r="Q811" s="133">
        <v>5</v>
      </c>
      <c r="R811" s="133">
        <v>0</v>
      </c>
      <c r="S811" s="156">
        <v>0</v>
      </c>
    </row>
    <row r="812" spans="1:19">
      <c r="A812" s="133" t="s">
        <v>1184</v>
      </c>
      <c r="B812" s="133" t="s">
        <v>1180</v>
      </c>
      <c r="C812" s="133" t="s">
        <v>1000</v>
      </c>
      <c r="D812" s="133" t="s">
        <v>117</v>
      </c>
      <c r="E812" s="133" t="s">
        <v>118</v>
      </c>
      <c r="F812" s="133" t="s">
        <v>707</v>
      </c>
      <c r="G812" s="133" t="s">
        <v>727</v>
      </c>
      <c r="H812" s="133">
        <v>3.09</v>
      </c>
      <c r="I812" s="133">
        <v>0</v>
      </c>
      <c r="J812" s="133">
        <v>0</v>
      </c>
      <c r="L812" s="133">
        <v>0</v>
      </c>
      <c r="M812" s="133" t="s">
        <v>1096</v>
      </c>
      <c r="N812" s="133">
        <v>0</v>
      </c>
      <c r="P812" s="133">
        <v>0</v>
      </c>
      <c r="Q812" s="133">
        <v>0</v>
      </c>
      <c r="R812" s="133">
        <v>0</v>
      </c>
      <c r="S812" s="156"/>
    </row>
    <row r="813" spans="1:19">
      <c r="A813" s="133" t="s">
        <v>1184</v>
      </c>
      <c r="B813" s="133" t="s">
        <v>1180</v>
      </c>
      <c r="C813" s="133" t="s">
        <v>1000</v>
      </c>
      <c r="D813" s="133" t="s">
        <v>119</v>
      </c>
      <c r="E813" s="133" t="s">
        <v>120</v>
      </c>
      <c r="F813" s="133" t="s">
        <v>707</v>
      </c>
      <c r="G813" s="133" t="s">
        <v>715</v>
      </c>
      <c r="H813" s="133">
        <v>1.93</v>
      </c>
      <c r="I813" s="133">
        <v>0</v>
      </c>
      <c r="J813" s="133">
        <v>8</v>
      </c>
      <c r="K813" s="133">
        <v>15</v>
      </c>
      <c r="L813" s="133">
        <v>0</v>
      </c>
      <c r="M813" s="133" t="s">
        <v>999</v>
      </c>
      <c r="N813" s="133">
        <v>0</v>
      </c>
      <c r="P813" s="133">
        <v>0</v>
      </c>
      <c r="Q813" s="133">
        <v>0</v>
      </c>
      <c r="R813" s="133">
        <v>15</v>
      </c>
      <c r="S813" s="156">
        <v>1</v>
      </c>
    </row>
    <row r="814" spans="1:19">
      <c r="A814" s="133" t="s">
        <v>1184</v>
      </c>
      <c r="B814" s="133" t="s">
        <v>1180</v>
      </c>
      <c r="C814" s="133" t="s">
        <v>1000</v>
      </c>
      <c r="D814" s="133" t="s">
        <v>121</v>
      </c>
      <c r="E814" s="133" t="s">
        <v>122</v>
      </c>
      <c r="F814" s="133" t="s">
        <v>707</v>
      </c>
      <c r="G814" s="133" t="s">
        <v>715</v>
      </c>
      <c r="H814" s="133">
        <v>1.38</v>
      </c>
      <c r="I814" s="133">
        <v>0</v>
      </c>
      <c r="J814" s="133">
        <v>0</v>
      </c>
      <c r="L814" s="133">
        <v>0</v>
      </c>
      <c r="M814" s="133" t="s">
        <v>1096</v>
      </c>
      <c r="N814" s="133">
        <v>0</v>
      </c>
      <c r="P814" s="133">
        <v>0</v>
      </c>
      <c r="Q814" s="133">
        <v>0</v>
      </c>
      <c r="R814" s="133">
        <v>0</v>
      </c>
      <c r="S814" s="156"/>
    </row>
    <row r="815" spans="1:19">
      <c r="A815" s="133" t="s">
        <v>1184</v>
      </c>
      <c r="B815" s="133" t="s">
        <v>1180</v>
      </c>
      <c r="C815" s="133" t="s">
        <v>1000</v>
      </c>
      <c r="D815" s="133" t="s">
        <v>123</v>
      </c>
      <c r="E815" s="133" t="s">
        <v>124</v>
      </c>
      <c r="F815" s="133" t="s">
        <v>707</v>
      </c>
      <c r="G815" s="133" t="s">
        <v>715</v>
      </c>
      <c r="H815" s="133">
        <v>7.04</v>
      </c>
      <c r="I815" s="133">
        <v>0</v>
      </c>
      <c r="J815" s="133">
        <v>0</v>
      </c>
      <c r="L815" s="133">
        <v>0</v>
      </c>
      <c r="M815" s="133" t="s">
        <v>1096</v>
      </c>
      <c r="N815" s="133">
        <v>0</v>
      </c>
      <c r="P815" s="133">
        <v>0</v>
      </c>
      <c r="Q815" s="133">
        <v>0</v>
      </c>
      <c r="R815" s="133">
        <v>0</v>
      </c>
      <c r="S815" s="156"/>
    </row>
    <row r="816" spans="1:19">
      <c r="A816" s="133" t="s">
        <v>1184</v>
      </c>
      <c r="B816" s="133" t="s">
        <v>1180</v>
      </c>
      <c r="C816" s="133" t="s">
        <v>1000</v>
      </c>
      <c r="D816" s="133" t="s">
        <v>125</v>
      </c>
      <c r="E816" s="133" t="s">
        <v>126</v>
      </c>
      <c r="F816" s="133" t="s">
        <v>707</v>
      </c>
      <c r="G816" s="133" t="s">
        <v>715</v>
      </c>
      <c r="H816" s="133">
        <v>2.54</v>
      </c>
      <c r="I816" s="133">
        <v>0</v>
      </c>
      <c r="J816" s="133">
        <v>0</v>
      </c>
      <c r="L816" s="133">
        <v>0</v>
      </c>
      <c r="M816" s="133" t="s">
        <v>1096</v>
      </c>
      <c r="N816" s="133">
        <v>0</v>
      </c>
      <c r="P816" s="133">
        <v>0</v>
      </c>
      <c r="Q816" s="133">
        <v>0</v>
      </c>
      <c r="R816" s="133">
        <v>0</v>
      </c>
      <c r="S816" s="156"/>
    </row>
    <row r="817" spans="1:19">
      <c r="A817" s="133" t="s">
        <v>1184</v>
      </c>
      <c r="B817" s="133" t="s">
        <v>1180</v>
      </c>
      <c r="C817" s="133" t="s">
        <v>1000</v>
      </c>
      <c r="D817" s="133" t="s">
        <v>127</v>
      </c>
      <c r="E817" s="133" t="s">
        <v>942</v>
      </c>
      <c r="F817" s="133" t="s">
        <v>712</v>
      </c>
      <c r="G817" s="133" t="s">
        <v>715</v>
      </c>
      <c r="H817" s="133">
        <v>1.52</v>
      </c>
      <c r="I817" s="133">
        <v>0</v>
      </c>
      <c r="J817" s="133">
        <v>0</v>
      </c>
      <c r="L817" s="133">
        <v>0</v>
      </c>
      <c r="M817" s="133" t="s">
        <v>1096</v>
      </c>
      <c r="N817" s="133">
        <v>0</v>
      </c>
      <c r="P817" s="133">
        <v>0</v>
      </c>
      <c r="Q817" s="133">
        <v>0</v>
      </c>
      <c r="R817" s="133">
        <v>0</v>
      </c>
      <c r="S817" s="156"/>
    </row>
    <row r="818" spans="1:19">
      <c r="A818" s="133" t="s">
        <v>1184</v>
      </c>
      <c r="B818" s="133" t="s">
        <v>1180</v>
      </c>
      <c r="C818" s="133" t="s">
        <v>1000</v>
      </c>
      <c r="D818" s="133" t="s">
        <v>128</v>
      </c>
      <c r="E818" s="133" t="s">
        <v>129</v>
      </c>
      <c r="F818" s="133" t="s">
        <v>712</v>
      </c>
      <c r="G818" s="133" t="s">
        <v>715</v>
      </c>
      <c r="H818" s="133">
        <v>13.29</v>
      </c>
      <c r="I818" s="133">
        <v>0</v>
      </c>
      <c r="J818" s="133">
        <v>0</v>
      </c>
      <c r="L818" s="133">
        <v>0</v>
      </c>
      <c r="M818" s="133" t="s">
        <v>1096</v>
      </c>
      <c r="N818" s="133">
        <v>0</v>
      </c>
      <c r="P818" s="133">
        <v>0</v>
      </c>
      <c r="Q818" s="133">
        <v>0</v>
      </c>
      <c r="R818" s="133">
        <v>0</v>
      </c>
      <c r="S818" s="156"/>
    </row>
    <row r="819" spans="1:19">
      <c r="A819" s="133" t="s">
        <v>1184</v>
      </c>
      <c r="B819" s="133" t="s">
        <v>1180</v>
      </c>
      <c r="C819" s="133" t="s">
        <v>1000</v>
      </c>
      <c r="D819" s="133" t="s">
        <v>130</v>
      </c>
      <c r="E819" s="133" t="s">
        <v>131</v>
      </c>
      <c r="F819" s="133" t="s">
        <v>707</v>
      </c>
      <c r="G819" s="133" t="s">
        <v>715</v>
      </c>
      <c r="H819" s="133">
        <v>1.64</v>
      </c>
      <c r="I819" s="133">
        <v>0</v>
      </c>
      <c r="J819" s="133">
        <v>55</v>
      </c>
      <c r="K819" s="133">
        <v>15</v>
      </c>
      <c r="L819" s="133">
        <v>19</v>
      </c>
      <c r="M819" s="133" t="s">
        <v>997</v>
      </c>
      <c r="N819" s="133">
        <v>0</v>
      </c>
      <c r="P819" s="133">
        <v>0</v>
      </c>
      <c r="Q819" s="133">
        <v>19</v>
      </c>
      <c r="R819" s="133">
        <v>0</v>
      </c>
      <c r="S819" s="156">
        <v>-0.26666666666666666</v>
      </c>
    </row>
    <row r="820" spans="1:19">
      <c r="A820" s="133" t="s">
        <v>1184</v>
      </c>
      <c r="B820" s="133" t="s">
        <v>1180</v>
      </c>
      <c r="C820" s="133" t="s">
        <v>1000</v>
      </c>
      <c r="D820" s="133" t="s">
        <v>132</v>
      </c>
      <c r="E820" s="133" t="s">
        <v>133</v>
      </c>
      <c r="F820" s="133" t="s">
        <v>707</v>
      </c>
      <c r="G820" s="133" t="s">
        <v>715</v>
      </c>
      <c r="H820" s="133">
        <v>12.43</v>
      </c>
      <c r="I820" s="133">
        <v>0</v>
      </c>
      <c r="J820" s="133">
        <v>0</v>
      </c>
      <c r="L820" s="133">
        <v>0</v>
      </c>
      <c r="M820" s="133" t="s">
        <v>1096</v>
      </c>
      <c r="N820" s="133">
        <v>0</v>
      </c>
      <c r="P820" s="133">
        <v>0</v>
      </c>
      <c r="Q820" s="133">
        <v>0</v>
      </c>
      <c r="R820" s="133">
        <v>0</v>
      </c>
      <c r="S820" s="156"/>
    </row>
    <row r="821" spans="1:19">
      <c r="A821" s="133" t="s">
        <v>1184</v>
      </c>
      <c r="B821" s="133" t="s">
        <v>1180</v>
      </c>
      <c r="C821" s="133" t="s">
        <v>1000</v>
      </c>
      <c r="D821" s="133" t="s">
        <v>134</v>
      </c>
      <c r="E821" s="133" t="s">
        <v>135</v>
      </c>
      <c r="F821" s="133" t="s">
        <v>707</v>
      </c>
      <c r="G821" s="133" t="s">
        <v>715</v>
      </c>
      <c r="H821" s="133">
        <v>3.47</v>
      </c>
      <c r="I821" s="133">
        <v>0</v>
      </c>
      <c r="J821" s="133">
        <v>0</v>
      </c>
      <c r="K821" s="133">
        <v>8</v>
      </c>
      <c r="L821" s="133">
        <v>13</v>
      </c>
      <c r="M821" s="133" t="s">
        <v>997</v>
      </c>
      <c r="N821" s="133">
        <v>0</v>
      </c>
      <c r="P821" s="133">
        <v>0</v>
      </c>
      <c r="Q821" s="133">
        <v>13</v>
      </c>
      <c r="R821" s="133">
        <v>0</v>
      </c>
      <c r="S821" s="156">
        <v>-0.625</v>
      </c>
    </row>
    <row r="822" spans="1:19">
      <c r="A822" s="133" t="s">
        <v>1184</v>
      </c>
      <c r="B822" s="133" t="s">
        <v>1180</v>
      </c>
      <c r="C822" s="133" t="s">
        <v>1000</v>
      </c>
      <c r="D822" s="133" t="s">
        <v>138</v>
      </c>
      <c r="E822" s="133" t="s">
        <v>139</v>
      </c>
      <c r="F822" s="133" t="s">
        <v>707</v>
      </c>
      <c r="G822" s="133" t="s">
        <v>732</v>
      </c>
      <c r="H822" s="133">
        <v>15.11</v>
      </c>
      <c r="I822" s="133">
        <v>0</v>
      </c>
      <c r="J822" s="133">
        <v>0</v>
      </c>
      <c r="L822" s="133">
        <v>0</v>
      </c>
      <c r="M822" s="133" t="s">
        <v>1096</v>
      </c>
      <c r="N822" s="133">
        <v>0</v>
      </c>
      <c r="P822" s="133">
        <v>0</v>
      </c>
      <c r="Q822" s="133">
        <v>0</v>
      </c>
      <c r="R822" s="133">
        <v>0</v>
      </c>
      <c r="S822" s="156"/>
    </row>
    <row r="823" spans="1:19">
      <c r="A823" s="133" t="s">
        <v>1184</v>
      </c>
      <c r="B823" s="133" t="s">
        <v>1180</v>
      </c>
      <c r="C823" s="133" t="s">
        <v>1000</v>
      </c>
      <c r="D823" s="133" t="s">
        <v>140</v>
      </c>
      <c r="E823" s="133" t="s">
        <v>141</v>
      </c>
      <c r="F823" s="133" t="s">
        <v>707</v>
      </c>
      <c r="G823" s="133" t="s">
        <v>732</v>
      </c>
      <c r="H823" s="133">
        <v>267</v>
      </c>
      <c r="I823" s="133">
        <v>0</v>
      </c>
      <c r="J823" s="133">
        <v>0</v>
      </c>
      <c r="L823" s="133">
        <v>0</v>
      </c>
      <c r="M823" s="133" t="s">
        <v>1096</v>
      </c>
      <c r="N823" s="133">
        <v>0</v>
      </c>
      <c r="P823" s="133">
        <v>0</v>
      </c>
      <c r="Q823" s="133">
        <v>0</v>
      </c>
      <c r="R823" s="133">
        <v>0</v>
      </c>
      <c r="S823" s="156"/>
    </row>
    <row r="824" spans="1:19">
      <c r="A824" s="133" t="s">
        <v>1184</v>
      </c>
      <c r="B824" s="133" t="s">
        <v>1180</v>
      </c>
      <c r="C824" s="133" t="s">
        <v>1000</v>
      </c>
      <c r="D824" s="133" t="s">
        <v>142</v>
      </c>
      <c r="E824" s="133" t="s">
        <v>143</v>
      </c>
      <c r="F824" s="133" t="s">
        <v>709</v>
      </c>
      <c r="G824" s="133" t="s">
        <v>719</v>
      </c>
      <c r="H824" s="133">
        <v>0.91</v>
      </c>
      <c r="I824" s="133">
        <v>0</v>
      </c>
      <c r="J824" s="133">
        <v>66</v>
      </c>
      <c r="L824" s="133">
        <v>0</v>
      </c>
      <c r="M824" s="133" t="s">
        <v>1096</v>
      </c>
      <c r="N824" s="133">
        <v>0</v>
      </c>
      <c r="P824" s="133">
        <v>0</v>
      </c>
      <c r="Q824" s="133">
        <v>0</v>
      </c>
      <c r="R824" s="133">
        <v>0</v>
      </c>
      <c r="S824" s="156"/>
    </row>
    <row r="825" spans="1:19">
      <c r="A825" s="133" t="s">
        <v>1184</v>
      </c>
      <c r="B825" s="133" t="s">
        <v>1180</v>
      </c>
      <c r="C825" s="133" t="s">
        <v>1000</v>
      </c>
      <c r="D825" s="133" t="s">
        <v>144</v>
      </c>
      <c r="E825" s="133" t="s">
        <v>145</v>
      </c>
      <c r="F825" s="133" t="s">
        <v>709</v>
      </c>
      <c r="G825" s="133" t="s">
        <v>719</v>
      </c>
      <c r="H825" s="133">
        <v>2.79</v>
      </c>
      <c r="I825" s="133">
        <v>0</v>
      </c>
      <c r="J825" s="133">
        <v>0</v>
      </c>
      <c r="L825" s="133">
        <v>0</v>
      </c>
      <c r="M825" s="133" t="s">
        <v>1096</v>
      </c>
      <c r="N825" s="133">
        <v>0</v>
      </c>
      <c r="P825" s="133">
        <v>0</v>
      </c>
      <c r="Q825" s="133">
        <v>0</v>
      </c>
      <c r="R825" s="133">
        <v>0</v>
      </c>
      <c r="S825" s="156"/>
    </row>
    <row r="826" spans="1:19">
      <c r="A826" s="133" t="s">
        <v>1184</v>
      </c>
      <c r="B826" s="133" t="s">
        <v>1180</v>
      </c>
      <c r="C826" s="133" t="s">
        <v>1000</v>
      </c>
      <c r="D826" s="133" t="s">
        <v>146</v>
      </c>
      <c r="E826" s="133" t="s">
        <v>147</v>
      </c>
      <c r="F826" s="133" t="s">
        <v>709</v>
      </c>
      <c r="G826" s="133" t="s">
        <v>719</v>
      </c>
      <c r="H826" s="133">
        <v>4.42</v>
      </c>
      <c r="I826" s="133">
        <v>0</v>
      </c>
      <c r="J826" s="133">
        <v>0</v>
      </c>
      <c r="L826" s="133">
        <v>0</v>
      </c>
      <c r="M826" s="133" t="s">
        <v>1096</v>
      </c>
      <c r="N826" s="133">
        <v>0</v>
      </c>
      <c r="P826" s="133">
        <v>0</v>
      </c>
      <c r="Q826" s="133">
        <v>0</v>
      </c>
      <c r="R826" s="133">
        <v>0</v>
      </c>
      <c r="S826" s="156"/>
    </row>
    <row r="827" spans="1:19">
      <c r="A827" s="133" t="s">
        <v>1184</v>
      </c>
      <c r="B827" s="133" t="s">
        <v>1180</v>
      </c>
      <c r="C827" s="133" t="s">
        <v>1000</v>
      </c>
      <c r="D827" s="133" t="s">
        <v>148</v>
      </c>
      <c r="E827" s="133" t="s">
        <v>149</v>
      </c>
      <c r="F827" s="133" t="s">
        <v>709</v>
      </c>
      <c r="G827" s="133" t="s">
        <v>719</v>
      </c>
      <c r="H827" s="133">
        <v>11.54</v>
      </c>
      <c r="I827" s="133">
        <v>0</v>
      </c>
      <c r="J827" s="133">
        <v>0</v>
      </c>
      <c r="L827" s="133">
        <v>0</v>
      </c>
      <c r="M827" s="133" t="s">
        <v>1096</v>
      </c>
      <c r="N827" s="133">
        <v>0</v>
      </c>
      <c r="P827" s="133">
        <v>0</v>
      </c>
      <c r="Q827" s="133">
        <v>0</v>
      </c>
      <c r="R827" s="133">
        <v>0</v>
      </c>
      <c r="S827" s="156"/>
    </row>
    <row r="828" spans="1:19">
      <c r="A828" s="133" t="s">
        <v>1184</v>
      </c>
      <c r="B828" s="133" t="s">
        <v>1180</v>
      </c>
      <c r="C828" s="133" t="s">
        <v>1000</v>
      </c>
      <c r="D828" s="133" t="s">
        <v>150</v>
      </c>
      <c r="E828" s="133" t="s">
        <v>151</v>
      </c>
      <c r="F828" s="133" t="s">
        <v>709</v>
      </c>
      <c r="G828" s="133" t="s">
        <v>719</v>
      </c>
      <c r="H828" s="133">
        <v>10.83</v>
      </c>
      <c r="I828" s="133">
        <v>0</v>
      </c>
      <c r="J828" s="133">
        <v>0</v>
      </c>
      <c r="L828" s="133">
        <v>0</v>
      </c>
      <c r="M828" s="133" t="s">
        <v>1096</v>
      </c>
      <c r="N828" s="133">
        <v>0</v>
      </c>
      <c r="P828" s="133">
        <v>0</v>
      </c>
      <c r="Q828" s="133">
        <v>0</v>
      </c>
      <c r="R828" s="133">
        <v>0</v>
      </c>
      <c r="S828" s="156"/>
    </row>
    <row r="829" spans="1:19">
      <c r="A829" s="133" t="s">
        <v>1184</v>
      </c>
      <c r="B829" s="133" t="s">
        <v>1180</v>
      </c>
      <c r="C829" s="133" t="s">
        <v>1000</v>
      </c>
      <c r="D829" s="133" t="s">
        <v>152</v>
      </c>
      <c r="E829" s="133" t="s">
        <v>153</v>
      </c>
      <c r="F829" s="133" t="s">
        <v>709</v>
      </c>
      <c r="G829" s="133" t="s">
        <v>719</v>
      </c>
      <c r="H829" s="133">
        <v>23.65</v>
      </c>
      <c r="I829" s="133">
        <v>0</v>
      </c>
      <c r="J829" s="133">
        <v>0</v>
      </c>
      <c r="L829" s="133">
        <v>0</v>
      </c>
      <c r="M829" s="133" t="s">
        <v>1096</v>
      </c>
      <c r="N829" s="133">
        <v>0</v>
      </c>
      <c r="P829" s="133">
        <v>0</v>
      </c>
      <c r="Q829" s="133">
        <v>0</v>
      </c>
      <c r="R829" s="133">
        <v>0</v>
      </c>
      <c r="S829" s="156"/>
    </row>
    <row r="830" spans="1:19">
      <c r="A830" s="133" t="s">
        <v>1184</v>
      </c>
      <c r="B830" s="133" t="s">
        <v>1180</v>
      </c>
      <c r="C830" s="133" t="s">
        <v>1000</v>
      </c>
      <c r="D830" s="133" t="s">
        <v>890</v>
      </c>
      <c r="E830" s="133" t="s">
        <v>945</v>
      </c>
      <c r="F830" s="133" t="s">
        <v>946</v>
      </c>
      <c r="G830" s="133" t="s">
        <v>719</v>
      </c>
      <c r="H830" s="133">
        <v>2.4</v>
      </c>
      <c r="I830" s="133">
        <v>0</v>
      </c>
      <c r="J830" s="133">
        <v>0</v>
      </c>
      <c r="L830" s="133">
        <v>0</v>
      </c>
      <c r="M830" s="133" t="s">
        <v>1096</v>
      </c>
      <c r="N830" s="133">
        <v>0</v>
      </c>
      <c r="P830" s="133">
        <v>0</v>
      </c>
      <c r="Q830" s="133">
        <v>0</v>
      </c>
      <c r="R830" s="133">
        <v>0</v>
      </c>
      <c r="S830" s="156"/>
    </row>
    <row r="831" spans="1:19">
      <c r="A831" s="133" t="s">
        <v>1184</v>
      </c>
      <c r="B831" s="133" t="s">
        <v>1180</v>
      </c>
      <c r="C831" s="133" t="s">
        <v>1000</v>
      </c>
      <c r="D831" s="133" t="s">
        <v>891</v>
      </c>
      <c r="E831" s="133" t="s">
        <v>947</v>
      </c>
      <c r="F831" s="133" t="s">
        <v>946</v>
      </c>
      <c r="G831" s="133" t="s">
        <v>719</v>
      </c>
      <c r="H831" s="133">
        <v>4.1500000000000004</v>
      </c>
      <c r="I831" s="133">
        <v>0</v>
      </c>
      <c r="J831" s="133">
        <v>0</v>
      </c>
      <c r="L831" s="133">
        <v>0</v>
      </c>
      <c r="M831" s="133" t="s">
        <v>1096</v>
      </c>
      <c r="N831" s="133">
        <v>0</v>
      </c>
      <c r="P831" s="133">
        <v>0</v>
      </c>
      <c r="Q831" s="133">
        <v>0</v>
      </c>
      <c r="R831" s="133">
        <v>0</v>
      </c>
      <c r="S831" s="156"/>
    </row>
    <row r="832" spans="1:19">
      <c r="A832" s="133" t="s">
        <v>1184</v>
      </c>
      <c r="B832" s="133" t="s">
        <v>1180</v>
      </c>
      <c r="C832" s="133" t="s">
        <v>1000</v>
      </c>
      <c r="D832" s="133" t="s">
        <v>736</v>
      </c>
      <c r="E832" s="133" t="s">
        <v>765</v>
      </c>
      <c r="F832" s="133" t="s">
        <v>712</v>
      </c>
      <c r="G832" s="133" t="s">
        <v>732</v>
      </c>
      <c r="H832" s="133">
        <v>2.89</v>
      </c>
      <c r="I832" s="133">
        <v>0</v>
      </c>
      <c r="J832" s="133">
        <v>0</v>
      </c>
      <c r="L832" s="133">
        <v>0</v>
      </c>
      <c r="M832" s="133" t="s">
        <v>1096</v>
      </c>
      <c r="N832" s="133">
        <v>0</v>
      </c>
      <c r="P832" s="133">
        <v>0</v>
      </c>
      <c r="Q832" s="133">
        <v>0</v>
      </c>
      <c r="R832" s="133">
        <v>0</v>
      </c>
      <c r="S832" s="156"/>
    </row>
    <row r="833" spans="1:19">
      <c r="A833" s="133" t="s">
        <v>1184</v>
      </c>
      <c r="B833" s="133" t="s">
        <v>1180</v>
      </c>
      <c r="C833" s="133" t="s">
        <v>1000</v>
      </c>
      <c r="D833" s="133" t="s">
        <v>738</v>
      </c>
      <c r="E833" s="133" t="s">
        <v>762</v>
      </c>
      <c r="F833" s="133" t="s">
        <v>712</v>
      </c>
      <c r="G833" s="133" t="s">
        <v>732</v>
      </c>
      <c r="H833" s="133">
        <v>519.35</v>
      </c>
      <c r="I833" s="133">
        <v>0</v>
      </c>
      <c r="J833" s="133">
        <v>0</v>
      </c>
      <c r="L833" s="133">
        <v>0</v>
      </c>
      <c r="M833" s="133" t="s">
        <v>1096</v>
      </c>
      <c r="N833" s="133">
        <v>0</v>
      </c>
      <c r="P833" s="133">
        <v>0</v>
      </c>
      <c r="Q833" s="133">
        <v>0</v>
      </c>
      <c r="R833" s="133">
        <v>0</v>
      </c>
      <c r="S833" s="156"/>
    </row>
    <row r="834" spans="1:19">
      <c r="A834" s="133" t="s">
        <v>1184</v>
      </c>
      <c r="B834" s="133" t="s">
        <v>1180</v>
      </c>
      <c r="C834" s="133" t="s">
        <v>1000</v>
      </c>
      <c r="D834" s="133" t="s">
        <v>875</v>
      </c>
      <c r="E834" s="133" t="s">
        <v>948</v>
      </c>
      <c r="F834" s="133" t="s">
        <v>712</v>
      </c>
      <c r="G834" s="133" t="s">
        <v>732</v>
      </c>
      <c r="H834" s="133">
        <v>6.79</v>
      </c>
      <c r="I834" s="133">
        <v>0</v>
      </c>
      <c r="J834" s="133">
        <v>7</v>
      </c>
      <c r="L834" s="133">
        <v>0</v>
      </c>
      <c r="M834" s="133" t="s">
        <v>1096</v>
      </c>
      <c r="N834" s="133">
        <v>0</v>
      </c>
      <c r="P834" s="133">
        <v>0</v>
      </c>
      <c r="Q834" s="133">
        <v>0</v>
      </c>
      <c r="R834" s="133">
        <v>0</v>
      </c>
      <c r="S834" s="156"/>
    </row>
    <row r="835" spans="1:19">
      <c r="A835" s="133" t="s">
        <v>1184</v>
      </c>
      <c r="B835" s="133" t="s">
        <v>1180</v>
      </c>
      <c r="C835" s="133" t="s">
        <v>1000</v>
      </c>
      <c r="D835" s="133" t="s">
        <v>737</v>
      </c>
      <c r="E835" s="133" t="s">
        <v>763</v>
      </c>
      <c r="F835" s="133" t="s">
        <v>712</v>
      </c>
      <c r="G835" s="133" t="s">
        <v>732</v>
      </c>
      <c r="H835" s="133">
        <v>98.3</v>
      </c>
      <c r="I835" s="133">
        <v>0</v>
      </c>
      <c r="J835" s="133">
        <v>0</v>
      </c>
      <c r="L835" s="133">
        <v>0</v>
      </c>
      <c r="M835" s="133" t="s">
        <v>1096</v>
      </c>
      <c r="N835" s="133">
        <v>0</v>
      </c>
      <c r="P835" s="133">
        <v>0</v>
      </c>
      <c r="Q835" s="133">
        <v>0</v>
      </c>
      <c r="R835" s="133">
        <v>0</v>
      </c>
      <c r="S835" s="156"/>
    </row>
    <row r="836" spans="1:19">
      <c r="A836" s="133" t="s">
        <v>1184</v>
      </c>
      <c r="B836" s="133" t="s">
        <v>1180</v>
      </c>
      <c r="C836" s="133" t="s">
        <v>1000</v>
      </c>
      <c r="D836" s="133" t="s">
        <v>742</v>
      </c>
      <c r="E836" s="133" t="s">
        <v>764</v>
      </c>
      <c r="F836" s="133" t="s">
        <v>712</v>
      </c>
      <c r="G836" s="133" t="s">
        <v>732</v>
      </c>
      <c r="H836" s="133">
        <v>26.65</v>
      </c>
      <c r="I836" s="133">
        <v>0</v>
      </c>
      <c r="J836" s="133">
        <v>20</v>
      </c>
      <c r="L836" s="133">
        <v>0</v>
      </c>
      <c r="M836" s="133" t="s">
        <v>1096</v>
      </c>
      <c r="N836" s="133">
        <v>0</v>
      </c>
      <c r="P836" s="133">
        <v>0</v>
      </c>
      <c r="Q836" s="133">
        <v>0</v>
      </c>
      <c r="R836" s="133">
        <v>0</v>
      </c>
      <c r="S836" s="156"/>
    </row>
    <row r="837" spans="1:19">
      <c r="A837" s="133" t="s">
        <v>1184</v>
      </c>
      <c r="B837" s="133" t="s">
        <v>1180</v>
      </c>
      <c r="C837" s="133" t="s">
        <v>1000</v>
      </c>
      <c r="D837" s="133" t="s">
        <v>162</v>
      </c>
      <c r="E837" s="133" t="s">
        <v>163</v>
      </c>
      <c r="F837" s="133" t="s">
        <v>712</v>
      </c>
      <c r="G837" s="133" t="s">
        <v>715</v>
      </c>
      <c r="H837" s="133">
        <v>1.87</v>
      </c>
      <c r="I837" s="133">
        <v>0</v>
      </c>
      <c r="J837" s="133">
        <v>40</v>
      </c>
      <c r="K837" s="133">
        <v>10</v>
      </c>
      <c r="L837" s="133">
        <v>13</v>
      </c>
      <c r="M837" s="133" t="s">
        <v>997</v>
      </c>
      <c r="N837" s="133">
        <v>0</v>
      </c>
      <c r="P837" s="133">
        <v>0</v>
      </c>
      <c r="Q837" s="133">
        <v>13</v>
      </c>
      <c r="R837" s="133">
        <v>0</v>
      </c>
      <c r="S837" s="156">
        <v>-0.3</v>
      </c>
    </row>
    <row r="838" spans="1:19">
      <c r="A838" s="133" t="s">
        <v>1184</v>
      </c>
      <c r="B838" s="133" t="s">
        <v>1180</v>
      </c>
      <c r="C838" s="133" t="s">
        <v>1000</v>
      </c>
      <c r="D838" s="133" t="s">
        <v>164</v>
      </c>
      <c r="E838" s="133" t="s">
        <v>165</v>
      </c>
      <c r="F838" s="133" t="s">
        <v>712</v>
      </c>
      <c r="G838" s="133" t="s">
        <v>715</v>
      </c>
      <c r="H838" s="133">
        <v>3.58</v>
      </c>
      <c r="I838" s="133">
        <v>0</v>
      </c>
      <c r="J838" s="133">
        <v>0</v>
      </c>
      <c r="L838" s="133">
        <v>0</v>
      </c>
      <c r="M838" s="133" t="s">
        <v>1096</v>
      </c>
      <c r="N838" s="133">
        <v>0</v>
      </c>
      <c r="P838" s="133">
        <v>0</v>
      </c>
      <c r="Q838" s="133">
        <v>0</v>
      </c>
      <c r="R838" s="133">
        <v>0</v>
      </c>
      <c r="S838" s="156"/>
    </row>
    <row r="839" spans="1:19">
      <c r="A839" s="133" t="s">
        <v>1184</v>
      </c>
      <c r="B839" s="133" t="s">
        <v>1180</v>
      </c>
      <c r="C839" s="133" t="s">
        <v>1000</v>
      </c>
      <c r="D839" s="133" t="s">
        <v>166</v>
      </c>
      <c r="E839" s="133" t="s">
        <v>167</v>
      </c>
      <c r="F839" s="133" t="s">
        <v>712</v>
      </c>
      <c r="G839" s="133" t="s">
        <v>715</v>
      </c>
      <c r="H839" s="133">
        <v>6.73</v>
      </c>
      <c r="I839" s="133">
        <v>0</v>
      </c>
      <c r="J839" s="133">
        <v>0</v>
      </c>
      <c r="L839" s="133">
        <v>0</v>
      </c>
      <c r="M839" s="133" t="s">
        <v>1096</v>
      </c>
      <c r="N839" s="133">
        <v>0</v>
      </c>
      <c r="P839" s="133">
        <v>0</v>
      </c>
      <c r="Q839" s="133">
        <v>0</v>
      </c>
      <c r="R839" s="133">
        <v>0</v>
      </c>
      <c r="S839" s="156"/>
    </row>
    <row r="840" spans="1:19">
      <c r="A840" s="133" t="s">
        <v>1184</v>
      </c>
      <c r="B840" s="133" t="s">
        <v>1180</v>
      </c>
      <c r="C840" s="133" t="s">
        <v>1000</v>
      </c>
      <c r="D840" s="133" t="s">
        <v>892</v>
      </c>
      <c r="E840" s="133" t="s">
        <v>949</v>
      </c>
      <c r="F840" s="133" t="s">
        <v>946</v>
      </c>
      <c r="G840" s="133" t="s">
        <v>719</v>
      </c>
      <c r="H840" s="133">
        <v>0.56000000000000005</v>
      </c>
      <c r="I840" s="133">
        <v>0</v>
      </c>
      <c r="J840" s="133">
        <v>0</v>
      </c>
      <c r="L840" s="133">
        <v>0</v>
      </c>
      <c r="M840" s="133" t="s">
        <v>1096</v>
      </c>
      <c r="N840" s="133">
        <v>0</v>
      </c>
      <c r="P840" s="133">
        <v>0</v>
      </c>
      <c r="Q840" s="133">
        <v>0</v>
      </c>
      <c r="R840" s="133">
        <v>0</v>
      </c>
      <c r="S840" s="156"/>
    </row>
    <row r="841" spans="1:19">
      <c r="A841" s="133" t="s">
        <v>1184</v>
      </c>
      <c r="B841" s="133" t="s">
        <v>1180</v>
      </c>
      <c r="C841" s="133" t="s">
        <v>1000</v>
      </c>
      <c r="D841" s="133" t="s">
        <v>893</v>
      </c>
      <c r="E841" s="133" t="s">
        <v>950</v>
      </c>
      <c r="F841" s="133" t="s">
        <v>946</v>
      </c>
      <c r="G841" s="133" t="s">
        <v>719</v>
      </c>
      <c r="H841" s="133">
        <v>1.1299999999999999</v>
      </c>
      <c r="I841" s="133">
        <v>0</v>
      </c>
      <c r="J841" s="133">
        <v>0</v>
      </c>
      <c r="L841" s="133">
        <v>0</v>
      </c>
      <c r="M841" s="133" t="s">
        <v>1096</v>
      </c>
      <c r="N841" s="133">
        <v>0</v>
      </c>
      <c r="P841" s="133">
        <v>0</v>
      </c>
      <c r="Q841" s="133">
        <v>0</v>
      </c>
      <c r="R841" s="133">
        <v>0</v>
      </c>
      <c r="S841" s="156"/>
    </row>
    <row r="842" spans="1:19">
      <c r="A842" s="133" t="s">
        <v>1184</v>
      </c>
      <c r="B842" s="133" t="s">
        <v>1180</v>
      </c>
      <c r="C842" s="133" t="s">
        <v>1000</v>
      </c>
      <c r="D842" s="133" t="s">
        <v>894</v>
      </c>
      <c r="E842" s="133" t="s">
        <v>951</v>
      </c>
      <c r="F842" s="133" t="s">
        <v>946</v>
      </c>
      <c r="G842" s="133" t="s">
        <v>719</v>
      </c>
      <c r="H842" s="133">
        <v>1.32</v>
      </c>
      <c r="I842" s="133">
        <v>0</v>
      </c>
      <c r="J842" s="133">
        <v>0</v>
      </c>
      <c r="L842" s="133">
        <v>0</v>
      </c>
      <c r="M842" s="133" t="s">
        <v>1096</v>
      </c>
      <c r="N842" s="133">
        <v>0</v>
      </c>
      <c r="P842" s="133">
        <v>0</v>
      </c>
      <c r="Q842" s="133">
        <v>0</v>
      </c>
      <c r="R842" s="133">
        <v>0</v>
      </c>
      <c r="S842" s="156"/>
    </row>
    <row r="843" spans="1:19">
      <c r="A843" s="133" t="s">
        <v>1184</v>
      </c>
      <c r="B843" s="133" t="s">
        <v>1180</v>
      </c>
      <c r="C843" s="133" t="s">
        <v>1000</v>
      </c>
      <c r="D843" s="133" t="s">
        <v>895</v>
      </c>
      <c r="E843" s="133" t="s">
        <v>952</v>
      </c>
      <c r="F843" s="133" t="s">
        <v>946</v>
      </c>
      <c r="G843" s="133" t="s">
        <v>719</v>
      </c>
      <c r="H843" s="133">
        <v>2.56</v>
      </c>
      <c r="I843" s="133">
        <v>0</v>
      </c>
      <c r="J843" s="133">
        <v>0</v>
      </c>
      <c r="L843" s="133">
        <v>0</v>
      </c>
      <c r="M843" s="133" t="s">
        <v>1096</v>
      </c>
      <c r="N843" s="133">
        <v>0</v>
      </c>
      <c r="P843" s="133">
        <v>0</v>
      </c>
      <c r="Q843" s="133">
        <v>0</v>
      </c>
      <c r="R843" s="133">
        <v>0</v>
      </c>
      <c r="S843" s="156"/>
    </row>
    <row r="844" spans="1:19">
      <c r="A844" s="133" t="s">
        <v>1184</v>
      </c>
      <c r="B844" s="133" t="s">
        <v>1180</v>
      </c>
      <c r="C844" s="133" t="s">
        <v>1000</v>
      </c>
      <c r="D844" s="133" t="s">
        <v>209</v>
      </c>
      <c r="E844" s="133" t="s">
        <v>210</v>
      </c>
      <c r="F844" s="133" t="s">
        <v>709</v>
      </c>
      <c r="G844" s="133" t="s">
        <v>719</v>
      </c>
      <c r="H844" s="133">
        <v>2.92</v>
      </c>
      <c r="I844" s="133">
        <v>0</v>
      </c>
      <c r="J844" s="133">
        <v>0</v>
      </c>
      <c r="L844" s="133">
        <v>0</v>
      </c>
      <c r="M844" s="133" t="s">
        <v>1096</v>
      </c>
      <c r="N844" s="133">
        <v>0</v>
      </c>
      <c r="P844" s="133">
        <v>0</v>
      </c>
      <c r="Q844" s="133">
        <v>0</v>
      </c>
      <c r="R844" s="133">
        <v>0</v>
      </c>
      <c r="S844" s="156"/>
    </row>
    <row r="845" spans="1:19">
      <c r="A845" s="133" t="s">
        <v>1184</v>
      </c>
      <c r="B845" s="133" t="s">
        <v>1180</v>
      </c>
      <c r="C845" s="133" t="s">
        <v>1000</v>
      </c>
      <c r="D845" s="133" t="s">
        <v>211</v>
      </c>
      <c r="E845" s="133" t="s">
        <v>212</v>
      </c>
      <c r="F845" s="133" t="s">
        <v>709</v>
      </c>
      <c r="G845" s="133" t="s">
        <v>719</v>
      </c>
      <c r="H845" s="133">
        <v>2.79</v>
      </c>
      <c r="I845" s="133">
        <v>0</v>
      </c>
      <c r="J845" s="133">
        <v>0</v>
      </c>
      <c r="L845" s="133">
        <v>0</v>
      </c>
      <c r="M845" s="133" t="s">
        <v>1096</v>
      </c>
      <c r="N845" s="133">
        <v>0</v>
      </c>
      <c r="P845" s="133">
        <v>0</v>
      </c>
      <c r="Q845" s="133">
        <v>0</v>
      </c>
      <c r="R845" s="133">
        <v>0</v>
      </c>
      <c r="S845" s="156"/>
    </row>
    <row r="846" spans="1:19">
      <c r="A846" s="133" t="s">
        <v>1184</v>
      </c>
      <c r="B846" s="133" t="s">
        <v>1180</v>
      </c>
      <c r="C846" s="133" t="s">
        <v>1000</v>
      </c>
      <c r="D846" s="133" t="s">
        <v>896</v>
      </c>
      <c r="E846" s="133" t="s">
        <v>953</v>
      </c>
      <c r="F846" s="133" t="s">
        <v>946</v>
      </c>
      <c r="G846" s="133" t="s">
        <v>719</v>
      </c>
      <c r="H846" s="133">
        <v>2.56</v>
      </c>
      <c r="I846" s="133">
        <v>0</v>
      </c>
      <c r="J846" s="133">
        <v>0</v>
      </c>
      <c r="L846" s="133">
        <v>0</v>
      </c>
      <c r="M846" s="133" t="s">
        <v>1096</v>
      </c>
      <c r="N846" s="133">
        <v>0</v>
      </c>
      <c r="P846" s="133">
        <v>0</v>
      </c>
      <c r="Q846" s="133">
        <v>0</v>
      </c>
      <c r="R846" s="133">
        <v>0</v>
      </c>
      <c r="S846" s="156"/>
    </row>
    <row r="847" spans="1:19">
      <c r="A847" s="133" t="s">
        <v>1184</v>
      </c>
      <c r="B847" s="133" t="s">
        <v>1180</v>
      </c>
      <c r="C847" s="133" t="s">
        <v>1000</v>
      </c>
      <c r="D847" s="133" t="s">
        <v>215</v>
      </c>
      <c r="E847" s="133" t="s">
        <v>216</v>
      </c>
      <c r="F847" s="133" t="s">
        <v>709</v>
      </c>
      <c r="G847" s="133" t="s">
        <v>719</v>
      </c>
      <c r="H847" s="133">
        <v>12.92</v>
      </c>
      <c r="I847" s="133">
        <v>0</v>
      </c>
      <c r="J847" s="133">
        <v>0</v>
      </c>
      <c r="L847" s="133">
        <v>0</v>
      </c>
      <c r="M847" s="133" t="s">
        <v>1096</v>
      </c>
      <c r="N847" s="133">
        <v>0</v>
      </c>
      <c r="P847" s="133">
        <v>0</v>
      </c>
      <c r="Q847" s="133">
        <v>0</v>
      </c>
      <c r="R847" s="133">
        <v>0</v>
      </c>
      <c r="S847" s="156"/>
    </row>
    <row r="848" spans="1:19">
      <c r="A848" s="133" t="s">
        <v>1184</v>
      </c>
      <c r="B848" s="133" t="s">
        <v>1180</v>
      </c>
      <c r="C848" s="133" t="s">
        <v>1000</v>
      </c>
      <c r="D848" s="133" t="s">
        <v>217</v>
      </c>
      <c r="E848" s="133" t="s">
        <v>218</v>
      </c>
      <c r="F848" s="133" t="s">
        <v>709</v>
      </c>
      <c r="G848" s="133" t="s">
        <v>719</v>
      </c>
      <c r="H848" s="133">
        <v>2.66</v>
      </c>
      <c r="I848" s="133">
        <v>0</v>
      </c>
      <c r="J848" s="133">
        <v>0</v>
      </c>
      <c r="L848" s="133">
        <v>0</v>
      </c>
      <c r="M848" s="133" t="s">
        <v>1096</v>
      </c>
      <c r="N848" s="133">
        <v>0</v>
      </c>
      <c r="P848" s="133">
        <v>0</v>
      </c>
      <c r="Q848" s="133">
        <v>0</v>
      </c>
      <c r="R848" s="133">
        <v>0</v>
      </c>
      <c r="S848" s="156"/>
    </row>
    <row r="849" spans="1:19">
      <c r="A849" s="133" t="s">
        <v>1184</v>
      </c>
      <c r="B849" s="133" t="s">
        <v>1180</v>
      </c>
      <c r="C849" s="133" t="s">
        <v>1000</v>
      </c>
      <c r="D849" s="133" t="s">
        <v>876</v>
      </c>
      <c r="E849" s="133" t="s">
        <v>954</v>
      </c>
      <c r="F849" s="133" t="s">
        <v>707</v>
      </c>
      <c r="G849" s="133" t="s">
        <v>732</v>
      </c>
      <c r="H849" s="133">
        <v>9.81</v>
      </c>
      <c r="I849" s="133">
        <v>0</v>
      </c>
      <c r="J849" s="133">
        <v>20</v>
      </c>
      <c r="L849" s="133">
        <v>0</v>
      </c>
      <c r="M849" s="133" t="s">
        <v>1096</v>
      </c>
      <c r="N849" s="133">
        <v>0</v>
      </c>
      <c r="P849" s="133">
        <v>0</v>
      </c>
      <c r="Q849" s="133">
        <v>0</v>
      </c>
      <c r="R849" s="133">
        <v>0</v>
      </c>
      <c r="S849" s="156"/>
    </row>
    <row r="850" spans="1:19">
      <c r="A850" s="133" t="s">
        <v>1184</v>
      </c>
      <c r="B850" s="133" t="s">
        <v>1180</v>
      </c>
      <c r="C850" s="133" t="s">
        <v>1000</v>
      </c>
      <c r="D850" s="133" t="s">
        <v>219</v>
      </c>
      <c r="E850" s="133" t="s">
        <v>220</v>
      </c>
      <c r="F850" s="133" t="s">
        <v>707</v>
      </c>
      <c r="G850" s="133" t="s">
        <v>732</v>
      </c>
      <c r="H850" s="133">
        <v>37.92</v>
      </c>
      <c r="I850" s="133">
        <v>0</v>
      </c>
      <c r="J850" s="133">
        <v>0</v>
      </c>
      <c r="L850" s="133">
        <v>0</v>
      </c>
      <c r="M850" s="133" t="s">
        <v>1096</v>
      </c>
      <c r="N850" s="133">
        <v>0</v>
      </c>
      <c r="P850" s="133">
        <v>0</v>
      </c>
      <c r="Q850" s="133">
        <v>0</v>
      </c>
      <c r="R850" s="133">
        <v>0</v>
      </c>
      <c r="S850" s="156"/>
    </row>
    <row r="851" spans="1:19">
      <c r="A851" s="133" t="s">
        <v>1184</v>
      </c>
      <c r="B851" s="133" t="s">
        <v>1180</v>
      </c>
      <c r="C851" s="133" t="s">
        <v>1000</v>
      </c>
      <c r="D851" s="133" t="s">
        <v>227</v>
      </c>
      <c r="E851" s="133" t="s">
        <v>228</v>
      </c>
      <c r="F851" s="133" t="s">
        <v>709</v>
      </c>
      <c r="G851" s="133" t="s">
        <v>719</v>
      </c>
      <c r="H851" s="133">
        <v>1.1499999999999999</v>
      </c>
      <c r="I851" s="133">
        <v>0</v>
      </c>
      <c r="J851" s="133">
        <v>0</v>
      </c>
      <c r="L851" s="133">
        <v>0</v>
      </c>
      <c r="M851" s="133" t="s">
        <v>1096</v>
      </c>
      <c r="N851" s="133">
        <v>0</v>
      </c>
      <c r="P851" s="133">
        <v>0</v>
      </c>
      <c r="Q851" s="133">
        <v>0</v>
      </c>
      <c r="R851" s="133">
        <v>0</v>
      </c>
      <c r="S851" s="156"/>
    </row>
    <row r="852" spans="1:19">
      <c r="A852" s="133" t="s">
        <v>1184</v>
      </c>
      <c r="B852" s="133" t="s">
        <v>1180</v>
      </c>
      <c r="C852" s="133" t="s">
        <v>1000</v>
      </c>
      <c r="D852" s="133" t="s">
        <v>229</v>
      </c>
      <c r="E852" s="133" t="s">
        <v>230</v>
      </c>
      <c r="F852" s="133" t="s">
        <v>709</v>
      </c>
      <c r="G852" s="133" t="s">
        <v>719</v>
      </c>
      <c r="H852" s="133">
        <v>2.8</v>
      </c>
      <c r="I852" s="133">
        <v>0</v>
      </c>
      <c r="J852" s="133">
        <v>54</v>
      </c>
      <c r="L852" s="133">
        <v>0</v>
      </c>
      <c r="M852" s="133" t="s">
        <v>1096</v>
      </c>
      <c r="N852" s="133">
        <v>0</v>
      </c>
      <c r="P852" s="133">
        <v>0</v>
      </c>
      <c r="Q852" s="133">
        <v>0</v>
      </c>
      <c r="R852" s="133">
        <v>0</v>
      </c>
      <c r="S852" s="156"/>
    </row>
    <row r="853" spans="1:19">
      <c r="A853" s="133" t="s">
        <v>1184</v>
      </c>
      <c r="B853" s="133" t="s">
        <v>1180</v>
      </c>
      <c r="C853" s="133" t="s">
        <v>1000</v>
      </c>
      <c r="D853" s="133" t="s">
        <v>746</v>
      </c>
      <c r="E853" s="133" t="s">
        <v>747</v>
      </c>
      <c r="F853" s="133" t="s">
        <v>709</v>
      </c>
      <c r="G853" s="133" t="s">
        <v>732</v>
      </c>
      <c r="H853" s="133">
        <v>40.32</v>
      </c>
      <c r="I853" s="133">
        <v>0</v>
      </c>
      <c r="J853" s="133">
        <v>10</v>
      </c>
      <c r="L853" s="133">
        <v>0</v>
      </c>
      <c r="M853" s="133" t="s">
        <v>1096</v>
      </c>
      <c r="N853" s="133">
        <v>0</v>
      </c>
      <c r="P853" s="133">
        <v>0</v>
      </c>
      <c r="Q853" s="133">
        <v>0</v>
      </c>
      <c r="R853" s="133">
        <v>0</v>
      </c>
      <c r="S853" s="156"/>
    </row>
    <row r="854" spans="1:19">
      <c r="A854" s="133" t="s">
        <v>1184</v>
      </c>
      <c r="B854" s="133" t="s">
        <v>1180</v>
      </c>
      <c r="C854" s="133" t="s">
        <v>1000</v>
      </c>
      <c r="D854" s="133" t="s">
        <v>462</v>
      </c>
      <c r="E854" s="133" t="s">
        <v>463</v>
      </c>
      <c r="F854" s="133" t="s">
        <v>707</v>
      </c>
      <c r="G854" s="133" t="s">
        <v>715</v>
      </c>
      <c r="H854" s="133">
        <v>1.23</v>
      </c>
      <c r="I854" s="133">
        <v>0</v>
      </c>
      <c r="J854" s="133">
        <v>0</v>
      </c>
      <c r="L854" s="133">
        <v>0</v>
      </c>
      <c r="M854" s="133" t="s">
        <v>1096</v>
      </c>
      <c r="N854" s="133">
        <v>0</v>
      </c>
      <c r="P854" s="133">
        <v>0</v>
      </c>
      <c r="Q854" s="133">
        <v>0</v>
      </c>
      <c r="R854" s="133">
        <v>0</v>
      </c>
      <c r="S854" s="156"/>
    </row>
    <row r="855" spans="1:19">
      <c r="A855" s="133" t="s">
        <v>1184</v>
      </c>
      <c r="B855" s="133" t="s">
        <v>1180</v>
      </c>
      <c r="C855" s="133" t="s">
        <v>1000</v>
      </c>
      <c r="D855" s="133" t="s">
        <v>464</v>
      </c>
      <c r="E855" s="133" t="s">
        <v>465</v>
      </c>
      <c r="F855" s="133" t="s">
        <v>707</v>
      </c>
      <c r="G855" s="133" t="s">
        <v>715</v>
      </c>
      <c r="H855" s="133">
        <v>2.19</v>
      </c>
      <c r="I855" s="133">
        <v>0</v>
      </c>
      <c r="J855" s="133">
        <v>0</v>
      </c>
      <c r="L855" s="133">
        <v>0</v>
      </c>
      <c r="M855" s="133" t="s">
        <v>1096</v>
      </c>
      <c r="N855" s="133">
        <v>0</v>
      </c>
      <c r="P855" s="133">
        <v>0</v>
      </c>
      <c r="Q855" s="133">
        <v>0</v>
      </c>
      <c r="R855" s="133">
        <v>0</v>
      </c>
      <c r="S855" s="156"/>
    </row>
    <row r="856" spans="1:19">
      <c r="A856" s="133" t="s">
        <v>1184</v>
      </c>
      <c r="B856" s="133" t="s">
        <v>1180</v>
      </c>
      <c r="C856" s="133" t="s">
        <v>1000</v>
      </c>
      <c r="D856" s="133" t="s">
        <v>466</v>
      </c>
      <c r="E856" s="133" t="s">
        <v>467</v>
      </c>
      <c r="F856" s="133" t="s">
        <v>707</v>
      </c>
      <c r="G856" s="133" t="s">
        <v>715</v>
      </c>
      <c r="H856" s="133">
        <v>4.2699999999999996</v>
      </c>
      <c r="I856" s="133">
        <v>0</v>
      </c>
      <c r="J856" s="133">
        <v>0</v>
      </c>
      <c r="L856" s="133">
        <v>0</v>
      </c>
      <c r="M856" s="133" t="s">
        <v>1096</v>
      </c>
      <c r="N856" s="133">
        <v>0</v>
      </c>
      <c r="P856" s="133">
        <v>0</v>
      </c>
      <c r="Q856" s="133">
        <v>0</v>
      </c>
      <c r="R856" s="133">
        <v>0</v>
      </c>
      <c r="S856" s="156"/>
    </row>
    <row r="857" spans="1:19">
      <c r="A857" s="133" t="s">
        <v>1184</v>
      </c>
      <c r="B857" s="133" t="s">
        <v>1180</v>
      </c>
      <c r="C857" s="133" t="s">
        <v>1000</v>
      </c>
      <c r="D857" s="133" t="s">
        <v>897</v>
      </c>
      <c r="E857" s="133" t="s">
        <v>955</v>
      </c>
      <c r="F857" s="133" t="s">
        <v>946</v>
      </c>
      <c r="G857" s="133" t="s">
        <v>719</v>
      </c>
      <c r="H857" s="133">
        <v>0.6</v>
      </c>
      <c r="I857" s="133">
        <v>0</v>
      </c>
      <c r="J857" s="133">
        <v>0</v>
      </c>
      <c r="L857" s="133">
        <v>0</v>
      </c>
      <c r="M857" s="133" t="s">
        <v>1096</v>
      </c>
      <c r="N857" s="133">
        <v>0</v>
      </c>
      <c r="P857" s="133">
        <v>0</v>
      </c>
      <c r="Q857" s="133">
        <v>0</v>
      </c>
      <c r="R857" s="133">
        <v>0</v>
      </c>
      <c r="S857" s="156"/>
    </row>
    <row r="858" spans="1:19">
      <c r="A858" s="133" t="s">
        <v>1184</v>
      </c>
      <c r="B858" s="133" t="s">
        <v>1180</v>
      </c>
      <c r="C858" s="133" t="s">
        <v>1000</v>
      </c>
      <c r="D858" s="133" t="s">
        <v>898</v>
      </c>
      <c r="E858" s="133" t="s">
        <v>956</v>
      </c>
      <c r="F858" s="133" t="s">
        <v>946</v>
      </c>
      <c r="G858" s="133" t="s">
        <v>719</v>
      </c>
      <c r="H858" s="133">
        <v>2.99</v>
      </c>
      <c r="I858" s="133">
        <v>0</v>
      </c>
      <c r="J858" s="133">
        <v>0</v>
      </c>
      <c r="L858" s="133">
        <v>0</v>
      </c>
      <c r="M858" s="133" t="s">
        <v>1096</v>
      </c>
      <c r="N858" s="133">
        <v>0</v>
      </c>
      <c r="P858" s="133">
        <v>0</v>
      </c>
      <c r="Q858" s="133">
        <v>0</v>
      </c>
      <c r="R858" s="133">
        <v>0</v>
      </c>
      <c r="S858" s="156"/>
    </row>
    <row r="859" spans="1:19">
      <c r="A859" s="133" t="s">
        <v>1184</v>
      </c>
      <c r="B859" s="133" t="s">
        <v>1180</v>
      </c>
      <c r="C859" s="133" t="s">
        <v>1000</v>
      </c>
      <c r="D859" s="133" t="s">
        <v>899</v>
      </c>
      <c r="E859" s="133" t="s">
        <v>957</v>
      </c>
      <c r="F859" s="133" t="s">
        <v>946</v>
      </c>
      <c r="G859" s="133" t="s">
        <v>719</v>
      </c>
      <c r="H859" s="133">
        <v>5.98</v>
      </c>
      <c r="I859" s="133">
        <v>0</v>
      </c>
      <c r="J859" s="133">
        <v>0</v>
      </c>
      <c r="L859" s="133">
        <v>0</v>
      </c>
      <c r="M859" s="133" t="s">
        <v>1096</v>
      </c>
      <c r="N859" s="133">
        <v>0</v>
      </c>
      <c r="P859" s="133">
        <v>0</v>
      </c>
      <c r="Q859" s="133">
        <v>0</v>
      </c>
      <c r="R859" s="133">
        <v>0</v>
      </c>
      <c r="S859" s="156"/>
    </row>
    <row r="860" spans="1:19">
      <c r="A860" s="133" t="s">
        <v>1184</v>
      </c>
      <c r="B860" s="133" t="s">
        <v>1180</v>
      </c>
      <c r="C860" s="133" t="s">
        <v>1000</v>
      </c>
      <c r="D860" s="133" t="s">
        <v>474</v>
      </c>
      <c r="E860" s="133" t="s">
        <v>475</v>
      </c>
      <c r="F860" s="133" t="s">
        <v>709</v>
      </c>
      <c r="G860" s="133" t="s">
        <v>719</v>
      </c>
      <c r="H860" s="133">
        <v>2.68</v>
      </c>
      <c r="I860" s="133">
        <v>0</v>
      </c>
      <c r="J860" s="133">
        <v>0</v>
      </c>
      <c r="K860" s="133">
        <v>10</v>
      </c>
      <c r="L860" s="133">
        <v>10</v>
      </c>
      <c r="M860" s="133" t="s">
        <v>998</v>
      </c>
      <c r="N860" s="133">
        <v>0</v>
      </c>
      <c r="P860" s="133">
        <v>0</v>
      </c>
      <c r="Q860" s="133">
        <v>10</v>
      </c>
      <c r="R860" s="133">
        <v>0</v>
      </c>
      <c r="S860" s="156">
        <v>0</v>
      </c>
    </row>
    <row r="861" spans="1:19">
      <c r="A861" s="133" t="s">
        <v>1184</v>
      </c>
      <c r="B861" s="133" t="s">
        <v>1180</v>
      </c>
      <c r="C861" s="133" t="s">
        <v>1000</v>
      </c>
      <c r="D861" s="133" t="s">
        <v>480</v>
      </c>
      <c r="E861" s="133" t="s">
        <v>832</v>
      </c>
      <c r="F861" s="133" t="s">
        <v>708</v>
      </c>
      <c r="G861" s="133" t="s">
        <v>715</v>
      </c>
      <c r="H861" s="133">
        <v>51.24</v>
      </c>
      <c r="I861" s="133">
        <v>0</v>
      </c>
      <c r="J861" s="133">
        <v>0</v>
      </c>
      <c r="L861" s="133">
        <v>0</v>
      </c>
      <c r="M861" s="133" t="s">
        <v>1096</v>
      </c>
      <c r="N861" s="133">
        <v>0</v>
      </c>
      <c r="P861" s="133">
        <v>0</v>
      </c>
      <c r="Q861" s="133">
        <v>0</v>
      </c>
      <c r="R861" s="133">
        <v>0</v>
      </c>
      <c r="S861" s="156"/>
    </row>
    <row r="862" spans="1:19">
      <c r="A862" s="133" t="s">
        <v>1184</v>
      </c>
      <c r="B862" s="133" t="s">
        <v>1180</v>
      </c>
      <c r="C862" s="133" t="s">
        <v>1000</v>
      </c>
      <c r="D862" s="133" t="s">
        <v>481</v>
      </c>
      <c r="E862" s="133" t="s">
        <v>482</v>
      </c>
      <c r="F862" s="133" t="s">
        <v>708</v>
      </c>
      <c r="G862" s="133" t="s">
        <v>715</v>
      </c>
      <c r="H862" s="133">
        <v>520</v>
      </c>
      <c r="I862" s="133">
        <v>0</v>
      </c>
      <c r="J862" s="133">
        <v>0</v>
      </c>
      <c r="L862" s="133">
        <v>0</v>
      </c>
      <c r="M862" s="133" t="s">
        <v>1096</v>
      </c>
      <c r="N862" s="133">
        <v>0</v>
      </c>
      <c r="P862" s="133">
        <v>0</v>
      </c>
      <c r="Q862" s="133">
        <v>0</v>
      </c>
      <c r="R862" s="133">
        <v>0</v>
      </c>
      <c r="S862" s="156"/>
    </row>
    <row r="863" spans="1:19">
      <c r="A863" s="133" t="s">
        <v>1184</v>
      </c>
      <c r="B863" s="133" t="s">
        <v>1180</v>
      </c>
      <c r="C863" s="133" t="s">
        <v>1000</v>
      </c>
      <c r="D863" s="133" t="s">
        <v>483</v>
      </c>
      <c r="E863" s="133" t="s">
        <v>484</v>
      </c>
      <c r="F863" s="133" t="s">
        <v>708</v>
      </c>
      <c r="G863" s="133" t="s">
        <v>715</v>
      </c>
      <c r="H863" s="133">
        <v>10.9</v>
      </c>
      <c r="I863" s="133">
        <v>0</v>
      </c>
      <c r="J863" s="133">
        <v>0</v>
      </c>
      <c r="L863" s="133">
        <v>0</v>
      </c>
      <c r="M863" s="133" t="s">
        <v>1096</v>
      </c>
      <c r="N863" s="133">
        <v>0</v>
      </c>
      <c r="P863" s="133">
        <v>0</v>
      </c>
      <c r="Q863" s="133">
        <v>0</v>
      </c>
      <c r="R863" s="133">
        <v>0</v>
      </c>
      <c r="S863" s="156"/>
    </row>
    <row r="864" spans="1:19">
      <c r="A864" s="133" t="s">
        <v>1184</v>
      </c>
      <c r="B864" s="133" t="s">
        <v>1180</v>
      </c>
      <c r="C864" s="133" t="s">
        <v>1000</v>
      </c>
      <c r="D864" s="133" t="s">
        <v>485</v>
      </c>
      <c r="E864" s="133" t="s">
        <v>486</v>
      </c>
      <c r="F864" s="133" t="s">
        <v>708</v>
      </c>
      <c r="G864" s="133" t="s">
        <v>715</v>
      </c>
      <c r="H864" s="133">
        <v>2.83</v>
      </c>
      <c r="I864" s="133">
        <v>0</v>
      </c>
      <c r="J864" s="133">
        <v>0</v>
      </c>
      <c r="L864" s="133">
        <v>0</v>
      </c>
      <c r="M864" s="133" t="s">
        <v>1096</v>
      </c>
      <c r="N864" s="133">
        <v>0</v>
      </c>
      <c r="P864" s="133">
        <v>0</v>
      </c>
      <c r="Q864" s="133">
        <v>0</v>
      </c>
      <c r="R864" s="133">
        <v>0</v>
      </c>
      <c r="S864" s="156"/>
    </row>
    <row r="865" spans="1:19">
      <c r="A865" s="133" t="s">
        <v>1184</v>
      </c>
      <c r="B865" s="133" t="s">
        <v>1180</v>
      </c>
      <c r="C865" s="133" t="s">
        <v>1000</v>
      </c>
      <c r="D865" s="133" t="s">
        <v>900</v>
      </c>
      <c r="E865" s="133" t="s">
        <v>958</v>
      </c>
      <c r="F865" s="133" t="s">
        <v>946</v>
      </c>
      <c r="G865" s="133" t="s">
        <v>719</v>
      </c>
      <c r="H865" s="133">
        <v>1.26</v>
      </c>
      <c r="I865" s="133">
        <v>0</v>
      </c>
      <c r="J865" s="133">
        <v>0</v>
      </c>
      <c r="L865" s="133">
        <v>0</v>
      </c>
      <c r="M865" s="133" t="s">
        <v>1096</v>
      </c>
      <c r="N865" s="133">
        <v>0</v>
      </c>
      <c r="P865" s="133">
        <v>0</v>
      </c>
      <c r="Q865" s="133">
        <v>0</v>
      </c>
      <c r="R865" s="133">
        <v>0</v>
      </c>
      <c r="S865" s="156"/>
    </row>
    <row r="866" spans="1:19">
      <c r="A866" s="133" t="s">
        <v>1184</v>
      </c>
      <c r="B866" s="133" t="s">
        <v>1180</v>
      </c>
      <c r="C866" s="133" t="s">
        <v>1000</v>
      </c>
      <c r="D866" s="133" t="s">
        <v>495</v>
      </c>
      <c r="E866" s="133" t="s">
        <v>496</v>
      </c>
      <c r="F866" s="133" t="s">
        <v>707</v>
      </c>
      <c r="G866" s="133" t="s">
        <v>732</v>
      </c>
      <c r="H866" s="133">
        <v>6.05</v>
      </c>
      <c r="I866" s="133">
        <v>0</v>
      </c>
      <c r="J866" s="133">
        <v>92</v>
      </c>
      <c r="L866" s="133">
        <v>0</v>
      </c>
      <c r="M866" s="133" t="s">
        <v>1096</v>
      </c>
      <c r="N866" s="133">
        <v>0</v>
      </c>
      <c r="P866" s="133">
        <v>0</v>
      </c>
      <c r="Q866" s="133">
        <v>0</v>
      </c>
      <c r="R866" s="133">
        <v>0</v>
      </c>
      <c r="S866" s="156"/>
    </row>
    <row r="867" spans="1:19">
      <c r="A867" s="133" t="s">
        <v>1184</v>
      </c>
      <c r="B867" s="133" t="s">
        <v>1180</v>
      </c>
      <c r="C867" s="133" t="s">
        <v>1000</v>
      </c>
      <c r="D867" s="133" t="s">
        <v>497</v>
      </c>
      <c r="E867" s="133" t="s">
        <v>498</v>
      </c>
      <c r="F867" s="133" t="s">
        <v>707</v>
      </c>
      <c r="G867" s="133" t="s">
        <v>732</v>
      </c>
      <c r="H867" s="133">
        <v>23.46</v>
      </c>
      <c r="I867" s="133">
        <v>0</v>
      </c>
      <c r="J867" s="133">
        <v>0</v>
      </c>
      <c r="L867" s="133">
        <v>0</v>
      </c>
      <c r="M867" s="133" t="s">
        <v>1096</v>
      </c>
      <c r="N867" s="133">
        <v>0</v>
      </c>
      <c r="P867" s="133">
        <v>0</v>
      </c>
      <c r="Q867" s="133">
        <v>0</v>
      </c>
      <c r="R867" s="133">
        <v>0</v>
      </c>
      <c r="S867" s="156"/>
    </row>
    <row r="868" spans="1:19">
      <c r="A868" s="133" t="s">
        <v>1184</v>
      </c>
      <c r="B868" s="133" t="s">
        <v>1180</v>
      </c>
      <c r="C868" s="133" t="s">
        <v>1000</v>
      </c>
      <c r="D868" s="133" t="s">
        <v>499</v>
      </c>
      <c r="E868" s="133" t="s">
        <v>500</v>
      </c>
      <c r="F868" s="133" t="s">
        <v>708</v>
      </c>
      <c r="G868" s="133" t="s">
        <v>715</v>
      </c>
      <c r="H868" s="133">
        <v>56.08</v>
      </c>
      <c r="I868" s="133">
        <v>0</v>
      </c>
      <c r="J868" s="133">
        <v>2</v>
      </c>
      <c r="L868" s="133">
        <v>0</v>
      </c>
      <c r="M868" s="133" t="s">
        <v>1096</v>
      </c>
      <c r="N868" s="133">
        <v>0</v>
      </c>
      <c r="P868" s="133">
        <v>0</v>
      </c>
      <c r="Q868" s="133">
        <v>0</v>
      </c>
      <c r="R868" s="133">
        <v>0</v>
      </c>
      <c r="S868" s="156"/>
    </row>
    <row r="869" spans="1:19">
      <c r="A869" s="133" t="s">
        <v>1184</v>
      </c>
      <c r="B869" s="133" t="s">
        <v>1180</v>
      </c>
      <c r="C869" s="133" t="s">
        <v>1000</v>
      </c>
      <c r="D869" s="133" t="s">
        <v>501</v>
      </c>
      <c r="E869" s="133" t="s">
        <v>502</v>
      </c>
      <c r="F869" s="133" t="s">
        <v>708</v>
      </c>
      <c r="G869" s="133" t="s">
        <v>715</v>
      </c>
      <c r="H869" s="133">
        <v>11.48</v>
      </c>
      <c r="I869" s="133">
        <v>0</v>
      </c>
      <c r="J869" s="133">
        <v>4</v>
      </c>
      <c r="L869" s="133">
        <v>0</v>
      </c>
      <c r="M869" s="133" t="s">
        <v>1096</v>
      </c>
      <c r="N869" s="133">
        <v>0</v>
      </c>
      <c r="P869" s="133">
        <v>0</v>
      </c>
      <c r="Q869" s="133">
        <v>0</v>
      </c>
      <c r="R869" s="133">
        <v>0</v>
      </c>
      <c r="S869" s="156"/>
    </row>
    <row r="870" spans="1:19">
      <c r="A870" s="133" t="s">
        <v>1184</v>
      </c>
      <c r="B870" s="133" t="s">
        <v>1180</v>
      </c>
      <c r="C870" s="133" t="s">
        <v>1000</v>
      </c>
      <c r="D870" s="133" t="s">
        <v>503</v>
      </c>
      <c r="E870" s="133" t="s">
        <v>504</v>
      </c>
      <c r="F870" s="133" t="s">
        <v>708</v>
      </c>
      <c r="G870" s="133" t="s">
        <v>715</v>
      </c>
      <c r="H870" s="133">
        <v>3.38</v>
      </c>
      <c r="I870" s="133">
        <v>0</v>
      </c>
      <c r="J870" s="133">
        <v>21</v>
      </c>
      <c r="L870" s="133">
        <v>0</v>
      </c>
      <c r="M870" s="133" t="s">
        <v>1096</v>
      </c>
      <c r="N870" s="133">
        <v>0</v>
      </c>
      <c r="P870" s="133">
        <v>0</v>
      </c>
      <c r="Q870" s="133">
        <v>0</v>
      </c>
      <c r="R870" s="133">
        <v>0</v>
      </c>
      <c r="S870" s="156"/>
    </row>
    <row r="871" spans="1:19">
      <c r="A871" s="133" t="s">
        <v>1184</v>
      </c>
      <c r="B871" s="133" t="s">
        <v>1180</v>
      </c>
      <c r="C871" s="133" t="s">
        <v>1000</v>
      </c>
      <c r="D871" s="133" t="s">
        <v>505</v>
      </c>
      <c r="E871" s="133" t="s">
        <v>959</v>
      </c>
      <c r="F871" s="133" t="s">
        <v>712</v>
      </c>
      <c r="G871" s="133" t="s">
        <v>715</v>
      </c>
      <c r="H871" s="133">
        <v>1.94</v>
      </c>
      <c r="I871" s="133">
        <v>0</v>
      </c>
      <c r="J871" s="133">
        <v>0</v>
      </c>
      <c r="L871" s="133">
        <v>0</v>
      </c>
      <c r="M871" s="133" t="s">
        <v>1096</v>
      </c>
      <c r="N871" s="133">
        <v>0</v>
      </c>
      <c r="P871" s="133">
        <v>0</v>
      </c>
      <c r="Q871" s="133">
        <v>0</v>
      </c>
      <c r="R871" s="133">
        <v>0</v>
      </c>
      <c r="S871" s="156"/>
    </row>
    <row r="872" spans="1:19">
      <c r="A872" s="133" t="s">
        <v>1184</v>
      </c>
      <c r="B872" s="133" t="s">
        <v>1180</v>
      </c>
      <c r="C872" s="133" t="s">
        <v>1000</v>
      </c>
      <c r="D872" s="133" t="s">
        <v>506</v>
      </c>
      <c r="E872" s="133" t="s">
        <v>507</v>
      </c>
      <c r="F872" s="133" t="s">
        <v>712</v>
      </c>
      <c r="G872" s="133" t="s">
        <v>715</v>
      </c>
      <c r="H872" s="133">
        <v>3.49</v>
      </c>
      <c r="I872" s="133">
        <v>0</v>
      </c>
      <c r="J872" s="133">
        <v>0</v>
      </c>
      <c r="L872" s="133">
        <v>0</v>
      </c>
      <c r="M872" s="133" t="s">
        <v>1096</v>
      </c>
      <c r="N872" s="133">
        <v>0</v>
      </c>
      <c r="P872" s="133">
        <v>0</v>
      </c>
      <c r="Q872" s="133">
        <v>0</v>
      </c>
      <c r="R872" s="133">
        <v>0</v>
      </c>
      <c r="S872" s="156"/>
    </row>
    <row r="873" spans="1:19">
      <c r="A873" s="133" t="s">
        <v>1184</v>
      </c>
      <c r="B873" s="133" t="s">
        <v>1180</v>
      </c>
      <c r="C873" s="133" t="s">
        <v>1000</v>
      </c>
      <c r="D873" s="133" t="s">
        <v>508</v>
      </c>
      <c r="E873" s="133" t="s">
        <v>960</v>
      </c>
      <c r="F873" s="133" t="s">
        <v>712</v>
      </c>
      <c r="G873" s="133" t="s">
        <v>715</v>
      </c>
      <c r="H873" s="133">
        <v>6.94</v>
      </c>
      <c r="I873" s="133">
        <v>0</v>
      </c>
      <c r="J873" s="133">
        <v>0</v>
      </c>
      <c r="L873" s="133">
        <v>0</v>
      </c>
      <c r="M873" s="133" t="s">
        <v>1096</v>
      </c>
      <c r="N873" s="133">
        <v>0</v>
      </c>
      <c r="P873" s="133">
        <v>0</v>
      </c>
      <c r="Q873" s="133">
        <v>0</v>
      </c>
      <c r="R873" s="133">
        <v>0</v>
      </c>
      <c r="S873" s="156"/>
    </row>
    <row r="874" spans="1:19">
      <c r="A874" s="133" t="s">
        <v>1184</v>
      </c>
      <c r="B874" s="133" t="s">
        <v>1180</v>
      </c>
      <c r="C874" s="133" t="s">
        <v>1000</v>
      </c>
      <c r="D874" s="133" t="s">
        <v>901</v>
      </c>
      <c r="E874" s="133" t="s">
        <v>961</v>
      </c>
      <c r="F874" s="133" t="s">
        <v>946</v>
      </c>
      <c r="G874" s="133" t="s">
        <v>719</v>
      </c>
      <c r="H874" s="133">
        <v>0.93</v>
      </c>
      <c r="I874" s="133">
        <v>0</v>
      </c>
      <c r="J874" s="133">
        <v>0</v>
      </c>
      <c r="L874" s="133">
        <v>0</v>
      </c>
      <c r="M874" s="133" t="s">
        <v>1096</v>
      </c>
      <c r="N874" s="133">
        <v>0</v>
      </c>
      <c r="P874" s="133">
        <v>0</v>
      </c>
      <c r="Q874" s="133">
        <v>0</v>
      </c>
      <c r="R874" s="133">
        <v>0</v>
      </c>
      <c r="S874" s="156"/>
    </row>
    <row r="875" spans="1:19">
      <c r="A875" s="133" t="s">
        <v>1184</v>
      </c>
      <c r="B875" s="133" t="s">
        <v>1180</v>
      </c>
      <c r="C875" s="133" t="s">
        <v>1000</v>
      </c>
      <c r="D875" s="133" t="s">
        <v>902</v>
      </c>
      <c r="E875" s="133" t="s">
        <v>962</v>
      </c>
      <c r="F875" s="133" t="s">
        <v>946</v>
      </c>
      <c r="G875" s="133" t="s">
        <v>719</v>
      </c>
      <c r="H875" s="133">
        <v>0.54</v>
      </c>
      <c r="I875" s="133">
        <v>0</v>
      </c>
      <c r="J875" s="133">
        <v>0</v>
      </c>
      <c r="L875" s="133">
        <v>0</v>
      </c>
      <c r="M875" s="133" t="s">
        <v>1096</v>
      </c>
      <c r="N875" s="133">
        <v>0</v>
      </c>
      <c r="P875" s="133">
        <v>0</v>
      </c>
      <c r="Q875" s="133">
        <v>0</v>
      </c>
      <c r="R875" s="133">
        <v>0</v>
      </c>
      <c r="S875" s="156"/>
    </row>
    <row r="876" spans="1:19">
      <c r="A876" s="133" t="s">
        <v>1184</v>
      </c>
      <c r="B876" s="133" t="s">
        <v>1180</v>
      </c>
      <c r="C876" s="133" t="s">
        <v>1000</v>
      </c>
      <c r="D876" s="133" t="s">
        <v>903</v>
      </c>
      <c r="E876" s="133" t="s">
        <v>963</v>
      </c>
      <c r="F876" s="133" t="s">
        <v>946</v>
      </c>
      <c r="G876" s="133" t="s">
        <v>719</v>
      </c>
      <c r="H876" s="133">
        <v>2.13</v>
      </c>
      <c r="I876" s="133">
        <v>0</v>
      </c>
      <c r="J876" s="133">
        <v>0</v>
      </c>
      <c r="L876" s="133">
        <v>0</v>
      </c>
      <c r="M876" s="133" t="s">
        <v>1096</v>
      </c>
      <c r="N876" s="133">
        <v>0</v>
      </c>
      <c r="P876" s="133">
        <v>0</v>
      </c>
      <c r="Q876" s="133">
        <v>0</v>
      </c>
      <c r="R876" s="133">
        <v>0</v>
      </c>
      <c r="S876" s="156"/>
    </row>
    <row r="877" spans="1:19">
      <c r="A877" s="133" t="s">
        <v>1184</v>
      </c>
      <c r="B877" s="133" t="s">
        <v>1180</v>
      </c>
      <c r="C877" s="133" t="s">
        <v>1000</v>
      </c>
      <c r="D877" s="133" t="s">
        <v>904</v>
      </c>
      <c r="E877" s="133" t="s">
        <v>964</v>
      </c>
      <c r="F877" s="133" t="s">
        <v>946</v>
      </c>
      <c r="G877" s="133" t="s">
        <v>719</v>
      </c>
      <c r="H877" s="133">
        <v>4.1100000000000003</v>
      </c>
      <c r="I877" s="133">
        <v>0</v>
      </c>
      <c r="J877" s="133">
        <v>0</v>
      </c>
      <c r="L877" s="133">
        <v>0</v>
      </c>
      <c r="M877" s="133" t="s">
        <v>1096</v>
      </c>
      <c r="N877" s="133">
        <v>0</v>
      </c>
      <c r="P877" s="133">
        <v>0</v>
      </c>
      <c r="Q877" s="133">
        <v>0</v>
      </c>
      <c r="R877" s="133">
        <v>0</v>
      </c>
      <c r="S877" s="156"/>
    </row>
    <row r="878" spans="1:19">
      <c r="A878" s="133" t="s">
        <v>1184</v>
      </c>
      <c r="B878" s="133" t="s">
        <v>1180</v>
      </c>
      <c r="C878" s="133" t="s">
        <v>1000</v>
      </c>
      <c r="D878" s="133" t="s">
        <v>512</v>
      </c>
      <c r="E878" s="133" t="s">
        <v>513</v>
      </c>
      <c r="F878" s="133" t="s">
        <v>709</v>
      </c>
      <c r="G878" s="133" t="s">
        <v>719</v>
      </c>
      <c r="H878" s="133">
        <v>1.1599999999999999</v>
      </c>
      <c r="I878" s="133">
        <v>0</v>
      </c>
      <c r="J878" s="133">
        <v>0</v>
      </c>
      <c r="L878" s="133">
        <v>0</v>
      </c>
      <c r="M878" s="133" t="s">
        <v>1096</v>
      </c>
      <c r="N878" s="133">
        <v>0</v>
      </c>
      <c r="P878" s="133">
        <v>0</v>
      </c>
      <c r="Q878" s="133">
        <v>0</v>
      </c>
      <c r="R878" s="133">
        <v>0</v>
      </c>
      <c r="S878" s="156"/>
    </row>
    <row r="879" spans="1:19">
      <c r="A879" s="133" t="s">
        <v>1184</v>
      </c>
      <c r="B879" s="133" t="s">
        <v>1180</v>
      </c>
      <c r="C879" s="133" t="s">
        <v>1000</v>
      </c>
      <c r="D879" s="133" t="s">
        <v>514</v>
      </c>
      <c r="E879" s="133" t="s">
        <v>515</v>
      </c>
      <c r="F879" s="133" t="s">
        <v>709</v>
      </c>
      <c r="G879" s="133" t="s">
        <v>719</v>
      </c>
      <c r="H879" s="133">
        <v>2.14</v>
      </c>
      <c r="I879" s="133">
        <v>0</v>
      </c>
      <c r="J879" s="133">
        <v>0</v>
      </c>
      <c r="L879" s="133">
        <v>0</v>
      </c>
      <c r="M879" s="133" t="s">
        <v>1096</v>
      </c>
      <c r="N879" s="133">
        <v>0</v>
      </c>
      <c r="P879" s="133">
        <v>0</v>
      </c>
      <c r="Q879" s="133">
        <v>0</v>
      </c>
      <c r="R879" s="133">
        <v>0</v>
      </c>
      <c r="S879" s="156"/>
    </row>
    <row r="880" spans="1:19">
      <c r="A880" s="133" t="s">
        <v>1184</v>
      </c>
      <c r="B880" s="133" t="s">
        <v>1180</v>
      </c>
      <c r="C880" s="133" t="s">
        <v>1000</v>
      </c>
      <c r="D880" s="133" t="s">
        <v>516</v>
      </c>
      <c r="E880" s="133" t="s">
        <v>517</v>
      </c>
      <c r="F880" s="133" t="s">
        <v>709</v>
      </c>
      <c r="G880" s="133" t="s">
        <v>719</v>
      </c>
      <c r="H880" s="133">
        <v>4.8499999999999996</v>
      </c>
      <c r="I880" s="133">
        <v>0</v>
      </c>
      <c r="J880" s="133">
        <v>0</v>
      </c>
      <c r="L880" s="133">
        <v>0</v>
      </c>
      <c r="M880" s="133" t="s">
        <v>1096</v>
      </c>
      <c r="N880" s="133">
        <v>0</v>
      </c>
      <c r="P880" s="133">
        <v>0</v>
      </c>
      <c r="Q880" s="133">
        <v>0</v>
      </c>
      <c r="R880" s="133">
        <v>0</v>
      </c>
      <c r="S880" s="156"/>
    </row>
    <row r="881" spans="1:19">
      <c r="A881" s="133" t="s">
        <v>1184</v>
      </c>
      <c r="B881" s="133" t="s">
        <v>1180</v>
      </c>
      <c r="C881" s="133" t="s">
        <v>1000</v>
      </c>
      <c r="D881" s="133" t="s">
        <v>524</v>
      </c>
      <c r="E881" s="133" t="s">
        <v>525</v>
      </c>
      <c r="F881" s="133" t="s">
        <v>709</v>
      </c>
      <c r="G881" s="133" t="s">
        <v>719</v>
      </c>
      <c r="H881" s="133">
        <v>0.49</v>
      </c>
      <c r="I881" s="133">
        <v>0</v>
      </c>
      <c r="J881" s="133">
        <v>0</v>
      </c>
      <c r="L881" s="133">
        <v>0</v>
      </c>
      <c r="M881" s="133" t="s">
        <v>1096</v>
      </c>
      <c r="N881" s="133">
        <v>0</v>
      </c>
      <c r="P881" s="133">
        <v>0</v>
      </c>
      <c r="Q881" s="133">
        <v>0</v>
      </c>
      <c r="R881" s="133">
        <v>0</v>
      </c>
      <c r="S881" s="156"/>
    </row>
    <row r="882" spans="1:19">
      <c r="A882" s="133" t="s">
        <v>1184</v>
      </c>
      <c r="B882" s="133" t="s">
        <v>1180</v>
      </c>
      <c r="C882" s="133" t="s">
        <v>1000</v>
      </c>
      <c r="D882" s="133" t="s">
        <v>526</v>
      </c>
      <c r="E882" s="133" t="s">
        <v>527</v>
      </c>
      <c r="F882" s="133" t="s">
        <v>712</v>
      </c>
      <c r="G882" s="133" t="s">
        <v>719</v>
      </c>
      <c r="H882" s="133">
        <v>1.72</v>
      </c>
      <c r="I882" s="133">
        <v>0</v>
      </c>
      <c r="J882" s="133">
        <v>31</v>
      </c>
      <c r="L882" s="133">
        <v>0</v>
      </c>
      <c r="M882" s="133" t="s">
        <v>1096</v>
      </c>
      <c r="N882" s="133">
        <v>0</v>
      </c>
      <c r="P882" s="133">
        <v>0</v>
      </c>
      <c r="Q882" s="133">
        <v>0</v>
      </c>
      <c r="R882" s="133">
        <v>0</v>
      </c>
      <c r="S882" s="156"/>
    </row>
    <row r="883" spans="1:19">
      <c r="A883" s="133" t="s">
        <v>1184</v>
      </c>
      <c r="B883" s="133" t="s">
        <v>1180</v>
      </c>
      <c r="C883" s="133" t="s">
        <v>1000</v>
      </c>
      <c r="D883" s="133" t="s">
        <v>528</v>
      </c>
      <c r="E883" s="133" t="s">
        <v>529</v>
      </c>
      <c r="F883" s="133" t="s">
        <v>712</v>
      </c>
      <c r="G883" s="133" t="s">
        <v>719</v>
      </c>
      <c r="H883" s="133">
        <v>3.6</v>
      </c>
      <c r="I883" s="133">
        <v>0</v>
      </c>
      <c r="J883" s="133">
        <v>5</v>
      </c>
      <c r="L883" s="133">
        <v>0</v>
      </c>
      <c r="M883" s="133" t="s">
        <v>1096</v>
      </c>
      <c r="N883" s="133">
        <v>0</v>
      </c>
      <c r="P883" s="133">
        <v>0</v>
      </c>
      <c r="Q883" s="133">
        <v>0</v>
      </c>
      <c r="R883" s="133">
        <v>0</v>
      </c>
      <c r="S883" s="156"/>
    </row>
    <row r="884" spans="1:19">
      <c r="A884" s="133" t="s">
        <v>1184</v>
      </c>
      <c r="B884" s="133" t="s">
        <v>1180</v>
      </c>
      <c r="C884" s="133" t="s">
        <v>1000</v>
      </c>
      <c r="D884" s="133" t="s">
        <v>530</v>
      </c>
      <c r="E884" s="133" t="s">
        <v>531</v>
      </c>
      <c r="F884" s="133" t="s">
        <v>712</v>
      </c>
      <c r="G884" s="133" t="s">
        <v>719</v>
      </c>
      <c r="H884" s="133">
        <v>6.89</v>
      </c>
      <c r="I884" s="133">
        <v>0</v>
      </c>
      <c r="J884" s="133">
        <v>0</v>
      </c>
      <c r="L884" s="133">
        <v>0</v>
      </c>
      <c r="M884" s="133" t="s">
        <v>1096</v>
      </c>
      <c r="N884" s="133">
        <v>0</v>
      </c>
      <c r="P884" s="133">
        <v>0</v>
      </c>
      <c r="Q884" s="133">
        <v>0</v>
      </c>
      <c r="R884" s="133">
        <v>0</v>
      </c>
      <c r="S884" s="156"/>
    </row>
    <row r="885" spans="1:19">
      <c r="A885" s="133" t="s">
        <v>1184</v>
      </c>
      <c r="B885" s="133" t="s">
        <v>1180</v>
      </c>
      <c r="C885" s="133" t="s">
        <v>1000</v>
      </c>
      <c r="D885" s="133" t="s">
        <v>538</v>
      </c>
      <c r="E885" s="133" t="s">
        <v>539</v>
      </c>
      <c r="F885" s="133" t="s">
        <v>709</v>
      </c>
      <c r="G885" s="133" t="s">
        <v>719</v>
      </c>
      <c r="H885" s="133">
        <v>1.1299999999999999</v>
      </c>
      <c r="I885" s="133">
        <v>0</v>
      </c>
      <c r="J885" s="133">
        <v>0</v>
      </c>
      <c r="L885" s="133">
        <v>0</v>
      </c>
      <c r="M885" s="133" t="s">
        <v>1096</v>
      </c>
      <c r="N885" s="133">
        <v>0</v>
      </c>
      <c r="P885" s="133">
        <v>0</v>
      </c>
      <c r="Q885" s="133">
        <v>0</v>
      </c>
      <c r="R885" s="133">
        <v>0</v>
      </c>
      <c r="S885" s="156"/>
    </row>
    <row r="886" spans="1:19">
      <c r="A886" s="133" t="s">
        <v>1184</v>
      </c>
      <c r="B886" s="133" t="s">
        <v>1180</v>
      </c>
      <c r="C886" s="133" t="s">
        <v>1000</v>
      </c>
      <c r="D886" s="133" t="s">
        <v>905</v>
      </c>
      <c r="E886" s="133" t="s">
        <v>967</v>
      </c>
      <c r="F886" s="133" t="s">
        <v>946</v>
      </c>
      <c r="G886" s="133" t="s">
        <v>719</v>
      </c>
      <c r="H886" s="133">
        <v>3.43</v>
      </c>
      <c r="I886" s="133">
        <v>0</v>
      </c>
      <c r="J886" s="133">
        <v>0</v>
      </c>
      <c r="L886" s="133">
        <v>0</v>
      </c>
      <c r="M886" s="133" t="s">
        <v>1096</v>
      </c>
      <c r="N886" s="133">
        <v>0</v>
      </c>
      <c r="P886" s="133">
        <v>0</v>
      </c>
      <c r="Q886" s="133">
        <v>0</v>
      </c>
      <c r="R886" s="133">
        <v>0</v>
      </c>
      <c r="S886" s="156"/>
    </row>
    <row r="887" spans="1:19">
      <c r="A887" s="133" t="s">
        <v>1184</v>
      </c>
      <c r="B887" s="133" t="s">
        <v>1180</v>
      </c>
      <c r="C887" s="133" t="s">
        <v>1000</v>
      </c>
      <c r="D887" s="133" t="s">
        <v>906</v>
      </c>
      <c r="E887" s="133" t="s">
        <v>968</v>
      </c>
      <c r="F887" s="133" t="s">
        <v>946</v>
      </c>
      <c r="G887" s="133" t="s">
        <v>719</v>
      </c>
      <c r="H887" s="133">
        <v>1.48</v>
      </c>
      <c r="I887" s="133">
        <v>0</v>
      </c>
      <c r="J887" s="133">
        <v>0</v>
      </c>
      <c r="L887" s="133">
        <v>0</v>
      </c>
      <c r="M887" s="133" t="s">
        <v>1096</v>
      </c>
      <c r="N887" s="133">
        <v>0</v>
      </c>
      <c r="P887" s="133">
        <v>0</v>
      </c>
      <c r="Q887" s="133">
        <v>0</v>
      </c>
      <c r="R887" s="133">
        <v>0</v>
      </c>
      <c r="S887" s="156"/>
    </row>
    <row r="888" spans="1:19">
      <c r="A888" s="133" t="s">
        <v>1184</v>
      </c>
      <c r="B888" s="133" t="s">
        <v>1180</v>
      </c>
      <c r="C888" s="133" t="s">
        <v>1000</v>
      </c>
      <c r="D888" s="133" t="s">
        <v>542</v>
      </c>
      <c r="E888" s="133" t="s">
        <v>543</v>
      </c>
      <c r="F888" s="133" t="s">
        <v>707</v>
      </c>
      <c r="G888" s="133" t="s">
        <v>715</v>
      </c>
      <c r="H888" s="133">
        <v>1.24</v>
      </c>
      <c r="I888" s="133">
        <v>0</v>
      </c>
      <c r="J888" s="133">
        <v>0</v>
      </c>
      <c r="K888" s="133">
        <v>5</v>
      </c>
      <c r="L888" s="133">
        <v>6</v>
      </c>
      <c r="M888" s="133" t="s">
        <v>997</v>
      </c>
      <c r="N888" s="133">
        <v>0</v>
      </c>
      <c r="P888" s="133">
        <v>0</v>
      </c>
      <c r="Q888" s="133">
        <v>6</v>
      </c>
      <c r="R888" s="133">
        <v>0</v>
      </c>
      <c r="S888" s="156">
        <v>-0.2</v>
      </c>
    </row>
    <row r="889" spans="1:19">
      <c r="A889" s="133" t="s">
        <v>1184</v>
      </c>
      <c r="B889" s="133" t="s">
        <v>1180</v>
      </c>
      <c r="C889" s="133" t="s">
        <v>1000</v>
      </c>
      <c r="D889" s="133" t="s">
        <v>544</v>
      </c>
      <c r="E889" s="133" t="s">
        <v>545</v>
      </c>
      <c r="F889" s="133" t="s">
        <v>707</v>
      </c>
      <c r="G889" s="133" t="s">
        <v>715</v>
      </c>
      <c r="H889" s="133">
        <v>2.27</v>
      </c>
      <c r="I889" s="133">
        <v>0</v>
      </c>
      <c r="J889" s="133">
        <v>0</v>
      </c>
      <c r="L889" s="133">
        <v>0</v>
      </c>
      <c r="M889" s="133" t="s">
        <v>1096</v>
      </c>
      <c r="N889" s="133">
        <v>0</v>
      </c>
      <c r="P889" s="133">
        <v>0</v>
      </c>
      <c r="Q889" s="133">
        <v>0</v>
      </c>
      <c r="R889" s="133">
        <v>0</v>
      </c>
      <c r="S889" s="156"/>
    </row>
    <row r="890" spans="1:19">
      <c r="A890" s="133" t="s">
        <v>1184</v>
      </c>
      <c r="B890" s="133" t="s">
        <v>1180</v>
      </c>
      <c r="C890" s="133" t="s">
        <v>1000</v>
      </c>
      <c r="D890" s="133" t="s">
        <v>546</v>
      </c>
      <c r="E890" s="133" t="s">
        <v>547</v>
      </c>
      <c r="F890" s="133" t="s">
        <v>707</v>
      </c>
      <c r="G890" s="133" t="s">
        <v>715</v>
      </c>
      <c r="H890" s="133">
        <v>16.43</v>
      </c>
      <c r="I890" s="133">
        <v>0</v>
      </c>
      <c r="J890" s="133">
        <v>0</v>
      </c>
      <c r="L890" s="133">
        <v>0</v>
      </c>
      <c r="M890" s="133" t="s">
        <v>1096</v>
      </c>
      <c r="N890" s="133">
        <v>0</v>
      </c>
      <c r="P890" s="133">
        <v>0</v>
      </c>
      <c r="Q890" s="133">
        <v>0</v>
      </c>
      <c r="R890" s="133">
        <v>0</v>
      </c>
      <c r="S890" s="156"/>
    </row>
    <row r="891" spans="1:19">
      <c r="A891" s="133" t="s">
        <v>1184</v>
      </c>
      <c r="B891" s="133" t="s">
        <v>1180</v>
      </c>
      <c r="C891" s="133" t="s">
        <v>1000</v>
      </c>
      <c r="D891" s="133" t="s">
        <v>548</v>
      </c>
      <c r="E891" s="133" t="s">
        <v>549</v>
      </c>
      <c r="F891" s="133" t="s">
        <v>707</v>
      </c>
      <c r="G891" s="133" t="s">
        <v>715</v>
      </c>
      <c r="H891" s="133">
        <v>3.66</v>
      </c>
      <c r="I891" s="133">
        <v>0</v>
      </c>
      <c r="J891" s="133">
        <v>0</v>
      </c>
      <c r="K891" s="133">
        <v>10</v>
      </c>
      <c r="L891" s="133">
        <v>10</v>
      </c>
      <c r="M891" s="133" t="s">
        <v>998</v>
      </c>
      <c r="N891" s="133">
        <v>0</v>
      </c>
      <c r="P891" s="133">
        <v>0</v>
      </c>
      <c r="Q891" s="133">
        <v>10</v>
      </c>
      <c r="R891" s="133">
        <v>0</v>
      </c>
      <c r="S891" s="156">
        <v>0</v>
      </c>
    </row>
    <row r="892" spans="1:19">
      <c r="A892" s="133" t="s">
        <v>1184</v>
      </c>
      <c r="B892" s="133" t="s">
        <v>1180</v>
      </c>
      <c r="C892" s="133" t="s">
        <v>1000</v>
      </c>
      <c r="D892" s="133" t="s">
        <v>553</v>
      </c>
      <c r="E892" s="133" t="s">
        <v>554</v>
      </c>
      <c r="F892" s="133" t="s">
        <v>712</v>
      </c>
      <c r="G892" s="133" t="s">
        <v>715</v>
      </c>
      <c r="H892" s="133">
        <v>4.62</v>
      </c>
      <c r="I892" s="133">
        <v>0</v>
      </c>
      <c r="J892" s="133">
        <v>0</v>
      </c>
      <c r="L892" s="133">
        <v>0</v>
      </c>
      <c r="M892" s="133" t="s">
        <v>1096</v>
      </c>
      <c r="N892" s="133">
        <v>0</v>
      </c>
      <c r="P892" s="133">
        <v>0</v>
      </c>
      <c r="Q892" s="133">
        <v>0</v>
      </c>
      <c r="R892" s="133">
        <v>0</v>
      </c>
      <c r="S892" s="156"/>
    </row>
    <row r="893" spans="1:19">
      <c r="A893" s="133" t="s">
        <v>1184</v>
      </c>
      <c r="B893" s="133" t="s">
        <v>1180</v>
      </c>
      <c r="C893" s="133" t="s">
        <v>1000</v>
      </c>
      <c r="D893" s="133" t="s">
        <v>555</v>
      </c>
      <c r="E893" s="133" t="s">
        <v>556</v>
      </c>
      <c r="F893" s="133" t="s">
        <v>712</v>
      </c>
      <c r="G893" s="133" t="s">
        <v>719</v>
      </c>
      <c r="H893" s="133">
        <v>2.59</v>
      </c>
      <c r="I893" s="133">
        <v>0</v>
      </c>
      <c r="J893" s="133">
        <v>0</v>
      </c>
      <c r="L893" s="133">
        <v>0</v>
      </c>
      <c r="M893" s="133" t="s">
        <v>1096</v>
      </c>
      <c r="N893" s="133">
        <v>0</v>
      </c>
      <c r="P893" s="133">
        <v>0</v>
      </c>
      <c r="Q893" s="133">
        <v>0</v>
      </c>
      <c r="R893" s="133">
        <v>0</v>
      </c>
      <c r="S893" s="156"/>
    </row>
    <row r="894" spans="1:19">
      <c r="A894" s="133" t="s">
        <v>1184</v>
      </c>
      <c r="B894" s="133" t="s">
        <v>1180</v>
      </c>
      <c r="C894" s="133" t="s">
        <v>1000</v>
      </c>
      <c r="D894" s="133" t="s">
        <v>557</v>
      </c>
      <c r="E894" s="133" t="s">
        <v>558</v>
      </c>
      <c r="F894" s="133" t="s">
        <v>712</v>
      </c>
      <c r="G894" s="133" t="s">
        <v>719</v>
      </c>
      <c r="H894" s="133">
        <v>4.75</v>
      </c>
      <c r="I894" s="133">
        <v>0</v>
      </c>
      <c r="J894" s="133">
        <v>30</v>
      </c>
      <c r="L894" s="133">
        <v>0</v>
      </c>
      <c r="M894" s="133" t="s">
        <v>1096</v>
      </c>
      <c r="N894" s="133">
        <v>0</v>
      </c>
      <c r="P894" s="133">
        <v>0</v>
      </c>
      <c r="Q894" s="133">
        <v>0</v>
      </c>
      <c r="R894" s="133">
        <v>0</v>
      </c>
      <c r="S894" s="156"/>
    </row>
    <row r="895" spans="1:19">
      <c r="A895" s="133" t="s">
        <v>1184</v>
      </c>
      <c r="B895" s="133" t="s">
        <v>1180</v>
      </c>
      <c r="C895" s="133" t="s">
        <v>1000</v>
      </c>
      <c r="D895" s="133" t="s">
        <v>559</v>
      </c>
      <c r="E895" s="133" t="s">
        <v>560</v>
      </c>
      <c r="F895" s="133" t="s">
        <v>712</v>
      </c>
      <c r="G895" s="133" t="s">
        <v>719</v>
      </c>
      <c r="H895" s="133">
        <v>2.4</v>
      </c>
      <c r="I895" s="133">
        <v>0</v>
      </c>
      <c r="J895" s="133">
        <v>0</v>
      </c>
      <c r="L895" s="133">
        <v>0</v>
      </c>
      <c r="M895" s="133" t="s">
        <v>1096</v>
      </c>
      <c r="N895" s="133">
        <v>0</v>
      </c>
      <c r="P895" s="133">
        <v>0</v>
      </c>
      <c r="Q895" s="133">
        <v>0</v>
      </c>
      <c r="R895" s="133">
        <v>0</v>
      </c>
      <c r="S895" s="156"/>
    </row>
    <row r="896" spans="1:19">
      <c r="A896" s="133" t="s">
        <v>1184</v>
      </c>
      <c r="B896" s="133" t="s">
        <v>1180</v>
      </c>
      <c r="C896" s="133" t="s">
        <v>1000</v>
      </c>
      <c r="D896" s="133" t="s">
        <v>561</v>
      </c>
      <c r="E896" s="133" t="s">
        <v>562</v>
      </c>
      <c r="F896" s="133" t="s">
        <v>712</v>
      </c>
      <c r="G896" s="133" t="s">
        <v>719</v>
      </c>
      <c r="H896" s="133">
        <v>4.47</v>
      </c>
      <c r="I896" s="133">
        <v>0</v>
      </c>
      <c r="J896" s="133">
        <v>25</v>
      </c>
      <c r="K896" s="133">
        <v>5</v>
      </c>
      <c r="L896" s="133">
        <v>3</v>
      </c>
      <c r="M896" s="133" t="s">
        <v>714</v>
      </c>
      <c r="N896" s="133">
        <v>0</v>
      </c>
      <c r="P896" s="133">
        <v>0</v>
      </c>
      <c r="Q896" s="133">
        <v>3</v>
      </c>
      <c r="R896" s="133">
        <v>2</v>
      </c>
      <c r="S896" s="156">
        <v>0.4</v>
      </c>
    </row>
    <row r="897" spans="1:19">
      <c r="A897" s="133" t="s">
        <v>1184</v>
      </c>
      <c r="B897" s="133" t="s">
        <v>1180</v>
      </c>
      <c r="C897" s="133" t="s">
        <v>1000</v>
      </c>
      <c r="D897" s="133" t="s">
        <v>883</v>
      </c>
      <c r="E897" s="133" t="s">
        <v>969</v>
      </c>
      <c r="F897" s="133" t="s">
        <v>712</v>
      </c>
      <c r="G897" s="133" t="s">
        <v>715</v>
      </c>
      <c r="H897" s="133">
        <v>1.66</v>
      </c>
      <c r="I897" s="133">
        <v>0</v>
      </c>
      <c r="J897" s="133">
        <v>0</v>
      </c>
      <c r="L897" s="133">
        <v>0</v>
      </c>
      <c r="M897" s="133" t="s">
        <v>1096</v>
      </c>
      <c r="N897" s="133">
        <v>0</v>
      </c>
      <c r="P897" s="133">
        <v>0</v>
      </c>
      <c r="Q897" s="133">
        <v>0</v>
      </c>
      <c r="R897" s="133">
        <v>0</v>
      </c>
      <c r="S897" s="156"/>
    </row>
    <row r="898" spans="1:19">
      <c r="A898" s="133" t="s">
        <v>1184</v>
      </c>
      <c r="B898" s="133" t="s">
        <v>1180</v>
      </c>
      <c r="C898" s="133" t="s">
        <v>1000</v>
      </c>
      <c r="D898" s="133" t="s">
        <v>884</v>
      </c>
      <c r="E898" s="133" t="s">
        <v>970</v>
      </c>
      <c r="F898" s="133" t="s">
        <v>712</v>
      </c>
      <c r="G898" s="133" t="s">
        <v>715</v>
      </c>
      <c r="H898" s="133">
        <v>13.56</v>
      </c>
      <c r="I898" s="133">
        <v>0</v>
      </c>
      <c r="J898" s="133">
        <v>0</v>
      </c>
      <c r="L898" s="133">
        <v>0</v>
      </c>
      <c r="M898" s="133" t="s">
        <v>1096</v>
      </c>
      <c r="N898" s="133">
        <v>0</v>
      </c>
      <c r="P898" s="133">
        <v>0</v>
      </c>
      <c r="Q898" s="133">
        <v>0</v>
      </c>
      <c r="R898" s="133">
        <v>0</v>
      </c>
      <c r="S898" s="156"/>
    </row>
    <row r="899" spans="1:19">
      <c r="A899" s="133" t="s">
        <v>1184</v>
      </c>
      <c r="B899" s="133" t="s">
        <v>1180</v>
      </c>
      <c r="C899" s="133" t="s">
        <v>1000</v>
      </c>
      <c r="D899" s="133" t="s">
        <v>576</v>
      </c>
      <c r="E899" s="133" t="s">
        <v>577</v>
      </c>
      <c r="F899" s="133" t="s">
        <v>709</v>
      </c>
      <c r="G899" s="133" t="s">
        <v>715</v>
      </c>
      <c r="H899" s="133">
        <v>0.97</v>
      </c>
      <c r="I899" s="133">
        <v>0</v>
      </c>
      <c r="J899" s="133">
        <v>0</v>
      </c>
      <c r="L899" s="133">
        <v>0</v>
      </c>
      <c r="M899" s="133" t="s">
        <v>1096</v>
      </c>
      <c r="N899" s="133">
        <v>0</v>
      </c>
      <c r="P899" s="133">
        <v>0</v>
      </c>
      <c r="Q899" s="133">
        <v>0</v>
      </c>
      <c r="R899" s="133">
        <v>0</v>
      </c>
      <c r="S899" s="156"/>
    </row>
    <row r="900" spans="1:19">
      <c r="A900" s="133" t="s">
        <v>1184</v>
      </c>
      <c r="B900" s="133" t="s">
        <v>1180</v>
      </c>
      <c r="C900" s="133" t="s">
        <v>1000</v>
      </c>
      <c r="D900" s="133" t="s">
        <v>578</v>
      </c>
      <c r="E900" s="133" t="s">
        <v>579</v>
      </c>
      <c r="F900" s="133" t="s">
        <v>709</v>
      </c>
      <c r="G900" s="133" t="s">
        <v>715</v>
      </c>
      <c r="H900" s="133">
        <v>2.3199999999999998</v>
      </c>
      <c r="I900" s="133">
        <v>0</v>
      </c>
      <c r="J900" s="133">
        <v>0</v>
      </c>
      <c r="L900" s="133">
        <v>0</v>
      </c>
      <c r="M900" s="133" t="s">
        <v>1096</v>
      </c>
      <c r="N900" s="133">
        <v>0</v>
      </c>
      <c r="P900" s="133">
        <v>0</v>
      </c>
      <c r="Q900" s="133">
        <v>0</v>
      </c>
      <c r="R900" s="133">
        <v>0</v>
      </c>
      <c r="S900" s="156"/>
    </row>
    <row r="901" spans="1:19">
      <c r="A901" s="133" t="s">
        <v>1184</v>
      </c>
      <c r="B901" s="133" t="s">
        <v>1180</v>
      </c>
      <c r="C901" s="133" t="s">
        <v>1000</v>
      </c>
      <c r="D901" s="133" t="s">
        <v>580</v>
      </c>
      <c r="E901" s="133" t="s">
        <v>581</v>
      </c>
      <c r="F901" s="133" t="s">
        <v>709</v>
      </c>
      <c r="G901" s="133" t="s">
        <v>715</v>
      </c>
      <c r="H901" s="133">
        <v>3.92</v>
      </c>
      <c r="I901" s="133">
        <v>0</v>
      </c>
      <c r="J901" s="133">
        <v>0</v>
      </c>
      <c r="L901" s="133">
        <v>0</v>
      </c>
      <c r="M901" s="133" t="s">
        <v>1096</v>
      </c>
      <c r="N901" s="133">
        <v>0</v>
      </c>
      <c r="P901" s="133">
        <v>0</v>
      </c>
      <c r="Q901" s="133">
        <v>0</v>
      </c>
      <c r="R901" s="133">
        <v>0</v>
      </c>
      <c r="S901" s="156"/>
    </row>
    <row r="902" spans="1:19">
      <c r="A902" s="133" t="s">
        <v>1184</v>
      </c>
      <c r="B902" s="133" t="s">
        <v>1180</v>
      </c>
      <c r="C902" s="133" t="s">
        <v>1000</v>
      </c>
      <c r="D902" s="133" t="s">
        <v>582</v>
      </c>
      <c r="E902" s="133" t="s">
        <v>583</v>
      </c>
      <c r="F902" s="133" t="s">
        <v>709</v>
      </c>
      <c r="G902" s="133" t="s">
        <v>715</v>
      </c>
      <c r="H902" s="133">
        <v>9.3000000000000007</v>
      </c>
      <c r="I902" s="133">
        <v>0</v>
      </c>
      <c r="J902" s="133">
        <v>0</v>
      </c>
      <c r="L902" s="133">
        <v>0</v>
      </c>
      <c r="M902" s="133" t="s">
        <v>1096</v>
      </c>
      <c r="N902" s="133">
        <v>0</v>
      </c>
      <c r="P902" s="133">
        <v>0</v>
      </c>
      <c r="Q902" s="133">
        <v>0</v>
      </c>
      <c r="R902" s="133">
        <v>0</v>
      </c>
      <c r="S902" s="156"/>
    </row>
    <row r="903" spans="1:19">
      <c r="A903" s="133" t="s">
        <v>1184</v>
      </c>
      <c r="B903" s="133" t="s">
        <v>1180</v>
      </c>
      <c r="C903" s="133" t="s">
        <v>1000</v>
      </c>
      <c r="D903" s="133" t="s">
        <v>584</v>
      </c>
      <c r="E903" s="133" t="s">
        <v>585</v>
      </c>
      <c r="F903" s="133" t="s">
        <v>707</v>
      </c>
      <c r="G903" s="133" t="s">
        <v>715</v>
      </c>
      <c r="H903" s="133">
        <v>4.09</v>
      </c>
      <c r="I903" s="133">
        <v>0</v>
      </c>
      <c r="J903" s="133">
        <v>15</v>
      </c>
      <c r="L903" s="133">
        <v>0</v>
      </c>
      <c r="M903" s="133" t="s">
        <v>1096</v>
      </c>
      <c r="N903" s="133">
        <v>0</v>
      </c>
      <c r="P903" s="133">
        <v>0</v>
      </c>
      <c r="Q903" s="133">
        <v>0</v>
      </c>
      <c r="R903" s="133">
        <v>0</v>
      </c>
      <c r="S903" s="156"/>
    </row>
    <row r="904" spans="1:19">
      <c r="A904" s="133" t="s">
        <v>1184</v>
      </c>
      <c r="B904" s="133" t="s">
        <v>1180</v>
      </c>
      <c r="C904" s="133" t="s">
        <v>1000</v>
      </c>
      <c r="D904" s="133" t="s">
        <v>586</v>
      </c>
      <c r="E904" s="133" t="s">
        <v>587</v>
      </c>
      <c r="F904" s="133" t="s">
        <v>707</v>
      </c>
      <c r="G904" s="133" t="s">
        <v>715</v>
      </c>
      <c r="H904" s="133">
        <v>11.23</v>
      </c>
      <c r="I904" s="133">
        <v>0</v>
      </c>
      <c r="J904" s="133">
        <v>0</v>
      </c>
      <c r="L904" s="133">
        <v>0</v>
      </c>
      <c r="M904" s="133" t="s">
        <v>1096</v>
      </c>
      <c r="N904" s="133">
        <v>0</v>
      </c>
      <c r="P904" s="133">
        <v>0</v>
      </c>
      <c r="Q904" s="133">
        <v>0</v>
      </c>
      <c r="R904" s="133">
        <v>0</v>
      </c>
      <c r="S904" s="156"/>
    </row>
    <row r="905" spans="1:19">
      <c r="A905" s="133" t="s">
        <v>1184</v>
      </c>
      <c r="B905" s="133" t="s">
        <v>1180</v>
      </c>
      <c r="C905" s="133" t="s">
        <v>1000</v>
      </c>
      <c r="D905" s="133" t="s">
        <v>588</v>
      </c>
      <c r="E905" s="133" t="s">
        <v>589</v>
      </c>
      <c r="F905" s="133" t="s">
        <v>707</v>
      </c>
      <c r="G905" s="133" t="s">
        <v>715</v>
      </c>
      <c r="H905" s="133">
        <v>3.05</v>
      </c>
      <c r="I905" s="133">
        <v>0</v>
      </c>
      <c r="J905" s="133">
        <v>0</v>
      </c>
      <c r="K905" s="133">
        <v>10</v>
      </c>
      <c r="L905" s="133">
        <v>15</v>
      </c>
      <c r="M905" s="133" t="s">
        <v>997</v>
      </c>
      <c r="N905" s="133">
        <v>0</v>
      </c>
      <c r="P905" s="133">
        <v>0</v>
      </c>
      <c r="Q905" s="133">
        <v>15</v>
      </c>
      <c r="R905" s="133">
        <v>0</v>
      </c>
      <c r="S905" s="156">
        <v>-0.5</v>
      </c>
    </row>
    <row r="906" spans="1:19">
      <c r="A906" s="133" t="s">
        <v>1184</v>
      </c>
      <c r="B906" s="133" t="s">
        <v>1180</v>
      </c>
      <c r="C906" s="133" t="s">
        <v>1000</v>
      </c>
      <c r="D906" s="133" t="s">
        <v>885</v>
      </c>
      <c r="E906" s="133" t="s">
        <v>971</v>
      </c>
      <c r="F906" s="133" t="s">
        <v>712</v>
      </c>
      <c r="G906" s="133" t="s">
        <v>715</v>
      </c>
      <c r="H906" s="133">
        <v>3.49</v>
      </c>
      <c r="I906" s="133">
        <v>0</v>
      </c>
      <c r="J906" s="133">
        <v>0</v>
      </c>
      <c r="L906" s="133">
        <v>0</v>
      </c>
      <c r="M906" s="133" t="s">
        <v>1096</v>
      </c>
      <c r="N906" s="133">
        <v>0</v>
      </c>
      <c r="P906" s="133">
        <v>0</v>
      </c>
      <c r="Q906" s="133">
        <v>0</v>
      </c>
      <c r="R906" s="133">
        <v>0</v>
      </c>
      <c r="S906" s="156"/>
    </row>
    <row r="907" spans="1:19">
      <c r="A907" s="133" t="s">
        <v>1184</v>
      </c>
      <c r="B907" s="133" t="s">
        <v>1180</v>
      </c>
      <c r="C907" s="133" t="s">
        <v>1000</v>
      </c>
      <c r="D907" s="133" t="s">
        <v>886</v>
      </c>
      <c r="E907" s="133" t="s">
        <v>972</v>
      </c>
      <c r="F907" s="133" t="s">
        <v>712</v>
      </c>
      <c r="G907" s="133" t="s">
        <v>715</v>
      </c>
      <c r="H907" s="133">
        <v>1.87</v>
      </c>
      <c r="I907" s="133">
        <v>0</v>
      </c>
      <c r="J907" s="133">
        <v>0</v>
      </c>
      <c r="L907" s="133">
        <v>0</v>
      </c>
      <c r="M907" s="133" t="s">
        <v>1096</v>
      </c>
      <c r="N907" s="133">
        <v>0</v>
      </c>
      <c r="P907" s="133">
        <v>0</v>
      </c>
      <c r="Q907" s="133">
        <v>0</v>
      </c>
      <c r="R907" s="133">
        <v>0</v>
      </c>
      <c r="S907" s="156"/>
    </row>
    <row r="908" spans="1:19">
      <c r="A908" s="133" t="s">
        <v>1184</v>
      </c>
      <c r="B908" s="133" t="s">
        <v>1180</v>
      </c>
      <c r="C908" s="133" t="s">
        <v>1000</v>
      </c>
      <c r="D908" s="133" t="s">
        <v>887</v>
      </c>
      <c r="E908" s="133" t="s">
        <v>973</v>
      </c>
      <c r="F908" s="133" t="s">
        <v>712</v>
      </c>
      <c r="G908" s="133" t="s">
        <v>715</v>
      </c>
      <c r="H908" s="133">
        <v>6.61</v>
      </c>
      <c r="I908" s="133">
        <v>0</v>
      </c>
      <c r="J908" s="133">
        <v>0</v>
      </c>
      <c r="L908" s="133">
        <v>0</v>
      </c>
      <c r="M908" s="133" t="s">
        <v>1096</v>
      </c>
      <c r="N908" s="133">
        <v>0</v>
      </c>
      <c r="P908" s="133">
        <v>0</v>
      </c>
      <c r="Q908" s="133">
        <v>0</v>
      </c>
      <c r="R908" s="133">
        <v>0</v>
      </c>
      <c r="S908" s="156"/>
    </row>
    <row r="909" spans="1:19">
      <c r="A909" s="133" t="s">
        <v>1184</v>
      </c>
      <c r="B909" s="133" t="s">
        <v>1180</v>
      </c>
      <c r="C909" s="133" t="s">
        <v>1000</v>
      </c>
      <c r="D909" s="133" t="s">
        <v>594</v>
      </c>
      <c r="E909" s="133" t="s">
        <v>595</v>
      </c>
      <c r="F909" s="133" t="s">
        <v>712</v>
      </c>
      <c r="G909" s="133" t="s">
        <v>715</v>
      </c>
      <c r="H909" s="133">
        <v>25.89</v>
      </c>
      <c r="I909" s="133">
        <v>0</v>
      </c>
      <c r="J909" s="133">
        <v>0</v>
      </c>
      <c r="L909" s="133">
        <v>0</v>
      </c>
      <c r="M909" s="133" t="s">
        <v>1096</v>
      </c>
      <c r="N909" s="133">
        <v>0</v>
      </c>
      <c r="P909" s="133">
        <v>0</v>
      </c>
      <c r="Q909" s="133">
        <v>0</v>
      </c>
      <c r="R909" s="133">
        <v>0</v>
      </c>
      <c r="S909" s="156"/>
    </row>
    <row r="910" spans="1:19">
      <c r="A910" s="133" t="s">
        <v>1184</v>
      </c>
      <c r="B910" s="133" t="s">
        <v>1180</v>
      </c>
      <c r="C910" s="133" t="s">
        <v>1000</v>
      </c>
      <c r="D910" s="133" t="s">
        <v>596</v>
      </c>
      <c r="E910" s="133" t="s">
        <v>597</v>
      </c>
      <c r="F910" s="133" t="s">
        <v>712</v>
      </c>
      <c r="G910" s="133" t="s">
        <v>715</v>
      </c>
      <c r="H910" s="133">
        <v>2.71</v>
      </c>
      <c r="I910" s="133">
        <v>0</v>
      </c>
      <c r="J910" s="133">
        <v>60</v>
      </c>
      <c r="K910" s="133">
        <v>10</v>
      </c>
      <c r="L910" s="133">
        <v>12</v>
      </c>
      <c r="M910" s="133" t="s">
        <v>997</v>
      </c>
      <c r="N910" s="133">
        <v>0</v>
      </c>
      <c r="P910" s="133">
        <v>0</v>
      </c>
      <c r="Q910" s="133">
        <v>12</v>
      </c>
      <c r="R910" s="133">
        <v>0</v>
      </c>
      <c r="S910" s="156">
        <v>-0.2</v>
      </c>
    </row>
    <row r="911" spans="1:19">
      <c r="A911" s="133" t="s">
        <v>1184</v>
      </c>
      <c r="B911" s="133" t="s">
        <v>1180</v>
      </c>
      <c r="C911" s="133" t="s">
        <v>1000</v>
      </c>
      <c r="D911" s="133" t="s">
        <v>598</v>
      </c>
      <c r="E911" s="133" t="s">
        <v>599</v>
      </c>
      <c r="F911" s="133" t="s">
        <v>712</v>
      </c>
      <c r="G911" s="133" t="s">
        <v>715</v>
      </c>
      <c r="H911" s="133">
        <v>6.66</v>
      </c>
      <c r="I911" s="133">
        <v>0</v>
      </c>
      <c r="J911" s="133">
        <v>30</v>
      </c>
      <c r="K911" s="133">
        <v>15</v>
      </c>
      <c r="L911" s="133">
        <v>27</v>
      </c>
      <c r="M911" s="133" t="s">
        <v>997</v>
      </c>
      <c r="N911" s="133">
        <v>0</v>
      </c>
      <c r="P911" s="133">
        <v>0</v>
      </c>
      <c r="Q911" s="133">
        <v>27</v>
      </c>
      <c r="R911" s="133">
        <v>0</v>
      </c>
      <c r="S911" s="156">
        <v>-0.8</v>
      </c>
    </row>
    <row r="912" spans="1:19">
      <c r="A912" s="133" t="s">
        <v>1184</v>
      </c>
      <c r="B912" s="133" t="s">
        <v>1180</v>
      </c>
      <c r="C912" s="133" t="s">
        <v>1000</v>
      </c>
      <c r="D912" s="133" t="s">
        <v>601</v>
      </c>
      <c r="E912" s="133" t="s">
        <v>602</v>
      </c>
      <c r="F912" s="133" t="s">
        <v>712</v>
      </c>
      <c r="G912" s="133" t="s">
        <v>715</v>
      </c>
      <c r="H912" s="133">
        <v>349.85</v>
      </c>
      <c r="I912" s="133">
        <v>0</v>
      </c>
      <c r="J912" s="133">
        <v>0</v>
      </c>
      <c r="L912" s="133">
        <v>0</v>
      </c>
      <c r="M912" s="133" t="s">
        <v>1096</v>
      </c>
      <c r="N912" s="133">
        <v>0</v>
      </c>
      <c r="P912" s="133">
        <v>0</v>
      </c>
      <c r="Q912" s="133">
        <v>0</v>
      </c>
      <c r="R912" s="133">
        <v>0</v>
      </c>
      <c r="S912" s="156"/>
    </row>
    <row r="913" spans="1:19">
      <c r="A913" s="133" t="s">
        <v>1184</v>
      </c>
      <c r="B913" s="133" t="s">
        <v>1180</v>
      </c>
      <c r="C913" s="133" t="s">
        <v>1000</v>
      </c>
      <c r="D913" s="133" t="s">
        <v>603</v>
      </c>
      <c r="E913" s="133" t="s">
        <v>604</v>
      </c>
      <c r="F913" s="133" t="s">
        <v>712</v>
      </c>
      <c r="G913" s="133" t="s">
        <v>715</v>
      </c>
      <c r="H913" s="133">
        <v>20.54</v>
      </c>
      <c r="I913" s="133">
        <v>0</v>
      </c>
      <c r="J913" s="133">
        <v>0</v>
      </c>
      <c r="K913" s="133">
        <v>8</v>
      </c>
      <c r="L913" s="133">
        <v>2</v>
      </c>
      <c r="M913" s="133" t="s">
        <v>996</v>
      </c>
      <c r="N913" s="133">
        <v>0</v>
      </c>
      <c r="P913" s="133">
        <v>0</v>
      </c>
      <c r="Q913" s="133">
        <v>2</v>
      </c>
      <c r="R913" s="133">
        <v>6</v>
      </c>
      <c r="S913" s="156">
        <v>0.75</v>
      </c>
    </row>
    <row r="914" spans="1:19">
      <c r="A914" s="133" t="s">
        <v>1184</v>
      </c>
      <c r="B914" s="133" t="s">
        <v>1180</v>
      </c>
      <c r="C914" s="133" t="s">
        <v>1000</v>
      </c>
      <c r="D914" s="133" t="s">
        <v>605</v>
      </c>
      <c r="E914" s="133" t="s">
        <v>606</v>
      </c>
      <c r="F914" s="133" t="s">
        <v>709</v>
      </c>
      <c r="G914" s="133" t="s">
        <v>719</v>
      </c>
      <c r="H914" s="133">
        <v>1.35</v>
      </c>
      <c r="I914" s="133">
        <v>0</v>
      </c>
      <c r="J914" s="133">
        <v>10</v>
      </c>
      <c r="K914" s="133">
        <v>15</v>
      </c>
      <c r="L914" s="133">
        <v>13</v>
      </c>
      <c r="M914" s="133" t="s">
        <v>998</v>
      </c>
      <c r="N914" s="133">
        <v>0</v>
      </c>
      <c r="P914" s="133">
        <v>0</v>
      </c>
      <c r="Q914" s="133">
        <v>13</v>
      </c>
      <c r="R914" s="133">
        <v>2</v>
      </c>
      <c r="S914" s="156">
        <v>0.13333333333333333</v>
      </c>
    </row>
    <row r="915" spans="1:19">
      <c r="A915" s="133" t="s">
        <v>1184</v>
      </c>
      <c r="B915" s="133" t="s">
        <v>1180</v>
      </c>
      <c r="C915" s="133" t="s">
        <v>1000</v>
      </c>
      <c r="D915" s="133" t="s">
        <v>607</v>
      </c>
      <c r="E915" s="133" t="s">
        <v>608</v>
      </c>
      <c r="F915" s="133" t="s">
        <v>709</v>
      </c>
      <c r="G915" s="133" t="s">
        <v>719</v>
      </c>
      <c r="H915" s="133">
        <v>0.99</v>
      </c>
      <c r="I915" s="133">
        <v>0</v>
      </c>
      <c r="J915" s="133">
        <v>0</v>
      </c>
      <c r="L915" s="133">
        <v>0</v>
      </c>
      <c r="M915" s="133" t="s">
        <v>1096</v>
      </c>
      <c r="N915" s="133">
        <v>0</v>
      </c>
      <c r="P915" s="133">
        <v>0</v>
      </c>
      <c r="Q915" s="133">
        <v>0</v>
      </c>
      <c r="R915" s="133">
        <v>0</v>
      </c>
      <c r="S915" s="156"/>
    </row>
    <row r="916" spans="1:19">
      <c r="A916" s="133" t="s">
        <v>1184</v>
      </c>
      <c r="B916" s="133" t="s">
        <v>1180</v>
      </c>
      <c r="C916" s="133" t="s">
        <v>1000</v>
      </c>
      <c r="D916" s="133" t="s">
        <v>609</v>
      </c>
      <c r="E916" s="133" t="s">
        <v>610</v>
      </c>
      <c r="F916" s="133" t="s">
        <v>709</v>
      </c>
      <c r="G916" s="133" t="s">
        <v>719</v>
      </c>
      <c r="H916" s="133">
        <v>5.9</v>
      </c>
      <c r="I916" s="133">
        <v>0</v>
      </c>
      <c r="J916" s="133">
        <v>9</v>
      </c>
      <c r="L916" s="133">
        <v>0</v>
      </c>
      <c r="M916" s="133" t="s">
        <v>1096</v>
      </c>
      <c r="N916" s="133">
        <v>0</v>
      </c>
      <c r="P916" s="133">
        <v>0</v>
      </c>
      <c r="Q916" s="133">
        <v>0</v>
      </c>
      <c r="R916" s="133">
        <v>0</v>
      </c>
      <c r="S916" s="156"/>
    </row>
    <row r="917" spans="1:19">
      <c r="A917" s="133" t="s">
        <v>1184</v>
      </c>
      <c r="B917" s="133" t="s">
        <v>1180</v>
      </c>
      <c r="C917" s="133" t="s">
        <v>1000</v>
      </c>
      <c r="D917" s="133" t="s">
        <v>611</v>
      </c>
      <c r="E917" s="133" t="s">
        <v>612</v>
      </c>
      <c r="F917" s="133" t="s">
        <v>712</v>
      </c>
      <c r="G917" s="133" t="s">
        <v>719</v>
      </c>
      <c r="H917" s="133">
        <v>0.76</v>
      </c>
      <c r="I917" s="133">
        <v>0</v>
      </c>
      <c r="J917" s="133">
        <v>11</v>
      </c>
      <c r="L917" s="133">
        <v>0</v>
      </c>
      <c r="M917" s="133" t="s">
        <v>1096</v>
      </c>
      <c r="N917" s="133">
        <v>0</v>
      </c>
      <c r="P917" s="133">
        <v>0</v>
      </c>
      <c r="Q917" s="133">
        <v>0</v>
      </c>
      <c r="R917" s="133">
        <v>0</v>
      </c>
      <c r="S917" s="156"/>
    </row>
    <row r="918" spans="1:19">
      <c r="A918" s="133" t="s">
        <v>1184</v>
      </c>
      <c r="B918" s="133" t="s">
        <v>1180</v>
      </c>
      <c r="C918" s="133" t="s">
        <v>1000</v>
      </c>
      <c r="D918" s="133" t="s">
        <v>613</v>
      </c>
      <c r="E918" s="133" t="s">
        <v>614</v>
      </c>
      <c r="F918" s="133" t="s">
        <v>712</v>
      </c>
      <c r="G918" s="133" t="s">
        <v>719</v>
      </c>
      <c r="H918" s="133">
        <v>3.05</v>
      </c>
      <c r="I918" s="133">
        <v>0</v>
      </c>
      <c r="J918" s="133">
        <v>50</v>
      </c>
      <c r="K918" s="133">
        <v>50</v>
      </c>
      <c r="L918" s="133">
        <v>30</v>
      </c>
      <c r="M918" s="133" t="s">
        <v>714</v>
      </c>
      <c r="N918" s="133">
        <v>0</v>
      </c>
      <c r="P918" s="133">
        <v>0</v>
      </c>
      <c r="Q918" s="133">
        <v>30</v>
      </c>
      <c r="R918" s="133">
        <v>20</v>
      </c>
      <c r="S918" s="156">
        <v>0.4</v>
      </c>
    </row>
    <row r="919" spans="1:19">
      <c r="A919" s="133" t="s">
        <v>1184</v>
      </c>
      <c r="B919" s="133" t="s">
        <v>1180</v>
      </c>
      <c r="C919" s="133" t="s">
        <v>1000</v>
      </c>
      <c r="D919" s="133" t="s">
        <v>615</v>
      </c>
      <c r="E919" s="133" t="s">
        <v>616</v>
      </c>
      <c r="F919" s="133" t="s">
        <v>712</v>
      </c>
      <c r="G919" s="133" t="s">
        <v>719</v>
      </c>
      <c r="H919" s="133">
        <v>5.97</v>
      </c>
      <c r="I919" s="133">
        <v>0</v>
      </c>
      <c r="J919" s="133">
        <v>0</v>
      </c>
      <c r="L919" s="133">
        <v>0</v>
      </c>
      <c r="M919" s="133" t="s">
        <v>1096</v>
      </c>
      <c r="N919" s="133">
        <v>0</v>
      </c>
      <c r="P919" s="133">
        <v>0</v>
      </c>
      <c r="Q919" s="133">
        <v>0</v>
      </c>
      <c r="R919" s="133">
        <v>0</v>
      </c>
      <c r="S919" s="156"/>
    </row>
    <row r="920" spans="1:19">
      <c r="A920" s="133" t="s">
        <v>1184</v>
      </c>
      <c r="B920" s="133" t="s">
        <v>1180</v>
      </c>
      <c r="C920" s="133" t="s">
        <v>1000</v>
      </c>
      <c r="D920" s="133" t="s">
        <v>617</v>
      </c>
      <c r="E920" s="133" t="s">
        <v>618</v>
      </c>
      <c r="F920" s="133" t="s">
        <v>709</v>
      </c>
      <c r="G920" s="133" t="s">
        <v>719</v>
      </c>
      <c r="H920" s="133">
        <v>2.37</v>
      </c>
      <c r="I920" s="133">
        <v>0</v>
      </c>
      <c r="J920" s="133">
        <v>141</v>
      </c>
      <c r="K920" s="133">
        <v>60</v>
      </c>
      <c r="L920" s="133">
        <v>3</v>
      </c>
      <c r="M920" s="133" t="s">
        <v>996</v>
      </c>
      <c r="N920" s="133">
        <v>0</v>
      </c>
      <c r="P920" s="133">
        <v>0</v>
      </c>
      <c r="Q920" s="133">
        <v>3</v>
      </c>
      <c r="R920" s="133">
        <v>57</v>
      </c>
      <c r="S920" s="156">
        <v>0.95</v>
      </c>
    </row>
    <row r="921" spans="1:19">
      <c r="A921" s="133" t="s">
        <v>1184</v>
      </c>
      <c r="B921" s="133" t="s">
        <v>1180</v>
      </c>
      <c r="C921" s="133" t="s">
        <v>1000</v>
      </c>
      <c r="D921" s="133" t="s">
        <v>619</v>
      </c>
      <c r="E921" s="133" t="s">
        <v>620</v>
      </c>
      <c r="F921" s="133" t="s">
        <v>709</v>
      </c>
      <c r="G921" s="133" t="s">
        <v>719</v>
      </c>
      <c r="H921" s="133">
        <v>11.05</v>
      </c>
      <c r="I921" s="133">
        <v>0</v>
      </c>
      <c r="J921" s="133">
        <v>20</v>
      </c>
      <c r="L921" s="133">
        <v>0</v>
      </c>
      <c r="M921" s="133" t="s">
        <v>1096</v>
      </c>
      <c r="N921" s="133">
        <v>0</v>
      </c>
      <c r="P921" s="133">
        <v>0</v>
      </c>
      <c r="Q921" s="133">
        <v>0</v>
      </c>
      <c r="R921" s="133">
        <v>0</v>
      </c>
      <c r="S921" s="156"/>
    </row>
    <row r="922" spans="1:19">
      <c r="A922" s="133" t="s">
        <v>1184</v>
      </c>
      <c r="B922" s="133" t="s">
        <v>1180</v>
      </c>
      <c r="C922" s="133" t="s">
        <v>1000</v>
      </c>
      <c r="D922" s="133" t="s">
        <v>621</v>
      </c>
      <c r="E922" s="133" t="s">
        <v>622</v>
      </c>
      <c r="F922" s="133" t="s">
        <v>712</v>
      </c>
      <c r="G922" s="133" t="s">
        <v>719</v>
      </c>
      <c r="H922" s="133">
        <v>0.7</v>
      </c>
      <c r="I922" s="133">
        <v>0</v>
      </c>
      <c r="J922" s="133">
        <v>0</v>
      </c>
      <c r="L922" s="133">
        <v>0</v>
      </c>
      <c r="M922" s="133" t="s">
        <v>1096</v>
      </c>
      <c r="N922" s="133">
        <v>0</v>
      </c>
      <c r="P922" s="133">
        <v>0</v>
      </c>
      <c r="Q922" s="133">
        <v>0</v>
      </c>
      <c r="R922" s="133">
        <v>0</v>
      </c>
      <c r="S922" s="156"/>
    </row>
    <row r="923" spans="1:19">
      <c r="A923" s="133" t="s">
        <v>1184</v>
      </c>
      <c r="B923" s="133" t="s">
        <v>1180</v>
      </c>
      <c r="C923" s="133" t="s">
        <v>1000</v>
      </c>
      <c r="D923" s="133" t="s">
        <v>623</v>
      </c>
      <c r="E923" s="133" t="s">
        <v>624</v>
      </c>
      <c r="F923" s="133" t="s">
        <v>712</v>
      </c>
      <c r="G923" s="133" t="s">
        <v>719</v>
      </c>
      <c r="H923" s="133">
        <v>1.3</v>
      </c>
      <c r="I923" s="133">
        <v>0</v>
      </c>
      <c r="J923" s="133">
        <v>106</v>
      </c>
      <c r="K923" s="133">
        <v>12</v>
      </c>
      <c r="L923" s="133">
        <v>1</v>
      </c>
      <c r="M923" s="133" t="s">
        <v>996</v>
      </c>
      <c r="N923" s="133">
        <v>0</v>
      </c>
      <c r="P923" s="133">
        <v>0</v>
      </c>
      <c r="Q923" s="133">
        <v>1</v>
      </c>
      <c r="R923" s="133">
        <v>11</v>
      </c>
      <c r="S923" s="156">
        <v>0.91666666666666663</v>
      </c>
    </row>
    <row r="924" spans="1:19">
      <c r="A924" s="133" t="s">
        <v>1184</v>
      </c>
      <c r="B924" s="133" t="s">
        <v>1180</v>
      </c>
      <c r="C924" s="133" t="s">
        <v>1000</v>
      </c>
      <c r="D924" s="133" t="s">
        <v>625</v>
      </c>
      <c r="E924" s="133" t="s">
        <v>626</v>
      </c>
      <c r="F924" s="133" t="s">
        <v>712</v>
      </c>
      <c r="G924" s="133" t="s">
        <v>719</v>
      </c>
      <c r="H924" s="133">
        <v>6</v>
      </c>
      <c r="I924" s="133">
        <v>0</v>
      </c>
      <c r="J924" s="133">
        <v>0</v>
      </c>
      <c r="K924" s="133">
        <v>10</v>
      </c>
      <c r="L924" s="133">
        <v>1</v>
      </c>
      <c r="M924" s="133" t="s">
        <v>996</v>
      </c>
      <c r="N924" s="133">
        <v>0</v>
      </c>
      <c r="P924" s="133">
        <v>0</v>
      </c>
      <c r="Q924" s="133">
        <v>1</v>
      </c>
      <c r="R924" s="133">
        <v>9</v>
      </c>
      <c r="S924" s="156">
        <v>0.9</v>
      </c>
    </row>
    <row r="925" spans="1:19">
      <c r="A925" s="133" t="s">
        <v>1184</v>
      </c>
      <c r="B925" s="133" t="s">
        <v>1180</v>
      </c>
      <c r="C925" s="133" t="s">
        <v>1000</v>
      </c>
      <c r="D925" s="133" t="s">
        <v>627</v>
      </c>
      <c r="E925" s="133" t="s">
        <v>628</v>
      </c>
      <c r="F925" s="133" t="s">
        <v>712</v>
      </c>
      <c r="G925" s="133" t="s">
        <v>715</v>
      </c>
      <c r="H925" s="133">
        <v>1.05</v>
      </c>
      <c r="I925" s="133">
        <v>0</v>
      </c>
      <c r="J925" s="133">
        <v>0</v>
      </c>
      <c r="K925" s="133">
        <v>0</v>
      </c>
      <c r="L925" s="133">
        <v>0</v>
      </c>
      <c r="M925" s="133" t="s">
        <v>1096</v>
      </c>
      <c r="N925" s="133">
        <v>0</v>
      </c>
      <c r="P925" s="133">
        <v>0</v>
      </c>
      <c r="Q925" s="133">
        <v>0</v>
      </c>
      <c r="R925" s="133">
        <v>0</v>
      </c>
      <c r="S925" s="156"/>
    </row>
    <row r="926" spans="1:19">
      <c r="A926" s="133" t="s">
        <v>1184</v>
      </c>
      <c r="B926" s="133" t="s">
        <v>1180</v>
      </c>
      <c r="C926" s="133" t="s">
        <v>1000</v>
      </c>
      <c r="D926" s="133" t="s">
        <v>629</v>
      </c>
      <c r="E926" s="133" t="s">
        <v>630</v>
      </c>
      <c r="F926" s="133" t="s">
        <v>712</v>
      </c>
      <c r="G926" s="133" t="s">
        <v>715</v>
      </c>
      <c r="H926" s="133">
        <v>2.27</v>
      </c>
      <c r="I926" s="133">
        <v>0</v>
      </c>
      <c r="J926" s="133">
        <v>0</v>
      </c>
      <c r="K926" s="133">
        <v>15</v>
      </c>
      <c r="L926" s="133">
        <v>13</v>
      </c>
      <c r="M926" s="133" t="s">
        <v>998</v>
      </c>
      <c r="N926" s="133">
        <v>0</v>
      </c>
      <c r="P926" s="133">
        <v>0</v>
      </c>
      <c r="Q926" s="133">
        <v>13</v>
      </c>
      <c r="R926" s="133">
        <v>2</v>
      </c>
      <c r="S926" s="156">
        <v>0.13333333333333333</v>
      </c>
    </row>
    <row r="927" spans="1:19">
      <c r="A927" s="133" t="s">
        <v>1184</v>
      </c>
      <c r="B927" s="133" t="s">
        <v>1180</v>
      </c>
      <c r="C927" s="133" t="s">
        <v>1000</v>
      </c>
      <c r="D927" s="133" t="s">
        <v>631</v>
      </c>
      <c r="E927" s="133" t="s">
        <v>632</v>
      </c>
      <c r="F927" s="133" t="s">
        <v>712</v>
      </c>
      <c r="G927" s="133" t="s">
        <v>715</v>
      </c>
      <c r="H927" s="133">
        <v>4.3600000000000003</v>
      </c>
      <c r="I927" s="133">
        <v>0</v>
      </c>
      <c r="J927" s="133">
        <v>0</v>
      </c>
      <c r="K927" s="133">
        <v>30</v>
      </c>
      <c r="L927" s="133">
        <v>26</v>
      </c>
      <c r="M927" s="133" t="s">
        <v>998</v>
      </c>
      <c r="N927" s="133">
        <v>0</v>
      </c>
      <c r="P927" s="133">
        <v>0</v>
      </c>
      <c r="Q927" s="133">
        <v>26</v>
      </c>
      <c r="R927" s="133">
        <v>4</v>
      </c>
      <c r="S927" s="156">
        <v>0.13333333333333333</v>
      </c>
    </row>
    <row r="928" spans="1:19">
      <c r="A928" s="133" t="s">
        <v>1184</v>
      </c>
      <c r="B928" s="133" t="s">
        <v>1180</v>
      </c>
      <c r="C928" s="133" t="s">
        <v>1000</v>
      </c>
      <c r="D928" s="133" t="s">
        <v>633</v>
      </c>
      <c r="E928" s="133" t="s">
        <v>634</v>
      </c>
      <c r="F928" s="133" t="s">
        <v>712</v>
      </c>
      <c r="G928" s="133" t="s">
        <v>715</v>
      </c>
      <c r="H928" s="133">
        <v>8.4600000000000009</v>
      </c>
      <c r="I928" s="133">
        <v>0</v>
      </c>
      <c r="J928" s="133">
        <v>0</v>
      </c>
      <c r="K928" s="133">
        <v>20</v>
      </c>
      <c r="L928" s="133">
        <v>6</v>
      </c>
      <c r="M928" s="133" t="s">
        <v>996</v>
      </c>
      <c r="N928" s="133">
        <v>0</v>
      </c>
      <c r="P928" s="133">
        <v>0</v>
      </c>
      <c r="Q928" s="133">
        <v>6</v>
      </c>
      <c r="R928" s="133">
        <v>14</v>
      </c>
      <c r="S928" s="156">
        <v>0.7</v>
      </c>
    </row>
    <row r="929" spans="1:19">
      <c r="A929" s="133" t="s">
        <v>1184</v>
      </c>
      <c r="B929" s="133" t="s">
        <v>1180</v>
      </c>
      <c r="C929" s="133" t="s">
        <v>1000</v>
      </c>
      <c r="D929" s="133" t="s">
        <v>635</v>
      </c>
      <c r="E929" s="133" t="s">
        <v>636</v>
      </c>
      <c r="F929" s="133" t="s">
        <v>709</v>
      </c>
      <c r="G929" s="133" t="s">
        <v>719</v>
      </c>
      <c r="H929" s="133">
        <v>0.82</v>
      </c>
      <c r="I929" s="133">
        <v>0</v>
      </c>
      <c r="J929" s="133">
        <v>1</v>
      </c>
      <c r="K929" s="133">
        <v>15</v>
      </c>
      <c r="L929" s="133">
        <v>15</v>
      </c>
      <c r="M929" s="133" t="s">
        <v>998</v>
      </c>
      <c r="N929" s="133">
        <v>0</v>
      </c>
      <c r="P929" s="133">
        <v>0</v>
      </c>
      <c r="Q929" s="133">
        <v>15</v>
      </c>
      <c r="R929" s="133">
        <v>0</v>
      </c>
      <c r="S929" s="156">
        <v>0</v>
      </c>
    </row>
    <row r="930" spans="1:19">
      <c r="A930" s="133" t="s">
        <v>1184</v>
      </c>
      <c r="B930" s="133" t="s">
        <v>1180</v>
      </c>
      <c r="C930" s="133" t="s">
        <v>1000</v>
      </c>
      <c r="D930" s="133" t="s">
        <v>637</v>
      </c>
      <c r="E930" s="133" t="s">
        <v>638</v>
      </c>
      <c r="F930" s="133" t="s">
        <v>709</v>
      </c>
      <c r="G930" s="133" t="s">
        <v>719</v>
      </c>
      <c r="H930" s="133">
        <v>1.35</v>
      </c>
      <c r="I930" s="133">
        <v>0</v>
      </c>
      <c r="J930" s="133">
        <v>66</v>
      </c>
      <c r="K930" s="133">
        <v>15</v>
      </c>
      <c r="L930" s="133">
        <v>15</v>
      </c>
      <c r="M930" s="133" t="s">
        <v>998</v>
      </c>
      <c r="N930" s="133">
        <v>0</v>
      </c>
      <c r="P930" s="133">
        <v>0</v>
      </c>
      <c r="Q930" s="133">
        <v>15</v>
      </c>
      <c r="R930" s="133">
        <v>0</v>
      </c>
      <c r="S930" s="156">
        <v>0</v>
      </c>
    </row>
    <row r="931" spans="1:19">
      <c r="A931" s="133" t="s">
        <v>1184</v>
      </c>
      <c r="B931" s="133" t="s">
        <v>1180</v>
      </c>
      <c r="C931" s="133" t="s">
        <v>1000</v>
      </c>
      <c r="D931" s="133" t="s">
        <v>639</v>
      </c>
      <c r="E931" s="133" t="s">
        <v>640</v>
      </c>
      <c r="F931" s="133" t="s">
        <v>709</v>
      </c>
      <c r="G931" s="133" t="s">
        <v>719</v>
      </c>
      <c r="H931" s="133">
        <v>2.34</v>
      </c>
      <c r="I931" s="133">
        <v>0</v>
      </c>
      <c r="J931" s="133">
        <v>38</v>
      </c>
      <c r="K931" s="133">
        <v>15</v>
      </c>
      <c r="L931" s="133">
        <v>15</v>
      </c>
      <c r="M931" s="133" t="s">
        <v>998</v>
      </c>
      <c r="N931" s="133">
        <v>0</v>
      </c>
      <c r="P931" s="133">
        <v>0</v>
      </c>
      <c r="Q931" s="133">
        <v>15</v>
      </c>
      <c r="R931" s="133">
        <v>0</v>
      </c>
      <c r="S931" s="156">
        <v>0</v>
      </c>
    </row>
    <row r="932" spans="1:19">
      <c r="A932" s="133" t="s">
        <v>1184</v>
      </c>
      <c r="B932" s="133" t="s">
        <v>1180</v>
      </c>
      <c r="C932" s="133" t="s">
        <v>1000</v>
      </c>
      <c r="D932" s="133" t="s">
        <v>641</v>
      </c>
      <c r="E932" s="133" t="s">
        <v>642</v>
      </c>
      <c r="F932" s="133" t="s">
        <v>709</v>
      </c>
      <c r="G932" s="133" t="s">
        <v>719</v>
      </c>
      <c r="H932" s="133">
        <v>5.27</v>
      </c>
      <c r="I932" s="133">
        <v>0</v>
      </c>
      <c r="J932" s="133">
        <v>2</v>
      </c>
      <c r="K932" s="133">
        <v>15</v>
      </c>
      <c r="L932" s="133">
        <v>11</v>
      </c>
      <c r="M932" s="133" t="s">
        <v>998</v>
      </c>
      <c r="N932" s="133">
        <v>0</v>
      </c>
      <c r="P932" s="133">
        <v>0</v>
      </c>
      <c r="Q932" s="133">
        <v>11</v>
      </c>
      <c r="R932" s="133">
        <v>4</v>
      </c>
      <c r="S932" s="156">
        <v>0.26666666666666666</v>
      </c>
    </row>
    <row r="933" spans="1:19">
      <c r="A933" s="133" t="s">
        <v>1184</v>
      </c>
      <c r="B933" s="133" t="s">
        <v>1180</v>
      </c>
      <c r="C933" s="133" t="s">
        <v>1000</v>
      </c>
      <c r="D933" s="133" t="s">
        <v>647</v>
      </c>
      <c r="E933" s="133" t="s">
        <v>648</v>
      </c>
      <c r="F933" s="133" t="s">
        <v>708</v>
      </c>
      <c r="G933" s="133" t="s">
        <v>715</v>
      </c>
      <c r="H933" s="133">
        <v>10.039999999999999</v>
      </c>
      <c r="I933" s="133">
        <v>0</v>
      </c>
      <c r="J933" s="133">
        <v>0</v>
      </c>
      <c r="L933" s="133">
        <v>0</v>
      </c>
      <c r="M933" s="133" t="s">
        <v>1096</v>
      </c>
      <c r="N933" s="133">
        <v>0</v>
      </c>
      <c r="P933" s="133">
        <v>0</v>
      </c>
      <c r="Q933" s="133">
        <v>0</v>
      </c>
      <c r="R933" s="133">
        <v>0</v>
      </c>
      <c r="S933" s="156"/>
    </row>
    <row r="934" spans="1:19">
      <c r="A934" s="133" t="s">
        <v>1184</v>
      </c>
      <c r="B934" s="133" t="s">
        <v>1180</v>
      </c>
      <c r="C934" s="133" t="s">
        <v>1000</v>
      </c>
      <c r="D934" s="133" t="s">
        <v>649</v>
      </c>
      <c r="E934" s="133" t="s">
        <v>650</v>
      </c>
      <c r="F934" s="133" t="s">
        <v>708</v>
      </c>
      <c r="G934" s="133" t="s">
        <v>715</v>
      </c>
      <c r="H934" s="133">
        <v>50.77</v>
      </c>
      <c r="I934" s="133">
        <v>0</v>
      </c>
      <c r="J934" s="133">
        <v>0</v>
      </c>
      <c r="L934" s="133">
        <v>0</v>
      </c>
      <c r="M934" s="133" t="s">
        <v>1096</v>
      </c>
      <c r="N934" s="133">
        <v>0</v>
      </c>
      <c r="P934" s="133">
        <v>0</v>
      </c>
      <c r="Q934" s="133">
        <v>0</v>
      </c>
      <c r="R934" s="133">
        <v>0</v>
      </c>
      <c r="S934" s="156"/>
    </row>
    <row r="935" spans="1:19">
      <c r="A935" s="133" t="s">
        <v>1184</v>
      </c>
      <c r="B935" s="133" t="s">
        <v>1180</v>
      </c>
      <c r="C935" s="133" t="s">
        <v>1000</v>
      </c>
      <c r="D935" s="133" t="s">
        <v>659</v>
      </c>
      <c r="E935" s="133" t="s">
        <v>660</v>
      </c>
      <c r="F935" s="133" t="s">
        <v>707</v>
      </c>
      <c r="G935" s="133" t="s">
        <v>732</v>
      </c>
      <c r="H935" s="133">
        <v>121.78</v>
      </c>
      <c r="I935" s="133">
        <v>0</v>
      </c>
      <c r="J935" s="133">
        <v>0</v>
      </c>
      <c r="L935" s="133">
        <v>0</v>
      </c>
      <c r="M935" s="133" t="s">
        <v>1096</v>
      </c>
      <c r="N935" s="133">
        <v>0</v>
      </c>
      <c r="P935" s="133">
        <v>0</v>
      </c>
      <c r="Q935" s="133">
        <v>0</v>
      </c>
      <c r="R935" s="133">
        <v>0</v>
      </c>
      <c r="S935" s="156"/>
    </row>
    <row r="936" spans="1:19">
      <c r="A936" s="133" t="s">
        <v>1184</v>
      </c>
      <c r="B936" s="133" t="s">
        <v>1180</v>
      </c>
      <c r="C936" s="133" t="s">
        <v>1000</v>
      </c>
      <c r="D936" s="133" t="s">
        <v>661</v>
      </c>
      <c r="E936" s="133" t="s">
        <v>662</v>
      </c>
      <c r="F936" s="133" t="s">
        <v>707</v>
      </c>
      <c r="G936" s="133" t="s">
        <v>732</v>
      </c>
      <c r="H936" s="133">
        <v>24.73</v>
      </c>
      <c r="I936" s="133">
        <v>0</v>
      </c>
      <c r="J936" s="133">
        <v>0</v>
      </c>
      <c r="L936" s="133">
        <v>0</v>
      </c>
      <c r="M936" s="133" t="s">
        <v>1096</v>
      </c>
      <c r="N936" s="133">
        <v>0</v>
      </c>
      <c r="P936" s="133">
        <v>0</v>
      </c>
      <c r="Q936" s="133">
        <v>0</v>
      </c>
      <c r="R936" s="133">
        <v>0</v>
      </c>
      <c r="S936" s="156"/>
    </row>
    <row r="937" spans="1:19">
      <c r="A937" s="133" t="s">
        <v>1184</v>
      </c>
      <c r="B937" s="133" t="s">
        <v>1180</v>
      </c>
      <c r="C937" s="133" t="s">
        <v>1000</v>
      </c>
      <c r="D937" s="133" t="s">
        <v>663</v>
      </c>
      <c r="E937" s="133" t="s">
        <v>664</v>
      </c>
      <c r="F937" s="133" t="s">
        <v>707</v>
      </c>
      <c r="G937" s="133" t="s">
        <v>732</v>
      </c>
      <c r="H937" s="133">
        <v>6.54</v>
      </c>
      <c r="I937" s="133">
        <v>0</v>
      </c>
      <c r="J937" s="133">
        <v>0</v>
      </c>
      <c r="K937" s="133">
        <v>3</v>
      </c>
      <c r="L937" s="133">
        <v>3</v>
      </c>
      <c r="M937" s="133" t="s">
        <v>998</v>
      </c>
      <c r="N937" s="133">
        <v>0</v>
      </c>
      <c r="P937" s="133">
        <v>0</v>
      </c>
      <c r="Q937" s="133">
        <v>3</v>
      </c>
      <c r="R937" s="133">
        <v>0</v>
      </c>
      <c r="S937" s="156">
        <v>0</v>
      </c>
    </row>
    <row r="938" spans="1:19">
      <c r="A938" s="133" t="s">
        <v>1184</v>
      </c>
      <c r="B938" s="133" t="s">
        <v>1180</v>
      </c>
      <c r="C938" s="133" t="s">
        <v>1000</v>
      </c>
      <c r="D938" s="133" t="s">
        <v>733</v>
      </c>
      <c r="E938" s="133" t="s">
        <v>734</v>
      </c>
      <c r="F938" s="133" t="s">
        <v>709</v>
      </c>
      <c r="G938" s="133" t="s">
        <v>732</v>
      </c>
      <c r="H938" s="133">
        <v>16.05</v>
      </c>
      <c r="I938" s="133">
        <v>0</v>
      </c>
      <c r="J938" s="133">
        <v>15</v>
      </c>
      <c r="K938" s="133">
        <v>8</v>
      </c>
      <c r="L938" s="133">
        <v>7</v>
      </c>
      <c r="M938" s="133" t="s">
        <v>998</v>
      </c>
      <c r="N938" s="133">
        <v>0</v>
      </c>
      <c r="P938" s="133">
        <v>0</v>
      </c>
      <c r="Q938" s="133">
        <v>7</v>
      </c>
      <c r="R938" s="133">
        <v>1</v>
      </c>
      <c r="S938" s="156">
        <v>0.125</v>
      </c>
    </row>
    <row r="939" spans="1:19">
      <c r="A939" s="133" t="s">
        <v>1184</v>
      </c>
      <c r="B939" s="133" t="s">
        <v>1180</v>
      </c>
      <c r="C939" s="133" t="s">
        <v>1000</v>
      </c>
      <c r="D939" s="133" t="s">
        <v>730</v>
      </c>
      <c r="E939" s="133" t="s">
        <v>731</v>
      </c>
      <c r="F939" s="133" t="s">
        <v>709</v>
      </c>
      <c r="G939" s="133" t="s">
        <v>732</v>
      </c>
      <c r="H939" s="133">
        <v>62.58</v>
      </c>
      <c r="I939" s="133">
        <v>0</v>
      </c>
      <c r="J939" s="133">
        <v>9</v>
      </c>
      <c r="K939" s="133">
        <v>5</v>
      </c>
      <c r="L939" s="133">
        <v>0</v>
      </c>
      <c r="M939" s="133" t="s">
        <v>999</v>
      </c>
      <c r="N939" s="133">
        <v>0</v>
      </c>
      <c r="P939" s="133">
        <v>0</v>
      </c>
      <c r="Q939" s="133">
        <v>0</v>
      </c>
      <c r="R939" s="133">
        <v>5</v>
      </c>
      <c r="S939" s="156">
        <v>1</v>
      </c>
    </row>
    <row r="940" spans="1:19">
      <c r="A940" s="133" t="s">
        <v>1184</v>
      </c>
      <c r="B940" s="133" t="s">
        <v>1180</v>
      </c>
      <c r="C940" s="133" t="s">
        <v>1000</v>
      </c>
      <c r="D940" s="133" t="s">
        <v>665</v>
      </c>
      <c r="E940" s="133" t="s">
        <v>666</v>
      </c>
      <c r="F940" s="133" t="s">
        <v>709</v>
      </c>
      <c r="G940" s="133" t="s">
        <v>715</v>
      </c>
      <c r="H940" s="133">
        <v>1.42</v>
      </c>
      <c r="I940" s="133">
        <v>0</v>
      </c>
      <c r="J940" s="133">
        <v>88</v>
      </c>
      <c r="K940" s="133">
        <v>60</v>
      </c>
      <c r="L940" s="133">
        <v>52</v>
      </c>
      <c r="M940" s="133" t="s">
        <v>998</v>
      </c>
      <c r="N940" s="133">
        <v>0</v>
      </c>
      <c r="P940" s="133">
        <v>0</v>
      </c>
      <c r="Q940" s="133">
        <v>52</v>
      </c>
      <c r="R940" s="133">
        <v>8</v>
      </c>
      <c r="S940" s="156">
        <v>0.13333333333333333</v>
      </c>
    </row>
    <row r="941" spans="1:19">
      <c r="A941" s="133" t="s">
        <v>1184</v>
      </c>
      <c r="B941" s="133" t="s">
        <v>1180</v>
      </c>
      <c r="C941" s="133" t="s">
        <v>1000</v>
      </c>
      <c r="D941" s="133" t="s">
        <v>667</v>
      </c>
      <c r="E941" s="133" t="s">
        <v>668</v>
      </c>
      <c r="F941" s="133" t="s">
        <v>709</v>
      </c>
      <c r="G941" s="133" t="s">
        <v>715</v>
      </c>
      <c r="H941" s="133">
        <v>14.83</v>
      </c>
      <c r="I941" s="133">
        <v>0</v>
      </c>
      <c r="J941" s="133">
        <v>27</v>
      </c>
      <c r="K941" s="133">
        <v>10</v>
      </c>
      <c r="L941" s="133">
        <v>3</v>
      </c>
      <c r="M941" s="133" t="s">
        <v>996</v>
      </c>
      <c r="N941" s="133">
        <v>0</v>
      </c>
      <c r="P941" s="133">
        <v>0</v>
      </c>
      <c r="Q941" s="133">
        <v>3</v>
      </c>
      <c r="R941" s="133">
        <v>7</v>
      </c>
      <c r="S941" s="156">
        <v>0.7</v>
      </c>
    </row>
    <row r="942" spans="1:19">
      <c r="A942" s="133" t="s">
        <v>1184</v>
      </c>
      <c r="B942" s="133" t="s">
        <v>1180</v>
      </c>
      <c r="C942" s="133" t="s">
        <v>1000</v>
      </c>
      <c r="D942" s="133" t="s">
        <v>669</v>
      </c>
      <c r="E942" s="133" t="s">
        <v>670</v>
      </c>
      <c r="F942" s="133" t="s">
        <v>708</v>
      </c>
      <c r="G942" s="133" t="s">
        <v>715</v>
      </c>
      <c r="H942" s="133">
        <v>1.75</v>
      </c>
      <c r="I942" s="133">
        <v>0</v>
      </c>
      <c r="J942" s="133">
        <v>0</v>
      </c>
      <c r="K942" s="133">
        <v>20</v>
      </c>
      <c r="L942" s="133">
        <v>20</v>
      </c>
      <c r="M942" s="133" t="s">
        <v>998</v>
      </c>
      <c r="N942" s="133">
        <v>0</v>
      </c>
      <c r="P942" s="133">
        <v>0</v>
      </c>
      <c r="Q942" s="133">
        <v>20</v>
      </c>
      <c r="R942" s="133">
        <v>0</v>
      </c>
      <c r="S942" s="156">
        <v>0</v>
      </c>
    </row>
    <row r="943" spans="1:19">
      <c r="A943" s="133" t="s">
        <v>1185</v>
      </c>
      <c r="B943" s="133" t="s">
        <v>1175</v>
      </c>
      <c r="C943" s="133" t="s">
        <v>1000</v>
      </c>
      <c r="D943" s="133" t="s">
        <v>85</v>
      </c>
      <c r="E943" s="133" t="s">
        <v>86</v>
      </c>
      <c r="F943" s="133" t="s">
        <v>707</v>
      </c>
      <c r="G943" s="133" t="s">
        <v>715</v>
      </c>
      <c r="H943" s="133">
        <v>0.37</v>
      </c>
      <c r="I943" s="133">
        <v>0</v>
      </c>
      <c r="J943" s="133">
        <v>141</v>
      </c>
      <c r="K943" s="133">
        <v>0</v>
      </c>
      <c r="L943" s="133">
        <v>0</v>
      </c>
      <c r="M943" s="133" t="s">
        <v>1096</v>
      </c>
      <c r="N943" s="133">
        <v>0</v>
      </c>
      <c r="P943" s="133">
        <v>0</v>
      </c>
      <c r="Q943" s="133">
        <v>0</v>
      </c>
      <c r="R943" s="133">
        <v>0</v>
      </c>
      <c r="S943" s="156"/>
    </row>
    <row r="944" spans="1:19">
      <c r="A944" s="133" t="s">
        <v>1185</v>
      </c>
      <c r="B944" s="133" t="s">
        <v>1175</v>
      </c>
      <c r="C944" s="133" t="s">
        <v>1000</v>
      </c>
      <c r="D944" s="133" t="s">
        <v>87</v>
      </c>
      <c r="E944" s="133" t="s">
        <v>88</v>
      </c>
      <c r="F944" s="133" t="s">
        <v>707</v>
      </c>
      <c r="G944" s="133" t="s">
        <v>715</v>
      </c>
      <c r="H944" s="133">
        <v>0.66</v>
      </c>
      <c r="I944" s="133">
        <v>0</v>
      </c>
      <c r="J944" s="133">
        <v>457</v>
      </c>
      <c r="K944" s="133">
        <v>0</v>
      </c>
      <c r="L944" s="133">
        <v>0</v>
      </c>
      <c r="M944" s="133" t="s">
        <v>1096</v>
      </c>
      <c r="N944" s="133">
        <v>0</v>
      </c>
      <c r="P944" s="133">
        <v>0</v>
      </c>
      <c r="Q944" s="133">
        <v>0</v>
      </c>
      <c r="R944" s="133">
        <v>0</v>
      </c>
      <c r="S944" s="156"/>
    </row>
    <row r="945" spans="1:19">
      <c r="A945" s="133" t="s">
        <v>1185</v>
      </c>
      <c r="B945" s="133" t="s">
        <v>1175</v>
      </c>
      <c r="C945" s="133" t="s">
        <v>1000</v>
      </c>
      <c r="D945" s="133" t="s">
        <v>89</v>
      </c>
      <c r="E945" s="133" t="s">
        <v>90</v>
      </c>
      <c r="F945" s="133" t="s">
        <v>707</v>
      </c>
      <c r="G945" s="133" t="s">
        <v>715</v>
      </c>
      <c r="H945" s="133">
        <v>1.83</v>
      </c>
      <c r="I945" s="133">
        <v>0</v>
      </c>
      <c r="J945" s="133">
        <v>185</v>
      </c>
      <c r="K945" s="133">
        <v>0</v>
      </c>
      <c r="L945" s="133">
        <v>0</v>
      </c>
      <c r="M945" s="133" t="s">
        <v>1096</v>
      </c>
      <c r="N945" s="133">
        <v>0</v>
      </c>
      <c r="P945" s="133">
        <v>0</v>
      </c>
      <c r="Q945" s="133">
        <v>0</v>
      </c>
      <c r="R945" s="133">
        <v>0</v>
      </c>
      <c r="S945" s="156"/>
    </row>
    <row r="946" spans="1:19">
      <c r="A946" s="133" t="s">
        <v>1185</v>
      </c>
      <c r="B946" s="133" t="s">
        <v>1175</v>
      </c>
      <c r="C946" s="133" t="s">
        <v>1000</v>
      </c>
      <c r="D946" s="133" t="s">
        <v>91</v>
      </c>
      <c r="E946" s="133" t="s">
        <v>92</v>
      </c>
      <c r="F946" s="133" t="s">
        <v>707</v>
      </c>
      <c r="G946" s="133" t="s">
        <v>715</v>
      </c>
      <c r="H946" s="133">
        <v>1.9</v>
      </c>
      <c r="I946" s="133">
        <v>0</v>
      </c>
      <c r="J946" s="133">
        <v>0</v>
      </c>
      <c r="K946" s="133">
        <v>0</v>
      </c>
      <c r="L946" s="133">
        <v>0</v>
      </c>
      <c r="M946" s="133" t="s">
        <v>1096</v>
      </c>
      <c r="N946" s="133">
        <v>0</v>
      </c>
      <c r="P946" s="133">
        <v>0</v>
      </c>
      <c r="Q946" s="133">
        <v>0</v>
      </c>
      <c r="R946" s="133">
        <v>0</v>
      </c>
      <c r="S946" s="156"/>
    </row>
    <row r="947" spans="1:19">
      <c r="A947" s="133" t="s">
        <v>1185</v>
      </c>
      <c r="B947" s="133" t="s">
        <v>1175</v>
      </c>
      <c r="C947" s="133" t="s">
        <v>1000</v>
      </c>
      <c r="D947" s="133" t="s">
        <v>93</v>
      </c>
      <c r="E947" s="133" t="s">
        <v>94</v>
      </c>
      <c r="F947" s="133" t="s">
        <v>707</v>
      </c>
      <c r="G947" s="133" t="s">
        <v>715</v>
      </c>
      <c r="H947" s="133">
        <v>1.88</v>
      </c>
      <c r="I947" s="133">
        <v>0</v>
      </c>
      <c r="J947" s="133">
        <v>793</v>
      </c>
      <c r="K947" s="133">
        <v>0</v>
      </c>
      <c r="L947" s="133">
        <v>0</v>
      </c>
      <c r="M947" s="133" t="s">
        <v>1096</v>
      </c>
      <c r="N947" s="133">
        <v>0</v>
      </c>
      <c r="P947" s="133">
        <v>0</v>
      </c>
      <c r="Q947" s="133">
        <v>0</v>
      </c>
      <c r="R947" s="133">
        <v>0</v>
      </c>
      <c r="S947" s="156"/>
    </row>
    <row r="948" spans="1:19">
      <c r="A948" s="133" t="s">
        <v>1185</v>
      </c>
      <c r="B948" s="133" t="s">
        <v>1175</v>
      </c>
      <c r="C948" s="133" t="s">
        <v>1000</v>
      </c>
      <c r="D948" s="133" t="s">
        <v>95</v>
      </c>
      <c r="E948" s="133" t="s">
        <v>96</v>
      </c>
      <c r="F948" s="133" t="s">
        <v>707</v>
      </c>
      <c r="G948" s="133" t="s">
        <v>715</v>
      </c>
      <c r="H948" s="133">
        <v>1.94</v>
      </c>
      <c r="I948" s="133">
        <v>0</v>
      </c>
      <c r="J948" s="133">
        <v>600</v>
      </c>
      <c r="K948" s="133">
        <v>0</v>
      </c>
      <c r="L948" s="133">
        <v>0</v>
      </c>
      <c r="M948" s="133" t="s">
        <v>1096</v>
      </c>
      <c r="N948" s="133">
        <v>0</v>
      </c>
      <c r="P948" s="133">
        <v>0</v>
      </c>
      <c r="Q948" s="133">
        <v>0</v>
      </c>
      <c r="R948" s="133">
        <v>0</v>
      </c>
      <c r="S948" s="156"/>
    </row>
    <row r="949" spans="1:19">
      <c r="A949" s="133" t="s">
        <v>1185</v>
      </c>
      <c r="B949" s="133" t="s">
        <v>1175</v>
      </c>
      <c r="C949" s="133" t="s">
        <v>1000</v>
      </c>
      <c r="D949" s="133" t="s">
        <v>97</v>
      </c>
      <c r="E949" s="133" t="s">
        <v>98</v>
      </c>
      <c r="F949" s="133" t="s">
        <v>707</v>
      </c>
      <c r="G949" s="133" t="s">
        <v>715</v>
      </c>
      <c r="H949" s="133">
        <v>1.78</v>
      </c>
      <c r="I949" s="133">
        <v>0</v>
      </c>
      <c r="J949" s="133">
        <v>600</v>
      </c>
      <c r="K949" s="133">
        <v>0</v>
      </c>
      <c r="L949" s="133">
        <v>0</v>
      </c>
      <c r="M949" s="133" t="s">
        <v>1096</v>
      </c>
      <c r="N949" s="133">
        <v>0</v>
      </c>
      <c r="P949" s="133">
        <v>0</v>
      </c>
      <c r="Q949" s="133">
        <v>0</v>
      </c>
      <c r="R949" s="133">
        <v>0</v>
      </c>
      <c r="S949" s="156"/>
    </row>
    <row r="950" spans="1:19">
      <c r="A950" s="133" t="s">
        <v>1185</v>
      </c>
      <c r="B950" s="133" t="s">
        <v>1175</v>
      </c>
      <c r="C950" s="133" t="s">
        <v>1000</v>
      </c>
      <c r="D950" s="133" t="s">
        <v>99</v>
      </c>
      <c r="E950" s="133" t="s">
        <v>100</v>
      </c>
      <c r="F950" s="133" t="s">
        <v>707</v>
      </c>
      <c r="G950" s="133" t="s">
        <v>715</v>
      </c>
      <c r="H950" s="133">
        <v>2</v>
      </c>
      <c r="I950" s="133">
        <v>0</v>
      </c>
      <c r="J950" s="133">
        <v>590</v>
      </c>
      <c r="K950" s="133">
        <v>0</v>
      </c>
      <c r="L950" s="133">
        <v>0</v>
      </c>
      <c r="M950" s="133" t="s">
        <v>1096</v>
      </c>
      <c r="N950" s="133">
        <v>0</v>
      </c>
      <c r="P950" s="133">
        <v>0</v>
      </c>
      <c r="Q950" s="133">
        <v>0</v>
      </c>
      <c r="R950" s="133">
        <v>0</v>
      </c>
      <c r="S950" s="156"/>
    </row>
    <row r="951" spans="1:19">
      <c r="A951" s="133" t="s">
        <v>1185</v>
      </c>
      <c r="B951" s="133" t="s">
        <v>1175</v>
      </c>
      <c r="C951" s="133" t="s">
        <v>1000</v>
      </c>
      <c r="D951" s="133" t="s">
        <v>101</v>
      </c>
      <c r="E951" s="133" t="s">
        <v>102</v>
      </c>
      <c r="F951" s="133" t="s">
        <v>707</v>
      </c>
      <c r="G951" s="133" t="s">
        <v>715</v>
      </c>
      <c r="H951" s="133">
        <v>0.87</v>
      </c>
      <c r="I951" s="133">
        <v>0</v>
      </c>
      <c r="J951" s="133">
        <v>14</v>
      </c>
      <c r="K951" s="133">
        <v>0</v>
      </c>
      <c r="L951" s="133">
        <v>0</v>
      </c>
      <c r="M951" s="133" t="s">
        <v>1096</v>
      </c>
      <c r="N951" s="133">
        <v>0</v>
      </c>
      <c r="P951" s="133">
        <v>0</v>
      </c>
      <c r="Q951" s="133">
        <v>0</v>
      </c>
      <c r="R951" s="133">
        <v>0</v>
      </c>
      <c r="S951" s="156"/>
    </row>
    <row r="952" spans="1:19">
      <c r="A952" s="133" t="s">
        <v>1185</v>
      </c>
      <c r="B952" s="133" t="s">
        <v>1175</v>
      </c>
      <c r="C952" s="133" t="s">
        <v>1000</v>
      </c>
      <c r="D952" s="133" t="s">
        <v>103</v>
      </c>
      <c r="E952" s="133" t="s">
        <v>104</v>
      </c>
      <c r="F952" s="133" t="s">
        <v>707</v>
      </c>
      <c r="G952" s="133" t="s">
        <v>715</v>
      </c>
      <c r="H952" s="133">
        <v>1.38</v>
      </c>
      <c r="I952" s="133">
        <v>0</v>
      </c>
      <c r="J952" s="133">
        <v>129</v>
      </c>
      <c r="K952" s="133">
        <v>0</v>
      </c>
      <c r="L952" s="133">
        <v>0</v>
      </c>
      <c r="M952" s="133" t="s">
        <v>1096</v>
      </c>
      <c r="N952" s="133">
        <v>0</v>
      </c>
      <c r="P952" s="133">
        <v>0</v>
      </c>
      <c r="Q952" s="133">
        <v>0</v>
      </c>
      <c r="R952" s="133">
        <v>0</v>
      </c>
      <c r="S952" s="156"/>
    </row>
    <row r="953" spans="1:19">
      <c r="A953" s="133" t="s">
        <v>1185</v>
      </c>
      <c r="B953" s="133" t="s">
        <v>1175</v>
      </c>
      <c r="C953" s="133" t="s">
        <v>1000</v>
      </c>
      <c r="D953" s="133" t="s">
        <v>105</v>
      </c>
      <c r="E953" s="133" t="s">
        <v>106</v>
      </c>
      <c r="F953" s="133" t="s">
        <v>707</v>
      </c>
      <c r="G953" s="133" t="s">
        <v>715</v>
      </c>
      <c r="H953" s="133">
        <v>8.39</v>
      </c>
      <c r="I953" s="133">
        <v>0</v>
      </c>
      <c r="J953" s="133">
        <v>0</v>
      </c>
      <c r="K953" s="133">
        <v>0</v>
      </c>
      <c r="L953" s="133">
        <v>0</v>
      </c>
      <c r="M953" s="133" t="s">
        <v>1096</v>
      </c>
      <c r="N953" s="133">
        <v>0</v>
      </c>
      <c r="P953" s="133">
        <v>0</v>
      </c>
      <c r="Q953" s="133">
        <v>0</v>
      </c>
      <c r="R953" s="133">
        <v>0</v>
      </c>
      <c r="S953" s="156"/>
    </row>
    <row r="954" spans="1:19">
      <c r="A954" s="133" t="s">
        <v>1185</v>
      </c>
      <c r="B954" s="133" t="s">
        <v>1175</v>
      </c>
      <c r="C954" s="133" t="s">
        <v>1000</v>
      </c>
      <c r="D954" s="133" t="s">
        <v>107</v>
      </c>
      <c r="E954" s="133" t="s">
        <v>108</v>
      </c>
      <c r="F954" s="133" t="s">
        <v>707</v>
      </c>
      <c r="G954" s="133" t="s">
        <v>715</v>
      </c>
      <c r="H954" s="133">
        <v>2.61</v>
      </c>
      <c r="I954" s="133">
        <v>0</v>
      </c>
      <c r="J954" s="133">
        <v>176</v>
      </c>
      <c r="K954" s="133">
        <v>0</v>
      </c>
      <c r="L954" s="133">
        <v>0</v>
      </c>
      <c r="M954" s="133" t="s">
        <v>1096</v>
      </c>
      <c r="N954" s="133">
        <v>0</v>
      </c>
      <c r="P954" s="133">
        <v>0</v>
      </c>
      <c r="Q954" s="133">
        <v>0</v>
      </c>
      <c r="R954" s="133">
        <v>0</v>
      </c>
      <c r="S954" s="156"/>
    </row>
    <row r="955" spans="1:19">
      <c r="A955" s="133" t="s">
        <v>1185</v>
      </c>
      <c r="B955" s="133" t="s">
        <v>1175</v>
      </c>
      <c r="C955" s="133" t="s">
        <v>1000</v>
      </c>
      <c r="D955" s="133" t="s">
        <v>109</v>
      </c>
      <c r="E955" s="133" t="s">
        <v>110</v>
      </c>
      <c r="F955" s="133" t="s">
        <v>707</v>
      </c>
      <c r="G955" s="133" t="s">
        <v>715</v>
      </c>
      <c r="H955" s="133">
        <v>1.4</v>
      </c>
      <c r="I955" s="133">
        <v>0</v>
      </c>
      <c r="J955" s="133">
        <v>924</v>
      </c>
      <c r="K955" s="133">
        <v>0</v>
      </c>
      <c r="L955" s="133">
        <v>0</v>
      </c>
      <c r="M955" s="133" t="s">
        <v>1096</v>
      </c>
      <c r="N955" s="133">
        <v>0</v>
      </c>
      <c r="P955" s="133">
        <v>0</v>
      </c>
      <c r="Q955" s="133">
        <v>0</v>
      </c>
      <c r="R955" s="133">
        <v>0</v>
      </c>
      <c r="S955" s="156"/>
    </row>
    <row r="956" spans="1:19">
      <c r="A956" s="133" t="s">
        <v>1185</v>
      </c>
      <c r="B956" s="133" t="s">
        <v>1175</v>
      </c>
      <c r="C956" s="133" t="s">
        <v>1000</v>
      </c>
      <c r="D956" s="133" t="s">
        <v>111</v>
      </c>
      <c r="E956" s="133" t="s">
        <v>112</v>
      </c>
      <c r="F956" s="133" t="s">
        <v>707</v>
      </c>
      <c r="G956" s="133" t="s">
        <v>715</v>
      </c>
      <c r="H956" s="133">
        <v>2.34</v>
      </c>
      <c r="I956" s="133">
        <v>0</v>
      </c>
      <c r="J956" s="133">
        <v>305</v>
      </c>
      <c r="K956" s="133">
        <v>0</v>
      </c>
      <c r="L956" s="133">
        <v>0</v>
      </c>
      <c r="M956" s="133" t="s">
        <v>1096</v>
      </c>
      <c r="N956" s="133">
        <v>0</v>
      </c>
      <c r="P956" s="133">
        <v>0</v>
      </c>
      <c r="Q956" s="133">
        <v>0</v>
      </c>
      <c r="R956" s="133">
        <v>0</v>
      </c>
      <c r="S956" s="156"/>
    </row>
    <row r="957" spans="1:19">
      <c r="A957" s="133" t="s">
        <v>1185</v>
      </c>
      <c r="B957" s="133" t="s">
        <v>1175</v>
      </c>
      <c r="C957" s="133" t="s">
        <v>1000</v>
      </c>
      <c r="D957" s="133" t="s">
        <v>113</v>
      </c>
      <c r="E957" s="133" t="s">
        <v>114</v>
      </c>
      <c r="F957" s="133" t="s">
        <v>707</v>
      </c>
      <c r="G957" s="133" t="s">
        <v>715</v>
      </c>
      <c r="H957" s="133">
        <v>4.62</v>
      </c>
      <c r="I957" s="133">
        <v>0</v>
      </c>
      <c r="J957" s="133">
        <v>128</v>
      </c>
      <c r="K957" s="133">
        <v>0</v>
      </c>
      <c r="L957" s="133">
        <v>0</v>
      </c>
      <c r="M957" s="133" t="s">
        <v>1096</v>
      </c>
      <c r="N957" s="133">
        <v>0</v>
      </c>
      <c r="P957" s="133">
        <v>0</v>
      </c>
      <c r="Q957" s="133">
        <v>0</v>
      </c>
      <c r="R957" s="133">
        <v>0</v>
      </c>
      <c r="S957" s="156"/>
    </row>
    <row r="958" spans="1:19">
      <c r="A958" s="133" t="s">
        <v>1185</v>
      </c>
      <c r="B958" s="133" t="s">
        <v>1175</v>
      </c>
      <c r="C958" s="133" t="s">
        <v>1000</v>
      </c>
      <c r="D958" s="133" t="s">
        <v>115</v>
      </c>
      <c r="E958" s="133" t="s">
        <v>116</v>
      </c>
      <c r="F958" s="133" t="s">
        <v>707</v>
      </c>
      <c r="G958" s="133" t="s">
        <v>715</v>
      </c>
      <c r="H958" s="133">
        <v>1.63</v>
      </c>
      <c r="I958" s="133">
        <v>0</v>
      </c>
      <c r="J958" s="133">
        <v>141</v>
      </c>
      <c r="K958" s="133">
        <v>0</v>
      </c>
      <c r="L958" s="133">
        <v>0</v>
      </c>
      <c r="M958" s="133" t="s">
        <v>1096</v>
      </c>
      <c r="N958" s="133">
        <v>0</v>
      </c>
      <c r="P958" s="133">
        <v>0</v>
      </c>
      <c r="Q958" s="133">
        <v>0</v>
      </c>
      <c r="R958" s="133">
        <v>0</v>
      </c>
      <c r="S958" s="156"/>
    </row>
    <row r="959" spans="1:19">
      <c r="A959" s="133" t="s">
        <v>1185</v>
      </c>
      <c r="B959" s="133" t="s">
        <v>1175</v>
      </c>
      <c r="C959" s="133" t="s">
        <v>1000</v>
      </c>
      <c r="D959" s="133" t="s">
        <v>117</v>
      </c>
      <c r="E959" s="133" t="s">
        <v>118</v>
      </c>
      <c r="F959" s="133" t="s">
        <v>707</v>
      </c>
      <c r="G959" s="133" t="s">
        <v>727</v>
      </c>
      <c r="H959" s="133">
        <v>3.09</v>
      </c>
      <c r="I959" s="133">
        <v>0</v>
      </c>
      <c r="J959" s="133">
        <v>69</v>
      </c>
      <c r="K959" s="133">
        <v>0</v>
      </c>
      <c r="L959" s="133">
        <v>0</v>
      </c>
      <c r="M959" s="133" t="s">
        <v>1096</v>
      </c>
      <c r="N959" s="133">
        <v>0</v>
      </c>
      <c r="P959" s="133">
        <v>0</v>
      </c>
      <c r="Q959" s="133">
        <v>0</v>
      </c>
      <c r="R959" s="133">
        <v>0</v>
      </c>
      <c r="S959" s="156"/>
    </row>
    <row r="960" spans="1:19">
      <c r="A960" s="133" t="s">
        <v>1185</v>
      </c>
      <c r="B960" s="133" t="s">
        <v>1175</v>
      </c>
      <c r="C960" s="133" t="s">
        <v>1000</v>
      </c>
      <c r="D960" s="133" t="s">
        <v>119</v>
      </c>
      <c r="E960" s="133" t="s">
        <v>120</v>
      </c>
      <c r="F960" s="133" t="s">
        <v>707</v>
      </c>
      <c r="G960" s="133" t="s">
        <v>715</v>
      </c>
      <c r="H960" s="133">
        <v>1.93</v>
      </c>
      <c r="I960" s="133">
        <v>0</v>
      </c>
      <c r="J960" s="133">
        <v>291</v>
      </c>
      <c r="K960" s="133">
        <v>0</v>
      </c>
      <c r="L960" s="133">
        <v>0</v>
      </c>
      <c r="M960" s="133" t="s">
        <v>1096</v>
      </c>
      <c r="N960" s="133">
        <v>0</v>
      </c>
      <c r="P960" s="133">
        <v>0</v>
      </c>
      <c r="Q960" s="133">
        <v>0</v>
      </c>
      <c r="R960" s="133">
        <v>0</v>
      </c>
      <c r="S960" s="156"/>
    </row>
    <row r="961" spans="1:19">
      <c r="A961" s="133" t="s">
        <v>1185</v>
      </c>
      <c r="B961" s="133" t="s">
        <v>1175</v>
      </c>
      <c r="C961" s="133" t="s">
        <v>1000</v>
      </c>
      <c r="D961" s="133" t="s">
        <v>121</v>
      </c>
      <c r="E961" s="133" t="s">
        <v>122</v>
      </c>
      <c r="F961" s="133" t="s">
        <v>707</v>
      </c>
      <c r="G961" s="133" t="s">
        <v>715</v>
      </c>
      <c r="H961" s="133">
        <v>1.38</v>
      </c>
      <c r="I961" s="133">
        <v>0</v>
      </c>
      <c r="J961" s="133">
        <v>2</v>
      </c>
      <c r="K961" s="133">
        <v>0</v>
      </c>
      <c r="L961" s="133">
        <v>0</v>
      </c>
      <c r="M961" s="133" t="s">
        <v>1096</v>
      </c>
      <c r="N961" s="133">
        <v>0</v>
      </c>
      <c r="P961" s="133">
        <v>0</v>
      </c>
      <c r="Q961" s="133">
        <v>0</v>
      </c>
      <c r="R961" s="133">
        <v>0</v>
      </c>
      <c r="S961" s="156"/>
    </row>
    <row r="962" spans="1:19">
      <c r="A962" s="133" t="s">
        <v>1185</v>
      </c>
      <c r="B962" s="133" t="s">
        <v>1175</v>
      </c>
      <c r="C962" s="133" t="s">
        <v>1000</v>
      </c>
      <c r="D962" s="133" t="s">
        <v>123</v>
      </c>
      <c r="E962" s="133" t="s">
        <v>124</v>
      </c>
      <c r="F962" s="133" t="s">
        <v>707</v>
      </c>
      <c r="G962" s="133" t="s">
        <v>715</v>
      </c>
      <c r="H962" s="133">
        <v>7.04</v>
      </c>
      <c r="I962" s="133">
        <v>0</v>
      </c>
      <c r="J962" s="133">
        <v>0</v>
      </c>
      <c r="K962" s="133">
        <v>0</v>
      </c>
      <c r="L962" s="133">
        <v>0</v>
      </c>
      <c r="M962" s="133" t="s">
        <v>1096</v>
      </c>
      <c r="N962" s="133">
        <v>0</v>
      </c>
      <c r="P962" s="133">
        <v>0</v>
      </c>
      <c r="Q962" s="133">
        <v>0</v>
      </c>
      <c r="R962" s="133">
        <v>0</v>
      </c>
      <c r="S962" s="156"/>
    </row>
    <row r="963" spans="1:19">
      <c r="A963" s="133" t="s">
        <v>1185</v>
      </c>
      <c r="B963" s="133" t="s">
        <v>1175</v>
      </c>
      <c r="C963" s="133" t="s">
        <v>1000</v>
      </c>
      <c r="D963" s="133" t="s">
        <v>125</v>
      </c>
      <c r="E963" s="133" t="s">
        <v>126</v>
      </c>
      <c r="F963" s="133" t="s">
        <v>707</v>
      </c>
      <c r="G963" s="133" t="s">
        <v>715</v>
      </c>
      <c r="H963" s="133">
        <v>2.54</v>
      </c>
      <c r="I963" s="133">
        <v>0</v>
      </c>
      <c r="J963" s="133">
        <v>68</v>
      </c>
      <c r="K963" s="133">
        <v>0</v>
      </c>
      <c r="L963" s="133">
        <v>0</v>
      </c>
      <c r="M963" s="133" t="s">
        <v>1096</v>
      </c>
      <c r="N963" s="133">
        <v>0</v>
      </c>
      <c r="P963" s="133">
        <v>0</v>
      </c>
      <c r="Q963" s="133">
        <v>0</v>
      </c>
      <c r="R963" s="133">
        <v>0</v>
      </c>
      <c r="S963" s="156"/>
    </row>
    <row r="964" spans="1:19">
      <c r="A964" s="133" t="s">
        <v>1185</v>
      </c>
      <c r="B964" s="133" t="s">
        <v>1175</v>
      </c>
      <c r="C964" s="133" t="s">
        <v>1000</v>
      </c>
      <c r="D964" s="133" t="s">
        <v>127</v>
      </c>
      <c r="E964" s="133" t="s">
        <v>942</v>
      </c>
      <c r="F964" s="133" t="s">
        <v>712</v>
      </c>
      <c r="G964" s="133" t="s">
        <v>715</v>
      </c>
      <c r="H964" s="133">
        <v>1.52</v>
      </c>
      <c r="I964" s="133">
        <v>0</v>
      </c>
      <c r="J964" s="133">
        <v>0</v>
      </c>
      <c r="K964" s="133">
        <v>0</v>
      </c>
      <c r="L964" s="133">
        <v>0</v>
      </c>
      <c r="M964" s="133" t="s">
        <v>1096</v>
      </c>
      <c r="N964" s="133">
        <v>0</v>
      </c>
      <c r="P964" s="133">
        <v>0</v>
      </c>
      <c r="Q964" s="133">
        <v>0</v>
      </c>
      <c r="R964" s="133">
        <v>0</v>
      </c>
      <c r="S964" s="156"/>
    </row>
    <row r="965" spans="1:19">
      <c r="A965" s="133" t="s">
        <v>1185</v>
      </c>
      <c r="B965" s="133" t="s">
        <v>1175</v>
      </c>
      <c r="C965" s="133" t="s">
        <v>1000</v>
      </c>
      <c r="D965" s="133" t="s">
        <v>128</v>
      </c>
      <c r="E965" s="133" t="s">
        <v>129</v>
      </c>
      <c r="F965" s="133" t="s">
        <v>712</v>
      </c>
      <c r="G965" s="133" t="s">
        <v>715</v>
      </c>
      <c r="H965" s="133">
        <v>13.29</v>
      </c>
      <c r="I965" s="133">
        <v>0</v>
      </c>
      <c r="J965" s="133">
        <v>0</v>
      </c>
      <c r="K965" s="133">
        <v>0</v>
      </c>
      <c r="L965" s="133">
        <v>0</v>
      </c>
      <c r="M965" s="133" t="s">
        <v>1096</v>
      </c>
      <c r="N965" s="133">
        <v>0</v>
      </c>
      <c r="P965" s="133">
        <v>0</v>
      </c>
      <c r="Q965" s="133">
        <v>0</v>
      </c>
      <c r="R965" s="133">
        <v>0</v>
      </c>
      <c r="S965" s="156"/>
    </row>
    <row r="966" spans="1:19">
      <c r="A966" s="133" t="s">
        <v>1185</v>
      </c>
      <c r="B966" s="133" t="s">
        <v>1175</v>
      </c>
      <c r="C966" s="133" t="s">
        <v>1000</v>
      </c>
      <c r="D966" s="133" t="s">
        <v>130</v>
      </c>
      <c r="E966" s="133" t="s">
        <v>131</v>
      </c>
      <c r="F966" s="133" t="s">
        <v>707</v>
      </c>
      <c r="G966" s="133" t="s">
        <v>715</v>
      </c>
      <c r="H966" s="133">
        <v>1.64</v>
      </c>
      <c r="I966" s="133">
        <v>0</v>
      </c>
      <c r="J966" s="133">
        <v>534</v>
      </c>
      <c r="K966" s="133">
        <v>0</v>
      </c>
      <c r="L966" s="133">
        <v>0</v>
      </c>
      <c r="M966" s="133" t="s">
        <v>1096</v>
      </c>
      <c r="N966" s="133">
        <v>0</v>
      </c>
      <c r="P966" s="133">
        <v>0</v>
      </c>
      <c r="Q966" s="133">
        <v>0</v>
      </c>
      <c r="R966" s="133">
        <v>0</v>
      </c>
      <c r="S966" s="156"/>
    </row>
    <row r="967" spans="1:19">
      <c r="A967" s="133" t="s">
        <v>1185</v>
      </c>
      <c r="B967" s="133" t="s">
        <v>1175</v>
      </c>
      <c r="C967" s="133" t="s">
        <v>1000</v>
      </c>
      <c r="D967" s="133" t="s">
        <v>132</v>
      </c>
      <c r="E967" s="133" t="s">
        <v>133</v>
      </c>
      <c r="F967" s="133" t="s">
        <v>707</v>
      </c>
      <c r="G967" s="133" t="s">
        <v>715</v>
      </c>
      <c r="H967" s="133">
        <v>12.43</v>
      </c>
      <c r="I967" s="133">
        <v>0</v>
      </c>
      <c r="J967" s="133">
        <v>115</v>
      </c>
      <c r="K967" s="133">
        <v>0</v>
      </c>
      <c r="L967" s="133">
        <v>0</v>
      </c>
      <c r="M967" s="133" t="s">
        <v>1096</v>
      </c>
      <c r="N967" s="133">
        <v>0</v>
      </c>
      <c r="P967" s="133">
        <v>0</v>
      </c>
      <c r="Q967" s="133">
        <v>0</v>
      </c>
      <c r="R967" s="133">
        <v>0</v>
      </c>
      <c r="S967" s="156"/>
    </row>
    <row r="968" spans="1:19">
      <c r="A968" s="133" t="s">
        <v>1185</v>
      </c>
      <c r="B968" s="133" t="s">
        <v>1175</v>
      </c>
      <c r="C968" s="133" t="s">
        <v>1000</v>
      </c>
      <c r="D968" s="133" t="s">
        <v>134</v>
      </c>
      <c r="E968" s="133" t="s">
        <v>135</v>
      </c>
      <c r="F968" s="133" t="s">
        <v>707</v>
      </c>
      <c r="G968" s="133" t="s">
        <v>715</v>
      </c>
      <c r="H968" s="133">
        <v>3.47</v>
      </c>
      <c r="I968" s="133">
        <v>0</v>
      </c>
      <c r="J968" s="133">
        <v>316</v>
      </c>
      <c r="K968" s="133">
        <v>0</v>
      </c>
      <c r="L968" s="133">
        <v>0</v>
      </c>
      <c r="M968" s="133" t="s">
        <v>1096</v>
      </c>
      <c r="N968" s="133">
        <v>0</v>
      </c>
      <c r="P968" s="133">
        <v>0</v>
      </c>
      <c r="Q968" s="133">
        <v>0</v>
      </c>
      <c r="R968" s="133">
        <v>0</v>
      </c>
      <c r="S968" s="156"/>
    </row>
    <row r="969" spans="1:19">
      <c r="A969" s="133" t="s">
        <v>1185</v>
      </c>
      <c r="B969" s="133" t="s">
        <v>1175</v>
      </c>
      <c r="C969" s="133" t="s">
        <v>1000</v>
      </c>
      <c r="D969" s="133" t="s">
        <v>138</v>
      </c>
      <c r="E969" s="133" t="s">
        <v>139</v>
      </c>
      <c r="F969" s="133" t="s">
        <v>707</v>
      </c>
      <c r="G969" s="133" t="s">
        <v>732</v>
      </c>
      <c r="H969" s="133">
        <v>15.11</v>
      </c>
      <c r="I969" s="133">
        <v>0</v>
      </c>
      <c r="J969" s="133">
        <v>0</v>
      </c>
      <c r="K969" s="133">
        <v>0</v>
      </c>
      <c r="L969" s="133">
        <v>0</v>
      </c>
      <c r="M969" s="133" t="s">
        <v>1096</v>
      </c>
      <c r="N969" s="133">
        <v>0</v>
      </c>
      <c r="P969" s="133">
        <v>0</v>
      </c>
      <c r="Q969" s="133">
        <v>0</v>
      </c>
      <c r="R969" s="133">
        <v>0</v>
      </c>
      <c r="S969" s="156"/>
    </row>
    <row r="970" spans="1:19">
      <c r="A970" s="133" t="s">
        <v>1185</v>
      </c>
      <c r="B970" s="133" t="s">
        <v>1175</v>
      </c>
      <c r="C970" s="133" t="s">
        <v>1000</v>
      </c>
      <c r="D970" s="133" t="s">
        <v>140</v>
      </c>
      <c r="E970" s="133" t="s">
        <v>141</v>
      </c>
      <c r="F970" s="133" t="s">
        <v>707</v>
      </c>
      <c r="G970" s="133" t="s">
        <v>732</v>
      </c>
      <c r="H970" s="133">
        <v>267</v>
      </c>
      <c r="I970" s="133">
        <v>0</v>
      </c>
      <c r="J970" s="133">
        <v>3</v>
      </c>
      <c r="K970" s="133">
        <v>0</v>
      </c>
      <c r="L970" s="133">
        <v>0</v>
      </c>
      <c r="M970" s="133" t="s">
        <v>1096</v>
      </c>
      <c r="N970" s="133">
        <v>0</v>
      </c>
      <c r="P970" s="133">
        <v>0</v>
      </c>
      <c r="Q970" s="133">
        <v>0</v>
      </c>
      <c r="R970" s="133">
        <v>0</v>
      </c>
      <c r="S970" s="156"/>
    </row>
    <row r="971" spans="1:19">
      <c r="A971" s="133" t="s">
        <v>1185</v>
      </c>
      <c r="B971" s="133" t="s">
        <v>1175</v>
      </c>
      <c r="C971" s="133" t="s">
        <v>1000</v>
      </c>
      <c r="D971" s="133" t="s">
        <v>142</v>
      </c>
      <c r="E971" s="133" t="s">
        <v>143</v>
      </c>
      <c r="F971" s="133" t="s">
        <v>709</v>
      </c>
      <c r="G971" s="133" t="s">
        <v>719</v>
      </c>
      <c r="H971" s="133">
        <v>0.91</v>
      </c>
      <c r="I971" s="133">
        <v>0</v>
      </c>
      <c r="J971" s="133">
        <v>38</v>
      </c>
      <c r="K971" s="133">
        <v>0</v>
      </c>
      <c r="L971" s="133">
        <v>0</v>
      </c>
      <c r="M971" s="133" t="s">
        <v>1096</v>
      </c>
      <c r="N971" s="133">
        <v>0</v>
      </c>
      <c r="P971" s="133">
        <v>0</v>
      </c>
      <c r="Q971" s="133">
        <v>0</v>
      </c>
      <c r="R971" s="133">
        <v>0</v>
      </c>
      <c r="S971" s="156"/>
    </row>
    <row r="972" spans="1:19">
      <c r="A972" s="133" t="s">
        <v>1185</v>
      </c>
      <c r="B972" s="133" t="s">
        <v>1175</v>
      </c>
      <c r="C972" s="133" t="s">
        <v>1000</v>
      </c>
      <c r="D972" s="133" t="s">
        <v>144</v>
      </c>
      <c r="E972" s="133" t="s">
        <v>145</v>
      </c>
      <c r="F972" s="133" t="s">
        <v>709</v>
      </c>
      <c r="G972" s="133" t="s">
        <v>719</v>
      </c>
      <c r="H972" s="133">
        <v>2.79</v>
      </c>
      <c r="I972" s="133">
        <v>0</v>
      </c>
      <c r="J972" s="133">
        <v>335</v>
      </c>
      <c r="K972" s="133">
        <v>0</v>
      </c>
      <c r="L972" s="133">
        <v>0</v>
      </c>
      <c r="M972" s="133" t="s">
        <v>1096</v>
      </c>
      <c r="N972" s="133">
        <v>0</v>
      </c>
      <c r="P972" s="133">
        <v>0</v>
      </c>
      <c r="Q972" s="133">
        <v>0</v>
      </c>
      <c r="R972" s="133">
        <v>0</v>
      </c>
      <c r="S972" s="156"/>
    </row>
    <row r="973" spans="1:19">
      <c r="A973" s="133" t="s">
        <v>1185</v>
      </c>
      <c r="B973" s="133" t="s">
        <v>1175</v>
      </c>
      <c r="C973" s="133" t="s">
        <v>1000</v>
      </c>
      <c r="D973" s="133" t="s">
        <v>146</v>
      </c>
      <c r="E973" s="133" t="s">
        <v>147</v>
      </c>
      <c r="F973" s="133" t="s">
        <v>709</v>
      </c>
      <c r="G973" s="133" t="s">
        <v>719</v>
      </c>
      <c r="H973" s="133">
        <v>4.42</v>
      </c>
      <c r="I973" s="133">
        <v>0</v>
      </c>
      <c r="J973" s="133">
        <v>41</v>
      </c>
      <c r="K973" s="133">
        <v>0</v>
      </c>
      <c r="L973" s="133">
        <v>0</v>
      </c>
      <c r="M973" s="133" t="s">
        <v>1096</v>
      </c>
      <c r="N973" s="133">
        <v>0</v>
      </c>
      <c r="P973" s="133">
        <v>0</v>
      </c>
      <c r="Q973" s="133">
        <v>0</v>
      </c>
      <c r="R973" s="133">
        <v>0</v>
      </c>
      <c r="S973" s="156"/>
    </row>
    <row r="974" spans="1:19">
      <c r="A974" s="133" t="s">
        <v>1185</v>
      </c>
      <c r="B974" s="133" t="s">
        <v>1175</v>
      </c>
      <c r="C974" s="133" t="s">
        <v>1000</v>
      </c>
      <c r="D974" s="133" t="s">
        <v>148</v>
      </c>
      <c r="E974" s="133" t="s">
        <v>149</v>
      </c>
      <c r="F974" s="133" t="s">
        <v>709</v>
      </c>
      <c r="G974" s="133" t="s">
        <v>719</v>
      </c>
      <c r="H974" s="133">
        <v>11.54</v>
      </c>
      <c r="I974" s="133">
        <v>0</v>
      </c>
      <c r="J974" s="133">
        <v>200</v>
      </c>
      <c r="K974" s="133">
        <v>0</v>
      </c>
      <c r="L974" s="133">
        <v>0</v>
      </c>
      <c r="M974" s="133" t="s">
        <v>1096</v>
      </c>
      <c r="N974" s="133">
        <v>0</v>
      </c>
      <c r="P974" s="133">
        <v>0</v>
      </c>
      <c r="Q974" s="133">
        <v>0</v>
      </c>
      <c r="R974" s="133">
        <v>0</v>
      </c>
      <c r="S974" s="156"/>
    </row>
    <row r="975" spans="1:19">
      <c r="A975" s="133" t="s">
        <v>1185</v>
      </c>
      <c r="B975" s="133" t="s">
        <v>1175</v>
      </c>
      <c r="C975" s="133" t="s">
        <v>1000</v>
      </c>
      <c r="D975" s="133" t="s">
        <v>150</v>
      </c>
      <c r="E975" s="133" t="s">
        <v>151</v>
      </c>
      <c r="F975" s="133" t="s">
        <v>709</v>
      </c>
      <c r="G975" s="133" t="s">
        <v>719</v>
      </c>
      <c r="H975" s="133">
        <v>10.83</v>
      </c>
      <c r="I975" s="133">
        <v>0</v>
      </c>
      <c r="J975" s="133">
        <v>0</v>
      </c>
      <c r="K975" s="133">
        <v>0</v>
      </c>
      <c r="L975" s="133">
        <v>0</v>
      </c>
      <c r="M975" s="133" t="s">
        <v>1096</v>
      </c>
      <c r="N975" s="133">
        <v>0</v>
      </c>
      <c r="P975" s="133">
        <v>0</v>
      </c>
      <c r="Q975" s="133">
        <v>0</v>
      </c>
      <c r="R975" s="133">
        <v>0</v>
      </c>
      <c r="S975" s="156"/>
    </row>
    <row r="976" spans="1:19">
      <c r="A976" s="133" t="s">
        <v>1185</v>
      </c>
      <c r="B976" s="133" t="s">
        <v>1175</v>
      </c>
      <c r="C976" s="133" t="s">
        <v>1000</v>
      </c>
      <c r="D976" s="133" t="s">
        <v>152</v>
      </c>
      <c r="E976" s="133" t="s">
        <v>153</v>
      </c>
      <c r="F976" s="133" t="s">
        <v>709</v>
      </c>
      <c r="G976" s="133" t="s">
        <v>719</v>
      </c>
      <c r="H976" s="133">
        <v>23.65</v>
      </c>
      <c r="I976" s="133">
        <v>0</v>
      </c>
      <c r="J976" s="133">
        <v>0</v>
      </c>
      <c r="K976" s="133">
        <v>0</v>
      </c>
      <c r="L976" s="133">
        <v>0</v>
      </c>
      <c r="M976" s="133" t="s">
        <v>1096</v>
      </c>
      <c r="N976" s="133">
        <v>0</v>
      </c>
      <c r="P976" s="133">
        <v>0</v>
      </c>
      <c r="Q976" s="133">
        <v>0</v>
      </c>
      <c r="R976" s="133">
        <v>0</v>
      </c>
      <c r="S976" s="156"/>
    </row>
    <row r="977" spans="1:19">
      <c r="A977" s="133" t="s">
        <v>1185</v>
      </c>
      <c r="B977" s="133" t="s">
        <v>1175</v>
      </c>
      <c r="C977" s="133" t="s">
        <v>1000</v>
      </c>
      <c r="D977" s="133" t="s">
        <v>890</v>
      </c>
      <c r="E977" s="133" t="s">
        <v>945</v>
      </c>
      <c r="F977" s="133" t="s">
        <v>946</v>
      </c>
      <c r="G977" s="133" t="s">
        <v>719</v>
      </c>
      <c r="H977" s="133">
        <v>2.4</v>
      </c>
      <c r="I977" s="133">
        <v>0</v>
      </c>
      <c r="J977" s="133">
        <v>0</v>
      </c>
      <c r="K977" s="133">
        <v>0</v>
      </c>
      <c r="L977" s="133">
        <v>0</v>
      </c>
      <c r="M977" s="133" t="s">
        <v>1096</v>
      </c>
      <c r="N977" s="133">
        <v>0</v>
      </c>
      <c r="P977" s="133">
        <v>0</v>
      </c>
      <c r="Q977" s="133">
        <v>0</v>
      </c>
      <c r="R977" s="133">
        <v>0</v>
      </c>
      <c r="S977" s="156"/>
    </row>
    <row r="978" spans="1:19">
      <c r="A978" s="133" t="s">
        <v>1185</v>
      </c>
      <c r="B978" s="133" t="s">
        <v>1175</v>
      </c>
      <c r="C978" s="133" t="s">
        <v>1000</v>
      </c>
      <c r="D978" s="133" t="s">
        <v>891</v>
      </c>
      <c r="E978" s="133" t="s">
        <v>947</v>
      </c>
      <c r="F978" s="133" t="s">
        <v>946</v>
      </c>
      <c r="G978" s="133" t="s">
        <v>719</v>
      </c>
      <c r="H978" s="133">
        <v>4.1500000000000004</v>
      </c>
      <c r="I978" s="133">
        <v>0</v>
      </c>
      <c r="J978" s="133">
        <v>0</v>
      </c>
      <c r="K978" s="133">
        <v>0</v>
      </c>
      <c r="L978" s="133">
        <v>0</v>
      </c>
      <c r="M978" s="133" t="s">
        <v>1096</v>
      </c>
      <c r="N978" s="133">
        <v>0</v>
      </c>
      <c r="P978" s="133">
        <v>0</v>
      </c>
      <c r="Q978" s="133">
        <v>0</v>
      </c>
      <c r="R978" s="133">
        <v>0</v>
      </c>
      <c r="S978" s="156"/>
    </row>
    <row r="979" spans="1:19">
      <c r="A979" s="133" t="s">
        <v>1185</v>
      </c>
      <c r="B979" s="133" t="s">
        <v>1175</v>
      </c>
      <c r="C979" s="133" t="s">
        <v>1000</v>
      </c>
      <c r="D979" s="133" t="s">
        <v>736</v>
      </c>
      <c r="E979" s="133" t="s">
        <v>765</v>
      </c>
      <c r="F979" s="133" t="s">
        <v>712</v>
      </c>
      <c r="G979" s="133" t="s">
        <v>732</v>
      </c>
      <c r="H979" s="133">
        <v>2.89</v>
      </c>
      <c r="I979" s="133">
        <v>0</v>
      </c>
      <c r="J979" s="133">
        <v>0</v>
      </c>
      <c r="K979" s="133">
        <v>0</v>
      </c>
      <c r="L979" s="133">
        <v>0</v>
      </c>
      <c r="M979" s="133" t="s">
        <v>1096</v>
      </c>
      <c r="N979" s="133">
        <v>0</v>
      </c>
      <c r="P979" s="133">
        <v>0</v>
      </c>
      <c r="Q979" s="133">
        <v>0</v>
      </c>
      <c r="R979" s="133">
        <v>0</v>
      </c>
      <c r="S979" s="156"/>
    </row>
    <row r="980" spans="1:19">
      <c r="A980" s="133" t="s">
        <v>1185</v>
      </c>
      <c r="B980" s="133" t="s">
        <v>1175</v>
      </c>
      <c r="C980" s="133" t="s">
        <v>1000</v>
      </c>
      <c r="D980" s="133" t="s">
        <v>738</v>
      </c>
      <c r="E980" s="133" t="s">
        <v>762</v>
      </c>
      <c r="F980" s="133" t="s">
        <v>712</v>
      </c>
      <c r="G980" s="133" t="s">
        <v>732</v>
      </c>
      <c r="H980" s="133">
        <v>519.35</v>
      </c>
      <c r="I980" s="133">
        <v>0</v>
      </c>
      <c r="J980" s="133">
        <v>8</v>
      </c>
      <c r="K980" s="133">
        <v>0</v>
      </c>
      <c r="L980" s="133">
        <v>0</v>
      </c>
      <c r="M980" s="133" t="s">
        <v>1096</v>
      </c>
      <c r="N980" s="133">
        <v>0</v>
      </c>
      <c r="P980" s="133">
        <v>0</v>
      </c>
      <c r="Q980" s="133">
        <v>0</v>
      </c>
      <c r="R980" s="133">
        <v>0</v>
      </c>
      <c r="S980" s="156"/>
    </row>
    <row r="981" spans="1:19">
      <c r="A981" s="133" t="s">
        <v>1185</v>
      </c>
      <c r="B981" s="133" t="s">
        <v>1175</v>
      </c>
      <c r="C981" s="133" t="s">
        <v>1000</v>
      </c>
      <c r="D981" s="133" t="s">
        <v>875</v>
      </c>
      <c r="E981" s="133" t="s">
        <v>948</v>
      </c>
      <c r="F981" s="133" t="s">
        <v>712</v>
      </c>
      <c r="G981" s="133" t="s">
        <v>732</v>
      </c>
      <c r="H981" s="133">
        <v>6.79</v>
      </c>
      <c r="I981" s="133">
        <v>0</v>
      </c>
      <c r="J981" s="133">
        <v>36</v>
      </c>
      <c r="K981" s="133">
        <v>0</v>
      </c>
      <c r="L981" s="133">
        <v>0</v>
      </c>
      <c r="M981" s="133" t="s">
        <v>1096</v>
      </c>
      <c r="N981" s="133">
        <v>0</v>
      </c>
      <c r="P981" s="133">
        <v>0</v>
      </c>
      <c r="Q981" s="133">
        <v>0</v>
      </c>
      <c r="R981" s="133">
        <v>0</v>
      </c>
      <c r="S981" s="156"/>
    </row>
    <row r="982" spans="1:19">
      <c r="A982" s="133" t="s">
        <v>1185</v>
      </c>
      <c r="B982" s="133" t="s">
        <v>1175</v>
      </c>
      <c r="C982" s="133" t="s">
        <v>1000</v>
      </c>
      <c r="D982" s="133" t="s">
        <v>737</v>
      </c>
      <c r="E982" s="133" t="s">
        <v>763</v>
      </c>
      <c r="F982" s="133" t="s">
        <v>712</v>
      </c>
      <c r="G982" s="133" t="s">
        <v>732</v>
      </c>
      <c r="H982" s="133">
        <v>98.3</v>
      </c>
      <c r="I982" s="133">
        <v>0</v>
      </c>
      <c r="J982" s="133">
        <v>12</v>
      </c>
      <c r="K982" s="133">
        <v>0</v>
      </c>
      <c r="L982" s="133">
        <v>0</v>
      </c>
      <c r="M982" s="133" t="s">
        <v>1096</v>
      </c>
      <c r="N982" s="133">
        <v>0</v>
      </c>
      <c r="P982" s="133">
        <v>0</v>
      </c>
      <c r="Q982" s="133">
        <v>0</v>
      </c>
      <c r="R982" s="133">
        <v>0</v>
      </c>
      <c r="S982" s="156"/>
    </row>
    <row r="983" spans="1:19">
      <c r="A983" s="133" t="s">
        <v>1185</v>
      </c>
      <c r="B983" s="133" t="s">
        <v>1175</v>
      </c>
      <c r="C983" s="133" t="s">
        <v>1000</v>
      </c>
      <c r="D983" s="133" t="s">
        <v>742</v>
      </c>
      <c r="E983" s="133" t="s">
        <v>764</v>
      </c>
      <c r="F983" s="133" t="s">
        <v>712</v>
      </c>
      <c r="G983" s="133" t="s">
        <v>732</v>
      </c>
      <c r="H983" s="133">
        <v>26.65</v>
      </c>
      <c r="I983" s="133">
        <v>0</v>
      </c>
      <c r="J983" s="133">
        <v>159</v>
      </c>
      <c r="K983" s="133">
        <v>0</v>
      </c>
      <c r="L983" s="133">
        <v>0</v>
      </c>
      <c r="M983" s="133" t="s">
        <v>1096</v>
      </c>
      <c r="N983" s="133">
        <v>0</v>
      </c>
      <c r="P983" s="133">
        <v>0</v>
      </c>
      <c r="Q983" s="133">
        <v>0</v>
      </c>
      <c r="R983" s="133">
        <v>0</v>
      </c>
      <c r="S983" s="156"/>
    </row>
    <row r="984" spans="1:19">
      <c r="A984" s="133" t="s">
        <v>1185</v>
      </c>
      <c r="B984" s="133" t="s">
        <v>1175</v>
      </c>
      <c r="C984" s="133" t="s">
        <v>1000</v>
      </c>
      <c r="D984" s="133" t="s">
        <v>162</v>
      </c>
      <c r="E984" s="133" t="s">
        <v>163</v>
      </c>
      <c r="F984" s="133" t="s">
        <v>712</v>
      </c>
      <c r="G984" s="133" t="s">
        <v>715</v>
      </c>
      <c r="H984" s="133">
        <v>1.87</v>
      </c>
      <c r="I984" s="133">
        <v>0</v>
      </c>
      <c r="J984" s="133">
        <v>2</v>
      </c>
      <c r="K984" s="133">
        <v>0</v>
      </c>
      <c r="L984" s="133">
        <v>0</v>
      </c>
      <c r="M984" s="133" t="s">
        <v>1096</v>
      </c>
      <c r="N984" s="133">
        <v>0</v>
      </c>
      <c r="P984" s="133">
        <v>0</v>
      </c>
      <c r="Q984" s="133">
        <v>0</v>
      </c>
      <c r="R984" s="133">
        <v>0</v>
      </c>
      <c r="S984" s="156"/>
    </row>
    <row r="985" spans="1:19">
      <c r="A985" s="133" t="s">
        <v>1185</v>
      </c>
      <c r="B985" s="133" t="s">
        <v>1175</v>
      </c>
      <c r="C985" s="133" t="s">
        <v>1000</v>
      </c>
      <c r="D985" s="133" t="s">
        <v>164</v>
      </c>
      <c r="E985" s="133" t="s">
        <v>165</v>
      </c>
      <c r="F985" s="133" t="s">
        <v>712</v>
      </c>
      <c r="G985" s="133" t="s">
        <v>715</v>
      </c>
      <c r="H985" s="133">
        <v>3.58</v>
      </c>
      <c r="I985" s="133">
        <v>0</v>
      </c>
      <c r="J985" s="133">
        <v>62</v>
      </c>
      <c r="K985" s="133">
        <v>0</v>
      </c>
      <c r="L985" s="133">
        <v>0</v>
      </c>
      <c r="M985" s="133" t="s">
        <v>1096</v>
      </c>
      <c r="N985" s="133">
        <v>0</v>
      </c>
      <c r="P985" s="133">
        <v>0</v>
      </c>
      <c r="Q985" s="133">
        <v>0</v>
      </c>
      <c r="R985" s="133">
        <v>0</v>
      </c>
      <c r="S985" s="156"/>
    </row>
    <row r="986" spans="1:19">
      <c r="A986" s="133" t="s">
        <v>1185</v>
      </c>
      <c r="B986" s="133" t="s">
        <v>1175</v>
      </c>
      <c r="C986" s="133" t="s">
        <v>1000</v>
      </c>
      <c r="D986" s="133" t="s">
        <v>166</v>
      </c>
      <c r="E986" s="133" t="s">
        <v>167</v>
      </c>
      <c r="F986" s="133" t="s">
        <v>712</v>
      </c>
      <c r="G986" s="133" t="s">
        <v>715</v>
      </c>
      <c r="H986" s="133">
        <v>6.73</v>
      </c>
      <c r="I986" s="133">
        <v>0</v>
      </c>
      <c r="J986" s="133">
        <v>122</v>
      </c>
      <c r="K986" s="133">
        <v>0</v>
      </c>
      <c r="L986" s="133">
        <v>19</v>
      </c>
      <c r="M986" s="133" t="s">
        <v>1096</v>
      </c>
      <c r="N986" s="133">
        <v>0</v>
      </c>
      <c r="P986" s="133">
        <v>0</v>
      </c>
      <c r="Q986" s="133">
        <v>19</v>
      </c>
      <c r="R986" s="133">
        <v>0</v>
      </c>
      <c r="S986" s="156"/>
    </row>
    <row r="987" spans="1:19">
      <c r="A987" s="133" t="s">
        <v>1185</v>
      </c>
      <c r="B987" s="133" t="s">
        <v>1175</v>
      </c>
      <c r="C987" s="133" t="s">
        <v>1000</v>
      </c>
      <c r="D987" s="133" t="s">
        <v>892</v>
      </c>
      <c r="E987" s="133" t="s">
        <v>949</v>
      </c>
      <c r="F987" s="133" t="s">
        <v>946</v>
      </c>
      <c r="G987" s="133" t="s">
        <v>719</v>
      </c>
      <c r="H987" s="133">
        <v>0.56000000000000005</v>
      </c>
      <c r="I987" s="133">
        <v>0</v>
      </c>
      <c r="J987" s="133">
        <v>0</v>
      </c>
      <c r="K987" s="133">
        <v>0</v>
      </c>
      <c r="L987" s="133">
        <v>0</v>
      </c>
      <c r="M987" s="133" t="s">
        <v>1096</v>
      </c>
      <c r="N987" s="133">
        <v>0</v>
      </c>
      <c r="P987" s="133">
        <v>0</v>
      </c>
      <c r="Q987" s="133">
        <v>0</v>
      </c>
      <c r="R987" s="133">
        <v>0</v>
      </c>
      <c r="S987" s="156"/>
    </row>
    <row r="988" spans="1:19">
      <c r="A988" s="133" t="s">
        <v>1185</v>
      </c>
      <c r="B988" s="133" t="s">
        <v>1175</v>
      </c>
      <c r="C988" s="133" t="s">
        <v>1000</v>
      </c>
      <c r="D988" s="133" t="s">
        <v>893</v>
      </c>
      <c r="E988" s="133" t="s">
        <v>950</v>
      </c>
      <c r="F988" s="133" t="s">
        <v>946</v>
      </c>
      <c r="G988" s="133" t="s">
        <v>719</v>
      </c>
      <c r="H988" s="133">
        <v>1.1299999999999999</v>
      </c>
      <c r="I988" s="133">
        <v>0</v>
      </c>
      <c r="J988" s="133">
        <v>0</v>
      </c>
      <c r="K988" s="133">
        <v>0</v>
      </c>
      <c r="L988" s="133">
        <v>0</v>
      </c>
      <c r="M988" s="133" t="s">
        <v>1096</v>
      </c>
      <c r="N988" s="133">
        <v>0</v>
      </c>
      <c r="P988" s="133">
        <v>0</v>
      </c>
      <c r="Q988" s="133">
        <v>0</v>
      </c>
      <c r="R988" s="133">
        <v>0</v>
      </c>
      <c r="S988" s="156"/>
    </row>
    <row r="989" spans="1:19">
      <c r="A989" s="133" t="s">
        <v>1185</v>
      </c>
      <c r="B989" s="133" t="s">
        <v>1175</v>
      </c>
      <c r="C989" s="133" t="s">
        <v>1000</v>
      </c>
      <c r="D989" s="133" t="s">
        <v>894</v>
      </c>
      <c r="E989" s="133" t="s">
        <v>951</v>
      </c>
      <c r="F989" s="133" t="s">
        <v>946</v>
      </c>
      <c r="G989" s="133" t="s">
        <v>719</v>
      </c>
      <c r="H989" s="133">
        <v>1.32</v>
      </c>
      <c r="I989" s="133">
        <v>0</v>
      </c>
      <c r="J989" s="133">
        <v>0</v>
      </c>
      <c r="K989" s="133">
        <v>0</v>
      </c>
      <c r="L989" s="133">
        <v>0</v>
      </c>
      <c r="M989" s="133" t="s">
        <v>1096</v>
      </c>
      <c r="N989" s="133">
        <v>0</v>
      </c>
      <c r="P989" s="133">
        <v>0</v>
      </c>
      <c r="Q989" s="133">
        <v>0</v>
      </c>
      <c r="R989" s="133">
        <v>0</v>
      </c>
      <c r="S989" s="156"/>
    </row>
    <row r="990" spans="1:19">
      <c r="A990" s="133" t="s">
        <v>1185</v>
      </c>
      <c r="B990" s="133" t="s">
        <v>1175</v>
      </c>
      <c r="C990" s="133" t="s">
        <v>1000</v>
      </c>
      <c r="D990" s="133" t="s">
        <v>895</v>
      </c>
      <c r="E990" s="133" t="s">
        <v>952</v>
      </c>
      <c r="F990" s="133" t="s">
        <v>946</v>
      </c>
      <c r="G990" s="133" t="s">
        <v>719</v>
      </c>
      <c r="H990" s="133">
        <v>2.56</v>
      </c>
      <c r="I990" s="133">
        <v>0</v>
      </c>
      <c r="J990" s="133">
        <v>0</v>
      </c>
      <c r="K990" s="133">
        <v>0</v>
      </c>
      <c r="L990" s="133">
        <v>0</v>
      </c>
      <c r="M990" s="133" t="s">
        <v>1096</v>
      </c>
      <c r="N990" s="133">
        <v>0</v>
      </c>
      <c r="P990" s="133">
        <v>0</v>
      </c>
      <c r="Q990" s="133">
        <v>0</v>
      </c>
      <c r="R990" s="133">
        <v>0</v>
      </c>
      <c r="S990" s="156"/>
    </row>
    <row r="991" spans="1:19">
      <c r="A991" s="133" t="s">
        <v>1185</v>
      </c>
      <c r="B991" s="133" t="s">
        <v>1175</v>
      </c>
      <c r="C991" s="133" t="s">
        <v>1000</v>
      </c>
      <c r="D991" s="133" t="s">
        <v>209</v>
      </c>
      <c r="E991" s="133" t="s">
        <v>210</v>
      </c>
      <c r="F991" s="133" t="s">
        <v>709</v>
      </c>
      <c r="G991" s="133" t="s">
        <v>719</v>
      </c>
      <c r="H991" s="133">
        <v>2.92</v>
      </c>
      <c r="I991" s="133">
        <v>0</v>
      </c>
      <c r="J991" s="133">
        <v>0</v>
      </c>
      <c r="K991" s="133">
        <v>0</v>
      </c>
      <c r="L991" s="133">
        <v>0</v>
      </c>
      <c r="M991" s="133" t="s">
        <v>1096</v>
      </c>
      <c r="N991" s="133">
        <v>0</v>
      </c>
      <c r="P991" s="133">
        <v>0</v>
      </c>
      <c r="Q991" s="133">
        <v>0</v>
      </c>
      <c r="R991" s="133">
        <v>0</v>
      </c>
      <c r="S991" s="156"/>
    </row>
    <row r="992" spans="1:19">
      <c r="A992" s="133" t="s">
        <v>1185</v>
      </c>
      <c r="B992" s="133" t="s">
        <v>1175</v>
      </c>
      <c r="C992" s="133" t="s">
        <v>1000</v>
      </c>
      <c r="D992" s="133" t="s">
        <v>211</v>
      </c>
      <c r="E992" s="133" t="s">
        <v>212</v>
      </c>
      <c r="F992" s="133" t="s">
        <v>709</v>
      </c>
      <c r="G992" s="133" t="s">
        <v>719</v>
      </c>
      <c r="H992" s="133">
        <v>2.79</v>
      </c>
      <c r="I992" s="133">
        <v>0</v>
      </c>
      <c r="J992" s="133">
        <v>1122</v>
      </c>
      <c r="K992" s="133">
        <v>0</v>
      </c>
      <c r="L992" s="133">
        <v>0</v>
      </c>
      <c r="M992" s="133" t="s">
        <v>1096</v>
      </c>
      <c r="N992" s="133">
        <v>0</v>
      </c>
      <c r="P992" s="133">
        <v>0</v>
      </c>
      <c r="Q992" s="133">
        <v>0</v>
      </c>
      <c r="R992" s="133">
        <v>0</v>
      </c>
      <c r="S992" s="156"/>
    </row>
    <row r="993" spans="1:19">
      <c r="A993" s="133" t="s">
        <v>1185</v>
      </c>
      <c r="B993" s="133" t="s">
        <v>1175</v>
      </c>
      <c r="C993" s="133" t="s">
        <v>1000</v>
      </c>
      <c r="D993" s="133" t="s">
        <v>896</v>
      </c>
      <c r="E993" s="133" t="s">
        <v>953</v>
      </c>
      <c r="F993" s="133" t="s">
        <v>946</v>
      </c>
      <c r="G993" s="133" t="s">
        <v>719</v>
      </c>
      <c r="H993" s="133">
        <v>2.56</v>
      </c>
      <c r="I993" s="133">
        <v>0</v>
      </c>
      <c r="J993" s="133">
        <v>0</v>
      </c>
      <c r="K993" s="133">
        <v>0</v>
      </c>
      <c r="L993" s="133">
        <v>0</v>
      </c>
      <c r="M993" s="133" t="s">
        <v>1096</v>
      </c>
      <c r="N993" s="133">
        <v>0</v>
      </c>
      <c r="P993" s="133">
        <v>0</v>
      </c>
      <c r="Q993" s="133">
        <v>0</v>
      </c>
      <c r="R993" s="133">
        <v>0</v>
      </c>
      <c r="S993" s="156"/>
    </row>
    <row r="994" spans="1:19">
      <c r="A994" s="133" t="s">
        <v>1185</v>
      </c>
      <c r="B994" s="133" t="s">
        <v>1175</v>
      </c>
      <c r="C994" s="133" t="s">
        <v>1000</v>
      </c>
      <c r="D994" s="133" t="s">
        <v>215</v>
      </c>
      <c r="E994" s="133" t="s">
        <v>216</v>
      </c>
      <c r="F994" s="133" t="s">
        <v>709</v>
      </c>
      <c r="G994" s="133" t="s">
        <v>719</v>
      </c>
      <c r="H994" s="133">
        <v>12.92</v>
      </c>
      <c r="I994" s="133">
        <v>0</v>
      </c>
      <c r="J994" s="133">
        <v>0</v>
      </c>
      <c r="K994" s="133">
        <v>0</v>
      </c>
      <c r="L994" s="133">
        <v>0</v>
      </c>
      <c r="M994" s="133" t="s">
        <v>1096</v>
      </c>
      <c r="N994" s="133">
        <v>0</v>
      </c>
      <c r="P994" s="133">
        <v>0</v>
      </c>
      <c r="Q994" s="133">
        <v>0</v>
      </c>
      <c r="R994" s="133">
        <v>0</v>
      </c>
      <c r="S994" s="156"/>
    </row>
    <row r="995" spans="1:19">
      <c r="A995" s="133" t="s">
        <v>1185</v>
      </c>
      <c r="B995" s="133" t="s">
        <v>1175</v>
      </c>
      <c r="C995" s="133" t="s">
        <v>1000</v>
      </c>
      <c r="D995" s="133" t="s">
        <v>217</v>
      </c>
      <c r="E995" s="133" t="s">
        <v>218</v>
      </c>
      <c r="F995" s="133" t="s">
        <v>709</v>
      </c>
      <c r="G995" s="133" t="s">
        <v>719</v>
      </c>
      <c r="H995" s="133">
        <v>2.66</v>
      </c>
      <c r="I995" s="133">
        <v>0</v>
      </c>
      <c r="J995" s="133">
        <v>120</v>
      </c>
      <c r="K995" s="133">
        <v>0</v>
      </c>
      <c r="L995" s="133">
        <v>0</v>
      </c>
      <c r="M995" s="133" t="s">
        <v>1096</v>
      </c>
      <c r="N995" s="133">
        <v>0</v>
      </c>
      <c r="P995" s="133">
        <v>0</v>
      </c>
      <c r="Q995" s="133">
        <v>0</v>
      </c>
      <c r="R995" s="133">
        <v>0</v>
      </c>
      <c r="S995" s="156"/>
    </row>
    <row r="996" spans="1:19">
      <c r="A996" s="133" t="s">
        <v>1185</v>
      </c>
      <c r="B996" s="133" t="s">
        <v>1175</v>
      </c>
      <c r="C996" s="133" t="s">
        <v>1000</v>
      </c>
      <c r="D996" s="133" t="s">
        <v>876</v>
      </c>
      <c r="E996" s="133" t="s">
        <v>954</v>
      </c>
      <c r="F996" s="133" t="s">
        <v>707</v>
      </c>
      <c r="G996" s="133" t="s">
        <v>732</v>
      </c>
      <c r="H996" s="133">
        <v>9.81</v>
      </c>
      <c r="I996" s="133">
        <v>0</v>
      </c>
      <c r="J996" s="133">
        <v>27</v>
      </c>
      <c r="K996" s="133">
        <v>0</v>
      </c>
      <c r="L996" s="133">
        <v>0</v>
      </c>
      <c r="M996" s="133" t="s">
        <v>1096</v>
      </c>
      <c r="N996" s="133">
        <v>0</v>
      </c>
      <c r="P996" s="133">
        <v>0</v>
      </c>
      <c r="Q996" s="133">
        <v>0</v>
      </c>
      <c r="R996" s="133">
        <v>0</v>
      </c>
      <c r="S996" s="156"/>
    </row>
    <row r="997" spans="1:19">
      <c r="A997" s="133" t="s">
        <v>1185</v>
      </c>
      <c r="B997" s="133" t="s">
        <v>1175</v>
      </c>
      <c r="C997" s="133" t="s">
        <v>1000</v>
      </c>
      <c r="D997" s="133" t="s">
        <v>219</v>
      </c>
      <c r="E997" s="133" t="s">
        <v>220</v>
      </c>
      <c r="F997" s="133" t="s">
        <v>707</v>
      </c>
      <c r="G997" s="133" t="s">
        <v>732</v>
      </c>
      <c r="H997" s="133">
        <v>37.92</v>
      </c>
      <c r="I997" s="133">
        <v>0</v>
      </c>
      <c r="J997" s="133">
        <v>53</v>
      </c>
      <c r="K997" s="133">
        <v>0</v>
      </c>
      <c r="L997" s="133">
        <v>0</v>
      </c>
      <c r="M997" s="133" t="s">
        <v>1096</v>
      </c>
      <c r="N997" s="133">
        <v>0</v>
      </c>
      <c r="P997" s="133">
        <v>0</v>
      </c>
      <c r="Q997" s="133">
        <v>0</v>
      </c>
      <c r="R997" s="133">
        <v>0</v>
      </c>
      <c r="S997" s="156"/>
    </row>
    <row r="998" spans="1:19">
      <c r="A998" s="133" t="s">
        <v>1185</v>
      </c>
      <c r="B998" s="133" t="s">
        <v>1175</v>
      </c>
      <c r="C998" s="133" t="s">
        <v>1000</v>
      </c>
      <c r="D998" s="133" t="s">
        <v>227</v>
      </c>
      <c r="E998" s="133" t="s">
        <v>228</v>
      </c>
      <c r="F998" s="133" t="s">
        <v>709</v>
      </c>
      <c r="G998" s="133" t="s">
        <v>719</v>
      </c>
      <c r="H998" s="133">
        <v>1.1499999999999999</v>
      </c>
      <c r="I998" s="133">
        <v>0</v>
      </c>
      <c r="J998" s="133">
        <v>275</v>
      </c>
      <c r="K998" s="133">
        <v>0</v>
      </c>
      <c r="L998" s="133">
        <v>0</v>
      </c>
      <c r="M998" s="133" t="s">
        <v>1096</v>
      </c>
      <c r="N998" s="133">
        <v>0</v>
      </c>
      <c r="P998" s="133">
        <v>0</v>
      </c>
      <c r="Q998" s="133">
        <v>0</v>
      </c>
      <c r="R998" s="133">
        <v>0</v>
      </c>
      <c r="S998" s="156"/>
    </row>
    <row r="999" spans="1:19">
      <c r="A999" s="133" t="s">
        <v>1185</v>
      </c>
      <c r="B999" s="133" t="s">
        <v>1175</v>
      </c>
      <c r="C999" s="133" t="s">
        <v>1000</v>
      </c>
      <c r="D999" s="133" t="s">
        <v>229</v>
      </c>
      <c r="E999" s="133" t="s">
        <v>230</v>
      </c>
      <c r="F999" s="133" t="s">
        <v>709</v>
      </c>
      <c r="G999" s="133" t="s">
        <v>719</v>
      </c>
      <c r="H999" s="133">
        <v>2.8</v>
      </c>
      <c r="I999" s="133">
        <v>0</v>
      </c>
      <c r="J999" s="133">
        <v>0</v>
      </c>
      <c r="K999" s="133">
        <v>0</v>
      </c>
      <c r="L999" s="133">
        <v>0</v>
      </c>
      <c r="M999" s="133" t="s">
        <v>1096</v>
      </c>
      <c r="N999" s="133">
        <v>0</v>
      </c>
      <c r="P999" s="133">
        <v>0</v>
      </c>
      <c r="Q999" s="133">
        <v>0</v>
      </c>
      <c r="R999" s="133">
        <v>0</v>
      </c>
      <c r="S999" s="156"/>
    </row>
    <row r="1000" spans="1:19">
      <c r="A1000" s="133" t="s">
        <v>1185</v>
      </c>
      <c r="B1000" s="133" t="s">
        <v>1175</v>
      </c>
      <c r="C1000" s="133" t="s">
        <v>1000</v>
      </c>
      <c r="D1000" s="133" t="s">
        <v>746</v>
      </c>
      <c r="E1000" s="133" t="s">
        <v>747</v>
      </c>
      <c r="F1000" s="133" t="s">
        <v>709</v>
      </c>
      <c r="G1000" s="133" t="s">
        <v>732</v>
      </c>
      <c r="H1000" s="133">
        <v>40.32</v>
      </c>
      <c r="I1000" s="133">
        <v>0</v>
      </c>
      <c r="J1000" s="133">
        <v>79</v>
      </c>
      <c r="K1000" s="133">
        <v>0</v>
      </c>
      <c r="L1000" s="133">
        <v>0</v>
      </c>
      <c r="M1000" s="133" t="s">
        <v>1096</v>
      </c>
      <c r="N1000" s="133">
        <v>0</v>
      </c>
      <c r="P1000" s="133">
        <v>0</v>
      </c>
      <c r="Q1000" s="133">
        <v>0</v>
      </c>
      <c r="R1000" s="133">
        <v>0</v>
      </c>
      <c r="S1000" s="156"/>
    </row>
    <row r="1001" spans="1:19">
      <c r="A1001" s="133" t="s">
        <v>1185</v>
      </c>
      <c r="B1001" s="133" t="s">
        <v>1175</v>
      </c>
      <c r="C1001" s="133" t="s">
        <v>1000</v>
      </c>
      <c r="D1001" s="133" t="s">
        <v>462</v>
      </c>
      <c r="E1001" s="133" t="s">
        <v>463</v>
      </c>
      <c r="F1001" s="133" t="s">
        <v>707</v>
      </c>
      <c r="G1001" s="133" t="s">
        <v>715</v>
      </c>
      <c r="H1001" s="133">
        <v>1.23</v>
      </c>
      <c r="I1001" s="133">
        <v>0</v>
      </c>
      <c r="J1001" s="133">
        <v>0</v>
      </c>
      <c r="K1001" s="133">
        <v>0</v>
      </c>
      <c r="L1001" s="133">
        <v>0</v>
      </c>
      <c r="M1001" s="133" t="s">
        <v>1096</v>
      </c>
      <c r="N1001" s="133">
        <v>0</v>
      </c>
      <c r="P1001" s="133">
        <v>0</v>
      </c>
      <c r="Q1001" s="133">
        <v>0</v>
      </c>
      <c r="R1001" s="133">
        <v>0</v>
      </c>
      <c r="S1001" s="156"/>
    </row>
    <row r="1002" spans="1:19">
      <c r="A1002" s="133" t="s">
        <v>1185</v>
      </c>
      <c r="B1002" s="133" t="s">
        <v>1175</v>
      </c>
      <c r="C1002" s="133" t="s">
        <v>1000</v>
      </c>
      <c r="D1002" s="133" t="s">
        <v>464</v>
      </c>
      <c r="E1002" s="133" t="s">
        <v>465</v>
      </c>
      <c r="F1002" s="133" t="s">
        <v>707</v>
      </c>
      <c r="G1002" s="133" t="s">
        <v>715</v>
      </c>
      <c r="H1002" s="133">
        <v>2.19</v>
      </c>
      <c r="I1002" s="133">
        <v>0</v>
      </c>
      <c r="J1002" s="133">
        <v>0</v>
      </c>
      <c r="K1002" s="133">
        <v>0</v>
      </c>
      <c r="L1002" s="133">
        <v>0</v>
      </c>
      <c r="M1002" s="133" t="s">
        <v>1096</v>
      </c>
      <c r="N1002" s="133">
        <v>0</v>
      </c>
      <c r="P1002" s="133">
        <v>0</v>
      </c>
      <c r="Q1002" s="133">
        <v>0</v>
      </c>
      <c r="R1002" s="133">
        <v>0</v>
      </c>
      <c r="S1002" s="156"/>
    </row>
    <row r="1003" spans="1:19">
      <c r="A1003" s="133" t="s">
        <v>1185</v>
      </c>
      <c r="B1003" s="133" t="s">
        <v>1175</v>
      </c>
      <c r="C1003" s="133" t="s">
        <v>1000</v>
      </c>
      <c r="D1003" s="133" t="s">
        <v>466</v>
      </c>
      <c r="E1003" s="133" t="s">
        <v>467</v>
      </c>
      <c r="F1003" s="133" t="s">
        <v>707</v>
      </c>
      <c r="G1003" s="133" t="s">
        <v>715</v>
      </c>
      <c r="H1003" s="133">
        <v>4.2699999999999996</v>
      </c>
      <c r="I1003" s="133">
        <v>0</v>
      </c>
      <c r="J1003" s="133">
        <v>0</v>
      </c>
      <c r="K1003" s="133">
        <v>0</v>
      </c>
      <c r="L1003" s="133">
        <v>0</v>
      </c>
      <c r="M1003" s="133" t="s">
        <v>1096</v>
      </c>
      <c r="N1003" s="133">
        <v>0</v>
      </c>
      <c r="P1003" s="133">
        <v>0</v>
      </c>
      <c r="Q1003" s="133">
        <v>0</v>
      </c>
      <c r="R1003" s="133">
        <v>0</v>
      </c>
      <c r="S1003" s="156"/>
    </row>
    <row r="1004" spans="1:19">
      <c r="A1004" s="133" t="s">
        <v>1185</v>
      </c>
      <c r="B1004" s="133" t="s">
        <v>1175</v>
      </c>
      <c r="C1004" s="133" t="s">
        <v>1000</v>
      </c>
      <c r="D1004" s="133" t="s">
        <v>897</v>
      </c>
      <c r="E1004" s="133" t="s">
        <v>955</v>
      </c>
      <c r="F1004" s="133" t="s">
        <v>946</v>
      </c>
      <c r="G1004" s="133" t="s">
        <v>719</v>
      </c>
      <c r="H1004" s="133">
        <v>0.6</v>
      </c>
      <c r="I1004" s="133">
        <v>0</v>
      </c>
      <c r="J1004" s="133">
        <v>0</v>
      </c>
      <c r="K1004" s="133">
        <v>0</v>
      </c>
      <c r="L1004" s="133">
        <v>0</v>
      </c>
      <c r="M1004" s="133" t="s">
        <v>1096</v>
      </c>
      <c r="N1004" s="133">
        <v>0</v>
      </c>
      <c r="P1004" s="133">
        <v>0</v>
      </c>
      <c r="Q1004" s="133">
        <v>0</v>
      </c>
      <c r="R1004" s="133">
        <v>0</v>
      </c>
      <c r="S1004" s="156"/>
    </row>
    <row r="1005" spans="1:19">
      <c r="A1005" s="133" t="s">
        <v>1185</v>
      </c>
      <c r="B1005" s="133" t="s">
        <v>1175</v>
      </c>
      <c r="C1005" s="133" t="s">
        <v>1000</v>
      </c>
      <c r="D1005" s="133" t="s">
        <v>898</v>
      </c>
      <c r="E1005" s="133" t="s">
        <v>956</v>
      </c>
      <c r="F1005" s="133" t="s">
        <v>946</v>
      </c>
      <c r="G1005" s="133" t="s">
        <v>719</v>
      </c>
      <c r="H1005" s="133">
        <v>2.99</v>
      </c>
      <c r="I1005" s="133">
        <v>0</v>
      </c>
      <c r="J1005" s="133">
        <v>0</v>
      </c>
      <c r="K1005" s="133">
        <v>0</v>
      </c>
      <c r="L1005" s="133">
        <v>0</v>
      </c>
      <c r="M1005" s="133" t="s">
        <v>1096</v>
      </c>
      <c r="N1005" s="133">
        <v>0</v>
      </c>
      <c r="P1005" s="133">
        <v>0</v>
      </c>
      <c r="Q1005" s="133">
        <v>0</v>
      </c>
      <c r="R1005" s="133">
        <v>0</v>
      </c>
      <c r="S1005" s="156"/>
    </row>
    <row r="1006" spans="1:19">
      <c r="A1006" s="133" t="s">
        <v>1185</v>
      </c>
      <c r="B1006" s="133" t="s">
        <v>1175</v>
      </c>
      <c r="C1006" s="133" t="s">
        <v>1000</v>
      </c>
      <c r="D1006" s="133" t="s">
        <v>899</v>
      </c>
      <c r="E1006" s="133" t="s">
        <v>957</v>
      </c>
      <c r="F1006" s="133" t="s">
        <v>946</v>
      </c>
      <c r="G1006" s="133" t="s">
        <v>719</v>
      </c>
      <c r="H1006" s="133">
        <v>5.98</v>
      </c>
      <c r="I1006" s="133">
        <v>0</v>
      </c>
      <c r="J1006" s="133">
        <v>0</v>
      </c>
      <c r="K1006" s="133">
        <v>0</v>
      </c>
      <c r="L1006" s="133">
        <v>0</v>
      </c>
      <c r="M1006" s="133" t="s">
        <v>1096</v>
      </c>
      <c r="N1006" s="133">
        <v>0</v>
      </c>
      <c r="P1006" s="133">
        <v>0</v>
      </c>
      <c r="Q1006" s="133">
        <v>0</v>
      </c>
      <c r="R1006" s="133">
        <v>0</v>
      </c>
      <c r="S1006" s="156"/>
    </row>
    <row r="1007" spans="1:19">
      <c r="A1007" s="133" t="s">
        <v>1185</v>
      </c>
      <c r="B1007" s="133" t="s">
        <v>1175</v>
      </c>
      <c r="C1007" s="133" t="s">
        <v>1000</v>
      </c>
      <c r="D1007" s="133" t="s">
        <v>474</v>
      </c>
      <c r="E1007" s="133" t="s">
        <v>475</v>
      </c>
      <c r="F1007" s="133" t="s">
        <v>709</v>
      </c>
      <c r="G1007" s="133" t="s">
        <v>719</v>
      </c>
      <c r="H1007" s="133">
        <v>2.68</v>
      </c>
      <c r="I1007" s="133">
        <v>0</v>
      </c>
      <c r="J1007" s="133">
        <v>31</v>
      </c>
      <c r="K1007" s="133">
        <v>0</v>
      </c>
      <c r="L1007" s="133">
        <v>0</v>
      </c>
      <c r="M1007" s="133" t="s">
        <v>1096</v>
      </c>
      <c r="N1007" s="133">
        <v>0</v>
      </c>
      <c r="P1007" s="133">
        <v>0</v>
      </c>
      <c r="Q1007" s="133">
        <v>0</v>
      </c>
      <c r="R1007" s="133">
        <v>0</v>
      </c>
      <c r="S1007" s="156"/>
    </row>
    <row r="1008" spans="1:19">
      <c r="A1008" s="133" t="s">
        <v>1185</v>
      </c>
      <c r="B1008" s="133" t="s">
        <v>1175</v>
      </c>
      <c r="C1008" s="133" t="s">
        <v>1000</v>
      </c>
      <c r="D1008" s="133" t="s">
        <v>480</v>
      </c>
      <c r="E1008" s="133" t="s">
        <v>832</v>
      </c>
      <c r="F1008" s="133" t="s">
        <v>708</v>
      </c>
      <c r="G1008" s="133" t="s">
        <v>715</v>
      </c>
      <c r="H1008" s="133">
        <v>51.24</v>
      </c>
      <c r="I1008" s="133">
        <v>0</v>
      </c>
      <c r="J1008" s="133">
        <v>0</v>
      </c>
      <c r="K1008" s="133">
        <v>0</v>
      </c>
      <c r="L1008" s="133">
        <v>0</v>
      </c>
      <c r="M1008" s="133" t="s">
        <v>1096</v>
      </c>
      <c r="N1008" s="133">
        <v>0</v>
      </c>
      <c r="P1008" s="133">
        <v>0</v>
      </c>
      <c r="Q1008" s="133">
        <v>0</v>
      </c>
      <c r="R1008" s="133">
        <v>0</v>
      </c>
      <c r="S1008" s="156"/>
    </row>
    <row r="1009" spans="1:19">
      <c r="A1009" s="133" t="s">
        <v>1185</v>
      </c>
      <c r="B1009" s="133" t="s">
        <v>1175</v>
      </c>
      <c r="C1009" s="133" t="s">
        <v>1000</v>
      </c>
      <c r="D1009" s="133" t="s">
        <v>481</v>
      </c>
      <c r="E1009" s="133" t="s">
        <v>482</v>
      </c>
      <c r="F1009" s="133" t="s">
        <v>708</v>
      </c>
      <c r="G1009" s="133" t="s">
        <v>715</v>
      </c>
      <c r="H1009" s="133">
        <v>520</v>
      </c>
      <c r="I1009" s="133">
        <v>0</v>
      </c>
      <c r="J1009" s="133">
        <v>0</v>
      </c>
      <c r="K1009" s="133">
        <v>0</v>
      </c>
      <c r="L1009" s="133">
        <v>0</v>
      </c>
      <c r="M1009" s="133" t="s">
        <v>1096</v>
      </c>
      <c r="N1009" s="133">
        <v>0</v>
      </c>
      <c r="P1009" s="133">
        <v>0</v>
      </c>
      <c r="Q1009" s="133">
        <v>0</v>
      </c>
      <c r="R1009" s="133">
        <v>0</v>
      </c>
      <c r="S1009" s="156"/>
    </row>
    <row r="1010" spans="1:19">
      <c r="A1010" s="133" t="s">
        <v>1185</v>
      </c>
      <c r="B1010" s="133" t="s">
        <v>1175</v>
      </c>
      <c r="C1010" s="133" t="s">
        <v>1000</v>
      </c>
      <c r="D1010" s="133" t="s">
        <v>483</v>
      </c>
      <c r="E1010" s="133" t="s">
        <v>484</v>
      </c>
      <c r="F1010" s="133" t="s">
        <v>708</v>
      </c>
      <c r="G1010" s="133" t="s">
        <v>715</v>
      </c>
      <c r="H1010" s="133">
        <v>10.9</v>
      </c>
      <c r="I1010" s="133">
        <v>0</v>
      </c>
      <c r="J1010" s="133">
        <v>0</v>
      </c>
      <c r="K1010" s="133">
        <v>0</v>
      </c>
      <c r="L1010" s="133">
        <v>0</v>
      </c>
      <c r="M1010" s="133" t="s">
        <v>1096</v>
      </c>
      <c r="N1010" s="133">
        <v>0</v>
      </c>
      <c r="P1010" s="133">
        <v>0</v>
      </c>
      <c r="Q1010" s="133">
        <v>0</v>
      </c>
      <c r="R1010" s="133">
        <v>0</v>
      </c>
      <c r="S1010" s="156"/>
    </row>
    <row r="1011" spans="1:19">
      <c r="A1011" s="133" t="s">
        <v>1185</v>
      </c>
      <c r="B1011" s="133" t="s">
        <v>1175</v>
      </c>
      <c r="C1011" s="133" t="s">
        <v>1000</v>
      </c>
      <c r="D1011" s="133" t="s">
        <v>485</v>
      </c>
      <c r="E1011" s="133" t="s">
        <v>486</v>
      </c>
      <c r="F1011" s="133" t="s">
        <v>708</v>
      </c>
      <c r="G1011" s="133" t="s">
        <v>715</v>
      </c>
      <c r="H1011" s="133">
        <v>2.83</v>
      </c>
      <c r="I1011" s="133">
        <v>0</v>
      </c>
      <c r="J1011" s="133">
        <v>0</v>
      </c>
      <c r="K1011" s="133">
        <v>0</v>
      </c>
      <c r="L1011" s="133">
        <v>0</v>
      </c>
      <c r="M1011" s="133" t="s">
        <v>1096</v>
      </c>
      <c r="N1011" s="133">
        <v>0</v>
      </c>
      <c r="P1011" s="133">
        <v>0</v>
      </c>
      <c r="Q1011" s="133">
        <v>0</v>
      </c>
      <c r="R1011" s="133">
        <v>0</v>
      </c>
      <c r="S1011" s="156"/>
    </row>
    <row r="1012" spans="1:19">
      <c r="A1012" s="133" t="s">
        <v>1185</v>
      </c>
      <c r="B1012" s="133" t="s">
        <v>1175</v>
      </c>
      <c r="C1012" s="133" t="s">
        <v>1000</v>
      </c>
      <c r="D1012" s="133" t="s">
        <v>900</v>
      </c>
      <c r="E1012" s="133" t="s">
        <v>958</v>
      </c>
      <c r="F1012" s="133" t="s">
        <v>946</v>
      </c>
      <c r="G1012" s="133" t="s">
        <v>719</v>
      </c>
      <c r="H1012" s="133">
        <v>1.26</v>
      </c>
      <c r="I1012" s="133">
        <v>0</v>
      </c>
      <c r="J1012" s="133">
        <v>0</v>
      </c>
      <c r="K1012" s="133">
        <v>0</v>
      </c>
      <c r="L1012" s="133">
        <v>0</v>
      </c>
      <c r="M1012" s="133" t="s">
        <v>1096</v>
      </c>
      <c r="N1012" s="133">
        <v>0</v>
      </c>
      <c r="P1012" s="133">
        <v>0</v>
      </c>
      <c r="Q1012" s="133">
        <v>0</v>
      </c>
      <c r="R1012" s="133">
        <v>0</v>
      </c>
      <c r="S1012" s="156"/>
    </row>
    <row r="1013" spans="1:19">
      <c r="A1013" s="133" t="s">
        <v>1185</v>
      </c>
      <c r="B1013" s="133" t="s">
        <v>1175</v>
      </c>
      <c r="C1013" s="133" t="s">
        <v>1000</v>
      </c>
      <c r="D1013" s="133" t="s">
        <v>495</v>
      </c>
      <c r="E1013" s="133" t="s">
        <v>496</v>
      </c>
      <c r="F1013" s="133" t="s">
        <v>707</v>
      </c>
      <c r="G1013" s="133" t="s">
        <v>732</v>
      </c>
      <c r="H1013" s="133">
        <v>6.05</v>
      </c>
      <c r="I1013" s="133">
        <v>0</v>
      </c>
      <c r="J1013" s="133">
        <v>105</v>
      </c>
      <c r="K1013" s="133">
        <v>0</v>
      </c>
      <c r="L1013" s="133">
        <v>0</v>
      </c>
      <c r="M1013" s="133" t="s">
        <v>1096</v>
      </c>
      <c r="N1013" s="133">
        <v>0</v>
      </c>
      <c r="P1013" s="133">
        <v>0</v>
      </c>
      <c r="Q1013" s="133">
        <v>0</v>
      </c>
      <c r="R1013" s="133">
        <v>0</v>
      </c>
      <c r="S1013" s="156"/>
    </row>
    <row r="1014" spans="1:19">
      <c r="A1014" s="133" t="s">
        <v>1185</v>
      </c>
      <c r="B1014" s="133" t="s">
        <v>1175</v>
      </c>
      <c r="C1014" s="133" t="s">
        <v>1000</v>
      </c>
      <c r="D1014" s="133" t="s">
        <v>497</v>
      </c>
      <c r="E1014" s="133" t="s">
        <v>498</v>
      </c>
      <c r="F1014" s="133" t="s">
        <v>707</v>
      </c>
      <c r="G1014" s="133" t="s">
        <v>732</v>
      </c>
      <c r="H1014" s="133">
        <v>23.46</v>
      </c>
      <c r="I1014" s="133">
        <v>0</v>
      </c>
      <c r="J1014" s="133">
        <v>52</v>
      </c>
      <c r="K1014" s="133">
        <v>0</v>
      </c>
      <c r="L1014" s="133">
        <v>0</v>
      </c>
      <c r="M1014" s="133" t="s">
        <v>1096</v>
      </c>
      <c r="N1014" s="133">
        <v>0</v>
      </c>
      <c r="P1014" s="133">
        <v>0</v>
      </c>
      <c r="Q1014" s="133">
        <v>0</v>
      </c>
      <c r="R1014" s="133">
        <v>0</v>
      </c>
      <c r="S1014" s="156"/>
    </row>
    <row r="1015" spans="1:19">
      <c r="A1015" s="133" t="s">
        <v>1185</v>
      </c>
      <c r="B1015" s="133" t="s">
        <v>1175</v>
      </c>
      <c r="C1015" s="133" t="s">
        <v>1000</v>
      </c>
      <c r="D1015" s="133" t="s">
        <v>499</v>
      </c>
      <c r="E1015" s="133" t="s">
        <v>500</v>
      </c>
      <c r="F1015" s="133" t="s">
        <v>708</v>
      </c>
      <c r="G1015" s="133" t="s">
        <v>715</v>
      </c>
      <c r="H1015" s="133">
        <v>56.08</v>
      </c>
      <c r="I1015" s="133">
        <v>0</v>
      </c>
      <c r="J1015" s="133">
        <v>2</v>
      </c>
      <c r="K1015" s="133">
        <v>0</v>
      </c>
      <c r="L1015" s="133">
        <v>0</v>
      </c>
      <c r="M1015" s="133" t="s">
        <v>1096</v>
      </c>
      <c r="N1015" s="133">
        <v>0</v>
      </c>
      <c r="P1015" s="133">
        <v>0</v>
      </c>
      <c r="Q1015" s="133">
        <v>0</v>
      </c>
      <c r="R1015" s="133">
        <v>0</v>
      </c>
      <c r="S1015" s="156"/>
    </row>
    <row r="1016" spans="1:19">
      <c r="A1016" s="133" t="s">
        <v>1185</v>
      </c>
      <c r="B1016" s="133" t="s">
        <v>1175</v>
      </c>
      <c r="C1016" s="133" t="s">
        <v>1000</v>
      </c>
      <c r="D1016" s="133" t="s">
        <v>501</v>
      </c>
      <c r="E1016" s="133" t="s">
        <v>502</v>
      </c>
      <c r="F1016" s="133" t="s">
        <v>708</v>
      </c>
      <c r="G1016" s="133" t="s">
        <v>715</v>
      </c>
      <c r="H1016" s="133">
        <v>11.48</v>
      </c>
      <c r="I1016" s="133">
        <v>0</v>
      </c>
      <c r="J1016" s="133">
        <v>47</v>
      </c>
      <c r="K1016" s="133">
        <v>0</v>
      </c>
      <c r="L1016" s="133">
        <v>0</v>
      </c>
      <c r="M1016" s="133" t="s">
        <v>1096</v>
      </c>
      <c r="N1016" s="133">
        <v>0</v>
      </c>
      <c r="P1016" s="133">
        <v>0</v>
      </c>
      <c r="Q1016" s="133">
        <v>0</v>
      </c>
      <c r="R1016" s="133">
        <v>0</v>
      </c>
      <c r="S1016" s="156"/>
    </row>
    <row r="1017" spans="1:19">
      <c r="A1017" s="133" t="s">
        <v>1185</v>
      </c>
      <c r="B1017" s="133" t="s">
        <v>1175</v>
      </c>
      <c r="C1017" s="133" t="s">
        <v>1000</v>
      </c>
      <c r="D1017" s="133" t="s">
        <v>503</v>
      </c>
      <c r="E1017" s="133" t="s">
        <v>504</v>
      </c>
      <c r="F1017" s="133" t="s">
        <v>708</v>
      </c>
      <c r="G1017" s="133" t="s">
        <v>715</v>
      </c>
      <c r="H1017" s="133">
        <v>3.38</v>
      </c>
      <c r="I1017" s="133">
        <v>0</v>
      </c>
      <c r="J1017" s="133">
        <v>294</v>
      </c>
      <c r="K1017" s="133">
        <v>0</v>
      </c>
      <c r="L1017" s="133">
        <v>0</v>
      </c>
      <c r="M1017" s="133" t="s">
        <v>1096</v>
      </c>
      <c r="N1017" s="133">
        <v>0</v>
      </c>
      <c r="P1017" s="133">
        <v>0</v>
      </c>
      <c r="Q1017" s="133">
        <v>0</v>
      </c>
      <c r="R1017" s="133">
        <v>0</v>
      </c>
      <c r="S1017" s="156"/>
    </row>
    <row r="1018" spans="1:19">
      <c r="A1018" s="133" t="s">
        <v>1185</v>
      </c>
      <c r="B1018" s="133" t="s">
        <v>1175</v>
      </c>
      <c r="C1018" s="133" t="s">
        <v>1000</v>
      </c>
      <c r="D1018" s="133" t="s">
        <v>505</v>
      </c>
      <c r="E1018" s="133" t="s">
        <v>959</v>
      </c>
      <c r="F1018" s="133" t="s">
        <v>712</v>
      </c>
      <c r="G1018" s="133" t="s">
        <v>715</v>
      </c>
      <c r="H1018" s="133">
        <v>1.94</v>
      </c>
      <c r="I1018" s="133">
        <v>0</v>
      </c>
      <c r="J1018" s="133">
        <v>0</v>
      </c>
      <c r="K1018" s="133">
        <v>0</v>
      </c>
      <c r="L1018" s="133">
        <v>0</v>
      </c>
      <c r="M1018" s="133" t="s">
        <v>1096</v>
      </c>
      <c r="N1018" s="133">
        <v>0</v>
      </c>
      <c r="P1018" s="133">
        <v>0</v>
      </c>
      <c r="Q1018" s="133">
        <v>0</v>
      </c>
      <c r="R1018" s="133">
        <v>0</v>
      </c>
      <c r="S1018" s="156"/>
    </row>
    <row r="1019" spans="1:19">
      <c r="A1019" s="133" t="s">
        <v>1185</v>
      </c>
      <c r="B1019" s="133" t="s">
        <v>1175</v>
      </c>
      <c r="C1019" s="133" t="s">
        <v>1000</v>
      </c>
      <c r="D1019" s="133" t="s">
        <v>506</v>
      </c>
      <c r="E1019" s="133" t="s">
        <v>507</v>
      </c>
      <c r="F1019" s="133" t="s">
        <v>712</v>
      </c>
      <c r="G1019" s="133" t="s">
        <v>715</v>
      </c>
      <c r="H1019" s="133">
        <v>3.49</v>
      </c>
      <c r="I1019" s="133">
        <v>0</v>
      </c>
      <c r="J1019" s="133">
        <v>0</v>
      </c>
      <c r="K1019" s="133">
        <v>0</v>
      </c>
      <c r="L1019" s="133">
        <v>0</v>
      </c>
      <c r="M1019" s="133" t="s">
        <v>1096</v>
      </c>
      <c r="N1019" s="133">
        <v>0</v>
      </c>
      <c r="P1019" s="133">
        <v>0</v>
      </c>
      <c r="Q1019" s="133">
        <v>0</v>
      </c>
      <c r="R1019" s="133">
        <v>0</v>
      </c>
      <c r="S1019" s="156"/>
    </row>
    <row r="1020" spans="1:19">
      <c r="A1020" s="133" t="s">
        <v>1185</v>
      </c>
      <c r="B1020" s="133" t="s">
        <v>1175</v>
      </c>
      <c r="C1020" s="133" t="s">
        <v>1000</v>
      </c>
      <c r="D1020" s="133" t="s">
        <v>508</v>
      </c>
      <c r="E1020" s="133" t="s">
        <v>960</v>
      </c>
      <c r="F1020" s="133" t="s">
        <v>712</v>
      </c>
      <c r="G1020" s="133" t="s">
        <v>715</v>
      </c>
      <c r="H1020" s="133">
        <v>6.94</v>
      </c>
      <c r="I1020" s="133">
        <v>0</v>
      </c>
      <c r="J1020" s="133">
        <v>0</v>
      </c>
      <c r="K1020" s="133">
        <v>0</v>
      </c>
      <c r="L1020" s="133">
        <v>0</v>
      </c>
      <c r="M1020" s="133" t="s">
        <v>1096</v>
      </c>
      <c r="N1020" s="133">
        <v>0</v>
      </c>
      <c r="P1020" s="133">
        <v>0</v>
      </c>
      <c r="Q1020" s="133">
        <v>0</v>
      </c>
      <c r="R1020" s="133">
        <v>0</v>
      </c>
      <c r="S1020" s="156"/>
    </row>
    <row r="1021" spans="1:19">
      <c r="A1021" s="133" t="s">
        <v>1185</v>
      </c>
      <c r="B1021" s="133" t="s">
        <v>1175</v>
      </c>
      <c r="C1021" s="133" t="s">
        <v>1000</v>
      </c>
      <c r="D1021" s="133" t="s">
        <v>901</v>
      </c>
      <c r="E1021" s="133" t="s">
        <v>961</v>
      </c>
      <c r="F1021" s="133" t="s">
        <v>946</v>
      </c>
      <c r="G1021" s="133" t="s">
        <v>719</v>
      </c>
      <c r="H1021" s="133">
        <v>0.93</v>
      </c>
      <c r="I1021" s="133">
        <v>0</v>
      </c>
      <c r="J1021" s="133">
        <v>0</v>
      </c>
      <c r="K1021" s="133">
        <v>0</v>
      </c>
      <c r="L1021" s="133">
        <v>0</v>
      </c>
      <c r="M1021" s="133" t="s">
        <v>1096</v>
      </c>
      <c r="N1021" s="133">
        <v>0</v>
      </c>
      <c r="P1021" s="133">
        <v>0</v>
      </c>
      <c r="Q1021" s="133">
        <v>0</v>
      </c>
      <c r="R1021" s="133">
        <v>0</v>
      </c>
      <c r="S1021" s="156"/>
    </row>
    <row r="1022" spans="1:19">
      <c r="A1022" s="133" t="s">
        <v>1185</v>
      </c>
      <c r="B1022" s="133" t="s">
        <v>1175</v>
      </c>
      <c r="C1022" s="133" t="s">
        <v>1000</v>
      </c>
      <c r="D1022" s="133" t="s">
        <v>902</v>
      </c>
      <c r="E1022" s="133" t="s">
        <v>962</v>
      </c>
      <c r="F1022" s="133" t="s">
        <v>946</v>
      </c>
      <c r="G1022" s="133" t="s">
        <v>719</v>
      </c>
      <c r="H1022" s="133">
        <v>0.54</v>
      </c>
      <c r="I1022" s="133">
        <v>0</v>
      </c>
      <c r="J1022" s="133">
        <v>0</v>
      </c>
      <c r="K1022" s="133">
        <v>0</v>
      </c>
      <c r="L1022" s="133">
        <v>0</v>
      </c>
      <c r="M1022" s="133" t="s">
        <v>1096</v>
      </c>
      <c r="N1022" s="133">
        <v>0</v>
      </c>
      <c r="P1022" s="133">
        <v>0</v>
      </c>
      <c r="Q1022" s="133">
        <v>0</v>
      </c>
      <c r="R1022" s="133">
        <v>0</v>
      </c>
      <c r="S1022" s="156"/>
    </row>
    <row r="1023" spans="1:19">
      <c r="A1023" s="133" t="s">
        <v>1185</v>
      </c>
      <c r="B1023" s="133" t="s">
        <v>1175</v>
      </c>
      <c r="C1023" s="133" t="s">
        <v>1000</v>
      </c>
      <c r="D1023" s="133" t="s">
        <v>903</v>
      </c>
      <c r="E1023" s="133" t="s">
        <v>963</v>
      </c>
      <c r="F1023" s="133" t="s">
        <v>946</v>
      </c>
      <c r="G1023" s="133" t="s">
        <v>719</v>
      </c>
      <c r="H1023" s="133">
        <v>2.13</v>
      </c>
      <c r="I1023" s="133">
        <v>0</v>
      </c>
      <c r="J1023" s="133">
        <v>0</v>
      </c>
      <c r="K1023" s="133">
        <v>0</v>
      </c>
      <c r="L1023" s="133">
        <v>0</v>
      </c>
      <c r="M1023" s="133" t="s">
        <v>1096</v>
      </c>
      <c r="N1023" s="133">
        <v>0</v>
      </c>
      <c r="P1023" s="133">
        <v>0</v>
      </c>
      <c r="Q1023" s="133">
        <v>0</v>
      </c>
      <c r="R1023" s="133">
        <v>0</v>
      </c>
      <c r="S1023" s="156"/>
    </row>
    <row r="1024" spans="1:19">
      <c r="A1024" s="133" t="s">
        <v>1185</v>
      </c>
      <c r="B1024" s="133" t="s">
        <v>1175</v>
      </c>
      <c r="C1024" s="133" t="s">
        <v>1000</v>
      </c>
      <c r="D1024" s="133" t="s">
        <v>904</v>
      </c>
      <c r="E1024" s="133" t="s">
        <v>964</v>
      </c>
      <c r="F1024" s="133" t="s">
        <v>946</v>
      </c>
      <c r="G1024" s="133" t="s">
        <v>719</v>
      </c>
      <c r="H1024" s="133">
        <v>4.1100000000000003</v>
      </c>
      <c r="I1024" s="133">
        <v>0</v>
      </c>
      <c r="J1024" s="133">
        <v>0</v>
      </c>
      <c r="K1024" s="133">
        <v>0</v>
      </c>
      <c r="L1024" s="133">
        <v>0</v>
      </c>
      <c r="M1024" s="133" t="s">
        <v>1096</v>
      </c>
      <c r="N1024" s="133">
        <v>0</v>
      </c>
      <c r="P1024" s="133">
        <v>0</v>
      </c>
      <c r="Q1024" s="133">
        <v>0</v>
      </c>
      <c r="R1024" s="133">
        <v>0</v>
      </c>
      <c r="S1024" s="156"/>
    </row>
    <row r="1025" spans="1:19">
      <c r="A1025" s="10" t="s">
        <v>1185</v>
      </c>
      <c r="B1025" s="10" t="s">
        <v>1175</v>
      </c>
      <c r="C1025" s="10" t="s">
        <v>1000</v>
      </c>
      <c r="D1025" s="10" t="s">
        <v>512</v>
      </c>
      <c r="E1025" s="10" t="s">
        <v>513</v>
      </c>
      <c r="F1025" s="10" t="s">
        <v>709</v>
      </c>
      <c r="G1025" s="10" t="s">
        <v>719</v>
      </c>
      <c r="H1025" s="10">
        <v>1.1599999999999999</v>
      </c>
      <c r="I1025" s="10">
        <v>0</v>
      </c>
      <c r="J1025" s="10">
        <v>0</v>
      </c>
      <c r="K1025" s="10">
        <v>0</v>
      </c>
      <c r="L1025" s="10">
        <v>0</v>
      </c>
      <c r="M1025" s="10" t="s">
        <v>1096</v>
      </c>
      <c r="N1025" s="10">
        <v>0</v>
      </c>
      <c r="O1025" s="10"/>
      <c r="P1025" s="10">
        <v>0</v>
      </c>
      <c r="Q1025" s="10">
        <v>0</v>
      </c>
      <c r="R1025" s="10">
        <v>0</v>
      </c>
      <c r="S1025" s="155"/>
    </row>
    <row r="1026" spans="1:19">
      <c r="A1026" s="133" t="s">
        <v>1185</v>
      </c>
      <c r="B1026" s="133" t="s">
        <v>1175</v>
      </c>
      <c r="C1026" s="133" t="s">
        <v>1000</v>
      </c>
      <c r="D1026" s="133" t="s">
        <v>514</v>
      </c>
      <c r="E1026" s="133" t="s">
        <v>515</v>
      </c>
      <c r="F1026" s="133" t="s">
        <v>709</v>
      </c>
      <c r="G1026" s="133" t="s">
        <v>719</v>
      </c>
      <c r="H1026" s="133">
        <v>2.14</v>
      </c>
      <c r="I1026" s="133">
        <v>0</v>
      </c>
      <c r="J1026" s="133">
        <v>0</v>
      </c>
      <c r="K1026" s="133">
        <v>0</v>
      </c>
      <c r="L1026" s="133">
        <v>0</v>
      </c>
      <c r="M1026" s="133" t="s">
        <v>1096</v>
      </c>
      <c r="N1026" s="133">
        <v>0</v>
      </c>
      <c r="P1026" s="133">
        <v>0</v>
      </c>
      <c r="Q1026" s="133">
        <v>0</v>
      </c>
      <c r="R1026" s="133">
        <v>0</v>
      </c>
      <c r="S1026" s="156"/>
    </row>
    <row r="1027" spans="1:19">
      <c r="A1027" s="133" t="s">
        <v>1185</v>
      </c>
      <c r="B1027" s="133" t="s">
        <v>1175</v>
      </c>
      <c r="C1027" s="133" t="s">
        <v>1000</v>
      </c>
      <c r="D1027" s="133" t="s">
        <v>516</v>
      </c>
      <c r="E1027" s="133" t="s">
        <v>517</v>
      </c>
      <c r="F1027" s="133" t="s">
        <v>709</v>
      </c>
      <c r="G1027" s="133" t="s">
        <v>719</v>
      </c>
      <c r="H1027" s="133">
        <v>4.8499999999999996</v>
      </c>
      <c r="I1027" s="133">
        <v>0</v>
      </c>
      <c r="J1027" s="133">
        <v>0</v>
      </c>
      <c r="K1027" s="133">
        <v>0</v>
      </c>
      <c r="L1027" s="133">
        <v>0</v>
      </c>
      <c r="M1027" s="133" t="s">
        <v>1096</v>
      </c>
      <c r="N1027" s="133">
        <v>0</v>
      </c>
      <c r="P1027" s="133">
        <v>0</v>
      </c>
      <c r="Q1027" s="133">
        <v>0</v>
      </c>
      <c r="R1027" s="133">
        <v>0</v>
      </c>
      <c r="S1027" s="156"/>
    </row>
    <row r="1028" spans="1:19">
      <c r="A1028" s="133" t="s">
        <v>1185</v>
      </c>
      <c r="B1028" s="133" t="s">
        <v>1175</v>
      </c>
      <c r="C1028" s="133" t="s">
        <v>1000</v>
      </c>
      <c r="D1028" s="133" t="s">
        <v>524</v>
      </c>
      <c r="E1028" s="133" t="s">
        <v>525</v>
      </c>
      <c r="F1028" s="133" t="s">
        <v>709</v>
      </c>
      <c r="G1028" s="133" t="s">
        <v>719</v>
      </c>
      <c r="H1028" s="133">
        <v>0.49</v>
      </c>
      <c r="I1028" s="133">
        <v>0</v>
      </c>
      <c r="J1028" s="133">
        <v>0</v>
      </c>
      <c r="K1028" s="133">
        <v>0</v>
      </c>
      <c r="L1028" s="133">
        <v>0</v>
      </c>
      <c r="M1028" s="133" t="s">
        <v>1096</v>
      </c>
      <c r="N1028" s="133">
        <v>0</v>
      </c>
      <c r="P1028" s="133">
        <v>0</v>
      </c>
      <c r="Q1028" s="133">
        <v>0</v>
      </c>
      <c r="R1028" s="133">
        <v>0</v>
      </c>
      <c r="S1028" s="156"/>
    </row>
    <row r="1029" spans="1:19">
      <c r="A1029" s="133" t="s">
        <v>1185</v>
      </c>
      <c r="B1029" s="133" t="s">
        <v>1175</v>
      </c>
      <c r="C1029" s="133" t="s">
        <v>1000</v>
      </c>
      <c r="D1029" s="133" t="s">
        <v>526</v>
      </c>
      <c r="E1029" s="133" t="s">
        <v>527</v>
      </c>
      <c r="F1029" s="133" t="s">
        <v>712</v>
      </c>
      <c r="G1029" s="133" t="s">
        <v>719</v>
      </c>
      <c r="H1029" s="133">
        <v>1.72</v>
      </c>
      <c r="I1029" s="133">
        <v>0</v>
      </c>
      <c r="J1029" s="133">
        <v>198</v>
      </c>
      <c r="K1029" s="133">
        <v>0</v>
      </c>
      <c r="L1029" s="133">
        <v>0</v>
      </c>
      <c r="M1029" s="133" t="s">
        <v>1096</v>
      </c>
      <c r="N1029" s="133">
        <v>0</v>
      </c>
      <c r="P1029" s="133">
        <v>0</v>
      </c>
      <c r="Q1029" s="133">
        <v>0</v>
      </c>
      <c r="R1029" s="133">
        <v>0</v>
      </c>
      <c r="S1029" s="156"/>
    </row>
    <row r="1030" spans="1:19">
      <c r="A1030" s="133" t="s">
        <v>1185</v>
      </c>
      <c r="B1030" s="133" t="s">
        <v>1175</v>
      </c>
      <c r="C1030" s="133" t="s">
        <v>1000</v>
      </c>
      <c r="D1030" s="133" t="s">
        <v>528</v>
      </c>
      <c r="E1030" s="133" t="s">
        <v>529</v>
      </c>
      <c r="F1030" s="133" t="s">
        <v>712</v>
      </c>
      <c r="G1030" s="133" t="s">
        <v>719</v>
      </c>
      <c r="H1030" s="133">
        <v>3.6</v>
      </c>
      <c r="I1030" s="133">
        <v>0</v>
      </c>
      <c r="J1030" s="133">
        <v>100</v>
      </c>
      <c r="K1030" s="133">
        <v>0</v>
      </c>
      <c r="L1030" s="133">
        <v>0</v>
      </c>
      <c r="M1030" s="133" t="s">
        <v>1096</v>
      </c>
      <c r="N1030" s="133">
        <v>0</v>
      </c>
      <c r="P1030" s="133">
        <v>0</v>
      </c>
      <c r="Q1030" s="133">
        <v>0</v>
      </c>
      <c r="R1030" s="133">
        <v>0</v>
      </c>
      <c r="S1030" s="156"/>
    </row>
    <row r="1031" spans="1:19">
      <c r="A1031" s="133" t="s">
        <v>1185</v>
      </c>
      <c r="B1031" s="133" t="s">
        <v>1175</v>
      </c>
      <c r="C1031" s="133" t="s">
        <v>1000</v>
      </c>
      <c r="D1031" s="133" t="s">
        <v>530</v>
      </c>
      <c r="E1031" s="133" t="s">
        <v>531</v>
      </c>
      <c r="F1031" s="133" t="s">
        <v>712</v>
      </c>
      <c r="G1031" s="133" t="s">
        <v>719</v>
      </c>
      <c r="H1031" s="133">
        <v>6.89</v>
      </c>
      <c r="I1031" s="133">
        <v>0</v>
      </c>
      <c r="J1031" s="133">
        <v>171</v>
      </c>
      <c r="K1031" s="133">
        <v>0</v>
      </c>
      <c r="L1031" s="133">
        <v>0</v>
      </c>
      <c r="M1031" s="133" t="s">
        <v>1096</v>
      </c>
      <c r="N1031" s="133">
        <v>0</v>
      </c>
      <c r="P1031" s="133">
        <v>0</v>
      </c>
      <c r="Q1031" s="133">
        <v>0</v>
      </c>
      <c r="R1031" s="133">
        <v>0</v>
      </c>
      <c r="S1031" s="156"/>
    </row>
    <row r="1032" spans="1:19">
      <c r="A1032" s="133" t="s">
        <v>1185</v>
      </c>
      <c r="B1032" s="133" t="s">
        <v>1175</v>
      </c>
      <c r="C1032" s="133" t="s">
        <v>1000</v>
      </c>
      <c r="D1032" s="133" t="s">
        <v>538</v>
      </c>
      <c r="E1032" s="133" t="s">
        <v>539</v>
      </c>
      <c r="F1032" s="133" t="s">
        <v>709</v>
      </c>
      <c r="G1032" s="133" t="s">
        <v>719</v>
      </c>
      <c r="H1032" s="133">
        <v>1.1299999999999999</v>
      </c>
      <c r="I1032" s="133">
        <v>0</v>
      </c>
      <c r="J1032" s="133">
        <v>0</v>
      </c>
      <c r="K1032" s="133">
        <v>0</v>
      </c>
      <c r="L1032" s="133">
        <v>0</v>
      </c>
      <c r="M1032" s="133" t="s">
        <v>1096</v>
      </c>
      <c r="N1032" s="133">
        <v>0</v>
      </c>
      <c r="P1032" s="133">
        <v>0</v>
      </c>
      <c r="Q1032" s="133">
        <v>0</v>
      </c>
      <c r="R1032" s="133">
        <v>0</v>
      </c>
      <c r="S1032" s="156"/>
    </row>
    <row r="1033" spans="1:19">
      <c r="A1033" s="133" t="s">
        <v>1185</v>
      </c>
      <c r="B1033" s="133" t="s">
        <v>1175</v>
      </c>
      <c r="C1033" s="133" t="s">
        <v>1000</v>
      </c>
      <c r="D1033" s="133" t="s">
        <v>905</v>
      </c>
      <c r="E1033" s="133" t="s">
        <v>967</v>
      </c>
      <c r="F1033" s="133" t="s">
        <v>946</v>
      </c>
      <c r="G1033" s="133" t="s">
        <v>719</v>
      </c>
      <c r="H1033" s="133">
        <v>3.43</v>
      </c>
      <c r="I1033" s="133">
        <v>0</v>
      </c>
      <c r="J1033" s="133">
        <v>0</v>
      </c>
      <c r="K1033" s="133">
        <v>0</v>
      </c>
      <c r="L1033" s="133">
        <v>0</v>
      </c>
      <c r="M1033" s="133" t="s">
        <v>1096</v>
      </c>
      <c r="N1033" s="133">
        <v>0</v>
      </c>
      <c r="P1033" s="133">
        <v>0</v>
      </c>
      <c r="Q1033" s="133">
        <v>0</v>
      </c>
      <c r="R1033" s="133">
        <v>0</v>
      </c>
      <c r="S1033" s="156"/>
    </row>
    <row r="1034" spans="1:19">
      <c r="A1034" s="133" t="s">
        <v>1185</v>
      </c>
      <c r="B1034" s="133" t="s">
        <v>1175</v>
      </c>
      <c r="C1034" s="133" t="s">
        <v>1000</v>
      </c>
      <c r="D1034" s="133" t="s">
        <v>906</v>
      </c>
      <c r="E1034" s="133" t="s">
        <v>968</v>
      </c>
      <c r="F1034" s="133" t="s">
        <v>946</v>
      </c>
      <c r="G1034" s="133" t="s">
        <v>719</v>
      </c>
      <c r="H1034" s="133">
        <v>1.48</v>
      </c>
      <c r="I1034" s="133">
        <v>0</v>
      </c>
      <c r="J1034" s="133">
        <v>0</v>
      </c>
      <c r="K1034" s="133">
        <v>0</v>
      </c>
      <c r="L1034" s="133">
        <v>0</v>
      </c>
      <c r="M1034" s="133" t="s">
        <v>1096</v>
      </c>
      <c r="N1034" s="133">
        <v>0</v>
      </c>
      <c r="P1034" s="133">
        <v>0</v>
      </c>
      <c r="Q1034" s="133">
        <v>0</v>
      </c>
      <c r="R1034" s="133">
        <v>0</v>
      </c>
      <c r="S1034" s="156"/>
    </row>
    <row r="1035" spans="1:19">
      <c r="A1035" s="133" t="s">
        <v>1185</v>
      </c>
      <c r="B1035" s="133" t="s">
        <v>1175</v>
      </c>
      <c r="C1035" s="133" t="s">
        <v>1000</v>
      </c>
      <c r="D1035" s="133" t="s">
        <v>542</v>
      </c>
      <c r="E1035" s="133" t="s">
        <v>543</v>
      </c>
      <c r="F1035" s="133" t="s">
        <v>707</v>
      </c>
      <c r="G1035" s="133" t="s">
        <v>715</v>
      </c>
      <c r="H1035" s="133">
        <v>1.24</v>
      </c>
      <c r="I1035" s="133">
        <v>0</v>
      </c>
      <c r="J1035" s="133">
        <v>337</v>
      </c>
      <c r="K1035" s="133">
        <v>0</v>
      </c>
      <c r="L1035" s="133">
        <v>0</v>
      </c>
      <c r="M1035" s="133" t="s">
        <v>1096</v>
      </c>
      <c r="N1035" s="133">
        <v>0</v>
      </c>
      <c r="P1035" s="133">
        <v>0</v>
      </c>
      <c r="Q1035" s="133">
        <v>0</v>
      </c>
      <c r="R1035" s="133">
        <v>0</v>
      </c>
      <c r="S1035" s="156"/>
    </row>
    <row r="1036" spans="1:19">
      <c r="A1036" s="133" t="s">
        <v>1185</v>
      </c>
      <c r="B1036" s="133" t="s">
        <v>1175</v>
      </c>
      <c r="C1036" s="133" t="s">
        <v>1000</v>
      </c>
      <c r="D1036" s="133" t="s">
        <v>544</v>
      </c>
      <c r="E1036" s="133" t="s">
        <v>545</v>
      </c>
      <c r="F1036" s="133" t="s">
        <v>707</v>
      </c>
      <c r="G1036" s="133" t="s">
        <v>715</v>
      </c>
      <c r="H1036" s="133">
        <v>2.27</v>
      </c>
      <c r="I1036" s="133">
        <v>0</v>
      </c>
      <c r="J1036" s="133">
        <v>258</v>
      </c>
      <c r="K1036" s="133">
        <v>0</v>
      </c>
      <c r="L1036" s="133">
        <v>0</v>
      </c>
      <c r="M1036" s="133" t="s">
        <v>1096</v>
      </c>
      <c r="N1036" s="133">
        <v>0</v>
      </c>
      <c r="P1036" s="133">
        <v>0</v>
      </c>
      <c r="Q1036" s="133">
        <v>0</v>
      </c>
      <c r="R1036" s="133">
        <v>0</v>
      </c>
      <c r="S1036" s="156"/>
    </row>
    <row r="1037" spans="1:19">
      <c r="A1037" s="133" t="s">
        <v>1185</v>
      </c>
      <c r="B1037" s="133" t="s">
        <v>1175</v>
      </c>
      <c r="C1037" s="133" t="s">
        <v>1000</v>
      </c>
      <c r="D1037" s="133" t="s">
        <v>546</v>
      </c>
      <c r="E1037" s="133" t="s">
        <v>547</v>
      </c>
      <c r="F1037" s="133" t="s">
        <v>707</v>
      </c>
      <c r="G1037" s="133" t="s">
        <v>715</v>
      </c>
      <c r="H1037" s="133">
        <v>16.43</v>
      </c>
      <c r="I1037" s="133">
        <v>0</v>
      </c>
      <c r="J1037" s="133">
        <v>0</v>
      </c>
      <c r="K1037" s="133">
        <v>0</v>
      </c>
      <c r="L1037" s="133">
        <v>0</v>
      </c>
      <c r="M1037" s="133" t="s">
        <v>1096</v>
      </c>
      <c r="N1037" s="133">
        <v>0</v>
      </c>
      <c r="P1037" s="133">
        <v>0</v>
      </c>
      <c r="Q1037" s="133">
        <v>0</v>
      </c>
      <c r="R1037" s="133">
        <v>0</v>
      </c>
      <c r="S1037" s="156"/>
    </row>
    <row r="1038" spans="1:19">
      <c r="A1038" s="133" t="s">
        <v>1185</v>
      </c>
      <c r="B1038" s="133" t="s">
        <v>1175</v>
      </c>
      <c r="C1038" s="133" t="s">
        <v>1000</v>
      </c>
      <c r="D1038" s="133" t="s">
        <v>548</v>
      </c>
      <c r="E1038" s="133" t="s">
        <v>549</v>
      </c>
      <c r="F1038" s="133" t="s">
        <v>707</v>
      </c>
      <c r="G1038" s="133" t="s">
        <v>715</v>
      </c>
      <c r="H1038" s="133">
        <v>3.66</v>
      </c>
      <c r="I1038" s="133">
        <v>0</v>
      </c>
      <c r="J1038" s="133">
        <v>200</v>
      </c>
      <c r="K1038" s="133">
        <v>0</v>
      </c>
      <c r="L1038" s="133">
        <v>0</v>
      </c>
      <c r="M1038" s="133" t="s">
        <v>1096</v>
      </c>
      <c r="N1038" s="133">
        <v>0</v>
      </c>
      <c r="P1038" s="133">
        <v>0</v>
      </c>
      <c r="Q1038" s="133">
        <v>0</v>
      </c>
      <c r="R1038" s="133">
        <v>0</v>
      </c>
      <c r="S1038" s="156"/>
    </row>
    <row r="1039" spans="1:19">
      <c r="A1039" s="133" t="s">
        <v>1185</v>
      </c>
      <c r="B1039" s="133" t="s">
        <v>1175</v>
      </c>
      <c r="C1039" s="133" t="s">
        <v>1000</v>
      </c>
      <c r="D1039" s="133" t="s">
        <v>553</v>
      </c>
      <c r="E1039" s="133" t="s">
        <v>554</v>
      </c>
      <c r="F1039" s="133" t="s">
        <v>712</v>
      </c>
      <c r="G1039" s="133" t="s">
        <v>715</v>
      </c>
      <c r="H1039" s="133">
        <v>4.62</v>
      </c>
      <c r="I1039" s="133">
        <v>0</v>
      </c>
      <c r="J1039" s="133">
        <v>0</v>
      </c>
      <c r="K1039" s="133">
        <v>0</v>
      </c>
      <c r="L1039" s="133">
        <v>0</v>
      </c>
      <c r="M1039" s="133" t="s">
        <v>1096</v>
      </c>
      <c r="N1039" s="133">
        <v>0</v>
      </c>
      <c r="P1039" s="133">
        <v>0</v>
      </c>
      <c r="Q1039" s="133">
        <v>0</v>
      </c>
      <c r="R1039" s="133">
        <v>0</v>
      </c>
      <c r="S1039" s="156"/>
    </row>
    <row r="1040" spans="1:19">
      <c r="A1040" s="133" t="s">
        <v>1185</v>
      </c>
      <c r="B1040" s="133" t="s">
        <v>1175</v>
      </c>
      <c r="C1040" s="133" t="s">
        <v>1000</v>
      </c>
      <c r="D1040" s="133" t="s">
        <v>555</v>
      </c>
      <c r="E1040" s="133" t="s">
        <v>556</v>
      </c>
      <c r="F1040" s="133" t="s">
        <v>712</v>
      </c>
      <c r="G1040" s="133" t="s">
        <v>719</v>
      </c>
      <c r="H1040" s="133">
        <v>2.59</v>
      </c>
      <c r="I1040" s="133">
        <v>0</v>
      </c>
      <c r="J1040" s="133">
        <v>1140</v>
      </c>
      <c r="K1040" s="133">
        <v>0</v>
      </c>
      <c r="L1040" s="133">
        <v>0</v>
      </c>
      <c r="M1040" s="133" t="s">
        <v>1096</v>
      </c>
      <c r="N1040" s="133">
        <v>0</v>
      </c>
      <c r="P1040" s="133">
        <v>0</v>
      </c>
      <c r="Q1040" s="133">
        <v>0</v>
      </c>
      <c r="R1040" s="133">
        <v>0</v>
      </c>
      <c r="S1040" s="156"/>
    </row>
    <row r="1041" spans="1:19">
      <c r="A1041" s="133" t="s">
        <v>1185</v>
      </c>
      <c r="B1041" s="133" t="s">
        <v>1175</v>
      </c>
      <c r="C1041" s="133" t="s">
        <v>1000</v>
      </c>
      <c r="D1041" s="133" t="s">
        <v>557</v>
      </c>
      <c r="E1041" s="133" t="s">
        <v>558</v>
      </c>
      <c r="F1041" s="133" t="s">
        <v>712</v>
      </c>
      <c r="G1041" s="133" t="s">
        <v>719</v>
      </c>
      <c r="H1041" s="133">
        <v>4.75</v>
      </c>
      <c r="I1041" s="133">
        <v>0</v>
      </c>
      <c r="J1041" s="133">
        <v>2670</v>
      </c>
      <c r="K1041" s="133">
        <v>0</v>
      </c>
      <c r="L1041" s="133">
        <v>0</v>
      </c>
      <c r="M1041" s="133" t="s">
        <v>1096</v>
      </c>
      <c r="N1041" s="133">
        <v>0</v>
      </c>
      <c r="P1041" s="133">
        <v>0</v>
      </c>
      <c r="Q1041" s="133">
        <v>0</v>
      </c>
      <c r="R1041" s="133">
        <v>0</v>
      </c>
      <c r="S1041" s="156"/>
    </row>
    <row r="1042" spans="1:19">
      <c r="A1042" s="133" t="s">
        <v>1185</v>
      </c>
      <c r="B1042" s="133" t="s">
        <v>1175</v>
      </c>
      <c r="C1042" s="133" t="s">
        <v>1000</v>
      </c>
      <c r="D1042" s="133" t="s">
        <v>559</v>
      </c>
      <c r="E1042" s="133" t="s">
        <v>560</v>
      </c>
      <c r="F1042" s="133" t="s">
        <v>712</v>
      </c>
      <c r="G1042" s="133" t="s">
        <v>719</v>
      </c>
      <c r="H1042" s="133">
        <v>2.4</v>
      </c>
      <c r="I1042" s="133">
        <v>0</v>
      </c>
      <c r="J1042" s="133">
        <v>274</v>
      </c>
      <c r="K1042" s="133">
        <v>0</v>
      </c>
      <c r="L1042" s="133">
        <v>0</v>
      </c>
      <c r="M1042" s="133" t="s">
        <v>1096</v>
      </c>
      <c r="N1042" s="133">
        <v>0</v>
      </c>
      <c r="P1042" s="133">
        <v>0</v>
      </c>
      <c r="Q1042" s="133">
        <v>0</v>
      </c>
      <c r="R1042" s="133">
        <v>0</v>
      </c>
      <c r="S1042" s="156"/>
    </row>
    <row r="1043" spans="1:19">
      <c r="A1043" s="133" t="s">
        <v>1185</v>
      </c>
      <c r="B1043" s="133" t="s">
        <v>1175</v>
      </c>
      <c r="C1043" s="133" t="s">
        <v>1000</v>
      </c>
      <c r="D1043" s="133" t="s">
        <v>561</v>
      </c>
      <c r="E1043" s="133" t="s">
        <v>562</v>
      </c>
      <c r="F1043" s="133" t="s">
        <v>712</v>
      </c>
      <c r="G1043" s="133" t="s">
        <v>719</v>
      </c>
      <c r="H1043" s="133">
        <v>4.47</v>
      </c>
      <c r="I1043" s="133">
        <v>0</v>
      </c>
      <c r="J1043" s="133">
        <v>964</v>
      </c>
      <c r="K1043" s="133">
        <v>0</v>
      </c>
      <c r="L1043" s="133">
        <v>0</v>
      </c>
      <c r="M1043" s="133" t="s">
        <v>1096</v>
      </c>
      <c r="N1043" s="133">
        <v>0</v>
      </c>
      <c r="P1043" s="133">
        <v>0</v>
      </c>
      <c r="Q1043" s="133">
        <v>0</v>
      </c>
      <c r="R1043" s="133">
        <v>0</v>
      </c>
      <c r="S1043" s="156"/>
    </row>
    <row r="1044" spans="1:19">
      <c r="A1044" s="133" t="s">
        <v>1185</v>
      </c>
      <c r="B1044" s="133" t="s">
        <v>1175</v>
      </c>
      <c r="C1044" s="133" t="s">
        <v>1000</v>
      </c>
      <c r="D1044" s="133" t="s">
        <v>883</v>
      </c>
      <c r="E1044" s="133" t="s">
        <v>969</v>
      </c>
      <c r="F1044" s="133" t="s">
        <v>712</v>
      </c>
      <c r="G1044" s="133" t="s">
        <v>715</v>
      </c>
      <c r="H1044" s="133">
        <v>1.66</v>
      </c>
      <c r="I1044" s="133">
        <v>0</v>
      </c>
      <c r="J1044" s="133">
        <v>197</v>
      </c>
      <c r="K1044" s="133">
        <v>0</v>
      </c>
      <c r="L1044" s="133">
        <v>0</v>
      </c>
      <c r="M1044" s="133" t="s">
        <v>1096</v>
      </c>
      <c r="N1044" s="133">
        <v>0</v>
      </c>
      <c r="P1044" s="133">
        <v>0</v>
      </c>
      <c r="Q1044" s="133">
        <v>0</v>
      </c>
      <c r="R1044" s="133">
        <v>0</v>
      </c>
      <c r="S1044" s="156"/>
    </row>
    <row r="1045" spans="1:19">
      <c r="A1045" s="133" t="s">
        <v>1185</v>
      </c>
      <c r="B1045" s="133" t="s">
        <v>1175</v>
      </c>
      <c r="C1045" s="133" t="s">
        <v>1000</v>
      </c>
      <c r="D1045" s="133" t="s">
        <v>884</v>
      </c>
      <c r="E1045" s="133" t="s">
        <v>970</v>
      </c>
      <c r="F1045" s="133" t="s">
        <v>712</v>
      </c>
      <c r="G1045" s="133" t="s">
        <v>715</v>
      </c>
      <c r="H1045" s="133">
        <v>13.56</v>
      </c>
      <c r="I1045" s="133">
        <v>0</v>
      </c>
      <c r="J1045" s="133">
        <v>141</v>
      </c>
      <c r="K1045" s="133">
        <v>0</v>
      </c>
      <c r="L1045" s="133">
        <v>0</v>
      </c>
      <c r="M1045" s="133" t="s">
        <v>1096</v>
      </c>
      <c r="N1045" s="133">
        <v>0</v>
      </c>
      <c r="P1045" s="133">
        <v>0</v>
      </c>
      <c r="Q1045" s="133">
        <v>0</v>
      </c>
      <c r="R1045" s="133">
        <v>0</v>
      </c>
      <c r="S1045" s="156"/>
    </row>
    <row r="1046" spans="1:19">
      <c r="A1046" s="133" t="s">
        <v>1185</v>
      </c>
      <c r="B1046" s="133" t="s">
        <v>1175</v>
      </c>
      <c r="C1046" s="133" t="s">
        <v>1000</v>
      </c>
      <c r="D1046" s="133" t="s">
        <v>576</v>
      </c>
      <c r="E1046" s="133" t="s">
        <v>577</v>
      </c>
      <c r="F1046" s="133" t="s">
        <v>709</v>
      </c>
      <c r="G1046" s="133" t="s">
        <v>715</v>
      </c>
      <c r="H1046" s="133">
        <v>0.97</v>
      </c>
      <c r="I1046" s="133">
        <v>0</v>
      </c>
      <c r="J1046" s="133">
        <v>0</v>
      </c>
      <c r="K1046" s="133">
        <v>0</v>
      </c>
      <c r="L1046" s="133">
        <v>0</v>
      </c>
      <c r="M1046" s="133" t="s">
        <v>1096</v>
      </c>
      <c r="N1046" s="133">
        <v>0</v>
      </c>
      <c r="P1046" s="133">
        <v>0</v>
      </c>
      <c r="Q1046" s="133">
        <v>0</v>
      </c>
      <c r="R1046" s="133">
        <v>0</v>
      </c>
      <c r="S1046" s="156"/>
    </row>
    <row r="1047" spans="1:19">
      <c r="A1047" s="133" t="s">
        <v>1185</v>
      </c>
      <c r="B1047" s="133" t="s">
        <v>1175</v>
      </c>
      <c r="C1047" s="133" t="s">
        <v>1000</v>
      </c>
      <c r="D1047" s="133" t="s">
        <v>578</v>
      </c>
      <c r="E1047" s="133" t="s">
        <v>579</v>
      </c>
      <c r="F1047" s="133" t="s">
        <v>709</v>
      </c>
      <c r="G1047" s="133" t="s">
        <v>715</v>
      </c>
      <c r="H1047" s="133">
        <v>2.3199999999999998</v>
      </c>
      <c r="I1047" s="133">
        <v>0</v>
      </c>
      <c r="J1047" s="133">
        <v>0</v>
      </c>
      <c r="K1047" s="133">
        <v>0</v>
      </c>
      <c r="L1047" s="133">
        <v>0</v>
      </c>
      <c r="M1047" s="133" t="s">
        <v>1096</v>
      </c>
      <c r="N1047" s="133">
        <v>0</v>
      </c>
      <c r="P1047" s="133">
        <v>0</v>
      </c>
      <c r="Q1047" s="133">
        <v>0</v>
      </c>
      <c r="R1047" s="133">
        <v>0</v>
      </c>
      <c r="S1047" s="156"/>
    </row>
    <row r="1048" spans="1:19">
      <c r="A1048" s="133" t="s">
        <v>1185</v>
      </c>
      <c r="B1048" s="133" t="s">
        <v>1175</v>
      </c>
      <c r="C1048" s="133" t="s">
        <v>1000</v>
      </c>
      <c r="D1048" s="133" t="s">
        <v>580</v>
      </c>
      <c r="E1048" s="133" t="s">
        <v>581</v>
      </c>
      <c r="F1048" s="133" t="s">
        <v>709</v>
      </c>
      <c r="G1048" s="133" t="s">
        <v>715</v>
      </c>
      <c r="H1048" s="133">
        <v>3.92</v>
      </c>
      <c r="I1048" s="133">
        <v>0</v>
      </c>
      <c r="J1048" s="133">
        <v>0</v>
      </c>
      <c r="K1048" s="133">
        <v>0</v>
      </c>
      <c r="L1048" s="133">
        <v>0</v>
      </c>
      <c r="M1048" s="133" t="s">
        <v>1096</v>
      </c>
      <c r="N1048" s="133">
        <v>0</v>
      </c>
      <c r="P1048" s="133">
        <v>0</v>
      </c>
      <c r="Q1048" s="133">
        <v>0</v>
      </c>
      <c r="R1048" s="133">
        <v>0</v>
      </c>
      <c r="S1048" s="156"/>
    </row>
    <row r="1049" spans="1:19">
      <c r="A1049" s="133" t="s">
        <v>1185</v>
      </c>
      <c r="B1049" s="133" t="s">
        <v>1175</v>
      </c>
      <c r="C1049" s="133" t="s">
        <v>1000</v>
      </c>
      <c r="D1049" s="133" t="s">
        <v>582</v>
      </c>
      <c r="E1049" s="133" t="s">
        <v>583</v>
      </c>
      <c r="F1049" s="133" t="s">
        <v>709</v>
      </c>
      <c r="G1049" s="133" t="s">
        <v>715</v>
      </c>
      <c r="H1049" s="133">
        <v>9.3000000000000007</v>
      </c>
      <c r="I1049" s="133">
        <v>0</v>
      </c>
      <c r="J1049" s="133">
        <v>0</v>
      </c>
      <c r="K1049" s="133">
        <v>0</v>
      </c>
      <c r="L1049" s="133">
        <v>0</v>
      </c>
      <c r="M1049" s="133" t="s">
        <v>1096</v>
      </c>
      <c r="N1049" s="133">
        <v>0</v>
      </c>
      <c r="P1049" s="133">
        <v>0</v>
      </c>
      <c r="Q1049" s="133">
        <v>0</v>
      </c>
      <c r="R1049" s="133">
        <v>0</v>
      </c>
      <c r="S1049" s="156"/>
    </row>
    <row r="1050" spans="1:19">
      <c r="A1050" s="133" t="s">
        <v>1185</v>
      </c>
      <c r="B1050" s="133" t="s">
        <v>1175</v>
      </c>
      <c r="C1050" s="133" t="s">
        <v>1000</v>
      </c>
      <c r="D1050" s="133" t="s">
        <v>584</v>
      </c>
      <c r="E1050" s="133" t="s">
        <v>585</v>
      </c>
      <c r="F1050" s="133" t="s">
        <v>707</v>
      </c>
      <c r="G1050" s="133" t="s">
        <v>715</v>
      </c>
      <c r="H1050" s="133">
        <v>4.09</v>
      </c>
      <c r="I1050" s="133">
        <v>0</v>
      </c>
      <c r="J1050" s="133">
        <v>458</v>
      </c>
      <c r="K1050" s="133">
        <v>0</v>
      </c>
      <c r="L1050" s="133">
        <v>0</v>
      </c>
      <c r="M1050" s="133" t="s">
        <v>1096</v>
      </c>
      <c r="N1050" s="133">
        <v>0</v>
      </c>
      <c r="P1050" s="133">
        <v>0</v>
      </c>
      <c r="Q1050" s="133">
        <v>0</v>
      </c>
      <c r="R1050" s="133">
        <v>0</v>
      </c>
      <c r="S1050" s="156"/>
    </row>
    <row r="1051" spans="1:19">
      <c r="A1051" s="133" t="s">
        <v>1185</v>
      </c>
      <c r="B1051" s="133" t="s">
        <v>1175</v>
      </c>
      <c r="C1051" s="133" t="s">
        <v>1000</v>
      </c>
      <c r="D1051" s="133" t="s">
        <v>586</v>
      </c>
      <c r="E1051" s="133" t="s">
        <v>587</v>
      </c>
      <c r="F1051" s="133" t="s">
        <v>707</v>
      </c>
      <c r="G1051" s="133" t="s">
        <v>715</v>
      </c>
      <c r="H1051" s="133">
        <v>11.23</v>
      </c>
      <c r="I1051" s="133">
        <v>0</v>
      </c>
      <c r="J1051" s="133">
        <v>0</v>
      </c>
      <c r="K1051" s="133">
        <v>0</v>
      </c>
      <c r="L1051" s="133">
        <v>0</v>
      </c>
      <c r="M1051" s="133" t="s">
        <v>1096</v>
      </c>
      <c r="N1051" s="133">
        <v>0</v>
      </c>
      <c r="P1051" s="133">
        <v>0</v>
      </c>
      <c r="Q1051" s="133">
        <v>0</v>
      </c>
      <c r="R1051" s="133">
        <v>0</v>
      </c>
      <c r="S1051" s="156"/>
    </row>
    <row r="1052" spans="1:19">
      <c r="A1052" s="133" t="s">
        <v>1185</v>
      </c>
      <c r="B1052" s="133" t="s">
        <v>1175</v>
      </c>
      <c r="C1052" s="133" t="s">
        <v>1000</v>
      </c>
      <c r="D1052" s="133" t="s">
        <v>588</v>
      </c>
      <c r="E1052" s="133" t="s">
        <v>589</v>
      </c>
      <c r="F1052" s="133" t="s">
        <v>707</v>
      </c>
      <c r="G1052" s="133" t="s">
        <v>715</v>
      </c>
      <c r="H1052" s="133">
        <v>3.05</v>
      </c>
      <c r="I1052" s="133">
        <v>0</v>
      </c>
      <c r="J1052" s="133">
        <v>213</v>
      </c>
      <c r="K1052" s="133">
        <v>0</v>
      </c>
      <c r="L1052" s="133">
        <v>0</v>
      </c>
      <c r="M1052" s="133" t="s">
        <v>1096</v>
      </c>
      <c r="N1052" s="133">
        <v>0</v>
      </c>
      <c r="P1052" s="133">
        <v>0</v>
      </c>
      <c r="Q1052" s="133">
        <v>0</v>
      </c>
      <c r="R1052" s="133">
        <v>0</v>
      </c>
      <c r="S1052" s="156"/>
    </row>
    <row r="1053" spans="1:19">
      <c r="A1053" s="133" t="s">
        <v>1185</v>
      </c>
      <c r="B1053" s="133" t="s">
        <v>1175</v>
      </c>
      <c r="C1053" s="133" t="s">
        <v>1000</v>
      </c>
      <c r="D1053" s="133" t="s">
        <v>885</v>
      </c>
      <c r="E1053" s="133" t="s">
        <v>971</v>
      </c>
      <c r="F1053" s="133" t="s">
        <v>712</v>
      </c>
      <c r="G1053" s="133" t="s">
        <v>715</v>
      </c>
      <c r="H1053" s="133">
        <v>3.49</v>
      </c>
      <c r="I1053" s="133">
        <v>0</v>
      </c>
      <c r="J1053" s="133">
        <v>179</v>
      </c>
      <c r="K1053" s="133">
        <v>0</v>
      </c>
      <c r="L1053" s="133">
        <v>0</v>
      </c>
      <c r="M1053" s="133" t="s">
        <v>1096</v>
      </c>
      <c r="N1053" s="133">
        <v>0</v>
      </c>
      <c r="P1053" s="133">
        <v>0</v>
      </c>
      <c r="Q1053" s="133">
        <v>0</v>
      </c>
      <c r="R1053" s="133">
        <v>0</v>
      </c>
      <c r="S1053" s="156"/>
    </row>
    <row r="1054" spans="1:19">
      <c r="A1054" s="133" t="s">
        <v>1185</v>
      </c>
      <c r="B1054" s="133" t="s">
        <v>1175</v>
      </c>
      <c r="C1054" s="133" t="s">
        <v>1000</v>
      </c>
      <c r="D1054" s="133" t="s">
        <v>886</v>
      </c>
      <c r="E1054" s="133" t="s">
        <v>972</v>
      </c>
      <c r="F1054" s="133" t="s">
        <v>712</v>
      </c>
      <c r="G1054" s="133" t="s">
        <v>715</v>
      </c>
      <c r="H1054" s="133">
        <v>1.87</v>
      </c>
      <c r="I1054" s="133">
        <v>0</v>
      </c>
      <c r="J1054" s="133">
        <v>135</v>
      </c>
      <c r="K1054" s="133">
        <v>0</v>
      </c>
      <c r="L1054" s="133">
        <v>0</v>
      </c>
      <c r="M1054" s="133" t="s">
        <v>1096</v>
      </c>
      <c r="N1054" s="133">
        <v>0</v>
      </c>
      <c r="P1054" s="133">
        <v>0</v>
      </c>
      <c r="Q1054" s="133">
        <v>0</v>
      </c>
      <c r="R1054" s="133">
        <v>0</v>
      </c>
      <c r="S1054" s="156"/>
    </row>
    <row r="1055" spans="1:19">
      <c r="A1055" s="133" t="s">
        <v>1185</v>
      </c>
      <c r="B1055" s="133" t="s">
        <v>1175</v>
      </c>
      <c r="C1055" s="133" t="s">
        <v>1000</v>
      </c>
      <c r="D1055" s="133" t="s">
        <v>887</v>
      </c>
      <c r="E1055" s="133" t="s">
        <v>973</v>
      </c>
      <c r="F1055" s="133" t="s">
        <v>712</v>
      </c>
      <c r="G1055" s="133" t="s">
        <v>715</v>
      </c>
      <c r="H1055" s="133">
        <v>6.61</v>
      </c>
      <c r="I1055" s="133">
        <v>0</v>
      </c>
      <c r="J1055" s="133">
        <v>162</v>
      </c>
      <c r="K1055" s="133">
        <v>0</v>
      </c>
      <c r="L1055" s="133">
        <v>0</v>
      </c>
      <c r="M1055" s="133" t="s">
        <v>1096</v>
      </c>
      <c r="N1055" s="133">
        <v>0</v>
      </c>
      <c r="P1055" s="133">
        <v>0</v>
      </c>
      <c r="Q1055" s="133">
        <v>0</v>
      </c>
      <c r="R1055" s="133">
        <v>0</v>
      </c>
      <c r="S1055" s="156"/>
    </row>
    <row r="1056" spans="1:19">
      <c r="A1056" s="133" t="s">
        <v>1185</v>
      </c>
      <c r="B1056" s="133" t="s">
        <v>1175</v>
      </c>
      <c r="C1056" s="133" t="s">
        <v>1000</v>
      </c>
      <c r="D1056" s="133" t="s">
        <v>594</v>
      </c>
      <c r="E1056" s="133" t="s">
        <v>595</v>
      </c>
      <c r="F1056" s="133" t="s">
        <v>712</v>
      </c>
      <c r="G1056" s="133" t="s">
        <v>715</v>
      </c>
      <c r="H1056" s="133">
        <v>25.89</v>
      </c>
      <c r="I1056" s="133">
        <v>0</v>
      </c>
      <c r="J1056" s="133">
        <v>702</v>
      </c>
      <c r="K1056" s="133">
        <v>0</v>
      </c>
      <c r="L1056" s="133">
        <v>0</v>
      </c>
      <c r="M1056" s="133" t="s">
        <v>1096</v>
      </c>
      <c r="N1056" s="133">
        <v>0</v>
      </c>
      <c r="P1056" s="133">
        <v>0</v>
      </c>
      <c r="Q1056" s="133">
        <v>0</v>
      </c>
      <c r="R1056" s="133">
        <v>0</v>
      </c>
      <c r="S1056" s="156"/>
    </row>
    <row r="1057" spans="1:19">
      <c r="A1057" s="133" t="s">
        <v>1185</v>
      </c>
      <c r="B1057" s="133" t="s">
        <v>1175</v>
      </c>
      <c r="C1057" s="133" t="s">
        <v>1000</v>
      </c>
      <c r="D1057" s="133" t="s">
        <v>596</v>
      </c>
      <c r="E1057" s="133" t="s">
        <v>597</v>
      </c>
      <c r="F1057" s="133" t="s">
        <v>712</v>
      </c>
      <c r="G1057" s="133" t="s">
        <v>715</v>
      </c>
      <c r="H1057" s="133">
        <v>2.71</v>
      </c>
      <c r="I1057" s="133">
        <v>0</v>
      </c>
      <c r="J1057" s="133">
        <v>243</v>
      </c>
      <c r="K1057" s="133">
        <v>0</v>
      </c>
      <c r="L1057" s="133">
        <v>0</v>
      </c>
      <c r="M1057" s="133" t="s">
        <v>1096</v>
      </c>
      <c r="N1057" s="133">
        <v>0</v>
      </c>
      <c r="P1057" s="133">
        <v>0</v>
      </c>
      <c r="Q1057" s="133">
        <v>0</v>
      </c>
      <c r="R1057" s="133">
        <v>0</v>
      </c>
      <c r="S1057" s="156"/>
    </row>
    <row r="1058" spans="1:19">
      <c r="A1058" s="133" t="s">
        <v>1185</v>
      </c>
      <c r="B1058" s="133" t="s">
        <v>1175</v>
      </c>
      <c r="C1058" s="133" t="s">
        <v>1000</v>
      </c>
      <c r="D1058" s="133" t="s">
        <v>598</v>
      </c>
      <c r="E1058" s="133" t="s">
        <v>599</v>
      </c>
      <c r="F1058" s="133" t="s">
        <v>712</v>
      </c>
      <c r="G1058" s="133" t="s">
        <v>715</v>
      </c>
      <c r="H1058" s="133">
        <v>6.66</v>
      </c>
      <c r="I1058" s="133">
        <v>0</v>
      </c>
      <c r="J1058" s="133">
        <v>220</v>
      </c>
      <c r="K1058" s="133">
        <v>0</v>
      </c>
      <c r="L1058" s="133">
        <v>0</v>
      </c>
      <c r="M1058" s="133" t="s">
        <v>1096</v>
      </c>
      <c r="N1058" s="133">
        <v>0</v>
      </c>
      <c r="P1058" s="133">
        <v>0</v>
      </c>
      <c r="Q1058" s="133">
        <v>0</v>
      </c>
      <c r="R1058" s="133">
        <v>0</v>
      </c>
      <c r="S1058" s="156"/>
    </row>
    <row r="1059" spans="1:19">
      <c r="A1059" s="133" t="s">
        <v>1185</v>
      </c>
      <c r="B1059" s="133" t="s">
        <v>1175</v>
      </c>
      <c r="C1059" s="133" t="s">
        <v>1000</v>
      </c>
      <c r="D1059" s="133" t="s">
        <v>601</v>
      </c>
      <c r="E1059" s="133" t="s">
        <v>602</v>
      </c>
      <c r="F1059" s="133" t="s">
        <v>712</v>
      </c>
      <c r="G1059" s="133" t="s">
        <v>715</v>
      </c>
      <c r="H1059" s="133">
        <v>349.85</v>
      </c>
      <c r="I1059" s="133">
        <v>0</v>
      </c>
      <c r="J1059" s="133">
        <v>0</v>
      </c>
      <c r="K1059" s="133">
        <v>0</v>
      </c>
      <c r="L1059" s="133">
        <v>0</v>
      </c>
      <c r="M1059" s="133" t="s">
        <v>1096</v>
      </c>
      <c r="N1059" s="133">
        <v>0</v>
      </c>
      <c r="P1059" s="133">
        <v>0</v>
      </c>
      <c r="Q1059" s="133">
        <v>0</v>
      </c>
      <c r="R1059" s="133">
        <v>0</v>
      </c>
      <c r="S1059" s="156"/>
    </row>
    <row r="1060" spans="1:19">
      <c r="A1060" s="133" t="s">
        <v>1185</v>
      </c>
      <c r="B1060" s="133" t="s">
        <v>1175</v>
      </c>
      <c r="C1060" s="133" t="s">
        <v>1000</v>
      </c>
      <c r="D1060" s="133" t="s">
        <v>603</v>
      </c>
      <c r="E1060" s="133" t="s">
        <v>604</v>
      </c>
      <c r="F1060" s="133" t="s">
        <v>712</v>
      </c>
      <c r="G1060" s="133" t="s">
        <v>715</v>
      </c>
      <c r="H1060" s="133">
        <v>20.54</v>
      </c>
      <c r="I1060" s="133">
        <v>0</v>
      </c>
      <c r="J1060" s="133">
        <v>0</v>
      </c>
      <c r="K1060" s="133">
        <v>0</v>
      </c>
      <c r="L1060" s="133">
        <v>0</v>
      </c>
      <c r="M1060" s="133" t="s">
        <v>1096</v>
      </c>
      <c r="N1060" s="133">
        <v>0</v>
      </c>
      <c r="P1060" s="133">
        <v>0</v>
      </c>
      <c r="Q1060" s="133">
        <v>0</v>
      </c>
      <c r="R1060" s="133">
        <v>0</v>
      </c>
      <c r="S1060" s="156"/>
    </row>
    <row r="1061" spans="1:19">
      <c r="A1061" s="133" t="s">
        <v>1185</v>
      </c>
      <c r="B1061" s="133" t="s">
        <v>1175</v>
      </c>
      <c r="C1061" s="133" t="s">
        <v>1000</v>
      </c>
      <c r="D1061" s="133" t="s">
        <v>605</v>
      </c>
      <c r="E1061" s="133" t="s">
        <v>606</v>
      </c>
      <c r="F1061" s="133" t="s">
        <v>709</v>
      </c>
      <c r="G1061" s="133" t="s">
        <v>719</v>
      </c>
      <c r="H1061" s="133">
        <v>1.35</v>
      </c>
      <c r="I1061" s="133">
        <v>0</v>
      </c>
      <c r="J1061" s="133">
        <v>1048</v>
      </c>
      <c r="K1061" s="133">
        <v>0</v>
      </c>
      <c r="L1061" s="133">
        <v>0</v>
      </c>
      <c r="M1061" s="133" t="s">
        <v>1096</v>
      </c>
      <c r="N1061" s="133">
        <v>0</v>
      </c>
      <c r="P1061" s="133">
        <v>0</v>
      </c>
      <c r="Q1061" s="133">
        <v>0</v>
      </c>
      <c r="R1061" s="133">
        <v>0</v>
      </c>
      <c r="S1061" s="156"/>
    </row>
    <row r="1062" spans="1:19">
      <c r="A1062" s="133" t="s">
        <v>1185</v>
      </c>
      <c r="B1062" s="133" t="s">
        <v>1175</v>
      </c>
      <c r="C1062" s="133" t="s">
        <v>1000</v>
      </c>
      <c r="D1062" s="133" t="s">
        <v>607</v>
      </c>
      <c r="E1062" s="133" t="s">
        <v>608</v>
      </c>
      <c r="F1062" s="133" t="s">
        <v>709</v>
      </c>
      <c r="G1062" s="133" t="s">
        <v>719</v>
      </c>
      <c r="H1062" s="133">
        <v>0.99</v>
      </c>
      <c r="I1062" s="133">
        <v>0</v>
      </c>
      <c r="J1062" s="133">
        <v>0</v>
      </c>
      <c r="K1062" s="133">
        <v>0</v>
      </c>
      <c r="L1062" s="133">
        <v>0</v>
      </c>
      <c r="M1062" s="133" t="s">
        <v>1096</v>
      </c>
      <c r="N1062" s="133">
        <v>0</v>
      </c>
      <c r="P1062" s="133">
        <v>0</v>
      </c>
      <c r="Q1062" s="133">
        <v>0</v>
      </c>
      <c r="R1062" s="133">
        <v>0</v>
      </c>
      <c r="S1062" s="156"/>
    </row>
    <row r="1063" spans="1:19">
      <c r="A1063" s="133" t="s">
        <v>1185</v>
      </c>
      <c r="B1063" s="133" t="s">
        <v>1175</v>
      </c>
      <c r="C1063" s="133" t="s">
        <v>1000</v>
      </c>
      <c r="D1063" s="133" t="s">
        <v>609</v>
      </c>
      <c r="E1063" s="133" t="s">
        <v>610</v>
      </c>
      <c r="F1063" s="133" t="s">
        <v>709</v>
      </c>
      <c r="G1063" s="133" t="s">
        <v>719</v>
      </c>
      <c r="H1063" s="133">
        <v>5.9</v>
      </c>
      <c r="I1063" s="133">
        <v>0</v>
      </c>
      <c r="J1063" s="133">
        <v>20</v>
      </c>
      <c r="K1063" s="133">
        <v>0</v>
      </c>
      <c r="L1063" s="133">
        <v>0</v>
      </c>
      <c r="M1063" s="133" t="s">
        <v>1096</v>
      </c>
      <c r="N1063" s="133">
        <v>0</v>
      </c>
      <c r="P1063" s="133">
        <v>0</v>
      </c>
      <c r="Q1063" s="133">
        <v>0</v>
      </c>
      <c r="R1063" s="133">
        <v>0</v>
      </c>
      <c r="S1063" s="156"/>
    </row>
    <row r="1064" spans="1:19">
      <c r="A1064" s="133" t="s">
        <v>1185</v>
      </c>
      <c r="B1064" s="133" t="s">
        <v>1175</v>
      </c>
      <c r="C1064" s="133" t="s">
        <v>1000</v>
      </c>
      <c r="D1064" s="133" t="s">
        <v>611</v>
      </c>
      <c r="E1064" s="133" t="s">
        <v>612</v>
      </c>
      <c r="F1064" s="133" t="s">
        <v>712</v>
      </c>
      <c r="G1064" s="133" t="s">
        <v>719</v>
      </c>
      <c r="H1064" s="133">
        <v>0.76</v>
      </c>
      <c r="I1064" s="133">
        <v>0</v>
      </c>
      <c r="J1064" s="133">
        <v>407</v>
      </c>
      <c r="K1064" s="133">
        <v>0</v>
      </c>
      <c r="L1064" s="133">
        <v>0</v>
      </c>
      <c r="M1064" s="133" t="s">
        <v>1096</v>
      </c>
      <c r="N1064" s="133">
        <v>0</v>
      </c>
      <c r="P1064" s="133">
        <v>0</v>
      </c>
      <c r="Q1064" s="133">
        <v>0</v>
      </c>
      <c r="R1064" s="133">
        <v>0</v>
      </c>
      <c r="S1064" s="156"/>
    </row>
    <row r="1065" spans="1:19">
      <c r="A1065" s="133" t="s">
        <v>1185</v>
      </c>
      <c r="B1065" s="133" t="s">
        <v>1175</v>
      </c>
      <c r="C1065" s="133" t="s">
        <v>1000</v>
      </c>
      <c r="D1065" s="133" t="s">
        <v>613</v>
      </c>
      <c r="E1065" s="133" t="s">
        <v>614</v>
      </c>
      <c r="F1065" s="133" t="s">
        <v>712</v>
      </c>
      <c r="G1065" s="133" t="s">
        <v>719</v>
      </c>
      <c r="H1065" s="133">
        <v>3.05</v>
      </c>
      <c r="I1065" s="133">
        <v>0</v>
      </c>
      <c r="J1065" s="133">
        <v>256</v>
      </c>
      <c r="K1065" s="133">
        <v>0</v>
      </c>
      <c r="L1065" s="133">
        <v>0</v>
      </c>
      <c r="M1065" s="133" t="s">
        <v>1096</v>
      </c>
      <c r="N1065" s="133">
        <v>0</v>
      </c>
      <c r="P1065" s="133">
        <v>0</v>
      </c>
      <c r="Q1065" s="133">
        <v>0</v>
      </c>
      <c r="R1065" s="133">
        <v>0</v>
      </c>
      <c r="S1065" s="156"/>
    </row>
    <row r="1066" spans="1:19">
      <c r="A1066" s="133" t="s">
        <v>1185</v>
      </c>
      <c r="B1066" s="133" t="s">
        <v>1175</v>
      </c>
      <c r="C1066" s="133" t="s">
        <v>1000</v>
      </c>
      <c r="D1066" s="133" t="s">
        <v>615</v>
      </c>
      <c r="E1066" s="133" t="s">
        <v>616</v>
      </c>
      <c r="F1066" s="133" t="s">
        <v>712</v>
      </c>
      <c r="G1066" s="133" t="s">
        <v>719</v>
      </c>
      <c r="H1066" s="133">
        <v>5.97</v>
      </c>
      <c r="I1066" s="133">
        <v>0</v>
      </c>
      <c r="J1066" s="133">
        <v>267</v>
      </c>
      <c r="K1066" s="133">
        <v>0</v>
      </c>
      <c r="L1066" s="133">
        <v>0</v>
      </c>
      <c r="M1066" s="133" t="s">
        <v>1096</v>
      </c>
      <c r="N1066" s="133">
        <v>0</v>
      </c>
      <c r="P1066" s="133">
        <v>0</v>
      </c>
      <c r="Q1066" s="133">
        <v>0</v>
      </c>
      <c r="R1066" s="133">
        <v>0</v>
      </c>
      <c r="S1066" s="156"/>
    </row>
    <row r="1067" spans="1:19">
      <c r="A1067" s="133" t="s">
        <v>1185</v>
      </c>
      <c r="B1067" s="133" t="s">
        <v>1175</v>
      </c>
      <c r="C1067" s="133" t="s">
        <v>1000</v>
      </c>
      <c r="D1067" s="133" t="s">
        <v>617</v>
      </c>
      <c r="E1067" s="133" t="s">
        <v>618</v>
      </c>
      <c r="F1067" s="133" t="s">
        <v>709</v>
      </c>
      <c r="G1067" s="133" t="s">
        <v>719</v>
      </c>
      <c r="H1067" s="133">
        <v>2.37</v>
      </c>
      <c r="I1067" s="133">
        <v>0</v>
      </c>
      <c r="J1067" s="133">
        <v>935</v>
      </c>
      <c r="K1067" s="133">
        <v>0</v>
      </c>
      <c r="L1067" s="133">
        <v>0</v>
      </c>
      <c r="M1067" s="133" t="s">
        <v>1096</v>
      </c>
      <c r="N1067" s="133">
        <v>0</v>
      </c>
      <c r="P1067" s="133">
        <v>0</v>
      </c>
      <c r="Q1067" s="133">
        <v>0</v>
      </c>
      <c r="R1067" s="133">
        <v>0</v>
      </c>
      <c r="S1067" s="156"/>
    </row>
    <row r="1068" spans="1:19">
      <c r="A1068" s="133" t="s">
        <v>1185</v>
      </c>
      <c r="B1068" s="133" t="s">
        <v>1175</v>
      </c>
      <c r="C1068" s="133" t="s">
        <v>1000</v>
      </c>
      <c r="D1068" s="133" t="s">
        <v>619</v>
      </c>
      <c r="E1068" s="133" t="s">
        <v>620</v>
      </c>
      <c r="F1068" s="133" t="s">
        <v>709</v>
      </c>
      <c r="G1068" s="133" t="s">
        <v>719</v>
      </c>
      <c r="H1068" s="133">
        <v>11.05</v>
      </c>
      <c r="I1068" s="133">
        <v>0</v>
      </c>
      <c r="J1068" s="133">
        <v>64</v>
      </c>
      <c r="K1068" s="133">
        <v>0</v>
      </c>
      <c r="L1068" s="133">
        <v>0</v>
      </c>
      <c r="M1068" s="133" t="s">
        <v>1096</v>
      </c>
      <c r="N1068" s="133">
        <v>0</v>
      </c>
      <c r="P1068" s="133">
        <v>0</v>
      </c>
      <c r="Q1068" s="133">
        <v>0</v>
      </c>
      <c r="R1068" s="133">
        <v>0</v>
      </c>
      <c r="S1068" s="156"/>
    </row>
    <row r="1069" spans="1:19">
      <c r="A1069" s="133" t="s">
        <v>1185</v>
      </c>
      <c r="B1069" s="133" t="s">
        <v>1175</v>
      </c>
      <c r="C1069" s="133" t="s">
        <v>1000</v>
      </c>
      <c r="D1069" s="133" t="s">
        <v>621</v>
      </c>
      <c r="E1069" s="133" t="s">
        <v>622</v>
      </c>
      <c r="F1069" s="133" t="s">
        <v>712</v>
      </c>
      <c r="G1069" s="133" t="s">
        <v>719</v>
      </c>
      <c r="H1069" s="133">
        <v>0.7</v>
      </c>
      <c r="I1069" s="133">
        <v>0</v>
      </c>
      <c r="J1069" s="133">
        <v>52</v>
      </c>
      <c r="K1069" s="133">
        <v>0</v>
      </c>
      <c r="L1069" s="133">
        <v>0</v>
      </c>
      <c r="M1069" s="133" t="s">
        <v>1096</v>
      </c>
      <c r="N1069" s="133">
        <v>0</v>
      </c>
      <c r="P1069" s="133">
        <v>0</v>
      </c>
      <c r="Q1069" s="133">
        <v>0</v>
      </c>
      <c r="R1069" s="133">
        <v>0</v>
      </c>
      <c r="S1069" s="156"/>
    </row>
    <row r="1070" spans="1:19">
      <c r="A1070" s="133" t="s">
        <v>1185</v>
      </c>
      <c r="B1070" s="133" t="s">
        <v>1175</v>
      </c>
      <c r="C1070" s="133" t="s">
        <v>1000</v>
      </c>
      <c r="D1070" s="133" t="s">
        <v>623</v>
      </c>
      <c r="E1070" s="133" t="s">
        <v>624</v>
      </c>
      <c r="F1070" s="133" t="s">
        <v>712</v>
      </c>
      <c r="G1070" s="133" t="s">
        <v>719</v>
      </c>
      <c r="H1070" s="133">
        <v>1.3</v>
      </c>
      <c r="I1070" s="133">
        <v>0</v>
      </c>
      <c r="J1070" s="133">
        <v>448</v>
      </c>
      <c r="K1070" s="133">
        <v>0</v>
      </c>
      <c r="L1070" s="133">
        <v>3</v>
      </c>
      <c r="M1070" s="133" t="s">
        <v>1096</v>
      </c>
      <c r="N1070" s="133">
        <v>0</v>
      </c>
      <c r="P1070" s="133">
        <v>0</v>
      </c>
      <c r="Q1070" s="133">
        <v>3</v>
      </c>
      <c r="R1070" s="133">
        <v>0</v>
      </c>
      <c r="S1070" s="156"/>
    </row>
    <row r="1071" spans="1:19">
      <c r="A1071" s="133" t="s">
        <v>1185</v>
      </c>
      <c r="B1071" s="133" t="s">
        <v>1175</v>
      </c>
      <c r="C1071" s="133" t="s">
        <v>1000</v>
      </c>
      <c r="D1071" s="133" t="s">
        <v>625</v>
      </c>
      <c r="E1071" s="133" t="s">
        <v>626</v>
      </c>
      <c r="F1071" s="133" t="s">
        <v>712</v>
      </c>
      <c r="G1071" s="133" t="s">
        <v>719</v>
      </c>
      <c r="H1071" s="133">
        <v>6</v>
      </c>
      <c r="I1071" s="133">
        <v>0</v>
      </c>
      <c r="J1071" s="133">
        <v>539</v>
      </c>
      <c r="K1071" s="133">
        <v>0</v>
      </c>
      <c r="L1071" s="133">
        <v>0</v>
      </c>
      <c r="M1071" s="133" t="s">
        <v>1096</v>
      </c>
      <c r="N1071" s="133">
        <v>0</v>
      </c>
      <c r="P1071" s="133">
        <v>0</v>
      </c>
      <c r="Q1071" s="133">
        <v>0</v>
      </c>
      <c r="R1071" s="133">
        <v>0</v>
      </c>
      <c r="S1071" s="156"/>
    </row>
    <row r="1072" spans="1:19">
      <c r="A1072" s="133" t="s">
        <v>1185</v>
      </c>
      <c r="B1072" s="133" t="s">
        <v>1175</v>
      </c>
      <c r="C1072" s="133" t="s">
        <v>1000</v>
      </c>
      <c r="D1072" s="133" t="s">
        <v>627</v>
      </c>
      <c r="E1072" s="133" t="s">
        <v>628</v>
      </c>
      <c r="F1072" s="133" t="s">
        <v>712</v>
      </c>
      <c r="G1072" s="133" t="s">
        <v>715</v>
      </c>
      <c r="H1072" s="133">
        <v>1.05</v>
      </c>
      <c r="I1072" s="133">
        <v>0</v>
      </c>
      <c r="J1072" s="133">
        <v>116</v>
      </c>
      <c r="K1072" s="133">
        <v>0</v>
      </c>
      <c r="L1072" s="133">
        <v>0</v>
      </c>
      <c r="M1072" s="133" t="s">
        <v>1096</v>
      </c>
      <c r="N1072" s="133">
        <v>0</v>
      </c>
      <c r="P1072" s="133">
        <v>0</v>
      </c>
      <c r="Q1072" s="133">
        <v>0</v>
      </c>
      <c r="R1072" s="133">
        <v>0</v>
      </c>
      <c r="S1072" s="156"/>
    </row>
    <row r="1073" spans="1:19">
      <c r="A1073" s="133" t="s">
        <v>1185</v>
      </c>
      <c r="B1073" s="133" t="s">
        <v>1175</v>
      </c>
      <c r="C1073" s="133" t="s">
        <v>1000</v>
      </c>
      <c r="D1073" s="133" t="s">
        <v>629</v>
      </c>
      <c r="E1073" s="133" t="s">
        <v>630</v>
      </c>
      <c r="F1073" s="133" t="s">
        <v>712</v>
      </c>
      <c r="G1073" s="133" t="s">
        <v>715</v>
      </c>
      <c r="H1073" s="133">
        <v>2.27</v>
      </c>
      <c r="I1073" s="133">
        <v>0</v>
      </c>
      <c r="J1073" s="133">
        <v>317</v>
      </c>
      <c r="K1073" s="133">
        <v>0</v>
      </c>
      <c r="L1073" s="133">
        <v>0</v>
      </c>
      <c r="M1073" s="133" t="s">
        <v>1096</v>
      </c>
      <c r="N1073" s="133">
        <v>0</v>
      </c>
      <c r="P1073" s="133">
        <v>0</v>
      </c>
      <c r="Q1073" s="133">
        <v>0</v>
      </c>
      <c r="R1073" s="133">
        <v>0</v>
      </c>
      <c r="S1073" s="156"/>
    </row>
    <row r="1074" spans="1:19">
      <c r="A1074" s="133" t="s">
        <v>1185</v>
      </c>
      <c r="B1074" s="133" t="s">
        <v>1175</v>
      </c>
      <c r="C1074" s="133" t="s">
        <v>1000</v>
      </c>
      <c r="D1074" s="133" t="s">
        <v>631</v>
      </c>
      <c r="E1074" s="133" t="s">
        <v>632</v>
      </c>
      <c r="F1074" s="133" t="s">
        <v>712</v>
      </c>
      <c r="G1074" s="133" t="s">
        <v>715</v>
      </c>
      <c r="H1074" s="133">
        <v>4.3600000000000003</v>
      </c>
      <c r="I1074" s="133">
        <v>0</v>
      </c>
      <c r="J1074" s="133">
        <v>132</v>
      </c>
      <c r="K1074" s="133">
        <v>0</v>
      </c>
      <c r="L1074" s="133">
        <v>0</v>
      </c>
      <c r="M1074" s="133" t="s">
        <v>1096</v>
      </c>
      <c r="N1074" s="133">
        <v>0</v>
      </c>
      <c r="P1074" s="133">
        <v>0</v>
      </c>
      <c r="Q1074" s="133">
        <v>0</v>
      </c>
      <c r="R1074" s="133">
        <v>0</v>
      </c>
      <c r="S1074" s="156"/>
    </row>
    <row r="1075" spans="1:19">
      <c r="A1075" s="133" t="s">
        <v>1185</v>
      </c>
      <c r="B1075" s="133" t="s">
        <v>1175</v>
      </c>
      <c r="C1075" s="133" t="s">
        <v>1000</v>
      </c>
      <c r="D1075" s="133" t="s">
        <v>633</v>
      </c>
      <c r="E1075" s="133" t="s">
        <v>634</v>
      </c>
      <c r="F1075" s="133" t="s">
        <v>712</v>
      </c>
      <c r="G1075" s="133" t="s">
        <v>715</v>
      </c>
      <c r="H1075" s="133">
        <v>8.4600000000000009</v>
      </c>
      <c r="I1075" s="133">
        <v>0</v>
      </c>
      <c r="J1075" s="133">
        <v>450</v>
      </c>
      <c r="K1075" s="133">
        <v>0</v>
      </c>
      <c r="L1075" s="133">
        <v>0</v>
      </c>
      <c r="M1075" s="133" t="s">
        <v>1096</v>
      </c>
      <c r="N1075" s="133">
        <v>0</v>
      </c>
      <c r="P1075" s="133">
        <v>0</v>
      </c>
      <c r="Q1075" s="133">
        <v>0</v>
      </c>
      <c r="R1075" s="133">
        <v>0</v>
      </c>
      <c r="S1075" s="156"/>
    </row>
    <row r="1076" spans="1:19">
      <c r="A1076" s="133" t="s">
        <v>1185</v>
      </c>
      <c r="B1076" s="133" t="s">
        <v>1175</v>
      </c>
      <c r="C1076" s="133" t="s">
        <v>1000</v>
      </c>
      <c r="D1076" s="133" t="s">
        <v>635</v>
      </c>
      <c r="E1076" s="133" t="s">
        <v>636</v>
      </c>
      <c r="F1076" s="133" t="s">
        <v>709</v>
      </c>
      <c r="G1076" s="133" t="s">
        <v>719</v>
      </c>
      <c r="H1076" s="133">
        <v>0.82</v>
      </c>
      <c r="I1076" s="133">
        <v>0</v>
      </c>
      <c r="J1076" s="133">
        <v>497</v>
      </c>
      <c r="K1076" s="133">
        <v>0</v>
      </c>
      <c r="L1076" s="133">
        <v>0</v>
      </c>
      <c r="M1076" s="133" t="s">
        <v>1096</v>
      </c>
      <c r="N1076" s="133">
        <v>0</v>
      </c>
      <c r="P1076" s="133">
        <v>0</v>
      </c>
      <c r="Q1076" s="133">
        <v>0</v>
      </c>
      <c r="R1076" s="133">
        <v>0</v>
      </c>
      <c r="S1076" s="156"/>
    </row>
    <row r="1077" spans="1:19">
      <c r="A1077" s="133" t="s">
        <v>1185</v>
      </c>
      <c r="B1077" s="133" t="s">
        <v>1175</v>
      </c>
      <c r="C1077" s="133" t="s">
        <v>1000</v>
      </c>
      <c r="D1077" s="133" t="s">
        <v>637</v>
      </c>
      <c r="E1077" s="133" t="s">
        <v>638</v>
      </c>
      <c r="F1077" s="133" t="s">
        <v>709</v>
      </c>
      <c r="G1077" s="133" t="s">
        <v>719</v>
      </c>
      <c r="H1077" s="133">
        <v>1.35</v>
      </c>
      <c r="I1077" s="133">
        <v>0</v>
      </c>
      <c r="J1077" s="133">
        <v>1748</v>
      </c>
      <c r="K1077" s="133">
        <v>0</v>
      </c>
      <c r="L1077" s="133">
        <v>0</v>
      </c>
      <c r="M1077" s="133" t="s">
        <v>1096</v>
      </c>
      <c r="N1077" s="133">
        <v>0</v>
      </c>
      <c r="P1077" s="133">
        <v>0</v>
      </c>
      <c r="Q1077" s="133">
        <v>0</v>
      </c>
      <c r="R1077" s="133">
        <v>0</v>
      </c>
      <c r="S1077" s="156"/>
    </row>
    <row r="1078" spans="1:19">
      <c r="A1078" s="133" t="s">
        <v>1185</v>
      </c>
      <c r="B1078" s="133" t="s">
        <v>1175</v>
      </c>
      <c r="C1078" s="133" t="s">
        <v>1000</v>
      </c>
      <c r="D1078" s="133" t="s">
        <v>639</v>
      </c>
      <c r="E1078" s="133" t="s">
        <v>640</v>
      </c>
      <c r="F1078" s="133" t="s">
        <v>709</v>
      </c>
      <c r="G1078" s="133" t="s">
        <v>719</v>
      </c>
      <c r="H1078" s="133">
        <v>2.34</v>
      </c>
      <c r="I1078" s="133">
        <v>0</v>
      </c>
      <c r="J1078" s="133">
        <v>618</v>
      </c>
      <c r="K1078" s="133">
        <v>0</v>
      </c>
      <c r="L1078" s="133">
        <v>0</v>
      </c>
      <c r="M1078" s="133" t="s">
        <v>1096</v>
      </c>
      <c r="N1078" s="133">
        <v>0</v>
      </c>
      <c r="P1078" s="133">
        <v>0</v>
      </c>
      <c r="Q1078" s="133">
        <v>0</v>
      </c>
      <c r="R1078" s="133">
        <v>0</v>
      </c>
      <c r="S1078" s="156"/>
    </row>
    <row r="1079" spans="1:19">
      <c r="A1079" s="133" t="s">
        <v>1185</v>
      </c>
      <c r="B1079" s="133" t="s">
        <v>1175</v>
      </c>
      <c r="C1079" s="133" t="s">
        <v>1000</v>
      </c>
      <c r="D1079" s="133" t="s">
        <v>641</v>
      </c>
      <c r="E1079" s="133" t="s">
        <v>642</v>
      </c>
      <c r="F1079" s="133" t="s">
        <v>709</v>
      </c>
      <c r="G1079" s="133" t="s">
        <v>719</v>
      </c>
      <c r="H1079" s="133">
        <v>5.27</v>
      </c>
      <c r="I1079" s="133">
        <v>0</v>
      </c>
      <c r="J1079" s="133">
        <v>724</v>
      </c>
      <c r="K1079" s="133">
        <v>0</v>
      </c>
      <c r="L1079" s="133">
        <v>15</v>
      </c>
      <c r="M1079" s="133" t="s">
        <v>1096</v>
      </c>
      <c r="N1079" s="133">
        <v>0</v>
      </c>
      <c r="P1079" s="133">
        <v>0</v>
      </c>
      <c r="Q1079" s="133">
        <v>15</v>
      </c>
      <c r="R1079" s="133">
        <v>0</v>
      </c>
      <c r="S1079" s="156"/>
    </row>
    <row r="1080" spans="1:19">
      <c r="A1080" s="133" t="s">
        <v>1185</v>
      </c>
      <c r="B1080" s="133" t="s">
        <v>1175</v>
      </c>
      <c r="C1080" s="133" t="s">
        <v>1000</v>
      </c>
      <c r="D1080" s="133" t="s">
        <v>647</v>
      </c>
      <c r="E1080" s="133" t="s">
        <v>648</v>
      </c>
      <c r="F1080" s="133" t="s">
        <v>708</v>
      </c>
      <c r="G1080" s="133" t="s">
        <v>715</v>
      </c>
      <c r="H1080" s="133">
        <v>10.039999999999999</v>
      </c>
      <c r="I1080" s="133">
        <v>0</v>
      </c>
      <c r="J1080" s="133">
        <v>861</v>
      </c>
      <c r="K1080" s="133">
        <v>0</v>
      </c>
      <c r="L1080" s="133">
        <v>0</v>
      </c>
      <c r="M1080" s="133" t="s">
        <v>1096</v>
      </c>
      <c r="N1080" s="133">
        <v>0</v>
      </c>
      <c r="P1080" s="133">
        <v>0</v>
      </c>
      <c r="Q1080" s="133">
        <v>0</v>
      </c>
      <c r="R1080" s="133">
        <v>0</v>
      </c>
      <c r="S1080" s="156"/>
    </row>
    <row r="1081" spans="1:19">
      <c r="A1081" s="133" t="s">
        <v>1185</v>
      </c>
      <c r="B1081" s="133" t="s">
        <v>1175</v>
      </c>
      <c r="C1081" s="133" t="s">
        <v>1000</v>
      </c>
      <c r="D1081" s="133" t="s">
        <v>649</v>
      </c>
      <c r="E1081" s="133" t="s">
        <v>650</v>
      </c>
      <c r="F1081" s="133" t="s">
        <v>708</v>
      </c>
      <c r="G1081" s="133" t="s">
        <v>715</v>
      </c>
      <c r="H1081" s="133">
        <v>50.77</v>
      </c>
      <c r="I1081" s="133">
        <v>0</v>
      </c>
      <c r="J1081" s="133">
        <v>5</v>
      </c>
      <c r="K1081" s="133">
        <v>0</v>
      </c>
      <c r="L1081" s="133">
        <v>0</v>
      </c>
      <c r="M1081" s="133" t="s">
        <v>1096</v>
      </c>
      <c r="N1081" s="133">
        <v>0</v>
      </c>
      <c r="P1081" s="133">
        <v>0</v>
      </c>
      <c r="Q1081" s="133">
        <v>0</v>
      </c>
      <c r="R1081" s="133">
        <v>0</v>
      </c>
      <c r="S1081" s="156"/>
    </row>
    <row r="1082" spans="1:19">
      <c r="A1082" s="133" t="s">
        <v>1185</v>
      </c>
      <c r="B1082" s="133" t="s">
        <v>1175</v>
      </c>
      <c r="C1082" s="133" t="s">
        <v>1000</v>
      </c>
      <c r="D1082" s="133" t="s">
        <v>659</v>
      </c>
      <c r="E1082" s="133" t="s">
        <v>660</v>
      </c>
      <c r="F1082" s="133" t="s">
        <v>707</v>
      </c>
      <c r="G1082" s="133" t="s">
        <v>732</v>
      </c>
      <c r="H1082" s="133">
        <v>121.78</v>
      </c>
      <c r="I1082" s="133">
        <v>0</v>
      </c>
      <c r="J1082" s="133">
        <v>1</v>
      </c>
      <c r="K1082" s="133">
        <v>0</v>
      </c>
      <c r="L1082" s="133">
        <v>0</v>
      </c>
      <c r="M1082" s="133" t="s">
        <v>1096</v>
      </c>
      <c r="N1082" s="133">
        <v>0</v>
      </c>
      <c r="P1082" s="133">
        <v>0</v>
      </c>
      <c r="Q1082" s="133">
        <v>0</v>
      </c>
      <c r="R1082" s="133">
        <v>0</v>
      </c>
      <c r="S1082" s="156"/>
    </row>
    <row r="1083" spans="1:19">
      <c r="A1083" s="133" t="s">
        <v>1185</v>
      </c>
      <c r="B1083" s="133" t="s">
        <v>1175</v>
      </c>
      <c r="C1083" s="133" t="s">
        <v>1000</v>
      </c>
      <c r="D1083" s="133" t="s">
        <v>661</v>
      </c>
      <c r="E1083" s="133" t="s">
        <v>662</v>
      </c>
      <c r="F1083" s="133" t="s">
        <v>707</v>
      </c>
      <c r="G1083" s="133" t="s">
        <v>732</v>
      </c>
      <c r="H1083" s="133">
        <v>24.73</v>
      </c>
      <c r="I1083" s="133">
        <v>0</v>
      </c>
      <c r="J1083" s="133">
        <v>8</v>
      </c>
      <c r="K1083" s="133">
        <v>0</v>
      </c>
      <c r="L1083" s="133">
        <v>0</v>
      </c>
      <c r="M1083" s="133" t="s">
        <v>1096</v>
      </c>
      <c r="N1083" s="133">
        <v>0</v>
      </c>
      <c r="P1083" s="133">
        <v>0</v>
      </c>
      <c r="Q1083" s="133">
        <v>0</v>
      </c>
      <c r="R1083" s="133">
        <v>0</v>
      </c>
      <c r="S1083" s="156"/>
    </row>
    <row r="1084" spans="1:19">
      <c r="A1084" s="133" t="s">
        <v>1185</v>
      </c>
      <c r="B1084" s="133" t="s">
        <v>1175</v>
      </c>
      <c r="C1084" s="133" t="s">
        <v>1000</v>
      </c>
      <c r="D1084" s="133" t="s">
        <v>663</v>
      </c>
      <c r="E1084" s="133" t="s">
        <v>664</v>
      </c>
      <c r="F1084" s="133" t="s">
        <v>707</v>
      </c>
      <c r="G1084" s="133" t="s">
        <v>732</v>
      </c>
      <c r="H1084" s="133">
        <v>6.54</v>
      </c>
      <c r="I1084" s="133">
        <v>0</v>
      </c>
      <c r="J1084" s="133">
        <v>184</v>
      </c>
      <c r="K1084" s="133">
        <v>0</v>
      </c>
      <c r="L1084" s="133">
        <v>0</v>
      </c>
      <c r="M1084" s="133" t="s">
        <v>1096</v>
      </c>
      <c r="N1084" s="133">
        <v>0</v>
      </c>
      <c r="P1084" s="133">
        <v>0</v>
      </c>
      <c r="Q1084" s="133">
        <v>0</v>
      </c>
      <c r="R1084" s="133">
        <v>0</v>
      </c>
      <c r="S1084" s="156"/>
    </row>
    <row r="1085" spans="1:19">
      <c r="A1085" s="133" t="s">
        <v>1185</v>
      </c>
      <c r="B1085" s="133" t="s">
        <v>1175</v>
      </c>
      <c r="C1085" s="133" t="s">
        <v>1000</v>
      </c>
      <c r="D1085" s="133" t="s">
        <v>733</v>
      </c>
      <c r="E1085" s="133" t="s">
        <v>734</v>
      </c>
      <c r="F1085" s="133" t="s">
        <v>709</v>
      </c>
      <c r="G1085" s="133" t="s">
        <v>732</v>
      </c>
      <c r="H1085" s="133">
        <v>16.05</v>
      </c>
      <c r="I1085" s="133">
        <v>0</v>
      </c>
      <c r="J1085" s="133">
        <v>15</v>
      </c>
      <c r="K1085" s="133">
        <v>0</v>
      </c>
      <c r="L1085" s="133">
        <v>0</v>
      </c>
      <c r="M1085" s="133" t="s">
        <v>1096</v>
      </c>
      <c r="N1085" s="133">
        <v>0</v>
      </c>
      <c r="P1085" s="133">
        <v>0</v>
      </c>
      <c r="Q1085" s="133">
        <v>0</v>
      </c>
      <c r="R1085" s="133">
        <v>0</v>
      </c>
      <c r="S1085" s="156"/>
    </row>
    <row r="1086" spans="1:19">
      <c r="A1086" s="133" t="s">
        <v>1185</v>
      </c>
      <c r="B1086" s="133" t="s">
        <v>1175</v>
      </c>
      <c r="C1086" s="133" t="s">
        <v>1000</v>
      </c>
      <c r="D1086" s="133" t="s">
        <v>730</v>
      </c>
      <c r="E1086" s="133" t="s">
        <v>731</v>
      </c>
      <c r="F1086" s="133" t="s">
        <v>709</v>
      </c>
      <c r="G1086" s="133" t="s">
        <v>732</v>
      </c>
      <c r="H1086" s="133">
        <v>62.58</v>
      </c>
      <c r="I1086" s="133">
        <v>0</v>
      </c>
      <c r="J1086" s="133">
        <v>56</v>
      </c>
      <c r="K1086" s="133">
        <v>0</v>
      </c>
      <c r="L1086" s="133">
        <v>0</v>
      </c>
      <c r="M1086" s="133" t="s">
        <v>1096</v>
      </c>
      <c r="N1086" s="133">
        <v>0</v>
      </c>
      <c r="P1086" s="133">
        <v>0</v>
      </c>
      <c r="Q1086" s="133">
        <v>0</v>
      </c>
      <c r="R1086" s="133">
        <v>0</v>
      </c>
      <c r="S1086" s="156"/>
    </row>
    <row r="1087" spans="1:19">
      <c r="A1087" s="133" t="s">
        <v>1185</v>
      </c>
      <c r="B1087" s="133" t="s">
        <v>1175</v>
      </c>
      <c r="C1087" s="133" t="s">
        <v>1000</v>
      </c>
      <c r="D1087" s="133" t="s">
        <v>665</v>
      </c>
      <c r="E1087" s="133" t="s">
        <v>666</v>
      </c>
      <c r="F1087" s="133" t="s">
        <v>709</v>
      </c>
      <c r="G1087" s="133" t="s">
        <v>715</v>
      </c>
      <c r="H1087" s="133">
        <v>1.42</v>
      </c>
      <c r="I1087" s="133">
        <v>0</v>
      </c>
      <c r="J1087" s="133">
        <v>44</v>
      </c>
      <c r="K1087" s="133">
        <v>0</v>
      </c>
      <c r="L1087" s="133">
        <v>0</v>
      </c>
      <c r="M1087" s="133" t="s">
        <v>1096</v>
      </c>
      <c r="N1087" s="133">
        <v>0</v>
      </c>
      <c r="P1087" s="133">
        <v>0</v>
      </c>
      <c r="Q1087" s="133">
        <v>0</v>
      </c>
      <c r="R1087" s="133">
        <v>0</v>
      </c>
      <c r="S1087" s="156"/>
    </row>
    <row r="1088" spans="1:19">
      <c r="A1088" s="133" t="s">
        <v>1185</v>
      </c>
      <c r="B1088" s="133" t="s">
        <v>1175</v>
      </c>
      <c r="C1088" s="133" t="s">
        <v>1000</v>
      </c>
      <c r="D1088" s="133" t="s">
        <v>667</v>
      </c>
      <c r="E1088" s="133" t="s">
        <v>668</v>
      </c>
      <c r="F1088" s="133" t="s">
        <v>709</v>
      </c>
      <c r="G1088" s="133" t="s">
        <v>715</v>
      </c>
      <c r="H1088" s="133">
        <v>14.83</v>
      </c>
      <c r="I1088" s="133">
        <v>0</v>
      </c>
      <c r="J1088" s="133">
        <v>1</v>
      </c>
      <c r="K1088" s="133">
        <v>0</v>
      </c>
      <c r="L1088" s="133">
        <v>0</v>
      </c>
      <c r="M1088" s="133" t="s">
        <v>1096</v>
      </c>
      <c r="N1088" s="133">
        <v>0</v>
      </c>
      <c r="P1088" s="133">
        <v>0</v>
      </c>
      <c r="Q1088" s="133">
        <v>0</v>
      </c>
      <c r="R1088" s="133">
        <v>0</v>
      </c>
      <c r="S1088" s="156"/>
    </row>
    <row r="1089" spans="1:19">
      <c r="A1089" s="133" t="s">
        <v>1185</v>
      </c>
      <c r="B1089" s="133" t="s">
        <v>1175</v>
      </c>
      <c r="C1089" s="133" t="s">
        <v>1000</v>
      </c>
      <c r="D1089" s="133" t="s">
        <v>669</v>
      </c>
      <c r="E1089" s="133" t="s">
        <v>670</v>
      </c>
      <c r="F1089" s="133" t="s">
        <v>708</v>
      </c>
      <c r="G1089" s="133" t="s">
        <v>715</v>
      </c>
      <c r="H1089" s="133">
        <v>1.75</v>
      </c>
      <c r="I1089" s="133">
        <v>0</v>
      </c>
      <c r="J1089" s="133">
        <v>596</v>
      </c>
      <c r="K1089" s="133">
        <v>0</v>
      </c>
      <c r="L1089" s="133">
        <v>0</v>
      </c>
      <c r="M1089" s="133" t="s">
        <v>1096</v>
      </c>
      <c r="N1089" s="133">
        <v>0</v>
      </c>
      <c r="P1089" s="133">
        <v>0</v>
      </c>
      <c r="Q1089" s="133">
        <v>0</v>
      </c>
      <c r="R1089" s="133">
        <v>0</v>
      </c>
      <c r="S1089" s="156"/>
    </row>
    <row r="1090" spans="1:19">
      <c r="A1090" s="133" t="s">
        <v>1186</v>
      </c>
      <c r="B1090" s="133" t="s">
        <v>1175</v>
      </c>
      <c r="C1090" s="133" t="s">
        <v>1000</v>
      </c>
      <c r="D1090" s="133" t="s">
        <v>85</v>
      </c>
      <c r="E1090" s="133" t="s">
        <v>86</v>
      </c>
      <c r="F1090" s="133" t="s">
        <v>707</v>
      </c>
      <c r="G1090" s="133" t="s">
        <v>715</v>
      </c>
      <c r="H1090" s="133">
        <v>0.37</v>
      </c>
      <c r="I1090" s="133">
        <v>0.84</v>
      </c>
      <c r="J1090" s="133">
        <v>141</v>
      </c>
      <c r="K1090" s="133">
        <v>30</v>
      </c>
      <c r="L1090" s="133">
        <v>0</v>
      </c>
      <c r="M1090" s="133" t="s">
        <v>999</v>
      </c>
      <c r="N1090" s="133">
        <v>0</v>
      </c>
      <c r="P1090" s="133">
        <v>0</v>
      </c>
      <c r="Q1090" s="133">
        <v>0</v>
      </c>
      <c r="R1090" s="133">
        <v>30</v>
      </c>
      <c r="S1090" s="156">
        <v>1</v>
      </c>
    </row>
    <row r="1091" spans="1:19">
      <c r="A1091" s="133" t="s">
        <v>1186</v>
      </c>
      <c r="B1091" s="133" t="s">
        <v>1175</v>
      </c>
      <c r="C1091" s="133" t="s">
        <v>1000</v>
      </c>
      <c r="D1091" s="133" t="s">
        <v>87</v>
      </c>
      <c r="E1091" s="133" t="s">
        <v>88</v>
      </c>
      <c r="F1091" s="133" t="s">
        <v>707</v>
      </c>
      <c r="G1091" s="133" t="s">
        <v>715</v>
      </c>
      <c r="H1091" s="133">
        <v>0.66</v>
      </c>
      <c r="I1091" s="133">
        <v>1.45</v>
      </c>
      <c r="J1091" s="133">
        <v>457</v>
      </c>
      <c r="K1091" s="133">
        <v>120</v>
      </c>
      <c r="L1091" s="133">
        <v>0</v>
      </c>
      <c r="M1091" s="133" t="s">
        <v>999</v>
      </c>
      <c r="N1091" s="133">
        <v>0</v>
      </c>
      <c r="P1091" s="133">
        <v>0</v>
      </c>
      <c r="Q1091" s="133">
        <v>0</v>
      </c>
      <c r="R1091" s="133">
        <v>120</v>
      </c>
      <c r="S1091" s="156">
        <v>1</v>
      </c>
    </row>
    <row r="1092" spans="1:19">
      <c r="A1092" s="133" t="s">
        <v>1186</v>
      </c>
      <c r="B1092" s="133" t="s">
        <v>1175</v>
      </c>
      <c r="C1092" s="133" t="s">
        <v>1000</v>
      </c>
      <c r="D1092" s="133" t="s">
        <v>89</v>
      </c>
      <c r="E1092" s="133" t="s">
        <v>90</v>
      </c>
      <c r="F1092" s="133" t="s">
        <v>707</v>
      </c>
      <c r="G1092" s="133" t="s">
        <v>715</v>
      </c>
      <c r="H1092" s="133">
        <v>1.83</v>
      </c>
      <c r="I1092" s="133">
        <v>4.05</v>
      </c>
      <c r="J1092" s="133">
        <v>185</v>
      </c>
      <c r="K1092" s="133">
        <v>60</v>
      </c>
      <c r="L1092" s="133">
        <v>0</v>
      </c>
      <c r="M1092" s="133" t="s">
        <v>999</v>
      </c>
      <c r="N1092" s="133">
        <v>0</v>
      </c>
      <c r="P1092" s="133">
        <v>0</v>
      </c>
      <c r="Q1092" s="133">
        <v>0</v>
      </c>
      <c r="R1092" s="133">
        <v>60</v>
      </c>
      <c r="S1092" s="156">
        <v>1</v>
      </c>
    </row>
    <row r="1093" spans="1:19">
      <c r="A1093" s="133" t="s">
        <v>1186</v>
      </c>
      <c r="B1093" s="133" t="s">
        <v>1175</v>
      </c>
      <c r="C1093" s="133" t="s">
        <v>1000</v>
      </c>
      <c r="D1093" s="133" t="s">
        <v>91</v>
      </c>
      <c r="E1093" s="133" t="s">
        <v>92</v>
      </c>
      <c r="F1093" s="133" t="s">
        <v>707</v>
      </c>
      <c r="G1093" s="133" t="s">
        <v>715</v>
      </c>
      <c r="H1093" s="133">
        <v>1.9</v>
      </c>
      <c r="I1093" s="133">
        <v>3.29</v>
      </c>
      <c r="J1093" s="133">
        <v>0</v>
      </c>
      <c r="K1093" s="133">
        <v>0</v>
      </c>
      <c r="L1093" s="133">
        <v>0</v>
      </c>
      <c r="M1093" s="133" t="s">
        <v>1096</v>
      </c>
      <c r="N1093" s="133">
        <v>0</v>
      </c>
      <c r="P1093" s="133">
        <v>0</v>
      </c>
      <c r="Q1093" s="133">
        <v>0</v>
      </c>
      <c r="R1093" s="133">
        <v>0</v>
      </c>
      <c r="S1093" s="156"/>
    </row>
    <row r="1094" spans="1:19">
      <c r="A1094" s="133" t="s">
        <v>1186</v>
      </c>
      <c r="B1094" s="133" t="s">
        <v>1175</v>
      </c>
      <c r="C1094" s="133" t="s">
        <v>1000</v>
      </c>
      <c r="D1094" s="133" t="s">
        <v>93</v>
      </c>
      <c r="E1094" s="133" t="s">
        <v>94</v>
      </c>
      <c r="F1094" s="133" t="s">
        <v>707</v>
      </c>
      <c r="G1094" s="133" t="s">
        <v>715</v>
      </c>
      <c r="H1094" s="133">
        <v>1.88</v>
      </c>
      <c r="I1094" s="133">
        <v>4.99</v>
      </c>
      <c r="J1094" s="133">
        <v>793</v>
      </c>
      <c r="K1094" s="133">
        <v>240</v>
      </c>
      <c r="L1094" s="133">
        <v>0</v>
      </c>
      <c r="M1094" s="133" t="s">
        <v>999</v>
      </c>
      <c r="N1094" s="133">
        <v>0</v>
      </c>
      <c r="P1094" s="133">
        <v>0</v>
      </c>
      <c r="Q1094" s="133">
        <v>0</v>
      </c>
      <c r="R1094" s="133">
        <v>240</v>
      </c>
      <c r="S1094" s="156">
        <v>1</v>
      </c>
    </row>
    <row r="1095" spans="1:19">
      <c r="A1095" s="133" t="s">
        <v>1186</v>
      </c>
      <c r="B1095" s="133" t="s">
        <v>1175</v>
      </c>
      <c r="C1095" s="133" t="s">
        <v>1000</v>
      </c>
      <c r="D1095" s="133" t="s">
        <v>95</v>
      </c>
      <c r="E1095" s="133" t="s">
        <v>96</v>
      </c>
      <c r="F1095" s="133" t="s">
        <v>707</v>
      </c>
      <c r="G1095" s="133" t="s">
        <v>715</v>
      </c>
      <c r="H1095" s="133">
        <v>1.94</v>
      </c>
      <c r="I1095" s="133">
        <v>5.49</v>
      </c>
      <c r="J1095" s="133">
        <v>600</v>
      </c>
      <c r="K1095" s="133">
        <v>240</v>
      </c>
      <c r="L1095" s="133">
        <v>0</v>
      </c>
      <c r="M1095" s="133" t="s">
        <v>999</v>
      </c>
      <c r="N1095" s="133">
        <v>0</v>
      </c>
      <c r="P1095" s="133">
        <v>0</v>
      </c>
      <c r="Q1095" s="133">
        <v>0</v>
      </c>
      <c r="R1095" s="133">
        <v>240</v>
      </c>
      <c r="S1095" s="156">
        <v>1</v>
      </c>
    </row>
    <row r="1096" spans="1:19">
      <c r="A1096" s="133" t="s">
        <v>1186</v>
      </c>
      <c r="B1096" s="133" t="s">
        <v>1175</v>
      </c>
      <c r="C1096" s="133" t="s">
        <v>1000</v>
      </c>
      <c r="D1096" s="133" t="s">
        <v>97</v>
      </c>
      <c r="E1096" s="133" t="s">
        <v>98</v>
      </c>
      <c r="F1096" s="133" t="s">
        <v>707</v>
      </c>
      <c r="G1096" s="133" t="s">
        <v>715</v>
      </c>
      <c r="H1096" s="133">
        <v>1.78</v>
      </c>
      <c r="I1096" s="133">
        <v>4.99</v>
      </c>
      <c r="J1096" s="133">
        <v>600</v>
      </c>
      <c r="K1096" s="133">
        <v>240</v>
      </c>
      <c r="L1096" s="133">
        <v>0</v>
      </c>
      <c r="M1096" s="133" t="s">
        <v>999</v>
      </c>
      <c r="N1096" s="133">
        <v>0</v>
      </c>
      <c r="P1096" s="133">
        <v>0</v>
      </c>
      <c r="Q1096" s="133">
        <v>0</v>
      </c>
      <c r="R1096" s="133">
        <v>240</v>
      </c>
      <c r="S1096" s="156">
        <v>1</v>
      </c>
    </row>
    <row r="1097" spans="1:19">
      <c r="A1097" s="133" t="s">
        <v>1186</v>
      </c>
      <c r="B1097" s="133" t="s">
        <v>1175</v>
      </c>
      <c r="C1097" s="133" t="s">
        <v>1000</v>
      </c>
      <c r="D1097" s="133" t="s">
        <v>99</v>
      </c>
      <c r="E1097" s="133" t="s">
        <v>100</v>
      </c>
      <c r="F1097" s="133" t="s">
        <v>707</v>
      </c>
      <c r="G1097" s="133" t="s">
        <v>715</v>
      </c>
      <c r="H1097" s="133">
        <v>2</v>
      </c>
      <c r="I1097" s="133">
        <v>4.99</v>
      </c>
      <c r="J1097" s="133">
        <v>590</v>
      </c>
      <c r="K1097" s="133">
        <v>240</v>
      </c>
      <c r="L1097" s="133">
        <v>0</v>
      </c>
      <c r="M1097" s="133" t="s">
        <v>999</v>
      </c>
      <c r="N1097" s="133">
        <v>0</v>
      </c>
      <c r="P1097" s="133">
        <v>0</v>
      </c>
      <c r="Q1097" s="133">
        <v>0</v>
      </c>
      <c r="R1097" s="133">
        <v>240</v>
      </c>
      <c r="S1097" s="156">
        <v>1</v>
      </c>
    </row>
    <row r="1098" spans="1:19">
      <c r="A1098" s="133" t="s">
        <v>1186</v>
      </c>
      <c r="B1098" s="133" t="s">
        <v>1175</v>
      </c>
      <c r="C1098" s="133" t="s">
        <v>1000</v>
      </c>
      <c r="D1098" s="133" t="s">
        <v>101</v>
      </c>
      <c r="E1098" s="133" t="s">
        <v>102</v>
      </c>
      <c r="F1098" s="133" t="s">
        <v>707</v>
      </c>
      <c r="G1098" s="133" t="s">
        <v>715</v>
      </c>
      <c r="H1098" s="133">
        <v>0.87</v>
      </c>
      <c r="I1098" s="133">
        <v>2.29</v>
      </c>
      <c r="J1098" s="133">
        <v>14</v>
      </c>
      <c r="K1098" s="133">
        <v>48</v>
      </c>
      <c r="L1098" s="133">
        <v>0</v>
      </c>
      <c r="M1098" s="133" t="s">
        <v>999</v>
      </c>
      <c r="N1098" s="133">
        <v>0</v>
      </c>
      <c r="P1098" s="133">
        <v>0</v>
      </c>
      <c r="Q1098" s="133">
        <v>0</v>
      </c>
      <c r="R1098" s="133">
        <v>48</v>
      </c>
      <c r="S1098" s="156">
        <v>1</v>
      </c>
    </row>
    <row r="1099" spans="1:19">
      <c r="A1099" s="133" t="s">
        <v>1186</v>
      </c>
      <c r="B1099" s="133" t="s">
        <v>1175</v>
      </c>
      <c r="C1099" s="133" t="s">
        <v>1000</v>
      </c>
      <c r="D1099" s="133" t="s">
        <v>103</v>
      </c>
      <c r="E1099" s="133" t="s">
        <v>104</v>
      </c>
      <c r="F1099" s="133" t="s">
        <v>707</v>
      </c>
      <c r="G1099" s="133" t="s">
        <v>715</v>
      </c>
      <c r="H1099" s="133">
        <v>1.38</v>
      </c>
      <c r="I1099" s="133">
        <v>3.59</v>
      </c>
      <c r="J1099" s="133">
        <v>129</v>
      </c>
      <c r="K1099" s="133">
        <v>75</v>
      </c>
      <c r="L1099" s="133">
        <v>0</v>
      </c>
      <c r="M1099" s="133" t="s">
        <v>999</v>
      </c>
      <c r="N1099" s="133">
        <v>0</v>
      </c>
      <c r="P1099" s="133">
        <v>0</v>
      </c>
      <c r="Q1099" s="133">
        <v>0</v>
      </c>
      <c r="R1099" s="133">
        <v>75</v>
      </c>
      <c r="S1099" s="156">
        <v>1</v>
      </c>
    </row>
    <row r="1100" spans="1:19">
      <c r="A1100" s="133" t="s">
        <v>1186</v>
      </c>
      <c r="B1100" s="133" t="s">
        <v>1175</v>
      </c>
      <c r="C1100" s="133" t="s">
        <v>1000</v>
      </c>
      <c r="D1100" s="133" t="s">
        <v>105</v>
      </c>
      <c r="E1100" s="133" t="s">
        <v>106</v>
      </c>
      <c r="F1100" s="133" t="s">
        <v>707</v>
      </c>
      <c r="G1100" s="133" t="s">
        <v>715</v>
      </c>
      <c r="H1100" s="133">
        <v>8.39</v>
      </c>
      <c r="I1100" s="133">
        <v>21.89</v>
      </c>
      <c r="J1100" s="133">
        <v>0</v>
      </c>
      <c r="K1100" s="133">
        <v>0</v>
      </c>
      <c r="L1100" s="133">
        <v>0</v>
      </c>
      <c r="M1100" s="133" t="s">
        <v>1096</v>
      </c>
      <c r="N1100" s="133">
        <v>0</v>
      </c>
      <c r="P1100" s="133">
        <v>0</v>
      </c>
      <c r="Q1100" s="133">
        <v>0</v>
      </c>
      <c r="R1100" s="133">
        <v>0</v>
      </c>
      <c r="S1100" s="156"/>
    </row>
    <row r="1101" spans="1:19">
      <c r="A1101" s="133" t="s">
        <v>1186</v>
      </c>
      <c r="B1101" s="133" t="s">
        <v>1175</v>
      </c>
      <c r="C1101" s="133" t="s">
        <v>1000</v>
      </c>
      <c r="D1101" s="133" t="s">
        <v>107</v>
      </c>
      <c r="E1101" s="133" t="s">
        <v>108</v>
      </c>
      <c r="F1101" s="133" t="s">
        <v>707</v>
      </c>
      <c r="G1101" s="133" t="s">
        <v>715</v>
      </c>
      <c r="H1101" s="133">
        <v>2.61</v>
      </c>
      <c r="I1101" s="133">
        <v>6.49</v>
      </c>
      <c r="J1101" s="133">
        <v>176</v>
      </c>
      <c r="K1101" s="133">
        <v>42</v>
      </c>
      <c r="L1101" s="133">
        <v>0</v>
      </c>
      <c r="M1101" s="133" t="s">
        <v>999</v>
      </c>
      <c r="N1101" s="133">
        <v>0</v>
      </c>
      <c r="P1101" s="133">
        <v>0</v>
      </c>
      <c r="Q1101" s="133">
        <v>0</v>
      </c>
      <c r="R1101" s="133">
        <v>42</v>
      </c>
      <c r="S1101" s="156">
        <v>1</v>
      </c>
    </row>
    <row r="1102" spans="1:19">
      <c r="A1102" s="133" t="s">
        <v>1186</v>
      </c>
      <c r="B1102" s="133" t="s">
        <v>1175</v>
      </c>
      <c r="C1102" s="133" t="s">
        <v>1000</v>
      </c>
      <c r="D1102" s="133" t="s">
        <v>109</v>
      </c>
      <c r="E1102" s="133" t="s">
        <v>110</v>
      </c>
      <c r="F1102" s="133" t="s">
        <v>707</v>
      </c>
      <c r="G1102" s="133" t="s">
        <v>715</v>
      </c>
      <c r="H1102" s="133">
        <v>1.4</v>
      </c>
      <c r="I1102" s="133">
        <v>2.75</v>
      </c>
      <c r="J1102" s="133">
        <v>924</v>
      </c>
      <c r="K1102" s="133">
        <v>390</v>
      </c>
      <c r="L1102" s="133">
        <v>0</v>
      </c>
      <c r="M1102" s="133" t="s">
        <v>999</v>
      </c>
      <c r="N1102" s="133">
        <v>0</v>
      </c>
      <c r="P1102" s="133">
        <v>0</v>
      </c>
      <c r="Q1102" s="133">
        <v>0</v>
      </c>
      <c r="R1102" s="133">
        <v>390</v>
      </c>
      <c r="S1102" s="156">
        <v>1</v>
      </c>
    </row>
    <row r="1103" spans="1:19">
      <c r="A1103" s="133" t="s">
        <v>1186</v>
      </c>
      <c r="B1103" s="133" t="s">
        <v>1175</v>
      </c>
      <c r="C1103" s="133" t="s">
        <v>1000</v>
      </c>
      <c r="D1103" s="133" t="s">
        <v>111</v>
      </c>
      <c r="E1103" s="133" t="s">
        <v>112</v>
      </c>
      <c r="F1103" s="133" t="s">
        <v>707</v>
      </c>
      <c r="G1103" s="133" t="s">
        <v>715</v>
      </c>
      <c r="H1103" s="133">
        <v>2.34</v>
      </c>
      <c r="I1103" s="133">
        <v>5.84</v>
      </c>
      <c r="J1103" s="133">
        <v>305</v>
      </c>
      <c r="K1103" s="133">
        <v>126</v>
      </c>
      <c r="L1103" s="133">
        <v>0</v>
      </c>
      <c r="M1103" s="133" t="s">
        <v>999</v>
      </c>
      <c r="N1103" s="133">
        <v>0</v>
      </c>
      <c r="P1103" s="133">
        <v>0</v>
      </c>
      <c r="Q1103" s="133">
        <v>0</v>
      </c>
      <c r="R1103" s="133">
        <v>126</v>
      </c>
      <c r="S1103" s="156">
        <v>1</v>
      </c>
    </row>
    <row r="1104" spans="1:19">
      <c r="A1104" s="133" t="s">
        <v>1186</v>
      </c>
      <c r="B1104" s="133" t="s">
        <v>1175</v>
      </c>
      <c r="C1104" s="133" t="s">
        <v>1000</v>
      </c>
      <c r="D1104" s="133" t="s">
        <v>113</v>
      </c>
      <c r="E1104" s="133" t="s">
        <v>114</v>
      </c>
      <c r="F1104" s="133" t="s">
        <v>707</v>
      </c>
      <c r="G1104" s="133" t="s">
        <v>715</v>
      </c>
      <c r="H1104" s="133">
        <v>4.62</v>
      </c>
      <c r="I1104" s="133">
        <v>9.49</v>
      </c>
      <c r="J1104" s="133">
        <v>128</v>
      </c>
      <c r="K1104" s="133">
        <v>60</v>
      </c>
      <c r="L1104" s="133">
        <v>0</v>
      </c>
      <c r="M1104" s="133" t="s">
        <v>999</v>
      </c>
      <c r="N1104" s="133">
        <v>0</v>
      </c>
      <c r="P1104" s="133">
        <v>0</v>
      </c>
      <c r="Q1104" s="133">
        <v>0</v>
      </c>
      <c r="R1104" s="133">
        <v>60</v>
      </c>
      <c r="S1104" s="156">
        <v>1</v>
      </c>
    </row>
    <row r="1105" spans="1:19">
      <c r="A1105" s="133" t="s">
        <v>1186</v>
      </c>
      <c r="B1105" s="133" t="s">
        <v>1175</v>
      </c>
      <c r="C1105" s="133" t="s">
        <v>1000</v>
      </c>
      <c r="D1105" s="133" t="s">
        <v>115</v>
      </c>
      <c r="E1105" s="133" t="s">
        <v>116</v>
      </c>
      <c r="F1105" s="133" t="s">
        <v>707</v>
      </c>
      <c r="G1105" s="133" t="s">
        <v>715</v>
      </c>
      <c r="H1105" s="133">
        <v>1.63</v>
      </c>
      <c r="I1105" s="133">
        <v>3.69</v>
      </c>
      <c r="J1105" s="133">
        <v>141</v>
      </c>
      <c r="K1105" s="133">
        <v>36</v>
      </c>
      <c r="L1105" s="133">
        <v>0</v>
      </c>
      <c r="M1105" s="133" t="s">
        <v>999</v>
      </c>
      <c r="N1105" s="133">
        <v>0</v>
      </c>
      <c r="P1105" s="133">
        <v>0</v>
      </c>
      <c r="Q1105" s="133">
        <v>0</v>
      </c>
      <c r="R1105" s="133">
        <v>36</v>
      </c>
      <c r="S1105" s="156">
        <v>1</v>
      </c>
    </row>
    <row r="1106" spans="1:19">
      <c r="A1106" s="133" t="s">
        <v>1186</v>
      </c>
      <c r="B1106" s="133" t="s">
        <v>1175</v>
      </c>
      <c r="C1106" s="133" t="s">
        <v>1000</v>
      </c>
      <c r="D1106" s="133" t="s">
        <v>117</v>
      </c>
      <c r="E1106" s="133" t="s">
        <v>118</v>
      </c>
      <c r="F1106" s="133" t="s">
        <v>707</v>
      </c>
      <c r="G1106" s="133" t="s">
        <v>727</v>
      </c>
      <c r="H1106" s="133">
        <v>3.09</v>
      </c>
      <c r="I1106" s="133">
        <v>6.69</v>
      </c>
      <c r="J1106" s="133">
        <v>69</v>
      </c>
      <c r="K1106" s="133">
        <v>42</v>
      </c>
      <c r="L1106" s="133">
        <v>0</v>
      </c>
      <c r="M1106" s="133" t="s">
        <v>999</v>
      </c>
      <c r="N1106" s="133">
        <v>0</v>
      </c>
      <c r="P1106" s="133">
        <v>0</v>
      </c>
      <c r="Q1106" s="133">
        <v>0</v>
      </c>
      <c r="R1106" s="133">
        <v>42</v>
      </c>
      <c r="S1106" s="156">
        <v>1</v>
      </c>
    </row>
    <row r="1107" spans="1:19">
      <c r="A1107" s="133" t="s">
        <v>1186</v>
      </c>
      <c r="B1107" s="133" t="s">
        <v>1175</v>
      </c>
      <c r="C1107" s="133" t="s">
        <v>1000</v>
      </c>
      <c r="D1107" s="133" t="s">
        <v>119</v>
      </c>
      <c r="E1107" s="133" t="s">
        <v>120</v>
      </c>
      <c r="F1107" s="133" t="s">
        <v>707</v>
      </c>
      <c r="G1107" s="133" t="s">
        <v>715</v>
      </c>
      <c r="H1107" s="133">
        <v>1.93</v>
      </c>
      <c r="I1107" s="133">
        <v>5.49</v>
      </c>
      <c r="J1107" s="133">
        <v>291</v>
      </c>
      <c r="K1107" s="133">
        <v>180</v>
      </c>
      <c r="L1107" s="133">
        <v>0</v>
      </c>
      <c r="M1107" s="133" t="s">
        <v>999</v>
      </c>
      <c r="N1107" s="133">
        <v>0</v>
      </c>
      <c r="P1107" s="133">
        <v>0</v>
      </c>
      <c r="Q1107" s="133">
        <v>0</v>
      </c>
      <c r="R1107" s="133">
        <v>180</v>
      </c>
      <c r="S1107" s="156">
        <v>1</v>
      </c>
    </row>
    <row r="1108" spans="1:19">
      <c r="A1108" s="133" t="s">
        <v>1186</v>
      </c>
      <c r="B1108" s="133" t="s">
        <v>1175</v>
      </c>
      <c r="C1108" s="133" t="s">
        <v>1000</v>
      </c>
      <c r="D1108" s="133" t="s">
        <v>121</v>
      </c>
      <c r="E1108" s="133" t="s">
        <v>122</v>
      </c>
      <c r="F1108" s="133" t="s">
        <v>707</v>
      </c>
      <c r="G1108" s="133" t="s">
        <v>715</v>
      </c>
      <c r="H1108" s="133">
        <v>1.38</v>
      </c>
      <c r="I1108" s="133">
        <v>2.79</v>
      </c>
      <c r="J1108" s="133">
        <v>2</v>
      </c>
      <c r="K1108" s="133">
        <v>0</v>
      </c>
      <c r="L1108" s="133">
        <v>0</v>
      </c>
      <c r="M1108" s="133" t="s">
        <v>1096</v>
      </c>
      <c r="N1108" s="133">
        <v>0</v>
      </c>
      <c r="P1108" s="133">
        <v>0</v>
      </c>
      <c r="Q1108" s="133">
        <v>0</v>
      </c>
      <c r="R1108" s="133">
        <v>0</v>
      </c>
      <c r="S1108" s="156"/>
    </row>
    <row r="1109" spans="1:19">
      <c r="A1109" s="133" t="s">
        <v>1186</v>
      </c>
      <c r="B1109" s="133" t="s">
        <v>1175</v>
      </c>
      <c r="C1109" s="133" t="s">
        <v>1000</v>
      </c>
      <c r="D1109" s="133" t="s">
        <v>123</v>
      </c>
      <c r="E1109" s="133" t="s">
        <v>124</v>
      </c>
      <c r="F1109" s="133" t="s">
        <v>707</v>
      </c>
      <c r="G1109" s="133" t="s">
        <v>715</v>
      </c>
      <c r="H1109" s="133">
        <v>7.04</v>
      </c>
      <c r="I1109" s="133">
        <v>16.989999999999998</v>
      </c>
      <c r="J1109" s="133">
        <v>0</v>
      </c>
      <c r="K1109" s="133">
        <v>0</v>
      </c>
      <c r="L1109" s="133">
        <v>0</v>
      </c>
      <c r="M1109" s="133" t="s">
        <v>1096</v>
      </c>
      <c r="N1109" s="133">
        <v>0</v>
      </c>
      <c r="P1109" s="133">
        <v>0</v>
      </c>
      <c r="Q1109" s="133">
        <v>0</v>
      </c>
      <c r="R1109" s="133">
        <v>0</v>
      </c>
      <c r="S1109" s="156"/>
    </row>
    <row r="1110" spans="1:19">
      <c r="A1110" s="133" t="s">
        <v>1186</v>
      </c>
      <c r="B1110" s="133" t="s">
        <v>1175</v>
      </c>
      <c r="C1110" s="133" t="s">
        <v>1000</v>
      </c>
      <c r="D1110" s="133" t="s">
        <v>125</v>
      </c>
      <c r="E1110" s="133" t="s">
        <v>126</v>
      </c>
      <c r="F1110" s="133" t="s">
        <v>707</v>
      </c>
      <c r="G1110" s="133" t="s">
        <v>715</v>
      </c>
      <c r="H1110" s="133">
        <v>2.54</v>
      </c>
      <c r="I1110" s="133">
        <v>4.99</v>
      </c>
      <c r="J1110" s="133">
        <v>68</v>
      </c>
      <c r="K1110" s="133">
        <v>36</v>
      </c>
      <c r="L1110" s="133">
        <v>0</v>
      </c>
      <c r="M1110" s="133" t="s">
        <v>999</v>
      </c>
      <c r="N1110" s="133">
        <v>0</v>
      </c>
      <c r="P1110" s="133">
        <v>0</v>
      </c>
      <c r="Q1110" s="133">
        <v>0</v>
      </c>
      <c r="R1110" s="133">
        <v>36</v>
      </c>
      <c r="S1110" s="156">
        <v>1</v>
      </c>
    </row>
    <row r="1111" spans="1:19">
      <c r="A1111" s="133" t="s">
        <v>1186</v>
      </c>
      <c r="B1111" s="133" t="s">
        <v>1175</v>
      </c>
      <c r="C1111" s="133" t="s">
        <v>1000</v>
      </c>
      <c r="D1111" s="133" t="s">
        <v>127</v>
      </c>
      <c r="E1111" s="133" t="s">
        <v>942</v>
      </c>
      <c r="F1111" s="133" t="s">
        <v>712</v>
      </c>
      <c r="G1111" s="133" t="s">
        <v>715</v>
      </c>
      <c r="H1111" s="133">
        <v>1.52</v>
      </c>
      <c r="I1111" s="133">
        <v>3.49</v>
      </c>
      <c r="J1111" s="133">
        <v>0</v>
      </c>
      <c r="K1111" s="133">
        <v>0</v>
      </c>
      <c r="L1111" s="133">
        <v>0</v>
      </c>
      <c r="M1111" s="133" t="s">
        <v>1096</v>
      </c>
      <c r="N1111" s="133">
        <v>0</v>
      </c>
      <c r="P1111" s="133">
        <v>0</v>
      </c>
      <c r="Q1111" s="133">
        <v>0</v>
      </c>
      <c r="R1111" s="133">
        <v>0</v>
      </c>
      <c r="S1111" s="156"/>
    </row>
    <row r="1112" spans="1:19">
      <c r="A1112" s="133" t="s">
        <v>1186</v>
      </c>
      <c r="B1112" s="133" t="s">
        <v>1175</v>
      </c>
      <c r="C1112" s="133" t="s">
        <v>1000</v>
      </c>
      <c r="D1112" s="133" t="s">
        <v>128</v>
      </c>
      <c r="E1112" s="133" t="s">
        <v>129</v>
      </c>
      <c r="F1112" s="133" t="s">
        <v>712</v>
      </c>
      <c r="G1112" s="133" t="s">
        <v>715</v>
      </c>
      <c r="H1112" s="133">
        <v>13.29</v>
      </c>
      <c r="I1112" s="133">
        <v>26.4</v>
      </c>
      <c r="J1112" s="133">
        <v>0</v>
      </c>
      <c r="K1112" s="133">
        <v>0</v>
      </c>
      <c r="L1112" s="133">
        <v>0</v>
      </c>
      <c r="M1112" s="133" t="s">
        <v>1096</v>
      </c>
      <c r="N1112" s="133">
        <v>0</v>
      </c>
      <c r="P1112" s="133">
        <v>0</v>
      </c>
      <c r="Q1112" s="133">
        <v>0</v>
      </c>
      <c r="R1112" s="133">
        <v>0</v>
      </c>
      <c r="S1112" s="156"/>
    </row>
    <row r="1113" spans="1:19">
      <c r="A1113" s="133" t="s">
        <v>1186</v>
      </c>
      <c r="B1113" s="133" t="s">
        <v>1175</v>
      </c>
      <c r="C1113" s="133" t="s">
        <v>1000</v>
      </c>
      <c r="D1113" s="133" t="s">
        <v>925</v>
      </c>
      <c r="E1113" s="133" t="s">
        <v>943</v>
      </c>
      <c r="F1113" s="133" t="s">
        <v>944</v>
      </c>
      <c r="G1113" s="133" t="s">
        <v>715</v>
      </c>
      <c r="H1113" s="133">
        <v>60.43</v>
      </c>
      <c r="I1113" s="133">
        <v>0</v>
      </c>
      <c r="J1113" s="133">
        <v>5</v>
      </c>
      <c r="K1113" s="133">
        <v>1</v>
      </c>
      <c r="L1113" s="133">
        <v>0</v>
      </c>
      <c r="M1113" s="133" t="s">
        <v>999</v>
      </c>
      <c r="N1113" s="133">
        <v>0</v>
      </c>
      <c r="P1113" s="133">
        <v>0</v>
      </c>
      <c r="Q1113" s="133">
        <v>0</v>
      </c>
      <c r="R1113" s="133">
        <v>1</v>
      </c>
      <c r="S1113" s="156">
        <v>1</v>
      </c>
    </row>
    <row r="1114" spans="1:19">
      <c r="A1114" s="133" t="s">
        <v>1186</v>
      </c>
      <c r="B1114" s="133" t="s">
        <v>1175</v>
      </c>
      <c r="C1114" s="133" t="s">
        <v>1000</v>
      </c>
      <c r="D1114" s="133" t="s">
        <v>130</v>
      </c>
      <c r="E1114" s="133" t="s">
        <v>131</v>
      </c>
      <c r="F1114" s="133" t="s">
        <v>707</v>
      </c>
      <c r="G1114" s="133" t="s">
        <v>715</v>
      </c>
      <c r="H1114" s="133">
        <v>1.64</v>
      </c>
      <c r="I1114" s="133">
        <v>4.25</v>
      </c>
      <c r="J1114" s="133">
        <v>534</v>
      </c>
      <c r="K1114" s="133">
        <v>240</v>
      </c>
      <c r="L1114" s="133">
        <v>0</v>
      </c>
      <c r="M1114" s="133" t="s">
        <v>999</v>
      </c>
      <c r="N1114" s="133">
        <v>0</v>
      </c>
      <c r="P1114" s="133">
        <v>0</v>
      </c>
      <c r="Q1114" s="133">
        <v>0</v>
      </c>
      <c r="R1114" s="133">
        <v>240</v>
      </c>
      <c r="S1114" s="156">
        <v>1</v>
      </c>
    </row>
    <row r="1115" spans="1:19">
      <c r="A1115" s="133" t="s">
        <v>1186</v>
      </c>
      <c r="B1115" s="133" t="s">
        <v>1175</v>
      </c>
      <c r="C1115" s="133" t="s">
        <v>1000</v>
      </c>
      <c r="D1115" s="133" t="s">
        <v>132</v>
      </c>
      <c r="E1115" s="133" t="s">
        <v>133</v>
      </c>
      <c r="F1115" s="133" t="s">
        <v>707</v>
      </c>
      <c r="G1115" s="133" t="s">
        <v>715</v>
      </c>
      <c r="H1115" s="133">
        <v>12.43</v>
      </c>
      <c r="I1115" s="133">
        <v>26.99</v>
      </c>
      <c r="J1115" s="133">
        <v>115</v>
      </c>
      <c r="K1115" s="133">
        <v>18</v>
      </c>
      <c r="L1115" s="133">
        <v>0</v>
      </c>
      <c r="M1115" s="133" t="s">
        <v>999</v>
      </c>
      <c r="N1115" s="133">
        <v>0</v>
      </c>
      <c r="P1115" s="133">
        <v>0</v>
      </c>
      <c r="Q1115" s="133">
        <v>0</v>
      </c>
      <c r="R1115" s="133">
        <v>18</v>
      </c>
      <c r="S1115" s="156">
        <v>1</v>
      </c>
    </row>
    <row r="1116" spans="1:19">
      <c r="A1116" s="133" t="s">
        <v>1186</v>
      </c>
      <c r="B1116" s="133" t="s">
        <v>1175</v>
      </c>
      <c r="C1116" s="133" t="s">
        <v>1000</v>
      </c>
      <c r="D1116" s="133" t="s">
        <v>134</v>
      </c>
      <c r="E1116" s="133" t="s">
        <v>135</v>
      </c>
      <c r="F1116" s="133" t="s">
        <v>707</v>
      </c>
      <c r="G1116" s="133" t="s">
        <v>715</v>
      </c>
      <c r="H1116" s="133">
        <v>3.47</v>
      </c>
      <c r="I1116" s="133">
        <v>7.59</v>
      </c>
      <c r="J1116" s="133">
        <v>316</v>
      </c>
      <c r="K1116" s="133">
        <v>120</v>
      </c>
      <c r="L1116" s="133">
        <v>0</v>
      </c>
      <c r="M1116" s="133" t="s">
        <v>999</v>
      </c>
      <c r="N1116" s="133">
        <v>0</v>
      </c>
      <c r="P1116" s="133">
        <v>0</v>
      </c>
      <c r="Q1116" s="133">
        <v>0</v>
      </c>
      <c r="R1116" s="133">
        <v>120</v>
      </c>
      <c r="S1116" s="156">
        <v>1</v>
      </c>
    </row>
    <row r="1117" spans="1:19">
      <c r="A1117" s="133" t="s">
        <v>1186</v>
      </c>
      <c r="B1117" s="133" t="s">
        <v>1175</v>
      </c>
      <c r="C1117" s="133" t="s">
        <v>1000</v>
      </c>
      <c r="D1117" s="133" t="s">
        <v>138</v>
      </c>
      <c r="E1117" s="133" t="s">
        <v>139</v>
      </c>
      <c r="F1117" s="133" t="s">
        <v>707</v>
      </c>
      <c r="G1117" s="133" t="s">
        <v>732</v>
      </c>
      <c r="H1117" s="133">
        <v>15.11</v>
      </c>
      <c r="I1117" s="133">
        <v>25</v>
      </c>
      <c r="J1117" s="133">
        <v>0</v>
      </c>
      <c r="K1117" s="133">
        <v>0</v>
      </c>
      <c r="L1117" s="133">
        <v>0</v>
      </c>
      <c r="M1117" s="133" t="s">
        <v>1096</v>
      </c>
      <c r="N1117" s="133">
        <v>0</v>
      </c>
      <c r="P1117" s="133">
        <v>0</v>
      </c>
      <c r="Q1117" s="133">
        <v>0</v>
      </c>
      <c r="R1117" s="133">
        <v>0</v>
      </c>
      <c r="S1117" s="156"/>
    </row>
    <row r="1118" spans="1:19">
      <c r="A1118" s="133" t="s">
        <v>1186</v>
      </c>
      <c r="B1118" s="133" t="s">
        <v>1175</v>
      </c>
      <c r="C1118" s="133" t="s">
        <v>1000</v>
      </c>
      <c r="D1118" s="133" t="s">
        <v>140</v>
      </c>
      <c r="E1118" s="133" t="s">
        <v>141</v>
      </c>
      <c r="F1118" s="133" t="s">
        <v>707</v>
      </c>
      <c r="G1118" s="133" t="s">
        <v>732</v>
      </c>
      <c r="H1118" s="133">
        <v>267</v>
      </c>
      <c r="I1118" s="133">
        <v>372</v>
      </c>
      <c r="J1118" s="133">
        <v>3</v>
      </c>
      <c r="K1118" s="133">
        <v>1</v>
      </c>
      <c r="L1118" s="133">
        <v>0</v>
      </c>
      <c r="M1118" s="133" t="s">
        <v>999</v>
      </c>
      <c r="N1118" s="133">
        <v>0</v>
      </c>
      <c r="P1118" s="133">
        <v>0</v>
      </c>
      <c r="Q1118" s="133">
        <v>0</v>
      </c>
      <c r="R1118" s="133">
        <v>1</v>
      </c>
      <c r="S1118" s="156">
        <v>1</v>
      </c>
    </row>
    <row r="1119" spans="1:19">
      <c r="A1119" s="133" t="s">
        <v>1186</v>
      </c>
      <c r="B1119" s="133" t="s">
        <v>1175</v>
      </c>
      <c r="C1119" s="133" t="s">
        <v>1000</v>
      </c>
      <c r="D1119" s="133" t="s">
        <v>142</v>
      </c>
      <c r="E1119" s="133" t="s">
        <v>143</v>
      </c>
      <c r="F1119" s="133" t="s">
        <v>709</v>
      </c>
      <c r="G1119" s="133" t="s">
        <v>719</v>
      </c>
      <c r="H1119" s="133">
        <v>0.91</v>
      </c>
      <c r="I1119" s="133">
        <v>3.2</v>
      </c>
      <c r="J1119" s="133">
        <v>38</v>
      </c>
      <c r="K1119" s="133">
        <v>36</v>
      </c>
      <c r="L1119" s="133">
        <v>0</v>
      </c>
      <c r="M1119" s="133" t="s">
        <v>999</v>
      </c>
      <c r="N1119" s="133">
        <v>0</v>
      </c>
      <c r="P1119" s="133">
        <v>0</v>
      </c>
      <c r="Q1119" s="133">
        <v>0</v>
      </c>
      <c r="R1119" s="133">
        <v>36</v>
      </c>
      <c r="S1119" s="156">
        <v>1</v>
      </c>
    </row>
    <row r="1120" spans="1:19">
      <c r="A1120" s="133" t="s">
        <v>1186</v>
      </c>
      <c r="B1120" s="133" t="s">
        <v>1175</v>
      </c>
      <c r="C1120" s="133" t="s">
        <v>1000</v>
      </c>
      <c r="D1120" s="133" t="s">
        <v>144</v>
      </c>
      <c r="E1120" s="133" t="s">
        <v>145</v>
      </c>
      <c r="F1120" s="133" t="s">
        <v>709</v>
      </c>
      <c r="G1120" s="133" t="s">
        <v>719</v>
      </c>
      <c r="H1120" s="133">
        <v>2.79</v>
      </c>
      <c r="I1120" s="133">
        <v>6.69</v>
      </c>
      <c r="J1120" s="133">
        <v>335</v>
      </c>
      <c r="K1120" s="133">
        <v>120</v>
      </c>
      <c r="L1120" s="133">
        <v>0</v>
      </c>
      <c r="M1120" s="133" t="s">
        <v>999</v>
      </c>
      <c r="N1120" s="133">
        <v>0</v>
      </c>
      <c r="P1120" s="133">
        <v>0</v>
      </c>
      <c r="Q1120" s="133">
        <v>0</v>
      </c>
      <c r="R1120" s="133">
        <v>120</v>
      </c>
      <c r="S1120" s="156">
        <v>1</v>
      </c>
    </row>
    <row r="1121" spans="1:19">
      <c r="A1121" s="133" t="s">
        <v>1186</v>
      </c>
      <c r="B1121" s="133" t="s">
        <v>1175</v>
      </c>
      <c r="C1121" s="133" t="s">
        <v>1000</v>
      </c>
      <c r="D1121" s="133" t="s">
        <v>146</v>
      </c>
      <c r="E1121" s="133" t="s">
        <v>147</v>
      </c>
      <c r="F1121" s="133" t="s">
        <v>709</v>
      </c>
      <c r="G1121" s="133" t="s">
        <v>719</v>
      </c>
      <c r="H1121" s="133">
        <v>4.42</v>
      </c>
      <c r="I1121" s="133">
        <v>12.39</v>
      </c>
      <c r="J1121" s="133">
        <v>41</v>
      </c>
      <c r="K1121" s="133">
        <v>6</v>
      </c>
      <c r="L1121" s="133">
        <v>0</v>
      </c>
      <c r="M1121" s="133" t="s">
        <v>999</v>
      </c>
      <c r="N1121" s="133">
        <v>0</v>
      </c>
      <c r="P1121" s="133">
        <v>0</v>
      </c>
      <c r="Q1121" s="133">
        <v>0</v>
      </c>
      <c r="R1121" s="133">
        <v>6</v>
      </c>
      <c r="S1121" s="156">
        <v>1</v>
      </c>
    </row>
    <row r="1122" spans="1:19">
      <c r="A1122" s="133" t="s">
        <v>1186</v>
      </c>
      <c r="B1122" s="133" t="s">
        <v>1175</v>
      </c>
      <c r="C1122" s="133" t="s">
        <v>1000</v>
      </c>
      <c r="D1122" s="133" t="s">
        <v>148</v>
      </c>
      <c r="E1122" s="133" t="s">
        <v>149</v>
      </c>
      <c r="F1122" s="133" t="s">
        <v>709</v>
      </c>
      <c r="G1122" s="133" t="s">
        <v>719</v>
      </c>
      <c r="H1122" s="133">
        <v>11.54</v>
      </c>
      <c r="I1122" s="133">
        <v>23.9</v>
      </c>
      <c r="J1122" s="133">
        <v>200</v>
      </c>
      <c r="K1122" s="133">
        <v>75</v>
      </c>
      <c r="L1122" s="133">
        <v>0</v>
      </c>
      <c r="M1122" s="133" t="s">
        <v>999</v>
      </c>
      <c r="N1122" s="133">
        <v>0</v>
      </c>
      <c r="P1122" s="133">
        <v>0</v>
      </c>
      <c r="Q1122" s="133">
        <v>0</v>
      </c>
      <c r="R1122" s="133">
        <v>75</v>
      </c>
      <c r="S1122" s="156">
        <v>1</v>
      </c>
    </row>
    <row r="1123" spans="1:19">
      <c r="A1123" s="133" t="s">
        <v>1186</v>
      </c>
      <c r="B1123" s="133" t="s">
        <v>1175</v>
      </c>
      <c r="C1123" s="133" t="s">
        <v>1000</v>
      </c>
      <c r="D1123" s="133" t="s">
        <v>150</v>
      </c>
      <c r="E1123" s="133" t="s">
        <v>151</v>
      </c>
      <c r="F1123" s="133" t="s">
        <v>709</v>
      </c>
      <c r="G1123" s="133" t="s">
        <v>719</v>
      </c>
      <c r="H1123" s="133">
        <v>10.83</v>
      </c>
      <c r="I1123" s="133">
        <v>16.5</v>
      </c>
      <c r="J1123" s="133">
        <v>0</v>
      </c>
      <c r="K1123" s="133">
        <v>0</v>
      </c>
      <c r="L1123" s="133">
        <v>0</v>
      </c>
      <c r="M1123" s="133" t="s">
        <v>1096</v>
      </c>
      <c r="N1123" s="133">
        <v>0</v>
      </c>
      <c r="P1123" s="133">
        <v>0</v>
      </c>
      <c r="Q1123" s="133">
        <v>0</v>
      </c>
      <c r="R1123" s="133">
        <v>0</v>
      </c>
      <c r="S1123" s="156"/>
    </row>
    <row r="1124" spans="1:19">
      <c r="A1124" s="133" t="s">
        <v>1186</v>
      </c>
      <c r="B1124" s="133" t="s">
        <v>1175</v>
      </c>
      <c r="C1124" s="133" t="s">
        <v>1000</v>
      </c>
      <c r="D1124" s="133" t="s">
        <v>152</v>
      </c>
      <c r="E1124" s="133" t="s">
        <v>153</v>
      </c>
      <c r="F1124" s="133" t="s">
        <v>709</v>
      </c>
      <c r="G1124" s="133" t="s">
        <v>719</v>
      </c>
      <c r="H1124" s="133">
        <v>23.65</v>
      </c>
      <c r="I1124" s="133">
        <v>33</v>
      </c>
      <c r="J1124" s="133">
        <v>0</v>
      </c>
      <c r="K1124" s="133">
        <v>0</v>
      </c>
      <c r="L1124" s="133">
        <v>0</v>
      </c>
      <c r="M1124" s="133" t="s">
        <v>1096</v>
      </c>
      <c r="N1124" s="133">
        <v>0</v>
      </c>
      <c r="P1124" s="133">
        <v>0</v>
      </c>
      <c r="Q1124" s="133">
        <v>0</v>
      </c>
      <c r="R1124" s="133">
        <v>0</v>
      </c>
      <c r="S1124" s="156"/>
    </row>
    <row r="1125" spans="1:19">
      <c r="A1125" s="133" t="s">
        <v>1186</v>
      </c>
      <c r="B1125" s="133" t="s">
        <v>1175</v>
      </c>
      <c r="C1125" s="133" t="s">
        <v>1000</v>
      </c>
      <c r="D1125" s="133" t="s">
        <v>890</v>
      </c>
      <c r="E1125" s="133" t="s">
        <v>945</v>
      </c>
      <c r="F1125" s="133" t="s">
        <v>946</v>
      </c>
      <c r="G1125" s="133" t="s">
        <v>719</v>
      </c>
      <c r="H1125" s="133">
        <v>2.4</v>
      </c>
      <c r="I1125" s="133">
        <v>0</v>
      </c>
      <c r="J1125" s="133">
        <v>0</v>
      </c>
      <c r="K1125" s="133">
        <v>60</v>
      </c>
      <c r="L1125" s="133">
        <v>0</v>
      </c>
      <c r="M1125" s="133" t="s">
        <v>999</v>
      </c>
      <c r="N1125" s="133">
        <v>0</v>
      </c>
      <c r="P1125" s="133">
        <v>0</v>
      </c>
      <c r="Q1125" s="133">
        <v>0</v>
      </c>
      <c r="R1125" s="133">
        <v>60</v>
      </c>
      <c r="S1125" s="156">
        <v>1</v>
      </c>
    </row>
    <row r="1126" spans="1:19">
      <c r="A1126" s="133" t="s">
        <v>1186</v>
      </c>
      <c r="B1126" s="133" t="s">
        <v>1175</v>
      </c>
      <c r="C1126" s="133" t="s">
        <v>1000</v>
      </c>
      <c r="D1126" s="133" t="s">
        <v>891</v>
      </c>
      <c r="E1126" s="133" t="s">
        <v>947</v>
      </c>
      <c r="F1126" s="133" t="s">
        <v>946</v>
      </c>
      <c r="G1126" s="133" t="s">
        <v>719</v>
      </c>
      <c r="H1126" s="133">
        <v>4.1500000000000004</v>
      </c>
      <c r="I1126" s="133">
        <v>0</v>
      </c>
      <c r="J1126" s="133">
        <v>0</v>
      </c>
      <c r="K1126" s="133">
        <v>90</v>
      </c>
      <c r="L1126" s="133">
        <v>0</v>
      </c>
      <c r="M1126" s="133" t="s">
        <v>999</v>
      </c>
      <c r="N1126" s="133">
        <v>0</v>
      </c>
      <c r="P1126" s="133">
        <v>0</v>
      </c>
      <c r="Q1126" s="133">
        <v>0</v>
      </c>
      <c r="R1126" s="133">
        <v>90</v>
      </c>
      <c r="S1126" s="156">
        <v>1</v>
      </c>
    </row>
    <row r="1127" spans="1:19">
      <c r="A1127" s="133" t="s">
        <v>1186</v>
      </c>
      <c r="B1127" s="133" t="s">
        <v>1175</v>
      </c>
      <c r="C1127" s="133" t="s">
        <v>1000</v>
      </c>
      <c r="D1127" s="133" t="s">
        <v>736</v>
      </c>
      <c r="E1127" s="133" t="s">
        <v>765</v>
      </c>
      <c r="F1127" s="133" t="s">
        <v>712</v>
      </c>
      <c r="G1127" s="133" t="s">
        <v>732</v>
      </c>
      <c r="H1127" s="133">
        <v>2.89</v>
      </c>
      <c r="I1127" s="133">
        <v>5.2</v>
      </c>
      <c r="J1127" s="133">
        <v>0</v>
      </c>
      <c r="K1127" s="133">
        <v>0</v>
      </c>
      <c r="L1127" s="133">
        <v>0</v>
      </c>
      <c r="M1127" s="133" t="s">
        <v>1096</v>
      </c>
      <c r="N1127" s="133">
        <v>0</v>
      </c>
      <c r="P1127" s="133">
        <v>0</v>
      </c>
      <c r="Q1127" s="133">
        <v>0</v>
      </c>
      <c r="R1127" s="133">
        <v>0</v>
      </c>
      <c r="S1127" s="156"/>
    </row>
    <row r="1128" spans="1:19">
      <c r="A1128" s="133" t="s">
        <v>1186</v>
      </c>
      <c r="B1128" s="133" t="s">
        <v>1175</v>
      </c>
      <c r="C1128" s="133" t="s">
        <v>1000</v>
      </c>
      <c r="D1128" s="133" t="s">
        <v>738</v>
      </c>
      <c r="E1128" s="133" t="s">
        <v>762</v>
      </c>
      <c r="F1128" s="133" t="s">
        <v>712</v>
      </c>
      <c r="G1128" s="133" t="s">
        <v>732</v>
      </c>
      <c r="H1128" s="133">
        <v>519.35</v>
      </c>
      <c r="I1128" s="133">
        <v>840</v>
      </c>
      <c r="J1128" s="133">
        <v>8</v>
      </c>
      <c r="K1128" s="133">
        <v>1</v>
      </c>
      <c r="L1128" s="133">
        <v>0</v>
      </c>
      <c r="M1128" s="133" t="s">
        <v>999</v>
      </c>
      <c r="N1128" s="133">
        <v>0</v>
      </c>
      <c r="P1128" s="133">
        <v>0</v>
      </c>
      <c r="Q1128" s="133">
        <v>0</v>
      </c>
      <c r="R1128" s="133">
        <v>1</v>
      </c>
      <c r="S1128" s="156">
        <v>1</v>
      </c>
    </row>
    <row r="1129" spans="1:19">
      <c r="A1129" s="133" t="s">
        <v>1186</v>
      </c>
      <c r="B1129" s="133" t="s">
        <v>1175</v>
      </c>
      <c r="C1129" s="133" t="s">
        <v>1000</v>
      </c>
      <c r="D1129" s="133" t="s">
        <v>875</v>
      </c>
      <c r="E1129" s="133" t="s">
        <v>948</v>
      </c>
      <c r="F1129" s="133" t="s">
        <v>712</v>
      </c>
      <c r="G1129" s="133" t="s">
        <v>732</v>
      </c>
      <c r="H1129" s="133">
        <v>6.79</v>
      </c>
      <c r="I1129" s="133">
        <v>13.49</v>
      </c>
      <c r="J1129" s="133">
        <v>36</v>
      </c>
      <c r="K1129" s="133">
        <v>12</v>
      </c>
      <c r="L1129" s="133">
        <v>0</v>
      </c>
      <c r="M1129" s="133" t="s">
        <v>999</v>
      </c>
      <c r="N1129" s="133">
        <v>0</v>
      </c>
      <c r="P1129" s="133">
        <v>0</v>
      </c>
      <c r="Q1129" s="133">
        <v>0</v>
      </c>
      <c r="R1129" s="133">
        <v>12</v>
      </c>
      <c r="S1129" s="156">
        <v>1</v>
      </c>
    </row>
    <row r="1130" spans="1:19">
      <c r="A1130" s="133" t="s">
        <v>1186</v>
      </c>
      <c r="B1130" s="133" t="s">
        <v>1175</v>
      </c>
      <c r="C1130" s="133" t="s">
        <v>1000</v>
      </c>
      <c r="D1130" s="133" t="s">
        <v>737</v>
      </c>
      <c r="E1130" s="133" t="s">
        <v>763</v>
      </c>
      <c r="F1130" s="133" t="s">
        <v>712</v>
      </c>
      <c r="G1130" s="133" t="s">
        <v>732</v>
      </c>
      <c r="H1130" s="133">
        <v>98.3</v>
      </c>
      <c r="I1130" s="133">
        <v>171</v>
      </c>
      <c r="J1130" s="133">
        <v>12</v>
      </c>
      <c r="K1130" s="133">
        <v>2</v>
      </c>
      <c r="L1130" s="133">
        <v>0</v>
      </c>
      <c r="M1130" s="133" t="s">
        <v>999</v>
      </c>
      <c r="N1130" s="133">
        <v>0</v>
      </c>
      <c r="P1130" s="133">
        <v>0</v>
      </c>
      <c r="Q1130" s="133">
        <v>0</v>
      </c>
      <c r="R1130" s="133">
        <v>2</v>
      </c>
      <c r="S1130" s="156">
        <v>1</v>
      </c>
    </row>
    <row r="1131" spans="1:19">
      <c r="A1131" s="133" t="s">
        <v>1186</v>
      </c>
      <c r="B1131" s="133" t="s">
        <v>1175</v>
      </c>
      <c r="C1131" s="133" t="s">
        <v>1000</v>
      </c>
      <c r="D1131" s="133" t="s">
        <v>742</v>
      </c>
      <c r="E1131" s="133" t="s">
        <v>764</v>
      </c>
      <c r="F1131" s="133" t="s">
        <v>712</v>
      </c>
      <c r="G1131" s="133" t="s">
        <v>732</v>
      </c>
      <c r="H1131" s="133">
        <v>26.65</v>
      </c>
      <c r="I1131" s="133">
        <v>49.8</v>
      </c>
      <c r="J1131" s="133">
        <v>159</v>
      </c>
      <c r="K1131" s="133">
        <v>30</v>
      </c>
      <c r="L1131" s="133">
        <v>0</v>
      </c>
      <c r="M1131" s="133" t="s">
        <v>999</v>
      </c>
      <c r="N1131" s="133">
        <v>0</v>
      </c>
      <c r="P1131" s="133">
        <v>0</v>
      </c>
      <c r="Q1131" s="133">
        <v>0</v>
      </c>
      <c r="R1131" s="133">
        <v>30</v>
      </c>
      <c r="S1131" s="156">
        <v>1</v>
      </c>
    </row>
    <row r="1132" spans="1:19">
      <c r="A1132" s="133" t="s">
        <v>1186</v>
      </c>
      <c r="B1132" s="133" t="s">
        <v>1175</v>
      </c>
      <c r="C1132" s="133" t="s">
        <v>1000</v>
      </c>
      <c r="D1132" s="133" t="s">
        <v>162</v>
      </c>
      <c r="E1132" s="133" t="s">
        <v>163</v>
      </c>
      <c r="F1132" s="133" t="s">
        <v>712</v>
      </c>
      <c r="G1132" s="133" t="s">
        <v>715</v>
      </c>
      <c r="H1132" s="133">
        <v>1.87</v>
      </c>
      <c r="I1132" s="133">
        <v>5.7</v>
      </c>
      <c r="J1132" s="133">
        <v>2</v>
      </c>
      <c r="K1132" s="133">
        <v>84</v>
      </c>
      <c r="L1132" s="133">
        <v>0</v>
      </c>
      <c r="M1132" s="133" t="s">
        <v>999</v>
      </c>
      <c r="N1132" s="133">
        <v>0</v>
      </c>
      <c r="P1132" s="133">
        <v>0</v>
      </c>
      <c r="Q1132" s="133">
        <v>0</v>
      </c>
      <c r="R1132" s="133">
        <v>84</v>
      </c>
      <c r="S1132" s="156">
        <v>1</v>
      </c>
    </row>
    <row r="1133" spans="1:19">
      <c r="A1133" s="133" t="s">
        <v>1186</v>
      </c>
      <c r="B1133" s="133" t="s">
        <v>1175</v>
      </c>
      <c r="C1133" s="133" t="s">
        <v>1000</v>
      </c>
      <c r="D1133" s="133" t="s">
        <v>164</v>
      </c>
      <c r="E1133" s="133" t="s">
        <v>165</v>
      </c>
      <c r="F1133" s="133" t="s">
        <v>712</v>
      </c>
      <c r="G1133" s="133" t="s">
        <v>715</v>
      </c>
      <c r="H1133" s="133">
        <v>3.58</v>
      </c>
      <c r="I1133" s="133">
        <v>10.69</v>
      </c>
      <c r="J1133" s="133">
        <v>62</v>
      </c>
      <c r="K1133" s="133">
        <v>18</v>
      </c>
      <c r="L1133" s="133">
        <v>0</v>
      </c>
      <c r="M1133" s="133" t="s">
        <v>999</v>
      </c>
      <c r="N1133" s="133">
        <v>0</v>
      </c>
      <c r="P1133" s="133">
        <v>0</v>
      </c>
      <c r="Q1133" s="133">
        <v>0</v>
      </c>
      <c r="R1133" s="133">
        <v>18</v>
      </c>
      <c r="S1133" s="156">
        <v>1</v>
      </c>
    </row>
    <row r="1134" spans="1:19">
      <c r="A1134" s="133" t="s">
        <v>1186</v>
      </c>
      <c r="B1134" s="133" t="s">
        <v>1175</v>
      </c>
      <c r="C1134" s="133" t="s">
        <v>1000</v>
      </c>
      <c r="D1134" s="133" t="s">
        <v>166</v>
      </c>
      <c r="E1134" s="133" t="s">
        <v>167</v>
      </c>
      <c r="F1134" s="133" t="s">
        <v>712</v>
      </c>
      <c r="G1134" s="133" t="s">
        <v>715</v>
      </c>
      <c r="H1134" s="133">
        <v>6.73</v>
      </c>
      <c r="I1134" s="133">
        <v>20.49</v>
      </c>
      <c r="J1134" s="133">
        <v>122</v>
      </c>
      <c r="K1134" s="133">
        <v>36</v>
      </c>
      <c r="L1134" s="133">
        <v>0</v>
      </c>
      <c r="M1134" s="133" t="s">
        <v>999</v>
      </c>
      <c r="N1134" s="133">
        <v>0</v>
      </c>
      <c r="P1134" s="133">
        <v>0</v>
      </c>
      <c r="Q1134" s="133">
        <v>0</v>
      </c>
      <c r="R1134" s="133">
        <v>36</v>
      </c>
      <c r="S1134" s="156">
        <v>1</v>
      </c>
    </row>
    <row r="1135" spans="1:19">
      <c r="A1135" s="133" t="s">
        <v>1186</v>
      </c>
      <c r="B1135" s="133" t="s">
        <v>1175</v>
      </c>
      <c r="C1135" s="133" t="s">
        <v>1000</v>
      </c>
      <c r="D1135" s="133" t="s">
        <v>175</v>
      </c>
      <c r="E1135" s="133" t="s">
        <v>176</v>
      </c>
      <c r="F1135" s="133" t="s">
        <v>710</v>
      </c>
      <c r="G1135" s="133" t="s">
        <v>718</v>
      </c>
      <c r="H1135" s="133">
        <v>0.32</v>
      </c>
      <c r="I1135" s="133">
        <v>0</v>
      </c>
      <c r="J1135" s="133">
        <v>226</v>
      </c>
      <c r="K1135" s="133">
        <v>90</v>
      </c>
      <c r="L1135" s="133">
        <v>0</v>
      </c>
      <c r="M1135" s="133" t="s">
        <v>999</v>
      </c>
      <c r="N1135" s="133">
        <v>0</v>
      </c>
      <c r="P1135" s="133">
        <v>0</v>
      </c>
      <c r="Q1135" s="133">
        <v>0</v>
      </c>
      <c r="R1135" s="133">
        <v>90</v>
      </c>
      <c r="S1135" s="156">
        <v>1</v>
      </c>
    </row>
    <row r="1136" spans="1:19">
      <c r="A1136" s="133" t="s">
        <v>1186</v>
      </c>
      <c r="B1136" s="133" t="s">
        <v>1175</v>
      </c>
      <c r="C1136" s="133" t="s">
        <v>1000</v>
      </c>
      <c r="D1136" s="133" t="s">
        <v>877</v>
      </c>
      <c r="E1136" s="133" t="s">
        <v>933</v>
      </c>
      <c r="F1136" s="133" t="s">
        <v>710</v>
      </c>
      <c r="G1136" s="133" t="s">
        <v>718</v>
      </c>
      <c r="H1136" s="133">
        <v>0.98</v>
      </c>
      <c r="I1136" s="133">
        <v>0</v>
      </c>
      <c r="J1136" s="133">
        <v>98</v>
      </c>
      <c r="K1136" s="133">
        <v>15</v>
      </c>
      <c r="L1136" s="133">
        <v>0</v>
      </c>
      <c r="M1136" s="133" t="s">
        <v>999</v>
      </c>
      <c r="N1136" s="133">
        <v>0</v>
      </c>
      <c r="P1136" s="133">
        <v>0</v>
      </c>
      <c r="Q1136" s="133">
        <v>0</v>
      </c>
      <c r="R1136" s="133">
        <v>15</v>
      </c>
      <c r="S1136" s="156">
        <v>1</v>
      </c>
    </row>
    <row r="1137" spans="1:19">
      <c r="A1137" s="133" t="s">
        <v>1186</v>
      </c>
      <c r="B1137" s="133" t="s">
        <v>1175</v>
      </c>
      <c r="C1137" s="133" t="s">
        <v>1000</v>
      </c>
      <c r="D1137" s="133" t="s">
        <v>179</v>
      </c>
      <c r="E1137" s="133" t="s">
        <v>180</v>
      </c>
      <c r="F1137" s="133" t="s">
        <v>710</v>
      </c>
      <c r="G1137" s="133" t="s">
        <v>718</v>
      </c>
      <c r="H1137" s="133">
        <v>0.66</v>
      </c>
      <c r="I1137" s="133">
        <v>0</v>
      </c>
      <c r="J1137" s="133">
        <v>50</v>
      </c>
      <c r="K1137" s="133">
        <v>15</v>
      </c>
      <c r="L1137" s="133">
        <v>0</v>
      </c>
      <c r="M1137" s="133" t="s">
        <v>999</v>
      </c>
      <c r="N1137" s="133">
        <v>0</v>
      </c>
      <c r="P1137" s="133">
        <v>0</v>
      </c>
      <c r="Q1137" s="133">
        <v>0</v>
      </c>
      <c r="R1137" s="133">
        <v>15</v>
      </c>
      <c r="S1137" s="156">
        <v>1</v>
      </c>
    </row>
    <row r="1138" spans="1:19">
      <c r="A1138" s="133" t="s">
        <v>1186</v>
      </c>
      <c r="B1138" s="133" t="s">
        <v>1175</v>
      </c>
      <c r="C1138" s="133" t="s">
        <v>1000</v>
      </c>
      <c r="D1138" s="133" t="s">
        <v>852</v>
      </c>
      <c r="E1138" s="133" t="s">
        <v>1179</v>
      </c>
      <c r="F1138" s="133" t="s">
        <v>710</v>
      </c>
      <c r="G1138" s="133" t="s">
        <v>718</v>
      </c>
      <c r="H1138" s="133">
        <v>0.74</v>
      </c>
      <c r="I1138" s="133">
        <v>0</v>
      </c>
      <c r="J1138" s="133">
        <v>279</v>
      </c>
      <c r="K1138" s="133">
        <v>120</v>
      </c>
      <c r="L1138" s="133">
        <v>0</v>
      </c>
      <c r="M1138" s="133" t="s">
        <v>999</v>
      </c>
      <c r="N1138" s="133">
        <v>0</v>
      </c>
      <c r="P1138" s="133">
        <v>0</v>
      </c>
      <c r="Q1138" s="133">
        <v>0</v>
      </c>
      <c r="R1138" s="133">
        <v>120</v>
      </c>
      <c r="S1138" s="156">
        <v>1</v>
      </c>
    </row>
    <row r="1139" spans="1:19">
      <c r="A1139" s="133" t="s">
        <v>1186</v>
      </c>
      <c r="B1139" s="133" t="s">
        <v>1175</v>
      </c>
      <c r="C1139" s="133" t="s">
        <v>1000</v>
      </c>
      <c r="D1139" s="133" t="s">
        <v>183</v>
      </c>
      <c r="E1139" s="133" t="s">
        <v>184</v>
      </c>
      <c r="F1139" s="133" t="s">
        <v>710</v>
      </c>
      <c r="G1139" s="133" t="s">
        <v>718</v>
      </c>
      <c r="H1139" s="133">
        <v>0.86</v>
      </c>
      <c r="I1139" s="133">
        <v>0</v>
      </c>
      <c r="J1139" s="133">
        <v>50</v>
      </c>
      <c r="K1139" s="133">
        <v>15</v>
      </c>
      <c r="L1139" s="133">
        <v>0</v>
      </c>
      <c r="M1139" s="133" t="s">
        <v>999</v>
      </c>
      <c r="N1139" s="133">
        <v>0</v>
      </c>
      <c r="P1139" s="133">
        <v>0</v>
      </c>
      <c r="Q1139" s="133">
        <v>0</v>
      </c>
      <c r="R1139" s="133">
        <v>15</v>
      </c>
      <c r="S1139" s="156">
        <v>1</v>
      </c>
    </row>
    <row r="1140" spans="1:19">
      <c r="A1140" s="133" t="s">
        <v>1186</v>
      </c>
      <c r="B1140" s="133" t="s">
        <v>1175</v>
      </c>
      <c r="C1140" s="133" t="s">
        <v>1000</v>
      </c>
      <c r="D1140" s="133" t="s">
        <v>829</v>
      </c>
      <c r="E1140" s="133" t="s">
        <v>888</v>
      </c>
      <c r="F1140" s="133" t="s">
        <v>710</v>
      </c>
      <c r="G1140" s="133" t="s">
        <v>718</v>
      </c>
      <c r="H1140" s="133">
        <v>0.88</v>
      </c>
      <c r="I1140" s="133">
        <v>0</v>
      </c>
      <c r="J1140" s="133">
        <v>527</v>
      </c>
      <c r="K1140" s="133">
        <v>120</v>
      </c>
      <c r="L1140" s="133">
        <v>0</v>
      </c>
      <c r="M1140" s="133" t="s">
        <v>999</v>
      </c>
      <c r="N1140" s="133">
        <v>0</v>
      </c>
      <c r="P1140" s="133">
        <v>0</v>
      </c>
      <c r="Q1140" s="133">
        <v>0</v>
      </c>
      <c r="R1140" s="133">
        <v>120</v>
      </c>
      <c r="S1140" s="156">
        <v>1</v>
      </c>
    </row>
    <row r="1141" spans="1:19">
      <c r="A1141" s="133" t="s">
        <v>1186</v>
      </c>
      <c r="B1141" s="133" t="s">
        <v>1175</v>
      </c>
      <c r="C1141" s="133" t="s">
        <v>1000</v>
      </c>
      <c r="D1141" s="133" t="s">
        <v>892</v>
      </c>
      <c r="E1141" s="133" t="s">
        <v>949</v>
      </c>
      <c r="F1141" s="133" t="s">
        <v>946</v>
      </c>
      <c r="G1141" s="133" t="s">
        <v>719</v>
      </c>
      <c r="H1141" s="133">
        <v>0.56000000000000005</v>
      </c>
      <c r="I1141" s="133">
        <v>0</v>
      </c>
      <c r="J1141" s="133">
        <v>0</v>
      </c>
      <c r="K1141" s="133">
        <v>30</v>
      </c>
      <c r="L1141" s="133">
        <v>0</v>
      </c>
      <c r="M1141" s="133" t="s">
        <v>999</v>
      </c>
      <c r="N1141" s="133">
        <v>0</v>
      </c>
      <c r="P1141" s="133">
        <v>0</v>
      </c>
      <c r="Q1141" s="133">
        <v>0</v>
      </c>
      <c r="R1141" s="133">
        <v>30</v>
      </c>
      <c r="S1141" s="156">
        <v>1</v>
      </c>
    </row>
    <row r="1142" spans="1:19">
      <c r="A1142" s="133" t="s">
        <v>1186</v>
      </c>
      <c r="B1142" s="133" t="s">
        <v>1175</v>
      </c>
      <c r="C1142" s="133" t="s">
        <v>1000</v>
      </c>
      <c r="D1142" s="133" t="s">
        <v>893</v>
      </c>
      <c r="E1142" s="133" t="s">
        <v>950</v>
      </c>
      <c r="F1142" s="133" t="s">
        <v>946</v>
      </c>
      <c r="G1142" s="133" t="s">
        <v>719</v>
      </c>
      <c r="H1142" s="133">
        <v>1.1299999999999999</v>
      </c>
      <c r="I1142" s="133">
        <v>0</v>
      </c>
      <c r="J1142" s="133">
        <v>0</v>
      </c>
      <c r="K1142" s="133">
        <v>30</v>
      </c>
      <c r="L1142" s="133">
        <v>0</v>
      </c>
      <c r="M1142" s="133" t="s">
        <v>999</v>
      </c>
      <c r="N1142" s="133">
        <v>0</v>
      </c>
      <c r="P1142" s="133">
        <v>0</v>
      </c>
      <c r="Q1142" s="133">
        <v>0</v>
      </c>
      <c r="R1142" s="133">
        <v>30</v>
      </c>
      <c r="S1142" s="156">
        <v>1</v>
      </c>
    </row>
    <row r="1143" spans="1:19">
      <c r="A1143" s="133" t="s">
        <v>1186</v>
      </c>
      <c r="B1143" s="133" t="s">
        <v>1175</v>
      </c>
      <c r="C1143" s="133" t="s">
        <v>1000</v>
      </c>
      <c r="D1143" s="133" t="s">
        <v>894</v>
      </c>
      <c r="E1143" s="133" t="s">
        <v>951</v>
      </c>
      <c r="F1143" s="133" t="s">
        <v>946</v>
      </c>
      <c r="G1143" s="133" t="s">
        <v>719</v>
      </c>
      <c r="H1143" s="133">
        <v>1.32</v>
      </c>
      <c r="I1143" s="133">
        <v>0</v>
      </c>
      <c r="J1143" s="133">
        <v>0</v>
      </c>
      <c r="K1143" s="133">
        <v>60</v>
      </c>
      <c r="L1143" s="133">
        <v>0</v>
      </c>
      <c r="M1143" s="133" t="s">
        <v>999</v>
      </c>
      <c r="N1143" s="133">
        <v>0</v>
      </c>
      <c r="P1143" s="133">
        <v>0</v>
      </c>
      <c r="Q1143" s="133">
        <v>0</v>
      </c>
      <c r="R1143" s="133">
        <v>60</v>
      </c>
      <c r="S1143" s="156">
        <v>1</v>
      </c>
    </row>
    <row r="1144" spans="1:19">
      <c r="A1144" s="133" t="s">
        <v>1186</v>
      </c>
      <c r="B1144" s="133" t="s">
        <v>1175</v>
      </c>
      <c r="C1144" s="133" t="s">
        <v>1000</v>
      </c>
      <c r="D1144" s="133" t="s">
        <v>895</v>
      </c>
      <c r="E1144" s="133" t="s">
        <v>952</v>
      </c>
      <c r="F1144" s="133" t="s">
        <v>946</v>
      </c>
      <c r="G1144" s="133" t="s">
        <v>719</v>
      </c>
      <c r="H1144" s="133">
        <v>2.56</v>
      </c>
      <c r="I1144" s="133">
        <v>0</v>
      </c>
      <c r="J1144" s="133">
        <v>0</v>
      </c>
      <c r="K1144" s="133">
        <v>30</v>
      </c>
      <c r="L1144" s="133">
        <v>0</v>
      </c>
      <c r="M1144" s="133" t="s">
        <v>999</v>
      </c>
      <c r="N1144" s="133">
        <v>0</v>
      </c>
      <c r="P1144" s="133">
        <v>0</v>
      </c>
      <c r="Q1144" s="133">
        <v>0</v>
      </c>
      <c r="R1144" s="133">
        <v>30</v>
      </c>
      <c r="S1144" s="156">
        <v>1</v>
      </c>
    </row>
    <row r="1145" spans="1:19">
      <c r="A1145" s="133" t="s">
        <v>1186</v>
      </c>
      <c r="B1145" s="133" t="s">
        <v>1175</v>
      </c>
      <c r="C1145" s="133" t="s">
        <v>1000</v>
      </c>
      <c r="D1145" s="133" t="s">
        <v>209</v>
      </c>
      <c r="E1145" s="133" t="s">
        <v>210</v>
      </c>
      <c r="F1145" s="133" t="s">
        <v>709</v>
      </c>
      <c r="G1145" s="133" t="s">
        <v>719</v>
      </c>
      <c r="H1145" s="133">
        <v>2.92</v>
      </c>
      <c r="I1145" s="133">
        <v>8.9</v>
      </c>
      <c r="J1145" s="133">
        <v>0</v>
      </c>
      <c r="K1145" s="133">
        <v>0</v>
      </c>
      <c r="L1145" s="133">
        <v>0</v>
      </c>
      <c r="M1145" s="133" t="s">
        <v>1096</v>
      </c>
      <c r="N1145" s="133">
        <v>0</v>
      </c>
      <c r="P1145" s="133">
        <v>0</v>
      </c>
      <c r="Q1145" s="133">
        <v>0</v>
      </c>
      <c r="R1145" s="133">
        <v>0</v>
      </c>
      <c r="S1145" s="156"/>
    </row>
    <row r="1146" spans="1:19">
      <c r="A1146" s="133" t="s">
        <v>1186</v>
      </c>
      <c r="B1146" s="133" t="s">
        <v>1175</v>
      </c>
      <c r="C1146" s="133" t="s">
        <v>1000</v>
      </c>
      <c r="D1146" s="133" t="s">
        <v>211</v>
      </c>
      <c r="E1146" s="133" t="s">
        <v>212</v>
      </c>
      <c r="F1146" s="133" t="s">
        <v>709</v>
      </c>
      <c r="G1146" s="133" t="s">
        <v>719</v>
      </c>
      <c r="H1146" s="133">
        <v>2.79</v>
      </c>
      <c r="I1146" s="133">
        <v>8.9</v>
      </c>
      <c r="J1146" s="133">
        <v>1122</v>
      </c>
      <c r="K1146" s="133">
        <v>450</v>
      </c>
      <c r="L1146" s="133">
        <v>0</v>
      </c>
      <c r="M1146" s="133" t="s">
        <v>999</v>
      </c>
      <c r="N1146" s="133">
        <v>0</v>
      </c>
      <c r="P1146" s="133">
        <v>0</v>
      </c>
      <c r="Q1146" s="133">
        <v>0</v>
      </c>
      <c r="R1146" s="133">
        <v>450</v>
      </c>
      <c r="S1146" s="156">
        <v>1</v>
      </c>
    </row>
    <row r="1147" spans="1:19">
      <c r="A1147" s="133" t="s">
        <v>1186</v>
      </c>
      <c r="B1147" s="133" t="s">
        <v>1175</v>
      </c>
      <c r="C1147" s="133" t="s">
        <v>1000</v>
      </c>
      <c r="D1147" s="133" t="s">
        <v>896</v>
      </c>
      <c r="E1147" s="133" t="s">
        <v>953</v>
      </c>
      <c r="F1147" s="133" t="s">
        <v>946</v>
      </c>
      <c r="G1147" s="133" t="s">
        <v>719</v>
      </c>
      <c r="H1147" s="133">
        <v>2.56</v>
      </c>
      <c r="I1147" s="133">
        <v>0</v>
      </c>
      <c r="J1147" s="133">
        <v>0</v>
      </c>
      <c r="K1147" s="133">
        <v>60</v>
      </c>
      <c r="L1147" s="133">
        <v>0</v>
      </c>
      <c r="M1147" s="133" t="s">
        <v>999</v>
      </c>
      <c r="N1147" s="133">
        <v>0</v>
      </c>
      <c r="P1147" s="133">
        <v>0</v>
      </c>
      <c r="Q1147" s="133">
        <v>0</v>
      </c>
      <c r="R1147" s="133">
        <v>60</v>
      </c>
      <c r="S1147" s="156">
        <v>1</v>
      </c>
    </row>
    <row r="1148" spans="1:19">
      <c r="A1148" s="133" t="s">
        <v>1186</v>
      </c>
      <c r="B1148" s="133" t="s">
        <v>1175</v>
      </c>
      <c r="C1148" s="133" t="s">
        <v>1000</v>
      </c>
      <c r="D1148" s="133" t="s">
        <v>215</v>
      </c>
      <c r="E1148" s="133" t="s">
        <v>216</v>
      </c>
      <c r="F1148" s="133" t="s">
        <v>709</v>
      </c>
      <c r="G1148" s="133" t="s">
        <v>719</v>
      </c>
      <c r="H1148" s="133">
        <v>12.92</v>
      </c>
      <c r="I1148" s="133">
        <v>42</v>
      </c>
      <c r="J1148" s="133">
        <v>0</v>
      </c>
      <c r="K1148" s="133">
        <v>0</v>
      </c>
      <c r="L1148" s="133">
        <v>0</v>
      </c>
      <c r="M1148" s="133" t="s">
        <v>1096</v>
      </c>
      <c r="N1148" s="133">
        <v>0</v>
      </c>
      <c r="P1148" s="133">
        <v>0</v>
      </c>
      <c r="Q1148" s="133">
        <v>0</v>
      </c>
      <c r="R1148" s="133">
        <v>0</v>
      </c>
      <c r="S1148" s="156"/>
    </row>
    <row r="1149" spans="1:19">
      <c r="A1149" s="133" t="s">
        <v>1186</v>
      </c>
      <c r="B1149" s="133" t="s">
        <v>1175</v>
      </c>
      <c r="C1149" s="133" t="s">
        <v>1000</v>
      </c>
      <c r="D1149" s="133" t="s">
        <v>217</v>
      </c>
      <c r="E1149" s="133" t="s">
        <v>218</v>
      </c>
      <c r="F1149" s="133" t="s">
        <v>709</v>
      </c>
      <c r="G1149" s="133" t="s">
        <v>719</v>
      </c>
      <c r="H1149" s="133">
        <v>2.66</v>
      </c>
      <c r="I1149" s="133">
        <v>8.9</v>
      </c>
      <c r="J1149" s="133">
        <v>120</v>
      </c>
      <c r="K1149" s="133">
        <v>0</v>
      </c>
      <c r="L1149" s="133">
        <v>0</v>
      </c>
      <c r="M1149" s="133" t="s">
        <v>1096</v>
      </c>
      <c r="N1149" s="133">
        <v>0</v>
      </c>
      <c r="P1149" s="133">
        <v>0</v>
      </c>
      <c r="Q1149" s="133">
        <v>0</v>
      </c>
      <c r="R1149" s="133">
        <v>0</v>
      </c>
      <c r="S1149" s="156"/>
    </row>
    <row r="1150" spans="1:19">
      <c r="A1150" s="133" t="s">
        <v>1186</v>
      </c>
      <c r="B1150" s="133" t="s">
        <v>1175</v>
      </c>
      <c r="C1150" s="133" t="s">
        <v>1000</v>
      </c>
      <c r="D1150" s="133" t="s">
        <v>876</v>
      </c>
      <c r="E1150" s="133" t="s">
        <v>954</v>
      </c>
      <c r="F1150" s="133" t="s">
        <v>707</v>
      </c>
      <c r="G1150" s="133" t="s">
        <v>732</v>
      </c>
      <c r="H1150" s="133">
        <v>9.81</v>
      </c>
      <c r="I1150" s="133">
        <v>15.09</v>
      </c>
      <c r="J1150" s="133">
        <v>27</v>
      </c>
      <c r="K1150" s="133">
        <v>6</v>
      </c>
      <c r="L1150" s="133">
        <v>0</v>
      </c>
      <c r="M1150" s="133" t="s">
        <v>999</v>
      </c>
      <c r="N1150" s="133">
        <v>0</v>
      </c>
      <c r="P1150" s="133">
        <v>0</v>
      </c>
      <c r="Q1150" s="133">
        <v>0</v>
      </c>
      <c r="R1150" s="133">
        <v>6</v>
      </c>
      <c r="S1150" s="156">
        <v>1</v>
      </c>
    </row>
    <row r="1151" spans="1:19">
      <c r="A1151" s="133" t="s">
        <v>1186</v>
      </c>
      <c r="B1151" s="133" t="s">
        <v>1175</v>
      </c>
      <c r="C1151" s="133" t="s">
        <v>1000</v>
      </c>
      <c r="D1151" s="133" t="s">
        <v>219</v>
      </c>
      <c r="E1151" s="133" t="s">
        <v>220</v>
      </c>
      <c r="F1151" s="133" t="s">
        <v>707</v>
      </c>
      <c r="G1151" s="133" t="s">
        <v>732</v>
      </c>
      <c r="H1151" s="133">
        <v>37.92</v>
      </c>
      <c r="I1151" s="133">
        <v>30.9</v>
      </c>
      <c r="J1151" s="133">
        <v>53</v>
      </c>
      <c r="K1151" s="133">
        <v>6</v>
      </c>
      <c r="L1151" s="133">
        <v>0</v>
      </c>
      <c r="M1151" s="133" t="s">
        <v>999</v>
      </c>
      <c r="N1151" s="133">
        <v>0</v>
      </c>
      <c r="P1151" s="133">
        <v>0</v>
      </c>
      <c r="Q1151" s="133">
        <v>0</v>
      </c>
      <c r="R1151" s="133">
        <v>6</v>
      </c>
      <c r="S1151" s="156">
        <v>1</v>
      </c>
    </row>
    <row r="1152" spans="1:19">
      <c r="A1152" s="133" t="s">
        <v>1186</v>
      </c>
      <c r="B1152" s="133" t="s">
        <v>1175</v>
      </c>
      <c r="C1152" s="133" t="s">
        <v>1000</v>
      </c>
      <c r="D1152" s="133" t="s">
        <v>227</v>
      </c>
      <c r="E1152" s="133" t="s">
        <v>228</v>
      </c>
      <c r="F1152" s="133" t="s">
        <v>709</v>
      </c>
      <c r="G1152" s="133" t="s">
        <v>719</v>
      </c>
      <c r="H1152" s="133">
        <v>1.1499999999999999</v>
      </c>
      <c r="I1152" s="133">
        <v>2.44</v>
      </c>
      <c r="J1152" s="133">
        <v>275</v>
      </c>
      <c r="K1152" s="133">
        <v>300</v>
      </c>
      <c r="L1152" s="133">
        <v>0</v>
      </c>
      <c r="M1152" s="133" t="s">
        <v>999</v>
      </c>
      <c r="N1152" s="133">
        <v>0</v>
      </c>
      <c r="P1152" s="133">
        <v>0</v>
      </c>
      <c r="Q1152" s="133">
        <v>0</v>
      </c>
      <c r="R1152" s="133">
        <v>300</v>
      </c>
      <c r="S1152" s="156">
        <v>1</v>
      </c>
    </row>
    <row r="1153" spans="1:19">
      <c r="A1153" s="133" t="s">
        <v>1186</v>
      </c>
      <c r="B1153" s="133" t="s">
        <v>1175</v>
      </c>
      <c r="C1153" s="133" t="s">
        <v>1000</v>
      </c>
      <c r="D1153" s="133" t="s">
        <v>229</v>
      </c>
      <c r="E1153" s="133" t="s">
        <v>230</v>
      </c>
      <c r="F1153" s="133" t="s">
        <v>709</v>
      </c>
      <c r="G1153" s="133" t="s">
        <v>719</v>
      </c>
      <c r="H1153" s="133">
        <v>2.8</v>
      </c>
      <c r="I1153" s="133">
        <v>6.49</v>
      </c>
      <c r="J1153" s="133">
        <v>0</v>
      </c>
      <c r="K1153" s="133">
        <v>42</v>
      </c>
      <c r="L1153" s="133">
        <v>0</v>
      </c>
      <c r="M1153" s="133" t="s">
        <v>999</v>
      </c>
      <c r="N1153" s="133">
        <v>0</v>
      </c>
      <c r="P1153" s="133">
        <v>0</v>
      </c>
      <c r="Q1153" s="133">
        <v>0</v>
      </c>
      <c r="R1153" s="133">
        <v>42</v>
      </c>
      <c r="S1153" s="156">
        <v>1</v>
      </c>
    </row>
    <row r="1154" spans="1:19">
      <c r="A1154" s="133" t="s">
        <v>1186</v>
      </c>
      <c r="B1154" s="133" t="s">
        <v>1175</v>
      </c>
      <c r="C1154" s="133" t="s">
        <v>1000</v>
      </c>
      <c r="D1154" s="133" t="s">
        <v>746</v>
      </c>
      <c r="E1154" s="133" t="s">
        <v>747</v>
      </c>
      <c r="F1154" s="133" t="s">
        <v>709</v>
      </c>
      <c r="G1154" s="133" t="s">
        <v>732</v>
      </c>
      <c r="H1154" s="133">
        <v>40.32</v>
      </c>
      <c r="I1154" s="133">
        <v>62.5</v>
      </c>
      <c r="J1154" s="133">
        <v>79</v>
      </c>
      <c r="K1154" s="133">
        <v>12</v>
      </c>
      <c r="L1154" s="133">
        <v>0</v>
      </c>
      <c r="M1154" s="133" t="s">
        <v>999</v>
      </c>
      <c r="N1154" s="133">
        <v>0</v>
      </c>
      <c r="P1154" s="133">
        <v>0</v>
      </c>
      <c r="Q1154" s="133">
        <v>0</v>
      </c>
      <c r="R1154" s="133">
        <v>12</v>
      </c>
      <c r="S1154" s="156">
        <v>1</v>
      </c>
    </row>
    <row r="1155" spans="1:19">
      <c r="A1155" s="133" t="s">
        <v>1186</v>
      </c>
      <c r="B1155" s="133" t="s">
        <v>1175</v>
      </c>
      <c r="C1155" s="133" t="s">
        <v>1000</v>
      </c>
      <c r="D1155" s="133" t="s">
        <v>462</v>
      </c>
      <c r="E1155" s="133" t="s">
        <v>463</v>
      </c>
      <c r="F1155" s="133" t="s">
        <v>707</v>
      </c>
      <c r="G1155" s="133" t="s">
        <v>715</v>
      </c>
      <c r="H1155" s="133">
        <v>1.23</v>
      </c>
      <c r="I1155" s="133">
        <v>0</v>
      </c>
      <c r="J1155" s="133">
        <v>0</v>
      </c>
      <c r="K1155" s="133">
        <v>0</v>
      </c>
      <c r="L1155" s="133">
        <v>0</v>
      </c>
      <c r="M1155" s="133" t="s">
        <v>1096</v>
      </c>
      <c r="N1155" s="133">
        <v>0</v>
      </c>
      <c r="P1155" s="133">
        <v>0</v>
      </c>
      <c r="Q1155" s="133">
        <v>0</v>
      </c>
      <c r="R1155" s="133">
        <v>0</v>
      </c>
      <c r="S1155" s="156"/>
    </row>
    <row r="1156" spans="1:19">
      <c r="A1156" s="133" t="s">
        <v>1186</v>
      </c>
      <c r="B1156" s="133" t="s">
        <v>1175</v>
      </c>
      <c r="C1156" s="133" t="s">
        <v>1000</v>
      </c>
      <c r="D1156" s="133" t="s">
        <v>464</v>
      </c>
      <c r="E1156" s="133" t="s">
        <v>465</v>
      </c>
      <c r="F1156" s="133" t="s">
        <v>707</v>
      </c>
      <c r="G1156" s="133" t="s">
        <v>715</v>
      </c>
      <c r="H1156" s="133">
        <v>2.19</v>
      </c>
      <c r="I1156" s="133">
        <v>0</v>
      </c>
      <c r="J1156" s="133">
        <v>0</v>
      </c>
      <c r="K1156" s="133">
        <v>0</v>
      </c>
      <c r="L1156" s="133">
        <v>0</v>
      </c>
      <c r="M1156" s="133" t="s">
        <v>1096</v>
      </c>
      <c r="N1156" s="133">
        <v>0</v>
      </c>
      <c r="P1156" s="133">
        <v>0</v>
      </c>
      <c r="Q1156" s="133">
        <v>0</v>
      </c>
      <c r="R1156" s="133">
        <v>0</v>
      </c>
      <c r="S1156" s="156"/>
    </row>
    <row r="1157" spans="1:19">
      <c r="A1157" s="133" t="s">
        <v>1186</v>
      </c>
      <c r="B1157" s="133" t="s">
        <v>1175</v>
      </c>
      <c r="C1157" s="133" t="s">
        <v>1000</v>
      </c>
      <c r="D1157" s="133" t="s">
        <v>466</v>
      </c>
      <c r="E1157" s="133" t="s">
        <v>467</v>
      </c>
      <c r="F1157" s="133" t="s">
        <v>707</v>
      </c>
      <c r="G1157" s="133" t="s">
        <v>715</v>
      </c>
      <c r="H1157" s="133">
        <v>4.2699999999999996</v>
      </c>
      <c r="I1157" s="133">
        <v>0</v>
      </c>
      <c r="J1157" s="133">
        <v>0</v>
      </c>
      <c r="K1157" s="133">
        <v>0</v>
      </c>
      <c r="L1157" s="133">
        <v>0</v>
      </c>
      <c r="M1157" s="133" t="s">
        <v>1096</v>
      </c>
      <c r="N1157" s="133">
        <v>0</v>
      </c>
      <c r="P1157" s="133">
        <v>0</v>
      </c>
      <c r="Q1157" s="133">
        <v>0</v>
      </c>
      <c r="R1157" s="133">
        <v>0</v>
      </c>
      <c r="S1157" s="156"/>
    </row>
    <row r="1158" spans="1:19">
      <c r="A1158" s="133" t="s">
        <v>1186</v>
      </c>
      <c r="B1158" s="133" t="s">
        <v>1175</v>
      </c>
      <c r="C1158" s="133" t="s">
        <v>1000</v>
      </c>
      <c r="D1158" s="133" t="s">
        <v>897</v>
      </c>
      <c r="E1158" s="133" t="s">
        <v>955</v>
      </c>
      <c r="F1158" s="133" t="s">
        <v>946</v>
      </c>
      <c r="G1158" s="133" t="s">
        <v>719</v>
      </c>
      <c r="H1158" s="133">
        <v>0.6</v>
      </c>
      <c r="I1158" s="133">
        <v>0</v>
      </c>
      <c r="J1158" s="133">
        <v>0</v>
      </c>
      <c r="K1158" s="133">
        <v>60</v>
      </c>
      <c r="L1158" s="133">
        <v>0</v>
      </c>
      <c r="M1158" s="133" t="s">
        <v>999</v>
      </c>
      <c r="N1158" s="133">
        <v>0</v>
      </c>
      <c r="P1158" s="133">
        <v>0</v>
      </c>
      <c r="Q1158" s="133">
        <v>0</v>
      </c>
      <c r="R1158" s="133">
        <v>60</v>
      </c>
      <c r="S1158" s="156">
        <v>1</v>
      </c>
    </row>
    <row r="1159" spans="1:19">
      <c r="A1159" s="133" t="s">
        <v>1186</v>
      </c>
      <c r="B1159" s="133" t="s">
        <v>1175</v>
      </c>
      <c r="C1159" s="133" t="s">
        <v>1000</v>
      </c>
      <c r="D1159" s="133" t="s">
        <v>898</v>
      </c>
      <c r="E1159" s="133" t="s">
        <v>956</v>
      </c>
      <c r="F1159" s="133" t="s">
        <v>946</v>
      </c>
      <c r="G1159" s="133" t="s">
        <v>719</v>
      </c>
      <c r="H1159" s="133">
        <v>2.99</v>
      </c>
      <c r="I1159" s="133">
        <v>0</v>
      </c>
      <c r="J1159" s="133">
        <v>0</v>
      </c>
      <c r="K1159" s="133">
        <v>60</v>
      </c>
      <c r="L1159" s="133">
        <v>0</v>
      </c>
      <c r="M1159" s="133" t="s">
        <v>999</v>
      </c>
      <c r="N1159" s="133">
        <v>0</v>
      </c>
      <c r="P1159" s="133">
        <v>0</v>
      </c>
      <c r="Q1159" s="133">
        <v>0</v>
      </c>
      <c r="R1159" s="133">
        <v>60</v>
      </c>
      <c r="S1159" s="156">
        <v>1</v>
      </c>
    </row>
    <row r="1160" spans="1:19">
      <c r="A1160" s="133" t="s">
        <v>1186</v>
      </c>
      <c r="B1160" s="133" t="s">
        <v>1175</v>
      </c>
      <c r="C1160" s="133" t="s">
        <v>1000</v>
      </c>
      <c r="D1160" s="133" t="s">
        <v>899</v>
      </c>
      <c r="E1160" s="133" t="s">
        <v>957</v>
      </c>
      <c r="F1160" s="133" t="s">
        <v>946</v>
      </c>
      <c r="G1160" s="133" t="s">
        <v>719</v>
      </c>
      <c r="H1160" s="133">
        <v>5.98</v>
      </c>
      <c r="I1160" s="133">
        <v>0</v>
      </c>
      <c r="J1160" s="133">
        <v>0</v>
      </c>
      <c r="K1160" s="133">
        <v>30</v>
      </c>
      <c r="L1160" s="133">
        <v>0</v>
      </c>
      <c r="M1160" s="133" t="s">
        <v>999</v>
      </c>
      <c r="N1160" s="133">
        <v>0</v>
      </c>
      <c r="P1160" s="133">
        <v>0</v>
      </c>
      <c r="Q1160" s="133">
        <v>0</v>
      </c>
      <c r="R1160" s="133">
        <v>30</v>
      </c>
      <c r="S1160" s="156">
        <v>1</v>
      </c>
    </row>
    <row r="1161" spans="1:19">
      <c r="A1161" s="133" t="s">
        <v>1186</v>
      </c>
      <c r="B1161" s="133" t="s">
        <v>1175</v>
      </c>
      <c r="C1161" s="133" t="s">
        <v>1000</v>
      </c>
      <c r="D1161" s="133" t="s">
        <v>474</v>
      </c>
      <c r="E1161" s="133" t="s">
        <v>475</v>
      </c>
      <c r="F1161" s="133" t="s">
        <v>709</v>
      </c>
      <c r="G1161" s="133" t="s">
        <v>719</v>
      </c>
      <c r="H1161" s="133">
        <v>2.68</v>
      </c>
      <c r="I1161" s="133">
        <v>8.9</v>
      </c>
      <c r="J1161" s="133">
        <v>31</v>
      </c>
      <c r="K1161" s="133">
        <v>60</v>
      </c>
      <c r="L1161" s="133">
        <v>0</v>
      </c>
      <c r="M1161" s="133" t="s">
        <v>999</v>
      </c>
      <c r="N1161" s="133">
        <v>0</v>
      </c>
      <c r="P1161" s="133">
        <v>0</v>
      </c>
      <c r="Q1161" s="133">
        <v>0</v>
      </c>
      <c r="R1161" s="133">
        <v>60</v>
      </c>
      <c r="S1161" s="156">
        <v>1</v>
      </c>
    </row>
    <row r="1162" spans="1:19">
      <c r="A1162" s="133" t="s">
        <v>1186</v>
      </c>
      <c r="B1162" s="133" t="s">
        <v>1175</v>
      </c>
      <c r="C1162" s="133" t="s">
        <v>1000</v>
      </c>
      <c r="D1162" s="133" t="s">
        <v>480</v>
      </c>
      <c r="E1162" s="133" t="s">
        <v>832</v>
      </c>
      <c r="F1162" s="133" t="s">
        <v>708</v>
      </c>
      <c r="G1162" s="133" t="s">
        <v>715</v>
      </c>
      <c r="H1162" s="133">
        <v>51.24</v>
      </c>
      <c r="I1162" s="133">
        <v>172</v>
      </c>
      <c r="J1162" s="133">
        <v>0</v>
      </c>
      <c r="K1162" s="133">
        <v>9</v>
      </c>
      <c r="L1162" s="133">
        <v>0</v>
      </c>
      <c r="M1162" s="133" t="s">
        <v>999</v>
      </c>
      <c r="N1162" s="133">
        <v>0</v>
      </c>
      <c r="P1162" s="133">
        <v>0</v>
      </c>
      <c r="Q1162" s="133">
        <v>0</v>
      </c>
      <c r="R1162" s="133">
        <v>9</v>
      </c>
      <c r="S1162" s="156">
        <v>1</v>
      </c>
    </row>
    <row r="1163" spans="1:19">
      <c r="A1163" s="133" t="s">
        <v>1186</v>
      </c>
      <c r="B1163" s="133" t="s">
        <v>1175</v>
      </c>
      <c r="C1163" s="133" t="s">
        <v>1000</v>
      </c>
      <c r="D1163" s="133" t="s">
        <v>481</v>
      </c>
      <c r="E1163" s="133" t="s">
        <v>482</v>
      </c>
      <c r="F1163" s="133" t="s">
        <v>708</v>
      </c>
      <c r="G1163" s="133" t="s">
        <v>715</v>
      </c>
      <c r="H1163" s="133">
        <v>520</v>
      </c>
      <c r="I1163" s="133">
        <v>2235.4899999999998</v>
      </c>
      <c r="J1163" s="133">
        <v>0</v>
      </c>
      <c r="K1163" s="133">
        <v>0</v>
      </c>
      <c r="L1163" s="133">
        <v>0</v>
      </c>
      <c r="M1163" s="133" t="s">
        <v>1096</v>
      </c>
      <c r="N1163" s="133">
        <v>0</v>
      </c>
      <c r="P1163" s="133">
        <v>0</v>
      </c>
      <c r="Q1163" s="133">
        <v>0</v>
      </c>
      <c r="R1163" s="133">
        <v>0</v>
      </c>
      <c r="S1163" s="156"/>
    </row>
    <row r="1164" spans="1:19">
      <c r="A1164" s="133" t="s">
        <v>1186</v>
      </c>
      <c r="B1164" s="133" t="s">
        <v>1175</v>
      </c>
      <c r="C1164" s="133" t="s">
        <v>1000</v>
      </c>
      <c r="D1164" s="133" t="s">
        <v>483</v>
      </c>
      <c r="E1164" s="133" t="s">
        <v>484</v>
      </c>
      <c r="F1164" s="133" t="s">
        <v>708</v>
      </c>
      <c r="G1164" s="133" t="s">
        <v>715</v>
      </c>
      <c r="H1164" s="133">
        <v>10.9</v>
      </c>
      <c r="I1164" s="133">
        <v>36.369999999999997</v>
      </c>
      <c r="J1164" s="133">
        <v>0</v>
      </c>
      <c r="K1164" s="133">
        <v>0</v>
      </c>
      <c r="L1164" s="133">
        <v>0</v>
      </c>
      <c r="M1164" s="133" t="s">
        <v>1096</v>
      </c>
      <c r="N1164" s="133">
        <v>0</v>
      </c>
      <c r="P1164" s="133">
        <v>0</v>
      </c>
      <c r="Q1164" s="133">
        <v>0</v>
      </c>
      <c r="R1164" s="133">
        <v>0</v>
      </c>
      <c r="S1164" s="156"/>
    </row>
    <row r="1165" spans="1:19">
      <c r="A1165" s="133" t="s">
        <v>1186</v>
      </c>
      <c r="B1165" s="133" t="s">
        <v>1175</v>
      </c>
      <c r="C1165" s="133" t="s">
        <v>1000</v>
      </c>
      <c r="D1165" s="133" t="s">
        <v>485</v>
      </c>
      <c r="E1165" s="133" t="s">
        <v>486</v>
      </c>
      <c r="F1165" s="133" t="s">
        <v>708</v>
      </c>
      <c r="G1165" s="133" t="s">
        <v>715</v>
      </c>
      <c r="H1165" s="133">
        <v>2.83</v>
      </c>
      <c r="I1165" s="133">
        <v>9.58</v>
      </c>
      <c r="J1165" s="133">
        <v>0</v>
      </c>
      <c r="K1165" s="133">
        <v>0</v>
      </c>
      <c r="L1165" s="133">
        <v>0</v>
      </c>
      <c r="M1165" s="133" t="s">
        <v>1096</v>
      </c>
      <c r="N1165" s="133">
        <v>0</v>
      </c>
      <c r="P1165" s="133">
        <v>0</v>
      </c>
      <c r="Q1165" s="133">
        <v>0</v>
      </c>
      <c r="R1165" s="133">
        <v>0</v>
      </c>
      <c r="S1165" s="156"/>
    </row>
    <row r="1166" spans="1:19">
      <c r="A1166" s="133" t="s">
        <v>1186</v>
      </c>
      <c r="B1166" s="133" t="s">
        <v>1175</v>
      </c>
      <c r="C1166" s="133" t="s">
        <v>1000</v>
      </c>
      <c r="D1166" s="133" t="s">
        <v>900</v>
      </c>
      <c r="E1166" s="133" t="s">
        <v>958</v>
      </c>
      <c r="F1166" s="133" t="s">
        <v>946</v>
      </c>
      <c r="G1166" s="133" t="s">
        <v>719</v>
      </c>
      <c r="H1166" s="133">
        <v>1.26</v>
      </c>
      <c r="I1166" s="133">
        <v>0</v>
      </c>
      <c r="J1166" s="133">
        <v>0</v>
      </c>
      <c r="K1166" s="133">
        <v>60</v>
      </c>
      <c r="L1166" s="133">
        <v>0</v>
      </c>
      <c r="M1166" s="133" t="s">
        <v>999</v>
      </c>
      <c r="N1166" s="133">
        <v>0</v>
      </c>
      <c r="P1166" s="133">
        <v>0</v>
      </c>
      <c r="Q1166" s="133">
        <v>0</v>
      </c>
      <c r="R1166" s="133">
        <v>60</v>
      </c>
      <c r="S1166" s="156">
        <v>1</v>
      </c>
    </row>
    <row r="1167" spans="1:19">
      <c r="A1167" s="133" t="s">
        <v>1186</v>
      </c>
      <c r="B1167" s="133" t="s">
        <v>1175</v>
      </c>
      <c r="C1167" s="133" t="s">
        <v>1000</v>
      </c>
      <c r="D1167" s="133" t="s">
        <v>495</v>
      </c>
      <c r="E1167" s="133" t="s">
        <v>496</v>
      </c>
      <c r="F1167" s="133" t="s">
        <v>707</v>
      </c>
      <c r="G1167" s="133" t="s">
        <v>732</v>
      </c>
      <c r="H1167" s="133">
        <v>6.05</v>
      </c>
      <c r="I1167" s="133">
        <v>9.49</v>
      </c>
      <c r="J1167" s="133">
        <v>105</v>
      </c>
      <c r="K1167" s="133">
        <v>27</v>
      </c>
      <c r="L1167" s="133">
        <v>0</v>
      </c>
      <c r="M1167" s="133" t="s">
        <v>999</v>
      </c>
      <c r="N1167" s="133">
        <v>0</v>
      </c>
      <c r="P1167" s="133">
        <v>0</v>
      </c>
      <c r="Q1167" s="133">
        <v>0</v>
      </c>
      <c r="R1167" s="133">
        <v>27</v>
      </c>
      <c r="S1167" s="156">
        <v>1</v>
      </c>
    </row>
    <row r="1168" spans="1:19">
      <c r="A1168" s="133" t="s">
        <v>1186</v>
      </c>
      <c r="B1168" s="133" t="s">
        <v>1175</v>
      </c>
      <c r="C1168" s="133" t="s">
        <v>1000</v>
      </c>
      <c r="D1168" s="133" t="s">
        <v>497</v>
      </c>
      <c r="E1168" s="133" t="s">
        <v>498</v>
      </c>
      <c r="F1168" s="133" t="s">
        <v>707</v>
      </c>
      <c r="G1168" s="133" t="s">
        <v>732</v>
      </c>
      <c r="H1168" s="133">
        <v>23.46</v>
      </c>
      <c r="I1168" s="133">
        <v>28.9</v>
      </c>
      <c r="J1168" s="133">
        <v>52</v>
      </c>
      <c r="K1168" s="133">
        <v>18</v>
      </c>
      <c r="L1168" s="133">
        <v>0</v>
      </c>
      <c r="M1168" s="133" t="s">
        <v>999</v>
      </c>
      <c r="N1168" s="133">
        <v>0</v>
      </c>
      <c r="P1168" s="133">
        <v>0</v>
      </c>
      <c r="Q1168" s="133">
        <v>0</v>
      </c>
      <c r="R1168" s="133">
        <v>18</v>
      </c>
      <c r="S1168" s="156">
        <v>1</v>
      </c>
    </row>
    <row r="1169" spans="1:19">
      <c r="A1169" s="133" t="s">
        <v>1186</v>
      </c>
      <c r="B1169" s="133" t="s">
        <v>1175</v>
      </c>
      <c r="C1169" s="133" t="s">
        <v>1000</v>
      </c>
      <c r="D1169" s="133" t="s">
        <v>499</v>
      </c>
      <c r="E1169" s="133" t="s">
        <v>500</v>
      </c>
      <c r="F1169" s="133" t="s">
        <v>708</v>
      </c>
      <c r="G1169" s="133" t="s">
        <v>715</v>
      </c>
      <c r="H1169" s="133">
        <v>56.08</v>
      </c>
      <c r="I1169" s="133">
        <v>127.72</v>
      </c>
      <c r="J1169" s="133">
        <v>2</v>
      </c>
      <c r="K1169" s="133">
        <v>3</v>
      </c>
      <c r="L1169" s="133">
        <v>0</v>
      </c>
      <c r="M1169" s="133" t="s">
        <v>999</v>
      </c>
      <c r="N1169" s="133">
        <v>0</v>
      </c>
      <c r="P1169" s="133">
        <v>0</v>
      </c>
      <c r="Q1169" s="133">
        <v>0</v>
      </c>
      <c r="R1169" s="133">
        <v>3</v>
      </c>
      <c r="S1169" s="156">
        <v>1</v>
      </c>
    </row>
    <row r="1170" spans="1:19">
      <c r="A1170" s="133" t="s">
        <v>1186</v>
      </c>
      <c r="B1170" s="133" t="s">
        <v>1175</v>
      </c>
      <c r="C1170" s="133" t="s">
        <v>1000</v>
      </c>
      <c r="D1170" s="133" t="s">
        <v>501</v>
      </c>
      <c r="E1170" s="133" t="s">
        <v>502</v>
      </c>
      <c r="F1170" s="133" t="s">
        <v>708</v>
      </c>
      <c r="G1170" s="133" t="s">
        <v>715</v>
      </c>
      <c r="H1170" s="133">
        <v>11.48</v>
      </c>
      <c r="I1170" s="133">
        <v>25.91</v>
      </c>
      <c r="J1170" s="133">
        <v>47</v>
      </c>
      <c r="K1170" s="133">
        <v>15</v>
      </c>
      <c r="L1170" s="133">
        <v>0</v>
      </c>
      <c r="M1170" s="133" t="s">
        <v>999</v>
      </c>
      <c r="N1170" s="133">
        <v>0</v>
      </c>
      <c r="P1170" s="133">
        <v>0</v>
      </c>
      <c r="Q1170" s="133">
        <v>0</v>
      </c>
      <c r="R1170" s="133">
        <v>15</v>
      </c>
      <c r="S1170" s="156">
        <v>1</v>
      </c>
    </row>
    <row r="1171" spans="1:19">
      <c r="A1171" s="133" t="s">
        <v>1186</v>
      </c>
      <c r="B1171" s="133" t="s">
        <v>1175</v>
      </c>
      <c r="C1171" s="133" t="s">
        <v>1000</v>
      </c>
      <c r="D1171" s="133" t="s">
        <v>503</v>
      </c>
      <c r="E1171" s="133" t="s">
        <v>504</v>
      </c>
      <c r="F1171" s="133" t="s">
        <v>708</v>
      </c>
      <c r="G1171" s="133" t="s">
        <v>715</v>
      </c>
      <c r="H1171" s="133">
        <v>3.38</v>
      </c>
      <c r="I1171" s="133">
        <v>7.22</v>
      </c>
      <c r="J1171" s="133">
        <v>294</v>
      </c>
      <c r="K1171" s="133">
        <v>90</v>
      </c>
      <c r="L1171" s="133">
        <v>0</v>
      </c>
      <c r="M1171" s="133" t="s">
        <v>999</v>
      </c>
      <c r="N1171" s="133">
        <v>0</v>
      </c>
      <c r="P1171" s="133">
        <v>0</v>
      </c>
      <c r="Q1171" s="133">
        <v>0</v>
      </c>
      <c r="R1171" s="133">
        <v>90</v>
      </c>
      <c r="S1171" s="156">
        <v>1</v>
      </c>
    </row>
    <row r="1172" spans="1:19">
      <c r="A1172" s="133" t="s">
        <v>1186</v>
      </c>
      <c r="B1172" s="133" t="s">
        <v>1175</v>
      </c>
      <c r="C1172" s="133" t="s">
        <v>1000</v>
      </c>
      <c r="D1172" s="133" t="s">
        <v>505</v>
      </c>
      <c r="E1172" s="133" t="s">
        <v>959</v>
      </c>
      <c r="F1172" s="133" t="s">
        <v>712</v>
      </c>
      <c r="G1172" s="133" t="s">
        <v>715</v>
      </c>
      <c r="H1172" s="133">
        <v>1.94</v>
      </c>
      <c r="I1172" s="133">
        <v>4.12</v>
      </c>
      <c r="J1172" s="133">
        <v>0</v>
      </c>
      <c r="K1172" s="133">
        <v>0</v>
      </c>
      <c r="L1172" s="133">
        <v>0</v>
      </c>
      <c r="M1172" s="133" t="s">
        <v>1096</v>
      </c>
      <c r="N1172" s="133">
        <v>0</v>
      </c>
      <c r="P1172" s="133">
        <v>0</v>
      </c>
      <c r="Q1172" s="133">
        <v>0</v>
      </c>
      <c r="R1172" s="133">
        <v>0</v>
      </c>
      <c r="S1172" s="156"/>
    </row>
    <row r="1173" spans="1:19">
      <c r="A1173" s="133" t="s">
        <v>1186</v>
      </c>
      <c r="B1173" s="133" t="s">
        <v>1175</v>
      </c>
      <c r="C1173" s="133" t="s">
        <v>1000</v>
      </c>
      <c r="D1173" s="133" t="s">
        <v>506</v>
      </c>
      <c r="E1173" s="133" t="s">
        <v>507</v>
      </c>
      <c r="F1173" s="133" t="s">
        <v>712</v>
      </c>
      <c r="G1173" s="133" t="s">
        <v>715</v>
      </c>
      <c r="H1173" s="133">
        <v>3.49</v>
      </c>
      <c r="I1173" s="133">
        <v>7.39</v>
      </c>
      <c r="J1173" s="133">
        <v>0</v>
      </c>
      <c r="K1173" s="133">
        <v>0</v>
      </c>
      <c r="L1173" s="133">
        <v>0</v>
      </c>
      <c r="M1173" s="133" t="s">
        <v>1096</v>
      </c>
      <c r="N1173" s="133">
        <v>0</v>
      </c>
      <c r="P1173" s="133">
        <v>0</v>
      </c>
      <c r="Q1173" s="133">
        <v>0</v>
      </c>
      <c r="R1173" s="133">
        <v>0</v>
      </c>
      <c r="S1173" s="156"/>
    </row>
    <row r="1174" spans="1:19">
      <c r="A1174" s="133" t="s">
        <v>1186</v>
      </c>
      <c r="B1174" s="133" t="s">
        <v>1175</v>
      </c>
      <c r="C1174" s="133" t="s">
        <v>1000</v>
      </c>
      <c r="D1174" s="133" t="s">
        <v>508</v>
      </c>
      <c r="E1174" s="133" t="s">
        <v>960</v>
      </c>
      <c r="F1174" s="133" t="s">
        <v>712</v>
      </c>
      <c r="G1174" s="133" t="s">
        <v>715</v>
      </c>
      <c r="H1174" s="133">
        <v>6.94</v>
      </c>
      <c r="I1174" s="133">
        <v>13.76</v>
      </c>
      <c r="J1174" s="133">
        <v>0</v>
      </c>
      <c r="K1174" s="133">
        <v>0</v>
      </c>
      <c r="L1174" s="133">
        <v>0</v>
      </c>
      <c r="M1174" s="133" t="s">
        <v>1096</v>
      </c>
      <c r="N1174" s="133">
        <v>0</v>
      </c>
      <c r="P1174" s="133">
        <v>0</v>
      </c>
      <c r="Q1174" s="133">
        <v>0</v>
      </c>
      <c r="R1174" s="133">
        <v>0</v>
      </c>
      <c r="S1174" s="156"/>
    </row>
    <row r="1175" spans="1:19">
      <c r="A1175" s="133" t="s">
        <v>1186</v>
      </c>
      <c r="B1175" s="133" t="s">
        <v>1175</v>
      </c>
      <c r="C1175" s="133" t="s">
        <v>1000</v>
      </c>
      <c r="D1175" s="133" t="s">
        <v>901</v>
      </c>
      <c r="E1175" s="133" t="s">
        <v>961</v>
      </c>
      <c r="F1175" s="133" t="s">
        <v>946</v>
      </c>
      <c r="G1175" s="133" t="s">
        <v>719</v>
      </c>
      <c r="H1175" s="133">
        <v>0.93</v>
      </c>
      <c r="I1175" s="133">
        <v>0</v>
      </c>
      <c r="J1175" s="133">
        <v>0</v>
      </c>
      <c r="K1175" s="133">
        <v>30</v>
      </c>
      <c r="L1175" s="133">
        <v>0</v>
      </c>
      <c r="M1175" s="133" t="s">
        <v>999</v>
      </c>
      <c r="N1175" s="133">
        <v>0</v>
      </c>
      <c r="P1175" s="133">
        <v>0</v>
      </c>
      <c r="Q1175" s="133">
        <v>0</v>
      </c>
      <c r="R1175" s="133">
        <v>30</v>
      </c>
      <c r="S1175" s="156">
        <v>1</v>
      </c>
    </row>
    <row r="1176" spans="1:19">
      <c r="A1176" s="133" t="s">
        <v>1186</v>
      </c>
      <c r="B1176" s="133" t="s">
        <v>1175</v>
      </c>
      <c r="C1176" s="133" t="s">
        <v>1000</v>
      </c>
      <c r="D1176" s="133" t="s">
        <v>902</v>
      </c>
      <c r="E1176" s="133" t="s">
        <v>962</v>
      </c>
      <c r="F1176" s="133" t="s">
        <v>946</v>
      </c>
      <c r="G1176" s="133" t="s">
        <v>719</v>
      </c>
      <c r="H1176" s="133">
        <v>0.54</v>
      </c>
      <c r="I1176" s="133">
        <v>0</v>
      </c>
      <c r="J1176" s="133">
        <v>0</v>
      </c>
      <c r="K1176" s="133">
        <v>30</v>
      </c>
      <c r="L1176" s="133">
        <v>0</v>
      </c>
      <c r="M1176" s="133" t="s">
        <v>999</v>
      </c>
      <c r="N1176" s="133">
        <v>0</v>
      </c>
      <c r="P1176" s="133">
        <v>0</v>
      </c>
      <c r="Q1176" s="133">
        <v>0</v>
      </c>
      <c r="R1176" s="133">
        <v>30</v>
      </c>
      <c r="S1176" s="156">
        <v>1</v>
      </c>
    </row>
    <row r="1177" spans="1:19">
      <c r="A1177" s="133" t="s">
        <v>1186</v>
      </c>
      <c r="B1177" s="133" t="s">
        <v>1175</v>
      </c>
      <c r="C1177" s="133" t="s">
        <v>1000</v>
      </c>
      <c r="D1177" s="133" t="s">
        <v>903</v>
      </c>
      <c r="E1177" s="133" t="s">
        <v>963</v>
      </c>
      <c r="F1177" s="133" t="s">
        <v>946</v>
      </c>
      <c r="G1177" s="133" t="s">
        <v>719</v>
      </c>
      <c r="H1177" s="133">
        <v>2.13</v>
      </c>
      <c r="I1177" s="133">
        <v>0</v>
      </c>
      <c r="J1177" s="133">
        <v>0</v>
      </c>
      <c r="K1177" s="133">
        <v>12</v>
      </c>
      <c r="L1177" s="133">
        <v>0</v>
      </c>
      <c r="M1177" s="133" t="s">
        <v>999</v>
      </c>
      <c r="N1177" s="133">
        <v>0</v>
      </c>
      <c r="P1177" s="133">
        <v>0</v>
      </c>
      <c r="Q1177" s="133">
        <v>0</v>
      </c>
      <c r="R1177" s="133">
        <v>12</v>
      </c>
      <c r="S1177" s="156">
        <v>1</v>
      </c>
    </row>
    <row r="1178" spans="1:19">
      <c r="A1178" s="133" t="s">
        <v>1186</v>
      </c>
      <c r="B1178" s="133" t="s">
        <v>1175</v>
      </c>
      <c r="C1178" s="133" t="s">
        <v>1000</v>
      </c>
      <c r="D1178" s="133" t="s">
        <v>904</v>
      </c>
      <c r="E1178" s="133" t="s">
        <v>964</v>
      </c>
      <c r="F1178" s="133" t="s">
        <v>946</v>
      </c>
      <c r="G1178" s="133" t="s">
        <v>719</v>
      </c>
      <c r="H1178" s="133">
        <v>4.1100000000000003</v>
      </c>
      <c r="I1178" s="133">
        <v>0</v>
      </c>
      <c r="J1178" s="133">
        <v>0</v>
      </c>
      <c r="K1178" s="133">
        <v>18</v>
      </c>
      <c r="L1178" s="133">
        <v>0</v>
      </c>
      <c r="M1178" s="133" t="s">
        <v>999</v>
      </c>
      <c r="N1178" s="133">
        <v>0</v>
      </c>
      <c r="P1178" s="133">
        <v>0</v>
      </c>
      <c r="Q1178" s="133">
        <v>0</v>
      </c>
      <c r="R1178" s="133">
        <v>18</v>
      </c>
      <c r="S1178" s="156">
        <v>1</v>
      </c>
    </row>
    <row r="1179" spans="1:19">
      <c r="A1179" s="133" t="s">
        <v>1186</v>
      </c>
      <c r="B1179" s="133" t="s">
        <v>1175</v>
      </c>
      <c r="C1179" s="133" t="s">
        <v>1000</v>
      </c>
      <c r="D1179" s="133" t="s">
        <v>512</v>
      </c>
      <c r="E1179" s="133" t="s">
        <v>513</v>
      </c>
      <c r="F1179" s="133" t="s">
        <v>709</v>
      </c>
      <c r="G1179" s="133" t="s">
        <v>719</v>
      </c>
      <c r="H1179" s="133">
        <v>1.1599999999999999</v>
      </c>
      <c r="I1179" s="133">
        <v>1.89</v>
      </c>
      <c r="J1179" s="133">
        <v>0</v>
      </c>
      <c r="K1179" s="133">
        <v>0</v>
      </c>
      <c r="L1179" s="133">
        <v>0</v>
      </c>
      <c r="M1179" s="133" t="s">
        <v>1096</v>
      </c>
      <c r="N1179" s="133">
        <v>0</v>
      </c>
      <c r="P1179" s="133">
        <v>0</v>
      </c>
      <c r="Q1179" s="133">
        <v>0</v>
      </c>
      <c r="R1179" s="133">
        <v>0</v>
      </c>
      <c r="S1179" s="156"/>
    </row>
    <row r="1180" spans="1:19">
      <c r="A1180" s="133" t="s">
        <v>1186</v>
      </c>
      <c r="B1180" s="133" t="s">
        <v>1175</v>
      </c>
      <c r="C1180" s="133" t="s">
        <v>1000</v>
      </c>
      <c r="D1180" s="133" t="s">
        <v>514</v>
      </c>
      <c r="E1180" s="133" t="s">
        <v>515</v>
      </c>
      <c r="F1180" s="133" t="s">
        <v>709</v>
      </c>
      <c r="G1180" s="133" t="s">
        <v>719</v>
      </c>
      <c r="H1180" s="133">
        <v>2.14</v>
      </c>
      <c r="I1180" s="133">
        <v>3.37</v>
      </c>
      <c r="J1180" s="133">
        <v>0</v>
      </c>
      <c r="K1180" s="133">
        <v>0</v>
      </c>
      <c r="L1180" s="133">
        <v>0</v>
      </c>
      <c r="M1180" s="133" t="s">
        <v>1096</v>
      </c>
      <c r="N1180" s="133">
        <v>0</v>
      </c>
      <c r="P1180" s="133">
        <v>0</v>
      </c>
      <c r="Q1180" s="133">
        <v>0</v>
      </c>
      <c r="R1180" s="133">
        <v>0</v>
      </c>
      <c r="S1180" s="156"/>
    </row>
    <row r="1181" spans="1:19">
      <c r="A1181" s="133" t="s">
        <v>1186</v>
      </c>
      <c r="B1181" s="133" t="s">
        <v>1175</v>
      </c>
      <c r="C1181" s="133" t="s">
        <v>1000</v>
      </c>
      <c r="D1181" s="133" t="s">
        <v>516</v>
      </c>
      <c r="E1181" s="133" t="s">
        <v>517</v>
      </c>
      <c r="F1181" s="133" t="s">
        <v>709</v>
      </c>
      <c r="G1181" s="133" t="s">
        <v>719</v>
      </c>
      <c r="H1181" s="133">
        <v>4.8499999999999996</v>
      </c>
      <c r="I1181" s="133">
        <v>5.4</v>
      </c>
      <c r="J1181" s="133">
        <v>0</v>
      </c>
      <c r="K1181" s="133">
        <v>0</v>
      </c>
      <c r="L1181" s="133">
        <v>0</v>
      </c>
      <c r="M1181" s="133" t="s">
        <v>1096</v>
      </c>
      <c r="N1181" s="133">
        <v>0</v>
      </c>
      <c r="P1181" s="133">
        <v>0</v>
      </c>
      <c r="Q1181" s="133">
        <v>0</v>
      </c>
      <c r="R1181" s="133">
        <v>0</v>
      </c>
      <c r="S1181" s="156"/>
    </row>
    <row r="1182" spans="1:19">
      <c r="A1182" s="133" t="s">
        <v>1186</v>
      </c>
      <c r="B1182" s="133" t="s">
        <v>1175</v>
      </c>
      <c r="C1182" s="133" t="s">
        <v>1000</v>
      </c>
      <c r="D1182" s="133" t="s">
        <v>524</v>
      </c>
      <c r="E1182" s="133" t="s">
        <v>525</v>
      </c>
      <c r="F1182" s="133" t="s">
        <v>709</v>
      </c>
      <c r="G1182" s="133" t="s">
        <v>719</v>
      </c>
      <c r="H1182" s="133">
        <v>0.49</v>
      </c>
      <c r="I1182" s="133">
        <v>0.85</v>
      </c>
      <c r="J1182" s="133">
        <v>0</v>
      </c>
      <c r="K1182" s="133">
        <v>0</v>
      </c>
      <c r="L1182" s="133">
        <v>0</v>
      </c>
      <c r="M1182" s="133" t="s">
        <v>1096</v>
      </c>
      <c r="N1182" s="133">
        <v>0</v>
      </c>
      <c r="P1182" s="133">
        <v>0</v>
      </c>
      <c r="Q1182" s="133">
        <v>0</v>
      </c>
      <c r="R1182" s="133">
        <v>0</v>
      </c>
      <c r="S1182" s="156"/>
    </row>
    <row r="1183" spans="1:19">
      <c r="A1183" s="133" t="s">
        <v>1186</v>
      </c>
      <c r="B1183" s="133" t="s">
        <v>1175</v>
      </c>
      <c r="C1183" s="133" t="s">
        <v>1000</v>
      </c>
      <c r="D1183" s="133" t="s">
        <v>526</v>
      </c>
      <c r="E1183" s="133" t="s">
        <v>527</v>
      </c>
      <c r="F1183" s="133" t="s">
        <v>712</v>
      </c>
      <c r="G1183" s="133" t="s">
        <v>719</v>
      </c>
      <c r="H1183" s="133">
        <v>1.72</v>
      </c>
      <c r="I1183" s="133">
        <v>3.49</v>
      </c>
      <c r="J1183" s="133">
        <v>198</v>
      </c>
      <c r="K1183" s="133">
        <v>195</v>
      </c>
      <c r="L1183" s="133">
        <v>0</v>
      </c>
      <c r="M1183" s="133" t="s">
        <v>999</v>
      </c>
      <c r="N1183" s="133">
        <v>0</v>
      </c>
      <c r="P1183" s="133">
        <v>0</v>
      </c>
      <c r="Q1183" s="133">
        <v>0</v>
      </c>
      <c r="R1183" s="133">
        <v>195</v>
      </c>
      <c r="S1183" s="156">
        <v>1</v>
      </c>
    </row>
    <row r="1184" spans="1:19">
      <c r="A1184" s="133" t="s">
        <v>1186</v>
      </c>
      <c r="B1184" s="133" t="s">
        <v>1175</v>
      </c>
      <c r="C1184" s="133" t="s">
        <v>1000</v>
      </c>
      <c r="D1184" s="133" t="s">
        <v>528</v>
      </c>
      <c r="E1184" s="133" t="s">
        <v>529</v>
      </c>
      <c r="F1184" s="133" t="s">
        <v>712</v>
      </c>
      <c r="G1184" s="133" t="s">
        <v>719</v>
      </c>
      <c r="H1184" s="133">
        <v>3.6</v>
      </c>
      <c r="I1184" s="133">
        <v>7.59</v>
      </c>
      <c r="J1184" s="133">
        <v>100</v>
      </c>
      <c r="K1184" s="133">
        <v>240</v>
      </c>
      <c r="L1184" s="133">
        <v>0</v>
      </c>
      <c r="M1184" s="133" t="s">
        <v>999</v>
      </c>
      <c r="N1184" s="133">
        <v>0</v>
      </c>
      <c r="P1184" s="133">
        <v>0</v>
      </c>
      <c r="Q1184" s="133">
        <v>0</v>
      </c>
      <c r="R1184" s="133">
        <v>240</v>
      </c>
      <c r="S1184" s="156">
        <v>1</v>
      </c>
    </row>
    <row r="1185" spans="1:19">
      <c r="A1185" s="133" t="s">
        <v>1186</v>
      </c>
      <c r="B1185" s="133" t="s">
        <v>1175</v>
      </c>
      <c r="C1185" s="133" t="s">
        <v>1000</v>
      </c>
      <c r="D1185" s="133" t="s">
        <v>530</v>
      </c>
      <c r="E1185" s="133" t="s">
        <v>531</v>
      </c>
      <c r="F1185" s="133" t="s">
        <v>712</v>
      </c>
      <c r="G1185" s="133" t="s">
        <v>719</v>
      </c>
      <c r="H1185" s="133">
        <v>6.89</v>
      </c>
      <c r="I1185" s="133">
        <v>13.99</v>
      </c>
      <c r="J1185" s="133">
        <v>171</v>
      </c>
      <c r="K1185" s="133">
        <v>36</v>
      </c>
      <c r="L1185" s="133">
        <v>0</v>
      </c>
      <c r="M1185" s="133" t="s">
        <v>999</v>
      </c>
      <c r="N1185" s="133">
        <v>0</v>
      </c>
      <c r="P1185" s="133">
        <v>0</v>
      </c>
      <c r="Q1185" s="133">
        <v>0</v>
      </c>
      <c r="R1185" s="133">
        <v>36</v>
      </c>
      <c r="S1185" s="156">
        <v>1</v>
      </c>
    </row>
    <row r="1186" spans="1:19">
      <c r="A1186" s="133" t="s">
        <v>1186</v>
      </c>
      <c r="B1186" s="133" t="s">
        <v>1175</v>
      </c>
      <c r="C1186" s="133" t="s">
        <v>1000</v>
      </c>
      <c r="D1186" s="133" t="s">
        <v>920</v>
      </c>
      <c r="E1186" s="133" t="s">
        <v>965</v>
      </c>
      <c r="F1186" s="133" t="s">
        <v>966</v>
      </c>
      <c r="G1186" s="133" t="s">
        <v>719</v>
      </c>
      <c r="H1186" s="133">
        <v>14.48</v>
      </c>
      <c r="I1186" s="133">
        <v>28.5</v>
      </c>
      <c r="J1186" s="133">
        <v>130</v>
      </c>
      <c r="K1186" s="133">
        <v>45</v>
      </c>
      <c r="L1186" s="133">
        <v>0</v>
      </c>
      <c r="M1186" s="133" t="s">
        <v>999</v>
      </c>
      <c r="N1186" s="133">
        <v>0</v>
      </c>
      <c r="P1186" s="133">
        <v>0</v>
      </c>
      <c r="Q1186" s="133">
        <v>0</v>
      </c>
      <c r="R1186" s="133">
        <v>45</v>
      </c>
      <c r="S1186" s="156">
        <v>1</v>
      </c>
    </row>
    <row r="1187" spans="1:19">
      <c r="A1187" s="133" t="s">
        <v>1186</v>
      </c>
      <c r="B1187" s="133" t="s">
        <v>1175</v>
      </c>
      <c r="C1187" s="133" t="s">
        <v>1000</v>
      </c>
      <c r="D1187" s="133" t="s">
        <v>538</v>
      </c>
      <c r="E1187" s="133" t="s">
        <v>539</v>
      </c>
      <c r="F1187" s="133" t="s">
        <v>709</v>
      </c>
      <c r="G1187" s="133" t="s">
        <v>719</v>
      </c>
      <c r="H1187" s="133">
        <v>1.1299999999999999</v>
      </c>
      <c r="I1187" s="133">
        <v>4.07</v>
      </c>
      <c r="J1187" s="133">
        <v>0</v>
      </c>
      <c r="K1187" s="133">
        <v>0</v>
      </c>
      <c r="L1187" s="133">
        <v>0</v>
      </c>
      <c r="M1187" s="133" t="s">
        <v>1096</v>
      </c>
      <c r="N1187" s="133">
        <v>0</v>
      </c>
      <c r="P1187" s="133">
        <v>0</v>
      </c>
      <c r="Q1187" s="133">
        <v>0</v>
      </c>
      <c r="R1187" s="133">
        <v>0</v>
      </c>
      <c r="S1187" s="156"/>
    </row>
    <row r="1188" spans="1:19">
      <c r="A1188" s="133" t="s">
        <v>1186</v>
      </c>
      <c r="B1188" s="133" t="s">
        <v>1175</v>
      </c>
      <c r="C1188" s="133" t="s">
        <v>1000</v>
      </c>
      <c r="D1188" s="133" t="s">
        <v>905</v>
      </c>
      <c r="E1188" s="133" t="s">
        <v>967</v>
      </c>
      <c r="F1188" s="133" t="s">
        <v>946</v>
      </c>
      <c r="G1188" s="133" t="s">
        <v>719</v>
      </c>
      <c r="H1188" s="133">
        <v>3.43</v>
      </c>
      <c r="I1188" s="133">
        <v>0</v>
      </c>
      <c r="J1188" s="133">
        <v>0</v>
      </c>
      <c r="K1188" s="133">
        <v>30</v>
      </c>
      <c r="L1188" s="133">
        <v>0</v>
      </c>
      <c r="M1188" s="133" t="s">
        <v>999</v>
      </c>
      <c r="N1188" s="133">
        <v>0</v>
      </c>
      <c r="P1188" s="133">
        <v>0</v>
      </c>
      <c r="Q1188" s="133">
        <v>0</v>
      </c>
      <c r="R1188" s="133">
        <v>30</v>
      </c>
      <c r="S1188" s="156">
        <v>1</v>
      </c>
    </row>
    <row r="1189" spans="1:19">
      <c r="A1189" s="133" t="s">
        <v>1186</v>
      </c>
      <c r="B1189" s="133" t="s">
        <v>1175</v>
      </c>
      <c r="C1189" s="133" t="s">
        <v>1000</v>
      </c>
      <c r="D1189" s="133" t="s">
        <v>906</v>
      </c>
      <c r="E1189" s="133" t="s">
        <v>968</v>
      </c>
      <c r="F1189" s="133" t="s">
        <v>946</v>
      </c>
      <c r="G1189" s="133" t="s">
        <v>719</v>
      </c>
      <c r="H1189" s="133">
        <v>1.48</v>
      </c>
      <c r="I1189" s="133">
        <v>0</v>
      </c>
      <c r="J1189" s="133">
        <v>0</v>
      </c>
      <c r="K1189" s="133">
        <v>30</v>
      </c>
      <c r="L1189" s="133">
        <v>0</v>
      </c>
      <c r="M1189" s="133" t="s">
        <v>999</v>
      </c>
      <c r="N1189" s="133">
        <v>0</v>
      </c>
      <c r="P1189" s="133">
        <v>0</v>
      </c>
      <c r="Q1189" s="133">
        <v>0</v>
      </c>
      <c r="R1189" s="133">
        <v>30</v>
      </c>
      <c r="S1189" s="156">
        <v>1</v>
      </c>
    </row>
    <row r="1190" spans="1:19">
      <c r="A1190" s="133" t="s">
        <v>1186</v>
      </c>
      <c r="B1190" s="133" t="s">
        <v>1175</v>
      </c>
      <c r="C1190" s="133" t="s">
        <v>1000</v>
      </c>
      <c r="D1190" s="133" t="s">
        <v>542</v>
      </c>
      <c r="E1190" s="133" t="s">
        <v>543</v>
      </c>
      <c r="F1190" s="133" t="s">
        <v>707</v>
      </c>
      <c r="G1190" s="133" t="s">
        <v>715</v>
      </c>
      <c r="H1190" s="133">
        <v>1.24</v>
      </c>
      <c r="I1190" s="133">
        <v>2.99</v>
      </c>
      <c r="J1190" s="133">
        <v>337</v>
      </c>
      <c r="K1190" s="133">
        <v>30</v>
      </c>
      <c r="L1190" s="133">
        <v>0</v>
      </c>
      <c r="M1190" s="133" t="s">
        <v>999</v>
      </c>
      <c r="N1190" s="133">
        <v>0</v>
      </c>
      <c r="P1190" s="133">
        <v>0</v>
      </c>
      <c r="Q1190" s="133">
        <v>0</v>
      </c>
      <c r="R1190" s="133">
        <v>30</v>
      </c>
      <c r="S1190" s="156">
        <v>1</v>
      </c>
    </row>
    <row r="1191" spans="1:19">
      <c r="A1191" s="133" t="s">
        <v>1186</v>
      </c>
      <c r="B1191" s="133" t="s">
        <v>1175</v>
      </c>
      <c r="C1191" s="133" t="s">
        <v>1000</v>
      </c>
      <c r="D1191" s="133" t="s">
        <v>544</v>
      </c>
      <c r="E1191" s="133" t="s">
        <v>545</v>
      </c>
      <c r="F1191" s="133" t="s">
        <v>707</v>
      </c>
      <c r="G1191" s="133" t="s">
        <v>715</v>
      </c>
      <c r="H1191" s="133">
        <v>2.27</v>
      </c>
      <c r="I1191" s="133">
        <v>4.99</v>
      </c>
      <c r="J1191" s="133">
        <v>258</v>
      </c>
      <c r="K1191" s="133">
        <v>54</v>
      </c>
      <c r="L1191" s="133">
        <v>0</v>
      </c>
      <c r="M1191" s="133" t="s">
        <v>999</v>
      </c>
      <c r="N1191" s="133">
        <v>0</v>
      </c>
      <c r="P1191" s="133">
        <v>0</v>
      </c>
      <c r="Q1191" s="133">
        <v>0</v>
      </c>
      <c r="R1191" s="133">
        <v>54</v>
      </c>
      <c r="S1191" s="156">
        <v>1</v>
      </c>
    </row>
    <row r="1192" spans="1:19">
      <c r="A1192" s="133" t="s">
        <v>1186</v>
      </c>
      <c r="B1192" s="133" t="s">
        <v>1175</v>
      </c>
      <c r="C1192" s="133" t="s">
        <v>1000</v>
      </c>
      <c r="D1192" s="133" t="s">
        <v>546</v>
      </c>
      <c r="E1192" s="133" t="s">
        <v>547</v>
      </c>
      <c r="F1192" s="133" t="s">
        <v>707</v>
      </c>
      <c r="G1192" s="133" t="s">
        <v>715</v>
      </c>
      <c r="H1192" s="133">
        <v>16.43</v>
      </c>
      <c r="I1192" s="133">
        <v>29.9</v>
      </c>
      <c r="J1192" s="133">
        <v>0</v>
      </c>
      <c r="K1192" s="133">
        <v>0</v>
      </c>
      <c r="L1192" s="133">
        <v>0</v>
      </c>
      <c r="M1192" s="133" t="s">
        <v>1096</v>
      </c>
      <c r="N1192" s="133">
        <v>0</v>
      </c>
      <c r="P1192" s="133">
        <v>0</v>
      </c>
      <c r="Q1192" s="133">
        <v>0</v>
      </c>
      <c r="R1192" s="133">
        <v>0</v>
      </c>
      <c r="S1192" s="156"/>
    </row>
    <row r="1193" spans="1:19">
      <c r="A1193" s="133" t="s">
        <v>1186</v>
      </c>
      <c r="B1193" s="133" t="s">
        <v>1175</v>
      </c>
      <c r="C1193" s="133" t="s">
        <v>1000</v>
      </c>
      <c r="D1193" s="133" t="s">
        <v>548</v>
      </c>
      <c r="E1193" s="133" t="s">
        <v>549</v>
      </c>
      <c r="F1193" s="133" t="s">
        <v>707</v>
      </c>
      <c r="G1193" s="133" t="s">
        <v>715</v>
      </c>
      <c r="H1193" s="133">
        <v>3.66</v>
      </c>
      <c r="I1193" s="133">
        <v>8.69</v>
      </c>
      <c r="J1193" s="133">
        <v>200</v>
      </c>
      <c r="K1193" s="133">
        <v>48</v>
      </c>
      <c r="L1193" s="133">
        <v>0</v>
      </c>
      <c r="M1193" s="133" t="s">
        <v>999</v>
      </c>
      <c r="N1193" s="133">
        <v>0</v>
      </c>
      <c r="P1193" s="133">
        <v>0</v>
      </c>
      <c r="Q1193" s="133">
        <v>0</v>
      </c>
      <c r="R1193" s="133">
        <v>48</v>
      </c>
      <c r="S1193" s="156">
        <v>1</v>
      </c>
    </row>
    <row r="1194" spans="1:19">
      <c r="A1194" s="133" t="s">
        <v>1186</v>
      </c>
      <c r="B1194" s="133" t="s">
        <v>1175</v>
      </c>
      <c r="C1194" s="133" t="s">
        <v>1000</v>
      </c>
      <c r="D1194" s="133" t="s">
        <v>553</v>
      </c>
      <c r="E1194" s="133" t="s">
        <v>554</v>
      </c>
      <c r="F1194" s="133" t="s">
        <v>712</v>
      </c>
      <c r="G1194" s="133" t="s">
        <v>715</v>
      </c>
      <c r="H1194" s="133">
        <v>4.62</v>
      </c>
      <c r="I1194" s="133">
        <v>7.59</v>
      </c>
      <c r="J1194" s="133">
        <v>0</v>
      </c>
      <c r="K1194" s="133">
        <v>120</v>
      </c>
      <c r="L1194" s="133">
        <v>0</v>
      </c>
      <c r="M1194" s="133" t="s">
        <v>999</v>
      </c>
      <c r="N1194" s="133">
        <v>0</v>
      </c>
      <c r="P1194" s="133">
        <v>0</v>
      </c>
      <c r="Q1194" s="133">
        <v>0</v>
      </c>
      <c r="R1194" s="133">
        <v>120</v>
      </c>
      <c r="S1194" s="156">
        <v>1</v>
      </c>
    </row>
    <row r="1195" spans="1:19">
      <c r="A1195" s="133" t="s">
        <v>1186</v>
      </c>
      <c r="B1195" s="133" t="s">
        <v>1175</v>
      </c>
      <c r="C1195" s="133" t="s">
        <v>1000</v>
      </c>
      <c r="D1195" s="133" t="s">
        <v>555</v>
      </c>
      <c r="E1195" s="133" t="s">
        <v>556</v>
      </c>
      <c r="F1195" s="133" t="s">
        <v>712</v>
      </c>
      <c r="G1195" s="133" t="s">
        <v>719</v>
      </c>
      <c r="H1195" s="133">
        <v>2.59</v>
      </c>
      <c r="I1195" s="133">
        <v>0</v>
      </c>
      <c r="J1195" s="133">
        <v>1140</v>
      </c>
      <c r="K1195" s="133">
        <v>300</v>
      </c>
      <c r="L1195" s="133">
        <v>0</v>
      </c>
      <c r="M1195" s="133" t="s">
        <v>999</v>
      </c>
      <c r="N1195" s="133">
        <v>0</v>
      </c>
      <c r="P1195" s="133">
        <v>0</v>
      </c>
      <c r="Q1195" s="133">
        <v>0</v>
      </c>
      <c r="R1195" s="133">
        <v>300</v>
      </c>
      <c r="S1195" s="156">
        <v>1</v>
      </c>
    </row>
    <row r="1196" spans="1:19">
      <c r="A1196" s="133" t="s">
        <v>1186</v>
      </c>
      <c r="B1196" s="133" t="s">
        <v>1175</v>
      </c>
      <c r="C1196" s="133" t="s">
        <v>1000</v>
      </c>
      <c r="D1196" s="133" t="s">
        <v>557</v>
      </c>
      <c r="E1196" s="133" t="s">
        <v>558</v>
      </c>
      <c r="F1196" s="133" t="s">
        <v>712</v>
      </c>
      <c r="G1196" s="133" t="s">
        <v>719</v>
      </c>
      <c r="H1196" s="133">
        <v>4.75</v>
      </c>
      <c r="I1196" s="133">
        <v>0</v>
      </c>
      <c r="J1196" s="133">
        <v>2670</v>
      </c>
      <c r="K1196" s="133">
        <v>600</v>
      </c>
      <c r="L1196" s="133">
        <v>0</v>
      </c>
      <c r="M1196" s="133" t="s">
        <v>999</v>
      </c>
      <c r="N1196" s="133">
        <v>0</v>
      </c>
      <c r="P1196" s="133">
        <v>0</v>
      </c>
      <c r="Q1196" s="133">
        <v>0</v>
      </c>
      <c r="R1196" s="133">
        <v>600</v>
      </c>
      <c r="S1196" s="156">
        <v>1</v>
      </c>
    </row>
    <row r="1197" spans="1:19">
      <c r="A1197" s="133" t="s">
        <v>1186</v>
      </c>
      <c r="B1197" s="133" t="s">
        <v>1175</v>
      </c>
      <c r="C1197" s="133" t="s">
        <v>1000</v>
      </c>
      <c r="D1197" s="133" t="s">
        <v>559</v>
      </c>
      <c r="E1197" s="133" t="s">
        <v>560</v>
      </c>
      <c r="F1197" s="133" t="s">
        <v>712</v>
      </c>
      <c r="G1197" s="133" t="s">
        <v>719</v>
      </c>
      <c r="H1197" s="133">
        <v>2.4</v>
      </c>
      <c r="I1197" s="133">
        <v>4.8899999999999997</v>
      </c>
      <c r="J1197" s="133">
        <v>274</v>
      </c>
      <c r="K1197" s="133">
        <v>180</v>
      </c>
      <c r="L1197" s="133">
        <v>0</v>
      </c>
      <c r="M1197" s="133" t="s">
        <v>999</v>
      </c>
      <c r="N1197" s="133">
        <v>0</v>
      </c>
      <c r="P1197" s="133">
        <v>0</v>
      </c>
      <c r="Q1197" s="133">
        <v>0</v>
      </c>
      <c r="R1197" s="133">
        <v>180</v>
      </c>
      <c r="S1197" s="156">
        <v>1</v>
      </c>
    </row>
    <row r="1198" spans="1:19">
      <c r="A1198" s="133" t="s">
        <v>1186</v>
      </c>
      <c r="B1198" s="133" t="s">
        <v>1175</v>
      </c>
      <c r="C1198" s="133" t="s">
        <v>1000</v>
      </c>
      <c r="D1198" s="133" t="s">
        <v>561</v>
      </c>
      <c r="E1198" s="133" t="s">
        <v>562</v>
      </c>
      <c r="F1198" s="133" t="s">
        <v>712</v>
      </c>
      <c r="G1198" s="133" t="s">
        <v>719</v>
      </c>
      <c r="H1198" s="133">
        <v>4.47</v>
      </c>
      <c r="I1198" s="133">
        <v>9.2899999999999991</v>
      </c>
      <c r="J1198" s="133">
        <v>964</v>
      </c>
      <c r="K1198" s="133">
        <v>300</v>
      </c>
      <c r="L1198" s="133">
        <v>0</v>
      </c>
      <c r="M1198" s="133" t="s">
        <v>999</v>
      </c>
      <c r="N1198" s="133">
        <v>0</v>
      </c>
      <c r="P1198" s="133">
        <v>0</v>
      </c>
      <c r="Q1198" s="133">
        <v>0</v>
      </c>
      <c r="R1198" s="133">
        <v>300</v>
      </c>
      <c r="S1198" s="156">
        <v>1</v>
      </c>
    </row>
    <row r="1199" spans="1:19">
      <c r="A1199" s="133" t="s">
        <v>1186</v>
      </c>
      <c r="B1199" s="133" t="s">
        <v>1175</v>
      </c>
      <c r="C1199" s="133" t="s">
        <v>1000</v>
      </c>
      <c r="D1199" s="133" t="s">
        <v>883</v>
      </c>
      <c r="E1199" s="133" t="s">
        <v>969</v>
      </c>
      <c r="F1199" s="133" t="s">
        <v>712</v>
      </c>
      <c r="G1199" s="133" t="s">
        <v>715</v>
      </c>
      <c r="H1199" s="133">
        <v>1.66</v>
      </c>
      <c r="I1199" s="133">
        <v>2.99</v>
      </c>
      <c r="J1199" s="133">
        <v>197</v>
      </c>
      <c r="K1199" s="133">
        <v>60</v>
      </c>
      <c r="L1199" s="133">
        <v>0</v>
      </c>
      <c r="M1199" s="133" t="s">
        <v>999</v>
      </c>
      <c r="N1199" s="133">
        <v>0</v>
      </c>
      <c r="P1199" s="133">
        <v>0</v>
      </c>
      <c r="Q1199" s="133">
        <v>0</v>
      </c>
      <c r="R1199" s="133">
        <v>60</v>
      </c>
      <c r="S1199" s="156">
        <v>1</v>
      </c>
    </row>
    <row r="1200" spans="1:19">
      <c r="A1200" s="133" t="s">
        <v>1186</v>
      </c>
      <c r="B1200" s="133" t="s">
        <v>1175</v>
      </c>
      <c r="C1200" s="133" t="s">
        <v>1000</v>
      </c>
      <c r="D1200" s="133" t="s">
        <v>884</v>
      </c>
      <c r="E1200" s="133" t="s">
        <v>970</v>
      </c>
      <c r="F1200" s="133" t="s">
        <v>712</v>
      </c>
      <c r="G1200" s="133" t="s">
        <v>715</v>
      </c>
      <c r="H1200" s="133">
        <v>13.56</v>
      </c>
      <c r="I1200" s="133">
        <v>24.9</v>
      </c>
      <c r="J1200" s="133">
        <v>141</v>
      </c>
      <c r="K1200" s="133">
        <v>30</v>
      </c>
      <c r="L1200" s="133">
        <v>0</v>
      </c>
      <c r="M1200" s="133" t="s">
        <v>999</v>
      </c>
      <c r="N1200" s="133">
        <v>0</v>
      </c>
      <c r="P1200" s="133">
        <v>0</v>
      </c>
      <c r="Q1200" s="133">
        <v>0</v>
      </c>
      <c r="R1200" s="133">
        <v>30</v>
      </c>
      <c r="S1200" s="156">
        <v>1</v>
      </c>
    </row>
    <row r="1201" spans="1:19">
      <c r="A1201" s="133" t="s">
        <v>1186</v>
      </c>
      <c r="B1201" s="133" t="s">
        <v>1175</v>
      </c>
      <c r="C1201" s="133" t="s">
        <v>1000</v>
      </c>
      <c r="D1201" s="133" t="s">
        <v>576</v>
      </c>
      <c r="E1201" s="133" t="s">
        <v>577</v>
      </c>
      <c r="F1201" s="133" t="s">
        <v>709</v>
      </c>
      <c r="G1201" s="133" t="s">
        <v>715</v>
      </c>
      <c r="H1201" s="133">
        <v>0.97</v>
      </c>
      <c r="I1201" s="133">
        <v>0</v>
      </c>
      <c r="J1201" s="133">
        <v>0</v>
      </c>
      <c r="K1201" s="133">
        <v>0</v>
      </c>
      <c r="L1201" s="133">
        <v>0</v>
      </c>
      <c r="M1201" s="133" t="s">
        <v>1096</v>
      </c>
      <c r="N1201" s="133">
        <v>0</v>
      </c>
      <c r="P1201" s="133">
        <v>0</v>
      </c>
      <c r="Q1201" s="133">
        <v>0</v>
      </c>
      <c r="R1201" s="133">
        <v>0</v>
      </c>
      <c r="S1201" s="156"/>
    </row>
    <row r="1202" spans="1:19">
      <c r="A1202" s="133" t="s">
        <v>1186</v>
      </c>
      <c r="B1202" s="133" t="s">
        <v>1175</v>
      </c>
      <c r="C1202" s="133" t="s">
        <v>1000</v>
      </c>
      <c r="D1202" s="133" t="s">
        <v>578</v>
      </c>
      <c r="E1202" s="133" t="s">
        <v>579</v>
      </c>
      <c r="F1202" s="133" t="s">
        <v>709</v>
      </c>
      <c r="G1202" s="133" t="s">
        <v>715</v>
      </c>
      <c r="H1202" s="133">
        <v>2.3199999999999998</v>
      </c>
      <c r="I1202" s="133">
        <v>0</v>
      </c>
      <c r="J1202" s="133">
        <v>0</v>
      </c>
      <c r="K1202" s="133">
        <v>0</v>
      </c>
      <c r="L1202" s="133">
        <v>0</v>
      </c>
      <c r="M1202" s="133" t="s">
        <v>1096</v>
      </c>
      <c r="N1202" s="133">
        <v>0</v>
      </c>
      <c r="P1202" s="133">
        <v>0</v>
      </c>
      <c r="Q1202" s="133">
        <v>0</v>
      </c>
      <c r="R1202" s="133">
        <v>0</v>
      </c>
      <c r="S1202" s="156"/>
    </row>
    <row r="1203" spans="1:19">
      <c r="A1203" s="133" t="s">
        <v>1186</v>
      </c>
      <c r="B1203" s="133" t="s">
        <v>1175</v>
      </c>
      <c r="C1203" s="133" t="s">
        <v>1000</v>
      </c>
      <c r="D1203" s="133" t="s">
        <v>580</v>
      </c>
      <c r="E1203" s="133" t="s">
        <v>581</v>
      </c>
      <c r="F1203" s="133" t="s">
        <v>709</v>
      </c>
      <c r="G1203" s="133" t="s">
        <v>715</v>
      </c>
      <c r="H1203" s="133">
        <v>3.92</v>
      </c>
      <c r="I1203" s="133">
        <v>0</v>
      </c>
      <c r="J1203" s="133">
        <v>0</v>
      </c>
      <c r="K1203" s="133">
        <v>0</v>
      </c>
      <c r="L1203" s="133">
        <v>0</v>
      </c>
      <c r="M1203" s="133" t="s">
        <v>1096</v>
      </c>
      <c r="N1203" s="133">
        <v>0</v>
      </c>
      <c r="P1203" s="133">
        <v>0</v>
      </c>
      <c r="Q1203" s="133">
        <v>0</v>
      </c>
      <c r="R1203" s="133">
        <v>0</v>
      </c>
      <c r="S1203" s="156"/>
    </row>
    <row r="1204" spans="1:19">
      <c r="A1204" s="133" t="s">
        <v>1186</v>
      </c>
      <c r="B1204" s="133" t="s">
        <v>1175</v>
      </c>
      <c r="C1204" s="133" t="s">
        <v>1000</v>
      </c>
      <c r="D1204" s="133" t="s">
        <v>582</v>
      </c>
      <c r="E1204" s="133" t="s">
        <v>583</v>
      </c>
      <c r="F1204" s="133" t="s">
        <v>709</v>
      </c>
      <c r="G1204" s="133" t="s">
        <v>715</v>
      </c>
      <c r="H1204" s="133">
        <v>9.3000000000000007</v>
      </c>
      <c r="I1204" s="133">
        <v>0</v>
      </c>
      <c r="J1204" s="133">
        <v>0</v>
      </c>
      <c r="K1204" s="133">
        <v>0</v>
      </c>
      <c r="L1204" s="133">
        <v>0</v>
      </c>
      <c r="M1204" s="133" t="s">
        <v>1096</v>
      </c>
      <c r="N1204" s="133">
        <v>0</v>
      </c>
      <c r="P1204" s="133">
        <v>0</v>
      </c>
      <c r="Q1204" s="133">
        <v>0</v>
      </c>
      <c r="R1204" s="133">
        <v>0</v>
      </c>
      <c r="S1204" s="156"/>
    </row>
    <row r="1205" spans="1:19">
      <c r="A1205" s="133" t="s">
        <v>1186</v>
      </c>
      <c r="B1205" s="133" t="s">
        <v>1175</v>
      </c>
      <c r="C1205" s="133" t="s">
        <v>1000</v>
      </c>
      <c r="D1205" s="133" t="s">
        <v>584</v>
      </c>
      <c r="E1205" s="133" t="s">
        <v>585</v>
      </c>
      <c r="F1205" s="133" t="s">
        <v>707</v>
      </c>
      <c r="G1205" s="133" t="s">
        <v>715</v>
      </c>
      <c r="H1205" s="133">
        <v>4.09</v>
      </c>
      <c r="I1205" s="133">
        <v>19.95</v>
      </c>
      <c r="J1205" s="133">
        <v>458</v>
      </c>
      <c r="K1205" s="133">
        <v>120</v>
      </c>
      <c r="L1205" s="133">
        <v>0</v>
      </c>
      <c r="M1205" s="133" t="s">
        <v>999</v>
      </c>
      <c r="N1205" s="133">
        <v>0</v>
      </c>
      <c r="P1205" s="133">
        <v>0</v>
      </c>
      <c r="Q1205" s="133">
        <v>0</v>
      </c>
      <c r="R1205" s="133">
        <v>120</v>
      </c>
      <c r="S1205" s="156">
        <v>1</v>
      </c>
    </row>
    <row r="1206" spans="1:19">
      <c r="A1206" s="133" t="s">
        <v>1186</v>
      </c>
      <c r="B1206" s="133" t="s">
        <v>1175</v>
      </c>
      <c r="C1206" s="133" t="s">
        <v>1000</v>
      </c>
      <c r="D1206" s="133" t="s">
        <v>586</v>
      </c>
      <c r="E1206" s="133" t="s">
        <v>587</v>
      </c>
      <c r="F1206" s="133" t="s">
        <v>707</v>
      </c>
      <c r="G1206" s="133" t="s">
        <v>715</v>
      </c>
      <c r="H1206" s="133">
        <v>11.23</v>
      </c>
      <c r="I1206" s="133">
        <v>19.989999999999998</v>
      </c>
      <c r="J1206" s="133">
        <v>0</v>
      </c>
      <c r="K1206" s="133">
        <v>0</v>
      </c>
      <c r="L1206" s="133">
        <v>0</v>
      </c>
      <c r="M1206" s="133" t="s">
        <v>1096</v>
      </c>
      <c r="N1206" s="133">
        <v>0</v>
      </c>
      <c r="P1206" s="133">
        <v>0</v>
      </c>
      <c r="Q1206" s="133">
        <v>0</v>
      </c>
      <c r="R1206" s="133">
        <v>0</v>
      </c>
      <c r="S1206" s="156"/>
    </row>
    <row r="1207" spans="1:19">
      <c r="A1207" s="133" t="s">
        <v>1186</v>
      </c>
      <c r="B1207" s="133" t="s">
        <v>1175</v>
      </c>
      <c r="C1207" s="133" t="s">
        <v>1000</v>
      </c>
      <c r="D1207" s="133" t="s">
        <v>588</v>
      </c>
      <c r="E1207" s="133" t="s">
        <v>589</v>
      </c>
      <c r="F1207" s="133" t="s">
        <v>707</v>
      </c>
      <c r="G1207" s="133" t="s">
        <v>715</v>
      </c>
      <c r="H1207" s="133">
        <v>3.05</v>
      </c>
      <c r="I1207" s="133">
        <v>5.39</v>
      </c>
      <c r="J1207" s="133">
        <v>213</v>
      </c>
      <c r="K1207" s="133">
        <v>90</v>
      </c>
      <c r="L1207" s="133">
        <v>0</v>
      </c>
      <c r="M1207" s="133" t="s">
        <v>999</v>
      </c>
      <c r="N1207" s="133">
        <v>0</v>
      </c>
      <c r="P1207" s="133">
        <v>0</v>
      </c>
      <c r="Q1207" s="133">
        <v>0</v>
      </c>
      <c r="R1207" s="133">
        <v>90</v>
      </c>
      <c r="S1207" s="156">
        <v>1</v>
      </c>
    </row>
    <row r="1208" spans="1:19">
      <c r="A1208" s="133" t="s">
        <v>1186</v>
      </c>
      <c r="B1208" s="133" t="s">
        <v>1175</v>
      </c>
      <c r="C1208" s="133" t="s">
        <v>1000</v>
      </c>
      <c r="D1208" s="133" t="s">
        <v>885</v>
      </c>
      <c r="E1208" s="133" t="s">
        <v>971</v>
      </c>
      <c r="F1208" s="133" t="s">
        <v>712</v>
      </c>
      <c r="G1208" s="133" t="s">
        <v>715</v>
      </c>
      <c r="H1208" s="133">
        <v>3.49</v>
      </c>
      <c r="I1208" s="133">
        <v>6.59</v>
      </c>
      <c r="J1208" s="133">
        <v>179</v>
      </c>
      <c r="K1208" s="133">
        <v>51</v>
      </c>
      <c r="L1208" s="133">
        <v>0</v>
      </c>
      <c r="M1208" s="133" t="s">
        <v>999</v>
      </c>
      <c r="N1208" s="133">
        <v>0</v>
      </c>
      <c r="P1208" s="133">
        <v>0</v>
      </c>
      <c r="Q1208" s="133">
        <v>0</v>
      </c>
      <c r="R1208" s="133">
        <v>51</v>
      </c>
      <c r="S1208" s="156">
        <v>1</v>
      </c>
    </row>
    <row r="1209" spans="1:19">
      <c r="A1209" s="133" t="s">
        <v>1186</v>
      </c>
      <c r="B1209" s="133" t="s">
        <v>1175</v>
      </c>
      <c r="C1209" s="133" t="s">
        <v>1000</v>
      </c>
      <c r="D1209" s="133" t="s">
        <v>886</v>
      </c>
      <c r="E1209" s="133" t="s">
        <v>972</v>
      </c>
      <c r="F1209" s="133" t="s">
        <v>712</v>
      </c>
      <c r="G1209" s="133" t="s">
        <v>715</v>
      </c>
      <c r="H1209" s="133">
        <v>1.87</v>
      </c>
      <c r="I1209" s="133">
        <v>3.79</v>
      </c>
      <c r="J1209" s="133">
        <v>135</v>
      </c>
      <c r="K1209" s="133">
        <v>36</v>
      </c>
      <c r="L1209" s="133">
        <v>0</v>
      </c>
      <c r="M1209" s="133" t="s">
        <v>999</v>
      </c>
      <c r="N1209" s="133">
        <v>0</v>
      </c>
      <c r="P1209" s="133">
        <v>0</v>
      </c>
      <c r="Q1209" s="133">
        <v>0</v>
      </c>
      <c r="R1209" s="133">
        <v>36</v>
      </c>
      <c r="S1209" s="156">
        <v>1</v>
      </c>
    </row>
    <row r="1210" spans="1:19">
      <c r="A1210" s="133" t="s">
        <v>1186</v>
      </c>
      <c r="B1210" s="133" t="s">
        <v>1175</v>
      </c>
      <c r="C1210" s="133" t="s">
        <v>1000</v>
      </c>
      <c r="D1210" s="133" t="s">
        <v>887</v>
      </c>
      <c r="E1210" s="133" t="s">
        <v>973</v>
      </c>
      <c r="F1210" s="133" t="s">
        <v>712</v>
      </c>
      <c r="G1210" s="133" t="s">
        <v>715</v>
      </c>
      <c r="H1210" s="133">
        <v>6.61</v>
      </c>
      <c r="I1210" s="133">
        <v>11.9</v>
      </c>
      <c r="J1210" s="133">
        <v>162</v>
      </c>
      <c r="K1210" s="133">
        <v>45</v>
      </c>
      <c r="L1210" s="133">
        <v>0</v>
      </c>
      <c r="M1210" s="133" t="s">
        <v>999</v>
      </c>
      <c r="N1210" s="133">
        <v>0</v>
      </c>
      <c r="P1210" s="133">
        <v>0</v>
      </c>
      <c r="Q1210" s="133">
        <v>0</v>
      </c>
      <c r="R1210" s="133">
        <v>45</v>
      </c>
      <c r="S1210" s="156">
        <v>1</v>
      </c>
    </row>
    <row r="1211" spans="1:19">
      <c r="A1211" s="133" t="s">
        <v>1186</v>
      </c>
      <c r="B1211" s="133" t="s">
        <v>1175</v>
      </c>
      <c r="C1211" s="133" t="s">
        <v>1000</v>
      </c>
      <c r="D1211" s="133" t="s">
        <v>600</v>
      </c>
      <c r="E1211" s="133" t="s">
        <v>974</v>
      </c>
      <c r="F1211" s="133" t="s">
        <v>867</v>
      </c>
      <c r="G1211" s="133" t="s">
        <v>715</v>
      </c>
      <c r="H1211" s="133">
        <v>1.43</v>
      </c>
      <c r="I1211" s="133">
        <v>3.15</v>
      </c>
      <c r="J1211" s="133">
        <v>499</v>
      </c>
      <c r="K1211" s="133">
        <v>90</v>
      </c>
      <c r="L1211" s="133">
        <v>0</v>
      </c>
      <c r="M1211" s="133" t="s">
        <v>999</v>
      </c>
      <c r="N1211" s="133">
        <v>0</v>
      </c>
      <c r="P1211" s="133">
        <v>0</v>
      </c>
      <c r="Q1211" s="133">
        <v>0</v>
      </c>
      <c r="R1211" s="133">
        <v>90</v>
      </c>
      <c r="S1211" s="156">
        <v>1</v>
      </c>
    </row>
    <row r="1212" spans="1:19">
      <c r="A1212" s="133" t="s">
        <v>1186</v>
      </c>
      <c r="B1212" s="133" t="s">
        <v>1175</v>
      </c>
      <c r="C1212" s="133" t="s">
        <v>1000</v>
      </c>
      <c r="D1212" s="133" t="s">
        <v>594</v>
      </c>
      <c r="E1212" s="133" t="s">
        <v>595</v>
      </c>
      <c r="F1212" s="133" t="s">
        <v>712</v>
      </c>
      <c r="G1212" s="133" t="s">
        <v>715</v>
      </c>
      <c r="H1212" s="133">
        <v>25.89</v>
      </c>
      <c r="I1212" s="133">
        <v>41</v>
      </c>
      <c r="J1212" s="133">
        <v>702</v>
      </c>
      <c r="K1212" s="133">
        <v>210</v>
      </c>
      <c r="L1212" s="133">
        <v>0</v>
      </c>
      <c r="M1212" s="133" t="s">
        <v>999</v>
      </c>
      <c r="N1212" s="133">
        <v>0</v>
      </c>
      <c r="P1212" s="133">
        <v>0</v>
      </c>
      <c r="Q1212" s="133">
        <v>0</v>
      </c>
      <c r="R1212" s="133">
        <v>210</v>
      </c>
      <c r="S1212" s="156">
        <v>1</v>
      </c>
    </row>
    <row r="1213" spans="1:19">
      <c r="A1213" s="133" t="s">
        <v>1186</v>
      </c>
      <c r="B1213" s="133" t="s">
        <v>1175</v>
      </c>
      <c r="C1213" s="133" t="s">
        <v>1000</v>
      </c>
      <c r="D1213" s="133" t="s">
        <v>596</v>
      </c>
      <c r="E1213" s="133" t="s">
        <v>597</v>
      </c>
      <c r="F1213" s="133" t="s">
        <v>712</v>
      </c>
      <c r="G1213" s="133" t="s">
        <v>715</v>
      </c>
      <c r="H1213" s="133">
        <v>2.71</v>
      </c>
      <c r="I1213" s="133">
        <v>4.99</v>
      </c>
      <c r="J1213" s="133">
        <v>243</v>
      </c>
      <c r="K1213" s="133">
        <v>300</v>
      </c>
      <c r="L1213" s="133">
        <v>0</v>
      </c>
      <c r="M1213" s="133" t="s">
        <v>999</v>
      </c>
      <c r="N1213" s="133">
        <v>0</v>
      </c>
      <c r="P1213" s="133">
        <v>0</v>
      </c>
      <c r="Q1213" s="133">
        <v>0</v>
      </c>
      <c r="R1213" s="133">
        <v>300</v>
      </c>
      <c r="S1213" s="156">
        <v>1</v>
      </c>
    </row>
    <row r="1214" spans="1:19">
      <c r="A1214" s="133" t="s">
        <v>1186</v>
      </c>
      <c r="B1214" s="133" t="s">
        <v>1175</v>
      </c>
      <c r="C1214" s="133" t="s">
        <v>1000</v>
      </c>
      <c r="D1214" s="133" t="s">
        <v>598</v>
      </c>
      <c r="E1214" s="133" t="s">
        <v>599</v>
      </c>
      <c r="F1214" s="133" t="s">
        <v>712</v>
      </c>
      <c r="G1214" s="133" t="s">
        <v>715</v>
      </c>
      <c r="H1214" s="133">
        <v>6.66</v>
      </c>
      <c r="I1214" s="133">
        <v>11.9</v>
      </c>
      <c r="J1214" s="133">
        <v>220</v>
      </c>
      <c r="K1214" s="133">
        <v>180</v>
      </c>
      <c r="L1214" s="133">
        <v>0</v>
      </c>
      <c r="M1214" s="133" t="s">
        <v>999</v>
      </c>
      <c r="N1214" s="133">
        <v>0</v>
      </c>
      <c r="P1214" s="133">
        <v>0</v>
      </c>
      <c r="Q1214" s="133">
        <v>0</v>
      </c>
      <c r="R1214" s="133">
        <v>180</v>
      </c>
      <c r="S1214" s="156">
        <v>1</v>
      </c>
    </row>
    <row r="1215" spans="1:19">
      <c r="A1215" s="133" t="s">
        <v>1186</v>
      </c>
      <c r="B1215" s="133" t="s">
        <v>1175</v>
      </c>
      <c r="C1215" s="133" t="s">
        <v>1000</v>
      </c>
      <c r="D1215" s="133" t="s">
        <v>601</v>
      </c>
      <c r="E1215" s="133" t="s">
        <v>602</v>
      </c>
      <c r="F1215" s="133" t="s">
        <v>712</v>
      </c>
      <c r="G1215" s="133" t="s">
        <v>715</v>
      </c>
      <c r="H1215" s="133">
        <v>349.85</v>
      </c>
      <c r="I1215" s="133">
        <v>729</v>
      </c>
      <c r="J1215" s="133">
        <v>0</v>
      </c>
      <c r="K1215" s="133">
        <v>0</v>
      </c>
      <c r="L1215" s="133">
        <v>0</v>
      </c>
      <c r="M1215" s="133" t="s">
        <v>1096</v>
      </c>
      <c r="N1215" s="133">
        <v>0</v>
      </c>
      <c r="P1215" s="133">
        <v>0</v>
      </c>
      <c r="Q1215" s="133">
        <v>0</v>
      </c>
      <c r="R1215" s="133">
        <v>0</v>
      </c>
      <c r="S1215" s="156"/>
    </row>
    <row r="1216" spans="1:19">
      <c r="A1216" s="133" t="s">
        <v>1186</v>
      </c>
      <c r="B1216" s="133" t="s">
        <v>1175</v>
      </c>
      <c r="C1216" s="133" t="s">
        <v>1000</v>
      </c>
      <c r="D1216" s="133" t="s">
        <v>603</v>
      </c>
      <c r="E1216" s="133" t="s">
        <v>604</v>
      </c>
      <c r="F1216" s="133" t="s">
        <v>712</v>
      </c>
      <c r="G1216" s="133" t="s">
        <v>715</v>
      </c>
      <c r="H1216" s="133">
        <v>20.54</v>
      </c>
      <c r="I1216" s="133">
        <v>41</v>
      </c>
      <c r="J1216" s="133">
        <v>0</v>
      </c>
      <c r="K1216" s="133">
        <v>0</v>
      </c>
      <c r="L1216" s="133">
        <v>0</v>
      </c>
      <c r="M1216" s="133" t="s">
        <v>1096</v>
      </c>
      <c r="N1216" s="133">
        <v>0</v>
      </c>
      <c r="P1216" s="133">
        <v>0</v>
      </c>
      <c r="Q1216" s="133">
        <v>0</v>
      </c>
      <c r="R1216" s="133">
        <v>0</v>
      </c>
      <c r="S1216" s="156"/>
    </row>
    <row r="1217" spans="1:19">
      <c r="A1217" s="133" t="s">
        <v>1186</v>
      </c>
      <c r="B1217" s="133" t="s">
        <v>1175</v>
      </c>
      <c r="C1217" s="133" t="s">
        <v>1000</v>
      </c>
      <c r="D1217" s="133" t="s">
        <v>605</v>
      </c>
      <c r="E1217" s="133" t="s">
        <v>606</v>
      </c>
      <c r="F1217" s="133" t="s">
        <v>709</v>
      </c>
      <c r="G1217" s="133" t="s">
        <v>719</v>
      </c>
      <c r="H1217" s="133">
        <v>1.35</v>
      </c>
      <c r="I1217" s="133">
        <v>8.69</v>
      </c>
      <c r="J1217" s="133">
        <v>1048</v>
      </c>
      <c r="K1217" s="133">
        <v>780</v>
      </c>
      <c r="L1217" s="133">
        <v>0</v>
      </c>
      <c r="M1217" s="133" t="s">
        <v>999</v>
      </c>
      <c r="N1217" s="133">
        <v>0</v>
      </c>
      <c r="P1217" s="133">
        <v>0</v>
      </c>
      <c r="Q1217" s="133">
        <v>0</v>
      </c>
      <c r="R1217" s="133">
        <v>780</v>
      </c>
      <c r="S1217" s="156">
        <v>1</v>
      </c>
    </row>
    <row r="1218" spans="1:19">
      <c r="A1218" s="133" t="s">
        <v>1186</v>
      </c>
      <c r="B1218" s="133" t="s">
        <v>1175</v>
      </c>
      <c r="C1218" s="133" t="s">
        <v>1000</v>
      </c>
      <c r="D1218" s="133" t="s">
        <v>607</v>
      </c>
      <c r="E1218" s="133" t="s">
        <v>608</v>
      </c>
      <c r="F1218" s="133" t="s">
        <v>709</v>
      </c>
      <c r="G1218" s="133" t="s">
        <v>719</v>
      </c>
      <c r="H1218" s="133">
        <v>0.99</v>
      </c>
      <c r="I1218" s="133">
        <v>4.8899999999999997</v>
      </c>
      <c r="J1218" s="133">
        <v>0</v>
      </c>
      <c r="K1218" s="133">
        <v>0</v>
      </c>
      <c r="L1218" s="133">
        <v>0</v>
      </c>
      <c r="M1218" s="133" t="s">
        <v>1096</v>
      </c>
      <c r="N1218" s="133">
        <v>0</v>
      </c>
      <c r="P1218" s="133">
        <v>0</v>
      </c>
      <c r="Q1218" s="133">
        <v>0</v>
      </c>
      <c r="R1218" s="133">
        <v>0</v>
      </c>
      <c r="S1218" s="156"/>
    </row>
    <row r="1219" spans="1:19">
      <c r="A1219" s="133" t="s">
        <v>1186</v>
      </c>
      <c r="B1219" s="133" t="s">
        <v>1175</v>
      </c>
      <c r="C1219" s="133" t="s">
        <v>1000</v>
      </c>
      <c r="D1219" s="133" t="s">
        <v>609</v>
      </c>
      <c r="E1219" s="133" t="s">
        <v>610</v>
      </c>
      <c r="F1219" s="133" t="s">
        <v>709</v>
      </c>
      <c r="G1219" s="133" t="s">
        <v>719</v>
      </c>
      <c r="H1219" s="133">
        <v>5.9</v>
      </c>
      <c r="I1219" s="133">
        <v>34.9</v>
      </c>
      <c r="J1219" s="133">
        <v>20</v>
      </c>
      <c r="K1219" s="133">
        <v>9</v>
      </c>
      <c r="L1219" s="133">
        <v>0</v>
      </c>
      <c r="M1219" s="133" t="s">
        <v>999</v>
      </c>
      <c r="N1219" s="133">
        <v>0</v>
      </c>
      <c r="P1219" s="133">
        <v>0</v>
      </c>
      <c r="Q1219" s="133">
        <v>0</v>
      </c>
      <c r="R1219" s="133">
        <v>9</v>
      </c>
      <c r="S1219" s="156">
        <v>1</v>
      </c>
    </row>
    <row r="1220" spans="1:19">
      <c r="A1220" s="133" t="s">
        <v>1186</v>
      </c>
      <c r="B1220" s="133" t="s">
        <v>1175</v>
      </c>
      <c r="C1220" s="133" t="s">
        <v>1000</v>
      </c>
      <c r="D1220" s="133" t="s">
        <v>611</v>
      </c>
      <c r="E1220" s="133" t="s">
        <v>612</v>
      </c>
      <c r="F1220" s="133" t="s">
        <v>712</v>
      </c>
      <c r="G1220" s="133" t="s">
        <v>719</v>
      </c>
      <c r="H1220" s="133">
        <v>0.76</v>
      </c>
      <c r="I1220" s="133">
        <v>2.29</v>
      </c>
      <c r="J1220" s="133">
        <v>407</v>
      </c>
      <c r="K1220" s="133">
        <v>90</v>
      </c>
      <c r="L1220" s="133">
        <v>0</v>
      </c>
      <c r="M1220" s="133" t="s">
        <v>999</v>
      </c>
      <c r="N1220" s="133">
        <v>0</v>
      </c>
      <c r="P1220" s="133">
        <v>0</v>
      </c>
      <c r="Q1220" s="133">
        <v>0</v>
      </c>
      <c r="R1220" s="133">
        <v>90</v>
      </c>
      <c r="S1220" s="156">
        <v>1</v>
      </c>
    </row>
    <row r="1221" spans="1:19">
      <c r="A1221" s="133" t="s">
        <v>1186</v>
      </c>
      <c r="B1221" s="133" t="s">
        <v>1175</v>
      </c>
      <c r="C1221" s="133" t="s">
        <v>1000</v>
      </c>
      <c r="D1221" s="133" t="s">
        <v>613</v>
      </c>
      <c r="E1221" s="133" t="s">
        <v>614</v>
      </c>
      <c r="F1221" s="133" t="s">
        <v>712</v>
      </c>
      <c r="G1221" s="133" t="s">
        <v>719</v>
      </c>
      <c r="H1221" s="133">
        <v>3.05</v>
      </c>
      <c r="I1221" s="133">
        <v>7.84</v>
      </c>
      <c r="J1221" s="133">
        <v>256</v>
      </c>
      <c r="K1221" s="133">
        <v>90</v>
      </c>
      <c r="L1221" s="133">
        <v>0</v>
      </c>
      <c r="M1221" s="133" t="s">
        <v>999</v>
      </c>
      <c r="N1221" s="133">
        <v>0</v>
      </c>
      <c r="P1221" s="133">
        <v>0</v>
      </c>
      <c r="Q1221" s="133">
        <v>0</v>
      </c>
      <c r="R1221" s="133">
        <v>90</v>
      </c>
      <c r="S1221" s="156">
        <v>1</v>
      </c>
    </row>
    <row r="1222" spans="1:19">
      <c r="A1222" s="133" t="s">
        <v>1186</v>
      </c>
      <c r="B1222" s="133" t="s">
        <v>1175</v>
      </c>
      <c r="C1222" s="133" t="s">
        <v>1000</v>
      </c>
      <c r="D1222" s="133" t="s">
        <v>615</v>
      </c>
      <c r="E1222" s="133" t="s">
        <v>616</v>
      </c>
      <c r="F1222" s="133" t="s">
        <v>712</v>
      </c>
      <c r="G1222" s="133" t="s">
        <v>719</v>
      </c>
      <c r="H1222" s="133">
        <v>5.97</v>
      </c>
      <c r="I1222" s="133">
        <v>14.39</v>
      </c>
      <c r="J1222" s="133">
        <v>267</v>
      </c>
      <c r="K1222" s="133">
        <v>60</v>
      </c>
      <c r="L1222" s="133">
        <v>0</v>
      </c>
      <c r="M1222" s="133" t="s">
        <v>999</v>
      </c>
      <c r="N1222" s="133">
        <v>0</v>
      </c>
      <c r="P1222" s="133">
        <v>0</v>
      </c>
      <c r="Q1222" s="133">
        <v>0</v>
      </c>
      <c r="R1222" s="133">
        <v>60</v>
      </c>
      <c r="S1222" s="156">
        <v>1</v>
      </c>
    </row>
    <row r="1223" spans="1:19">
      <c r="A1223" s="133" t="s">
        <v>1186</v>
      </c>
      <c r="B1223" s="133" t="s">
        <v>1175</v>
      </c>
      <c r="C1223" s="133" t="s">
        <v>1000</v>
      </c>
      <c r="D1223" s="133" t="s">
        <v>617</v>
      </c>
      <c r="E1223" s="133" t="s">
        <v>618</v>
      </c>
      <c r="F1223" s="133" t="s">
        <v>709</v>
      </c>
      <c r="G1223" s="133" t="s">
        <v>719</v>
      </c>
      <c r="H1223" s="133">
        <v>2.37</v>
      </c>
      <c r="I1223" s="133">
        <v>6.3</v>
      </c>
      <c r="J1223" s="133">
        <v>935</v>
      </c>
      <c r="K1223" s="133">
        <v>210</v>
      </c>
      <c r="L1223" s="133">
        <v>0</v>
      </c>
      <c r="M1223" s="133" t="s">
        <v>999</v>
      </c>
      <c r="N1223" s="133">
        <v>0</v>
      </c>
      <c r="P1223" s="133">
        <v>0</v>
      </c>
      <c r="Q1223" s="133">
        <v>0</v>
      </c>
      <c r="R1223" s="133">
        <v>210</v>
      </c>
      <c r="S1223" s="156">
        <v>1</v>
      </c>
    </row>
    <row r="1224" spans="1:19">
      <c r="A1224" s="133" t="s">
        <v>1186</v>
      </c>
      <c r="B1224" s="133" t="s">
        <v>1175</v>
      </c>
      <c r="C1224" s="133" t="s">
        <v>1000</v>
      </c>
      <c r="D1224" s="133" t="s">
        <v>619</v>
      </c>
      <c r="E1224" s="133" t="s">
        <v>620</v>
      </c>
      <c r="F1224" s="133" t="s">
        <v>709</v>
      </c>
      <c r="G1224" s="133" t="s">
        <v>719</v>
      </c>
      <c r="H1224" s="133">
        <v>11.05</v>
      </c>
      <c r="I1224" s="133">
        <v>29</v>
      </c>
      <c r="J1224" s="133">
        <v>64</v>
      </c>
      <c r="K1224" s="133">
        <v>12</v>
      </c>
      <c r="L1224" s="133">
        <v>0</v>
      </c>
      <c r="M1224" s="133" t="s">
        <v>999</v>
      </c>
      <c r="N1224" s="133">
        <v>0</v>
      </c>
      <c r="P1224" s="133">
        <v>0</v>
      </c>
      <c r="Q1224" s="133">
        <v>0</v>
      </c>
      <c r="R1224" s="133">
        <v>12</v>
      </c>
      <c r="S1224" s="156">
        <v>1</v>
      </c>
    </row>
    <row r="1225" spans="1:19">
      <c r="A1225" s="133" t="s">
        <v>1186</v>
      </c>
      <c r="B1225" s="133" t="s">
        <v>1175</v>
      </c>
      <c r="C1225" s="133" t="s">
        <v>1000</v>
      </c>
      <c r="D1225" s="133" t="s">
        <v>621</v>
      </c>
      <c r="E1225" s="133" t="s">
        <v>622</v>
      </c>
      <c r="F1225" s="133" t="s">
        <v>712</v>
      </c>
      <c r="G1225" s="133" t="s">
        <v>719</v>
      </c>
      <c r="H1225" s="133">
        <v>0.7</v>
      </c>
      <c r="I1225" s="133">
        <v>1.99</v>
      </c>
      <c r="J1225" s="133">
        <v>52</v>
      </c>
      <c r="K1225" s="133">
        <v>120</v>
      </c>
      <c r="L1225" s="133">
        <v>0</v>
      </c>
      <c r="M1225" s="133" t="s">
        <v>999</v>
      </c>
      <c r="N1225" s="133">
        <v>0</v>
      </c>
      <c r="P1225" s="133">
        <v>0</v>
      </c>
      <c r="Q1225" s="133">
        <v>0</v>
      </c>
      <c r="R1225" s="133">
        <v>120</v>
      </c>
      <c r="S1225" s="156">
        <v>1</v>
      </c>
    </row>
    <row r="1226" spans="1:19">
      <c r="A1226" s="133" t="s">
        <v>1186</v>
      </c>
      <c r="B1226" s="133" t="s">
        <v>1175</v>
      </c>
      <c r="C1226" s="133" t="s">
        <v>1000</v>
      </c>
      <c r="D1226" s="133" t="s">
        <v>623</v>
      </c>
      <c r="E1226" s="133" t="s">
        <v>624</v>
      </c>
      <c r="F1226" s="133" t="s">
        <v>712</v>
      </c>
      <c r="G1226" s="133" t="s">
        <v>719</v>
      </c>
      <c r="H1226" s="133">
        <v>1.3</v>
      </c>
      <c r="I1226" s="133">
        <v>2.99</v>
      </c>
      <c r="J1226" s="133">
        <v>448</v>
      </c>
      <c r="K1226" s="133">
        <v>900</v>
      </c>
      <c r="L1226" s="133">
        <v>0</v>
      </c>
      <c r="M1226" s="133" t="s">
        <v>999</v>
      </c>
      <c r="N1226" s="133">
        <v>0</v>
      </c>
      <c r="P1226" s="133">
        <v>0</v>
      </c>
      <c r="Q1226" s="133">
        <v>0</v>
      </c>
      <c r="R1226" s="133">
        <v>900</v>
      </c>
      <c r="S1226" s="156">
        <v>1</v>
      </c>
    </row>
    <row r="1227" spans="1:19">
      <c r="A1227" s="133" t="s">
        <v>1186</v>
      </c>
      <c r="B1227" s="133" t="s">
        <v>1175</v>
      </c>
      <c r="C1227" s="133" t="s">
        <v>1000</v>
      </c>
      <c r="D1227" s="133" t="s">
        <v>625</v>
      </c>
      <c r="E1227" s="133" t="s">
        <v>626</v>
      </c>
      <c r="F1227" s="133" t="s">
        <v>712</v>
      </c>
      <c r="G1227" s="133" t="s">
        <v>719</v>
      </c>
      <c r="H1227" s="133">
        <v>6</v>
      </c>
      <c r="I1227" s="133">
        <v>12.99</v>
      </c>
      <c r="J1227" s="133">
        <v>539</v>
      </c>
      <c r="K1227" s="133">
        <v>120</v>
      </c>
      <c r="L1227" s="133">
        <v>0</v>
      </c>
      <c r="M1227" s="133" t="s">
        <v>999</v>
      </c>
      <c r="N1227" s="133">
        <v>0</v>
      </c>
      <c r="P1227" s="133">
        <v>0</v>
      </c>
      <c r="Q1227" s="133">
        <v>0</v>
      </c>
      <c r="R1227" s="133">
        <v>120</v>
      </c>
      <c r="S1227" s="156">
        <v>1</v>
      </c>
    </row>
    <row r="1228" spans="1:19">
      <c r="A1228" s="133" t="s">
        <v>1186</v>
      </c>
      <c r="B1228" s="133" t="s">
        <v>1175</v>
      </c>
      <c r="C1228" s="133" t="s">
        <v>1000</v>
      </c>
      <c r="D1228" s="133" t="s">
        <v>627</v>
      </c>
      <c r="E1228" s="133" t="s">
        <v>628</v>
      </c>
      <c r="F1228" s="133" t="s">
        <v>712</v>
      </c>
      <c r="G1228" s="133" t="s">
        <v>715</v>
      </c>
      <c r="H1228" s="133">
        <v>1.05</v>
      </c>
      <c r="I1228" s="133">
        <v>2.59</v>
      </c>
      <c r="J1228" s="133">
        <v>116</v>
      </c>
      <c r="K1228" s="133">
        <v>36</v>
      </c>
      <c r="L1228" s="133">
        <v>0</v>
      </c>
      <c r="M1228" s="133" t="s">
        <v>999</v>
      </c>
      <c r="N1228" s="133">
        <v>0</v>
      </c>
      <c r="P1228" s="133">
        <v>0</v>
      </c>
      <c r="Q1228" s="133">
        <v>0</v>
      </c>
      <c r="R1228" s="133">
        <v>36</v>
      </c>
      <c r="S1228" s="156">
        <v>1</v>
      </c>
    </row>
    <row r="1229" spans="1:19">
      <c r="A1229" s="133" t="s">
        <v>1186</v>
      </c>
      <c r="B1229" s="133" t="s">
        <v>1175</v>
      </c>
      <c r="C1229" s="133" t="s">
        <v>1000</v>
      </c>
      <c r="D1229" s="133" t="s">
        <v>629</v>
      </c>
      <c r="E1229" s="133" t="s">
        <v>630</v>
      </c>
      <c r="F1229" s="133" t="s">
        <v>712</v>
      </c>
      <c r="G1229" s="133" t="s">
        <v>715</v>
      </c>
      <c r="H1229" s="133">
        <v>2.27</v>
      </c>
      <c r="I1229" s="133">
        <v>5.49</v>
      </c>
      <c r="J1229" s="133">
        <v>317</v>
      </c>
      <c r="K1229" s="133">
        <v>120</v>
      </c>
      <c r="L1229" s="133">
        <v>0</v>
      </c>
      <c r="M1229" s="133" t="s">
        <v>999</v>
      </c>
      <c r="N1229" s="133">
        <v>0</v>
      </c>
      <c r="P1229" s="133">
        <v>0</v>
      </c>
      <c r="Q1229" s="133">
        <v>0</v>
      </c>
      <c r="R1229" s="133">
        <v>120</v>
      </c>
      <c r="S1229" s="156">
        <v>1</v>
      </c>
    </row>
    <row r="1230" spans="1:19">
      <c r="A1230" s="133" t="s">
        <v>1186</v>
      </c>
      <c r="B1230" s="133" t="s">
        <v>1175</v>
      </c>
      <c r="C1230" s="133" t="s">
        <v>1000</v>
      </c>
      <c r="D1230" s="133" t="s">
        <v>631</v>
      </c>
      <c r="E1230" s="133" t="s">
        <v>632</v>
      </c>
      <c r="F1230" s="133" t="s">
        <v>712</v>
      </c>
      <c r="G1230" s="133" t="s">
        <v>715</v>
      </c>
      <c r="H1230" s="133">
        <v>4.3600000000000003</v>
      </c>
      <c r="I1230" s="133">
        <v>9.99</v>
      </c>
      <c r="J1230" s="133">
        <v>132</v>
      </c>
      <c r="K1230" s="133">
        <v>36</v>
      </c>
      <c r="L1230" s="133">
        <v>0</v>
      </c>
      <c r="M1230" s="133" t="s">
        <v>999</v>
      </c>
      <c r="N1230" s="133">
        <v>0</v>
      </c>
      <c r="P1230" s="133">
        <v>0</v>
      </c>
      <c r="Q1230" s="133">
        <v>0</v>
      </c>
      <c r="R1230" s="133">
        <v>36</v>
      </c>
      <c r="S1230" s="156">
        <v>1</v>
      </c>
    </row>
    <row r="1231" spans="1:19">
      <c r="A1231" s="133" t="s">
        <v>1186</v>
      </c>
      <c r="B1231" s="133" t="s">
        <v>1175</v>
      </c>
      <c r="C1231" s="133" t="s">
        <v>1000</v>
      </c>
      <c r="D1231" s="133" t="s">
        <v>633</v>
      </c>
      <c r="E1231" s="133" t="s">
        <v>634</v>
      </c>
      <c r="F1231" s="133" t="s">
        <v>712</v>
      </c>
      <c r="G1231" s="133" t="s">
        <v>715</v>
      </c>
      <c r="H1231" s="133">
        <v>8.4600000000000009</v>
      </c>
      <c r="I1231" s="133">
        <v>18.989999999999998</v>
      </c>
      <c r="J1231" s="133">
        <v>450</v>
      </c>
      <c r="K1231" s="133">
        <v>180</v>
      </c>
      <c r="L1231" s="133">
        <v>0</v>
      </c>
      <c r="M1231" s="133" t="s">
        <v>999</v>
      </c>
      <c r="N1231" s="133">
        <v>0</v>
      </c>
      <c r="P1231" s="133">
        <v>0</v>
      </c>
      <c r="Q1231" s="133">
        <v>0</v>
      </c>
      <c r="R1231" s="133">
        <v>180</v>
      </c>
      <c r="S1231" s="156">
        <v>1</v>
      </c>
    </row>
    <row r="1232" spans="1:19">
      <c r="A1232" s="133" t="s">
        <v>1186</v>
      </c>
      <c r="B1232" s="133" t="s">
        <v>1175</v>
      </c>
      <c r="C1232" s="133" t="s">
        <v>1000</v>
      </c>
      <c r="D1232" s="133" t="s">
        <v>635</v>
      </c>
      <c r="E1232" s="133" t="s">
        <v>636</v>
      </c>
      <c r="F1232" s="133" t="s">
        <v>709</v>
      </c>
      <c r="G1232" s="133" t="s">
        <v>719</v>
      </c>
      <c r="H1232" s="133">
        <v>0.82</v>
      </c>
      <c r="I1232" s="133">
        <v>1.99</v>
      </c>
      <c r="J1232" s="133">
        <v>497</v>
      </c>
      <c r="K1232" s="133">
        <v>210</v>
      </c>
      <c r="L1232" s="133">
        <v>0</v>
      </c>
      <c r="M1232" s="133" t="s">
        <v>999</v>
      </c>
      <c r="N1232" s="133">
        <v>0</v>
      </c>
      <c r="P1232" s="133">
        <v>0</v>
      </c>
      <c r="Q1232" s="133">
        <v>0</v>
      </c>
      <c r="R1232" s="133">
        <v>210</v>
      </c>
      <c r="S1232" s="156">
        <v>1</v>
      </c>
    </row>
    <row r="1233" spans="1:19">
      <c r="A1233" s="133" t="s">
        <v>1186</v>
      </c>
      <c r="B1233" s="133" t="s">
        <v>1175</v>
      </c>
      <c r="C1233" s="133" t="s">
        <v>1000</v>
      </c>
      <c r="D1233" s="133" t="s">
        <v>637</v>
      </c>
      <c r="E1233" s="133" t="s">
        <v>638</v>
      </c>
      <c r="F1233" s="133" t="s">
        <v>709</v>
      </c>
      <c r="G1233" s="133" t="s">
        <v>719</v>
      </c>
      <c r="H1233" s="133">
        <v>1.35</v>
      </c>
      <c r="I1233" s="133">
        <v>3.59</v>
      </c>
      <c r="J1233" s="133">
        <v>1748</v>
      </c>
      <c r="K1233" s="133">
        <v>660</v>
      </c>
      <c r="L1233" s="133">
        <v>0</v>
      </c>
      <c r="M1233" s="133" t="s">
        <v>999</v>
      </c>
      <c r="N1233" s="133">
        <v>0</v>
      </c>
      <c r="P1233" s="133">
        <v>0</v>
      </c>
      <c r="Q1233" s="133">
        <v>0</v>
      </c>
      <c r="R1233" s="133">
        <v>660</v>
      </c>
      <c r="S1233" s="156">
        <v>1</v>
      </c>
    </row>
    <row r="1234" spans="1:19">
      <c r="A1234" s="133" t="s">
        <v>1186</v>
      </c>
      <c r="B1234" s="133" t="s">
        <v>1175</v>
      </c>
      <c r="C1234" s="133" t="s">
        <v>1000</v>
      </c>
      <c r="D1234" s="133" t="s">
        <v>639</v>
      </c>
      <c r="E1234" s="133" t="s">
        <v>640</v>
      </c>
      <c r="F1234" s="133" t="s">
        <v>709</v>
      </c>
      <c r="G1234" s="133" t="s">
        <v>719</v>
      </c>
      <c r="H1234" s="133">
        <v>2.34</v>
      </c>
      <c r="I1234" s="133">
        <v>5.79</v>
      </c>
      <c r="J1234" s="133">
        <v>618</v>
      </c>
      <c r="K1234" s="133">
        <v>210</v>
      </c>
      <c r="L1234" s="133">
        <v>0</v>
      </c>
      <c r="M1234" s="133" t="s">
        <v>999</v>
      </c>
      <c r="N1234" s="133">
        <v>0</v>
      </c>
      <c r="P1234" s="133">
        <v>0</v>
      </c>
      <c r="Q1234" s="133">
        <v>0</v>
      </c>
      <c r="R1234" s="133">
        <v>210</v>
      </c>
      <c r="S1234" s="156">
        <v>1</v>
      </c>
    </row>
    <row r="1235" spans="1:19">
      <c r="A1235" s="133" t="s">
        <v>1186</v>
      </c>
      <c r="B1235" s="133" t="s">
        <v>1175</v>
      </c>
      <c r="C1235" s="133" t="s">
        <v>1000</v>
      </c>
      <c r="D1235" s="133" t="s">
        <v>641</v>
      </c>
      <c r="E1235" s="133" t="s">
        <v>642</v>
      </c>
      <c r="F1235" s="133" t="s">
        <v>709</v>
      </c>
      <c r="G1235" s="133" t="s">
        <v>719</v>
      </c>
      <c r="H1235" s="133">
        <v>5.27</v>
      </c>
      <c r="I1235" s="133">
        <v>11.5</v>
      </c>
      <c r="J1235" s="133">
        <v>724</v>
      </c>
      <c r="K1235" s="133">
        <v>240</v>
      </c>
      <c r="L1235" s="133">
        <v>0</v>
      </c>
      <c r="M1235" s="133" t="s">
        <v>999</v>
      </c>
      <c r="N1235" s="133">
        <v>0</v>
      </c>
      <c r="P1235" s="133">
        <v>0</v>
      </c>
      <c r="Q1235" s="133">
        <v>0</v>
      </c>
      <c r="R1235" s="133">
        <v>240</v>
      </c>
      <c r="S1235" s="156">
        <v>1</v>
      </c>
    </row>
    <row r="1236" spans="1:19">
      <c r="A1236" s="133" t="s">
        <v>1186</v>
      </c>
      <c r="B1236" s="133" t="s">
        <v>1175</v>
      </c>
      <c r="C1236" s="133" t="s">
        <v>1000</v>
      </c>
      <c r="D1236" s="133" t="s">
        <v>647</v>
      </c>
      <c r="E1236" s="133" t="s">
        <v>648</v>
      </c>
      <c r="F1236" s="133" t="s">
        <v>708</v>
      </c>
      <c r="G1236" s="133" t="s">
        <v>715</v>
      </c>
      <c r="H1236" s="133">
        <v>10.039999999999999</v>
      </c>
      <c r="I1236" s="133">
        <v>24.9</v>
      </c>
      <c r="J1236" s="133">
        <v>861</v>
      </c>
      <c r="K1236" s="133">
        <v>300</v>
      </c>
      <c r="L1236" s="133">
        <v>0</v>
      </c>
      <c r="M1236" s="133" t="s">
        <v>999</v>
      </c>
      <c r="N1236" s="133">
        <v>0</v>
      </c>
      <c r="P1236" s="133">
        <v>0</v>
      </c>
      <c r="Q1236" s="133">
        <v>0</v>
      </c>
      <c r="R1236" s="133">
        <v>300</v>
      </c>
      <c r="S1236" s="156">
        <v>1</v>
      </c>
    </row>
    <row r="1237" spans="1:19">
      <c r="A1237" s="133" t="s">
        <v>1186</v>
      </c>
      <c r="B1237" s="133" t="s">
        <v>1175</v>
      </c>
      <c r="C1237" s="133" t="s">
        <v>1000</v>
      </c>
      <c r="D1237" s="133" t="s">
        <v>649</v>
      </c>
      <c r="E1237" s="133" t="s">
        <v>650</v>
      </c>
      <c r="F1237" s="133" t="s">
        <v>708</v>
      </c>
      <c r="G1237" s="133" t="s">
        <v>715</v>
      </c>
      <c r="H1237" s="133">
        <v>50.77</v>
      </c>
      <c r="I1237" s="133">
        <v>109.81</v>
      </c>
      <c r="J1237" s="133">
        <v>5</v>
      </c>
      <c r="K1237" s="133">
        <v>0</v>
      </c>
      <c r="L1237" s="133">
        <v>0</v>
      </c>
      <c r="M1237" s="133" t="s">
        <v>1096</v>
      </c>
      <c r="N1237" s="133">
        <v>0</v>
      </c>
      <c r="P1237" s="133">
        <v>0</v>
      </c>
      <c r="Q1237" s="133">
        <v>0</v>
      </c>
      <c r="R1237" s="133">
        <v>0</v>
      </c>
      <c r="S1237" s="156"/>
    </row>
    <row r="1238" spans="1:19">
      <c r="A1238" s="133" t="s">
        <v>1186</v>
      </c>
      <c r="B1238" s="133" t="s">
        <v>1175</v>
      </c>
      <c r="C1238" s="133" t="s">
        <v>1000</v>
      </c>
      <c r="D1238" s="133" t="s">
        <v>659</v>
      </c>
      <c r="E1238" s="133" t="s">
        <v>660</v>
      </c>
      <c r="F1238" s="133" t="s">
        <v>707</v>
      </c>
      <c r="G1238" s="133" t="s">
        <v>732</v>
      </c>
      <c r="H1238" s="133">
        <v>121.78</v>
      </c>
      <c r="I1238" s="133">
        <v>189</v>
      </c>
      <c r="J1238" s="133">
        <v>1</v>
      </c>
      <c r="K1238" s="133">
        <v>0</v>
      </c>
      <c r="L1238" s="133">
        <v>0</v>
      </c>
      <c r="M1238" s="133" t="s">
        <v>1096</v>
      </c>
      <c r="N1238" s="133">
        <v>0</v>
      </c>
      <c r="P1238" s="133">
        <v>0</v>
      </c>
      <c r="Q1238" s="133">
        <v>0</v>
      </c>
      <c r="R1238" s="133">
        <v>0</v>
      </c>
      <c r="S1238" s="156"/>
    </row>
    <row r="1239" spans="1:19">
      <c r="A1239" s="133" t="s">
        <v>1186</v>
      </c>
      <c r="B1239" s="133" t="s">
        <v>1175</v>
      </c>
      <c r="C1239" s="133" t="s">
        <v>1000</v>
      </c>
      <c r="D1239" s="133" t="s">
        <v>661</v>
      </c>
      <c r="E1239" s="133" t="s">
        <v>662</v>
      </c>
      <c r="F1239" s="133" t="s">
        <v>707</v>
      </c>
      <c r="G1239" s="133" t="s">
        <v>732</v>
      </c>
      <c r="H1239" s="133">
        <v>24.73</v>
      </c>
      <c r="I1239" s="133">
        <v>38.4</v>
      </c>
      <c r="J1239" s="133">
        <v>8</v>
      </c>
      <c r="K1239" s="133">
        <v>2</v>
      </c>
      <c r="L1239" s="133">
        <v>0</v>
      </c>
      <c r="M1239" s="133" t="s">
        <v>999</v>
      </c>
      <c r="N1239" s="133">
        <v>0</v>
      </c>
      <c r="P1239" s="133">
        <v>0</v>
      </c>
      <c r="Q1239" s="133">
        <v>0</v>
      </c>
      <c r="R1239" s="133">
        <v>2</v>
      </c>
      <c r="S1239" s="156">
        <v>1</v>
      </c>
    </row>
    <row r="1240" spans="1:19">
      <c r="A1240" s="133" t="s">
        <v>1186</v>
      </c>
      <c r="B1240" s="133" t="s">
        <v>1175</v>
      </c>
      <c r="C1240" s="133" t="s">
        <v>1000</v>
      </c>
      <c r="D1240" s="133" t="s">
        <v>663</v>
      </c>
      <c r="E1240" s="133" t="s">
        <v>664</v>
      </c>
      <c r="F1240" s="133" t="s">
        <v>707</v>
      </c>
      <c r="G1240" s="133" t="s">
        <v>732</v>
      </c>
      <c r="H1240" s="133">
        <v>6.54</v>
      </c>
      <c r="I1240" s="133">
        <v>10.5</v>
      </c>
      <c r="J1240" s="133">
        <v>184</v>
      </c>
      <c r="K1240" s="133">
        <v>18</v>
      </c>
      <c r="L1240" s="133">
        <v>0</v>
      </c>
      <c r="M1240" s="133" t="s">
        <v>999</v>
      </c>
      <c r="N1240" s="133">
        <v>0</v>
      </c>
      <c r="P1240" s="133">
        <v>0</v>
      </c>
      <c r="Q1240" s="133">
        <v>0</v>
      </c>
      <c r="R1240" s="133">
        <v>18</v>
      </c>
      <c r="S1240" s="156">
        <v>1</v>
      </c>
    </row>
    <row r="1241" spans="1:19">
      <c r="A1241" s="133" t="s">
        <v>1186</v>
      </c>
      <c r="B1241" s="133" t="s">
        <v>1175</v>
      </c>
      <c r="C1241" s="133" t="s">
        <v>1000</v>
      </c>
      <c r="D1241" s="133" t="s">
        <v>733</v>
      </c>
      <c r="E1241" s="133" t="s">
        <v>734</v>
      </c>
      <c r="F1241" s="133" t="s">
        <v>709</v>
      </c>
      <c r="G1241" s="133" t="s">
        <v>732</v>
      </c>
      <c r="H1241" s="133">
        <v>16.05</v>
      </c>
      <c r="I1241" s="133">
        <v>30.15</v>
      </c>
      <c r="J1241" s="133">
        <v>15</v>
      </c>
      <c r="K1241" s="133">
        <v>36</v>
      </c>
      <c r="L1241" s="133">
        <v>0</v>
      </c>
      <c r="M1241" s="133" t="s">
        <v>999</v>
      </c>
      <c r="N1241" s="133">
        <v>0</v>
      </c>
      <c r="P1241" s="133">
        <v>0</v>
      </c>
      <c r="Q1241" s="133">
        <v>0</v>
      </c>
      <c r="R1241" s="133">
        <v>36</v>
      </c>
      <c r="S1241" s="156">
        <v>1</v>
      </c>
    </row>
    <row r="1242" spans="1:19">
      <c r="A1242" s="133" t="s">
        <v>1186</v>
      </c>
      <c r="B1242" s="133" t="s">
        <v>1175</v>
      </c>
      <c r="C1242" s="133" t="s">
        <v>1000</v>
      </c>
      <c r="D1242" s="133" t="s">
        <v>730</v>
      </c>
      <c r="E1242" s="133" t="s">
        <v>731</v>
      </c>
      <c r="F1242" s="133" t="s">
        <v>709</v>
      </c>
      <c r="G1242" s="133" t="s">
        <v>732</v>
      </c>
      <c r="H1242" s="133">
        <v>62.58</v>
      </c>
      <c r="I1242" s="133">
        <v>108</v>
      </c>
      <c r="J1242" s="133">
        <v>56</v>
      </c>
      <c r="K1242" s="133">
        <v>8</v>
      </c>
      <c r="L1242" s="133">
        <v>0</v>
      </c>
      <c r="M1242" s="133" t="s">
        <v>999</v>
      </c>
      <c r="N1242" s="133">
        <v>0</v>
      </c>
      <c r="P1242" s="133">
        <v>0</v>
      </c>
      <c r="Q1242" s="133">
        <v>0</v>
      </c>
      <c r="R1242" s="133">
        <v>8</v>
      </c>
      <c r="S1242" s="156">
        <v>1</v>
      </c>
    </row>
    <row r="1243" spans="1:19">
      <c r="A1243" s="133" t="s">
        <v>1186</v>
      </c>
      <c r="B1243" s="133" t="s">
        <v>1175</v>
      </c>
      <c r="C1243" s="133" t="s">
        <v>1000</v>
      </c>
      <c r="D1243" s="133" t="s">
        <v>665</v>
      </c>
      <c r="E1243" s="133" t="s">
        <v>666</v>
      </c>
      <c r="F1243" s="133" t="s">
        <v>709</v>
      </c>
      <c r="G1243" s="133" t="s">
        <v>715</v>
      </c>
      <c r="H1243" s="133">
        <v>1.42</v>
      </c>
      <c r="I1243" s="133">
        <v>6.5</v>
      </c>
      <c r="J1243" s="133">
        <v>44</v>
      </c>
      <c r="K1243" s="133">
        <v>300</v>
      </c>
      <c r="L1243" s="133">
        <v>0</v>
      </c>
      <c r="M1243" s="133" t="s">
        <v>999</v>
      </c>
      <c r="N1243" s="133">
        <v>0</v>
      </c>
      <c r="P1243" s="133">
        <v>0</v>
      </c>
      <c r="Q1243" s="133">
        <v>0</v>
      </c>
      <c r="R1243" s="133">
        <v>300</v>
      </c>
      <c r="S1243" s="156">
        <v>1</v>
      </c>
    </row>
    <row r="1244" spans="1:19">
      <c r="A1244" s="133" t="s">
        <v>1186</v>
      </c>
      <c r="B1244" s="133" t="s">
        <v>1175</v>
      </c>
      <c r="C1244" s="133" t="s">
        <v>1000</v>
      </c>
      <c r="D1244" s="133" t="s">
        <v>667</v>
      </c>
      <c r="E1244" s="133" t="s">
        <v>668</v>
      </c>
      <c r="F1244" s="133" t="s">
        <v>709</v>
      </c>
      <c r="G1244" s="133" t="s">
        <v>715</v>
      </c>
      <c r="H1244" s="133">
        <v>14.83</v>
      </c>
      <c r="I1244" s="133">
        <v>59</v>
      </c>
      <c r="J1244" s="133">
        <v>1</v>
      </c>
      <c r="K1244" s="133">
        <v>75</v>
      </c>
      <c r="L1244" s="133">
        <v>0</v>
      </c>
      <c r="M1244" s="133" t="s">
        <v>999</v>
      </c>
      <c r="N1244" s="133">
        <v>0</v>
      </c>
      <c r="P1244" s="133">
        <v>0</v>
      </c>
      <c r="Q1244" s="133">
        <v>0</v>
      </c>
      <c r="R1244" s="133">
        <v>75</v>
      </c>
      <c r="S1244" s="156">
        <v>1</v>
      </c>
    </row>
    <row r="1245" spans="1:19">
      <c r="A1245" s="133" t="s">
        <v>1186</v>
      </c>
      <c r="B1245" s="133" t="s">
        <v>1175</v>
      </c>
      <c r="C1245" s="133" t="s">
        <v>1000</v>
      </c>
      <c r="D1245" s="133" t="s">
        <v>669</v>
      </c>
      <c r="E1245" s="133" t="s">
        <v>670</v>
      </c>
      <c r="F1245" s="133" t="s">
        <v>708</v>
      </c>
      <c r="G1245" s="133" t="s">
        <v>715</v>
      </c>
      <c r="H1245" s="133">
        <v>1.75</v>
      </c>
      <c r="I1245" s="133">
        <v>7.32</v>
      </c>
      <c r="J1245" s="133">
        <v>596</v>
      </c>
      <c r="K1245" s="133">
        <v>600</v>
      </c>
      <c r="L1245" s="133">
        <v>0</v>
      </c>
      <c r="M1245" s="133" t="s">
        <v>999</v>
      </c>
      <c r="N1245" s="133">
        <v>0</v>
      </c>
      <c r="P1245" s="133">
        <v>0</v>
      </c>
      <c r="Q1245" s="133">
        <v>0</v>
      </c>
      <c r="R1245" s="133">
        <v>600</v>
      </c>
      <c r="S1245" s="156">
        <v>1</v>
      </c>
    </row>
    <row r="1246" spans="1:19">
      <c r="A1246" s="133" t="s">
        <v>1187</v>
      </c>
      <c r="B1246" s="133" t="s">
        <v>1175</v>
      </c>
      <c r="C1246" s="133" t="s">
        <v>1000</v>
      </c>
      <c r="D1246" s="133" t="s">
        <v>85</v>
      </c>
      <c r="E1246" s="133" t="s">
        <v>86</v>
      </c>
      <c r="F1246" s="133" t="s">
        <v>707</v>
      </c>
      <c r="G1246" s="133" t="s">
        <v>715</v>
      </c>
      <c r="H1246" s="133">
        <v>0.37</v>
      </c>
      <c r="I1246" s="133">
        <v>0</v>
      </c>
      <c r="J1246" s="133">
        <v>141</v>
      </c>
      <c r="L1246" s="133">
        <v>0</v>
      </c>
      <c r="M1246" s="133" t="s">
        <v>1096</v>
      </c>
      <c r="N1246" s="133">
        <v>0</v>
      </c>
      <c r="P1246" s="133">
        <v>0</v>
      </c>
      <c r="Q1246" s="133">
        <v>0</v>
      </c>
      <c r="R1246" s="133">
        <v>0</v>
      </c>
      <c r="S1246" s="156"/>
    </row>
    <row r="1247" spans="1:19">
      <c r="A1247" s="133" t="s">
        <v>1187</v>
      </c>
      <c r="B1247" s="133" t="s">
        <v>1175</v>
      </c>
      <c r="C1247" s="133" t="s">
        <v>1000</v>
      </c>
      <c r="D1247" s="133" t="s">
        <v>87</v>
      </c>
      <c r="E1247" s="133" t="s">
        <v>88</v>
      </c>
      <c r="F1247" s="133" t="s">
        <v>707</v>
      </c>
      <c r="G1247" s="133" t="s">
        <v>715</v>
      </c>
      <c r="H1247" s="133">
        <v>0.66</v>
      </c>
      <c r="I1247" s="133">
        <v>0</v>
      </c>
      <c r="J1247" s="133">
        <v>457</v>
      </c>
      <c r="L1247" s="133">
        <v>0</v>
      </c>
      <c r="M1247" s="133" t="s">
        <v>1096</v>
      </c>
      <c r="N1247" s="133">
        <v>0</v>
      </c>
      <c r="P1247" s="133">
        <v>0</v>
      </c>
      <c r="Q1247" s="133">
        <v>0</v>
      </c>
      <c r="R1247" s="133">
        <v>0</v>
      </c>
      <c r="S1247" s="156"/>
    </row>
    <row r="1248" spans="1:19">
      <c r="A1248" s="133" t="s">
        <v>1187</v>
      </c>
      <c r="B1248" s="133" t="s">
        <v>1175</v>
      </c>
      <c r="C1248" s="133" t="s">
        <v>1000</v>
      </c>
      <c r="D1248" s="133" t="s">
        <v>89</v>
      </c>
      <c r="E1248" s="133" t="s">
        <v>90</v>
      </c>
      <c r="F1248" s="133" t="s">
        <v>707</v>
      </c>
      <c r="G1248" s="133" t="s">
        <v>715</v>
      </c>
      <c r="H1248" s="133">
        <v>1.83</v>
      </c>
      <c r="I1248" s="133">
        <v>0</v>
      </c>
      <c r="J1248" s="133">
        <v>185</v>
      </c>
      <c r="L1248" s="133">
        <v>0</v>
      </c>
      <c r="M1248" s="133" t="s">
        <v>1096</v>
      </c>
      <c r="N1248" s="133">
        <v>0</v>
      </c>
      <c r="P1248" s="133">
        <v>0</v>
      </c>
      <c r="Q1248" s="133">
        <v>0</v>
      </c>
      <c r="R1248" s="133">
        <v>0</v>
      </c>
      <c r="S1248" s="156"/>
    </row>
    <row r="1249" spans="1:19">
      <c r="A1249" s="133" t="s">
        <v>1187</v>
      </c>
      <c r="B1249" s="133" t="s">
        <v>1175</v>
      </c>
      <c r="C1249" s="133" t="s">
        <v>1000</v>
      </c>
      <c r="D1249" s="133" t="s">
        <v>91</v>
      </c>
      <c r="E1249" s="133" t="s">
        <v>92</v>
      </c>
      <c r="F1249" s="133" t="s">
        <v>707</v>
      </c>
      <c r="G1249" s="133" t="s">
        <v>715</v>
      </c>
      <c r="H1249" s="133">
        <v>1.9</v>
      </c>
      <c r="I1249" s="133">
        <v>0</v>
      </c>
      <c r="J1249" s="133">
        <v>0</v>
      </c>
      <c r="L1249" s="133">
        <v>0</v>
      </c>
      <c r="M1249" s="133" t="s">
        <v>1096</v>
      </c>
      <c r="N1249" s="133">
        <v>0</v>
      </c>
      <c r="P1249" s="133">
        <v>0</v>
      </c>
      <c r="Q1249" s="133">
        <v>0</v>
      </c>
      <c r="R1249" s="133">
        <v>0</v>
      </c>
      <c r="S1249" s="156"/>
    </row>
    <row r="1250" spans="1:19">
      <c r="A1250" s="133" t="s">
        <v>1187</v>
      </c>
      <c r="B1250" s="133" t="s">
        <v>1175</v>
      </c>
      <c r="C1250" s="133" t="s">
        <v>1000</v>
      </c>
      <c r="D1250" s="133" t="s">
        <v>93</v>
      </c>
      <c r="E1250" s="133" t="s">
        <v>94</v>
      </c>
      <c r="F1250" s="133" t="s">
        <v>707</v>
      </c>
      <c r="G1250" s="133" t="s">
        <v>715</v>
      </c>
      <c r="H1250" s="133">
        <v>1.88</v>
      </c>
      <c r="I1250" s="133">
        <v>0</v>
      </c>
      <c r="J1250" s="133">
        <v>793</v>
      </c>
      <c r="L1250" s="133">
        <v>0</v>
      </c>
      <c r="M1250" s="133" t="s">
        <v>1096</v>
      </c>
      <c r="N1250" s="133">
        <v>0</v>
      </c>
      <c r="P1250" s="133">
        <v>0</v>
      </c>
      <c r="Q1250" s="133">
        <v>0</v>
      </c>
      <c r="R1250" s="133">
        <v>0</v>
      </c>
      <c r="S1250" s="156"/>
    </row>
    <row r="1251" spans="1:19">
      <c r="A1251" s="133" t="s">
        <v>1187</v>
      </c>
      <c r="B1251" s="133" t="s">
        <v>1175</v>
      </c>
      <c r="C1251" s="133" t="s">
        <v>1000</v>
      </c>
      <c r="D1251" s="133" t="s">
        <v>95</v>
      </c>
      <c r="E1251" s="133" t="s">
        <v>96</v>
      </c>
      <c r="F1251" s="133" t="s">
        <v>707</v>
      </c>
      <c r="G1251" s="133" t="s">
        <v>715</v>
      </c>
      <c r="H1251" s="133">
        <v>1.94</v>
      </c>
      <c r="I1251" s="133">
        <v>0</v>
      </c>
      <c r="J1251" s="133">
        <v>600</v>
      </c>
      <c r="L1251" s="133">
        <v>0</v>
      </c>
      <c r="M1251" s="133" t="s">
        <v>1096</v>
      </c>
      <c r="N1251" s="133">
        <v>0</v>
      </c>
      <c r="P1251" s="133">
        <v>0</v>
      </c>
      <c r="Q1251" s="133">
        <v>0</v>
      </c>
      <c r="R1251" s="133">
        <v>0</v>
      </c>
      <c r="S1251" s="156"/>
    </row>
    <row r="1252" spans="1:19">
      <c r="A1252" s="133" t="s">
        <v>1187</v>
      </c>
      <c r="B1252" s="133" t="s">
        <v>1175</v>
      </c>
      <c r="C1252" s="133" t="s">
        <v>1000</v>
      </c>
      <c r="D1252" s="133" t="s">
        <v>97</v>
      </c>
      <c r="E1252" s="133" t="s">
        <v>98</v>
      </c>
      <c r="F1252" s="133" t="s">
        <v>707</v>
      </c>
      <c r="G1252" s="133" t="s">
        <v>715</v>
      </c>
      <c r="H1252" s="133">
        <v>1.78</v>
      </c>
      <c r="I1252" s="133">
        <v>0</v>
      </c>
      <c r="J1252" s="133">
        <v>600</v>
      </c>
      <c r="L1252" s="133">
        <v>0</v>
      </c>
      <c r="M1252" s="133" t="s">
        <v>1096</v>
      </c>
      <c r="N1252" s="133">
        <v>0</v>
      </c>
      <c r="P1252" s="133">
        <v>0</v>
      </c>
      <c r="Q1252" s="133">
        <v>0</v>
      </c>
      <c r="R1252" s="133">
        <v>0</v>
      </c>
      <c r="S1252" s="156"/>
    </row>
    <row r="1253" spans="1:19">
      <c r="A1253" s="133" t="s">
        <v>1187</v>
      </c>
      <c r="B1253" s="133" t="s">
        <v>1175</v>
      </c>
      <c r="C1253" s="133" t="s">
        <v>1000</v>
      </c>
      <c r="D1253" s="133" t="s">
        <v>99</v>
      </c>
      <c r="E1253" s="133" t="s">
        <v>100</v>
      </c>
      <c r="F1253" s="133" t="s">
        <v>707</v>
      </c>
      <c r="G1253" s="133" t="s">
        <v>715</v>
      </c>
      <c r="H1253" s="133">
        <v>2</v>
      </c>
      <c r="I1253" s="133">
        <v>0</v>
      </c>
      <c r="J1253" s="133">
        <v>590</v>
      </c>
      <c r="L1253" s="133">
        <v>0</v>
      </c>
      <c r="M1253" s="133" t="s">
        <v>1096</v>
      </c>
      <c r="N1253" s="133">
        <v>0</v>
      </c>
      <c r="P1253" s="133">
        <v>0</v>
      </c>
      <c r="Q1253" s="133">
        <v>0</v>
      </c>
      <c r="R1253" s="133">
        <v>0</v>
      </c>
      <c r="S1253" s="156"/>
    </row>
    <row r="1254" spans="1:19">
      <c r="A1254" s="133" t="s">
        <v>1187</v>
      </c>
      <c r="B1254" s="133" t="s">
        <v>1175</v>
      </c>
      <c r="C1254" s="133" t="s">
        <v>1000</v>
      </c>
      <c r="D1254" s="133" t="s">
        <v>101</v>
      </c>
      <c r="E1254" s="133" t="s">
        <v>102</v>
      </c>
      <c r="F1254" s="133" t="s">
        <v>707</v>
      </c>
      <c r="G1254" s="133" t="s">
        <v>715</v>
      </c>
      <c r="H1254" s="133">
        <v>0.87</v>
      </c>
      <c r="I1254" s="133">
        <v>0</v>
      </c>
      <c r="J1254" s="133">
        <v>14</v>
      </c>
      <c r="K1254" s="133">
        <v>20</v>
      </c>
      <c r="L1254" s="133">
        <v>20</v>
      </c>
      <c r="M1254" s="133" t="s">
        <v>998</v>
      </c>
      <c r="N1254" s="133">
        <v>0</v>
      </c>
      <c r="P1254" s="133">
        <v>0</v>
      </c>
      <c r="Q1254" s="133">
        <v>20</v>
      </c>
      <c r="R1254" s="133">
        <v>0</v>
      </c>
      <c r="S1254" s="156">
        <v>0</v>
      </c>
    </row>
    <row r="1255" spans="1:19">
      <c r="A1255" s="133" t="s">
        <v>1187</v>
      </c>
      <c r="B1255" s="133" t="s">
        <v>1175</v>
      </c>
      <c r="C1255" s="133" t="s">
        <v>1000</v>
      </c>
      <c r="D1255" s="133" t="s">
        <v>103</v>
      </c>
      <c r="E1255" s="133" t="s">
        <v>104</v>
      </c>
      <c r="F1255" s="133" t="s">
        <v>707</v>
      </c>
      <c r="G1255" s="133" t="s">
        <v>715</v>
      </c>
      <c r="H1255" s="133">
        <v>1.38</v>
      </c>
      <c r="I1255" s="133">
        <v>0</v>
      </c>
      <c r="J1255" s="133">
        <v>129</v>
      </c>
      <c r="L1255" s="133">
        <v>0</v>
      </c>
      <c r="M1255" s="133" t="s">
        <v>1096</v>
      </c>
      <c r="N1255" s="133">
        <v>0</v>
      </c>
      <c r="P1255" s="133">
        <v>0</v>
      </c>
      <c r="Q1255" s="133">
        <v>0</v>
      </c>
      <c r="R1255" s="133">
        <v>0</v>
      </c>
      <c r="S1255" s="156"/>
    </row>
    <row r="1256" spans="1:19">
      <c r="A1256" s="133" t="s">
        <v>1187</v>
      </c>
      <c r="B1256" s="133" t="s">
        <v>1175</v>
      </c>
      <c r="C1256" s="133" t="s">
        <v>1000</v>
      </c>
      <c r="D1256" s="133" t="s">
        <v>105</v>
      </c>
      <c r="E1256" s="133" t="s">
        <v>106</v>
      </c>
      <c r="F1256" s="133" t="s">
        <v>707</v>
      </c>
      <c r="G1256" s="133" t="s">
        <v>715</v>
      </c>
      <c r="H1256" s="133">
        <v>8.39</v>
      </c>
      <c r="I1256" s="133">
        <v>0</v>
      </c>
      <c r="J1256" s="133">
        <v>0</v>
      </c>
      <c r="L1256" s="133">
        <v>0</v>
      </c>
      <c r="M1256" s="133" t="s">
        <v>1096</v>
      </c>
      <c r="N1256" s="133">
        <v>0</v>
      </c>
      <c r="P1256" s="133">
        <v>0</v>
      </c>
      <c r="Q1256" s="133">
        <v>0</v>
      </c>
      <c r="R1256" s="133">
        <v>0</v>
      </c>
      <c r="S1256" s="156"/>
    </row>
    <row r="1257" spans="1:19">
      <c r="A1257" s="133" t="s">
        <v>1187</v>
      </c>
      <c r="B1257" s="133" t="s">
        <v>1175</v>
      </c>
      <c r="C1257" s="133" t="s">
        <v>1000</v>
      </c>
      <c r="D1257" s="133" t="s">
        <v>107</v>
      </c>
      <c r="E1257" s="133" t="s">
        <v>108</v>
      </c>
      <c r="F1257" s="133" t="s">
        <v>707</v>
      </c>
      <c r="G1257" s="133" t="s">
        <v>715</v>
      </c>
      <c r="H1257" s="133">
        <v>2.61</v>
      </c>
      <c r="I1257" s="133">
        <v>0</v>
      </c>
      <c r="J1257" s="133">
        <v>176</v>
      </c>
      <c r="L1257" s="133">
        <v>0</v>
      </c>
      <c r="M1257" s="133" t="s">
        <v>1096</v>
      </c>
      <c r="N1257" s="133">
        <v>0</v>
      </c>
      <c r="P1257" s="133">
        <v>0</v>
      </c>
      <c r="Q1257" s="133">
        <v>0</v>
      </c>
      <c r="R1257" s="133">
        <v>0</v>
      </c>
      <c r="S1257" s="156"/>
    </row>
    <row r="1258" spans="1:19">
      <c r="A1258" s="133" t="s">
        <v>1187</v>
      </c>
      <c r="B1258" s="133" t="s">
        <v>1175</v>
      </c>
      <c r="C1258" s="133" t="s">
        <v>1000</v>
      </c>
      <c r="D1258" s="133" t="s">
        <v>109</v>
      </c>
      <c r="E1258" s="133" t="s">
        <v>110</v>
      </c>
      <c r="F1258" s="133" t="s">
        <v>707</v>
      </c>
      <c r="G1258" s="133" t="s">
        <v>715</v>
      </c>
      <c r="H1258" s="133">
        <v>1.4</v>
      </c>
      <c r="I1258" s="133">
        <v>0</v>
      </c>
      <c r="J1258" s="133">
        <v>924</v>
      </c>
      <c r="L1258" s="133">
        <v>0</v>
      </c>
      <c r="M1258" s="133" t="s">
        <v>1096</v>
      </c>
      <c r="N1258" s="133">
        <v>0</v>
      </c>
      <c r="P1258" s="133">
        <v>0</v>
      </c>
      <c r="Q1258" s="133">
        <v>0</v>
      </c>
      <c r="R1258" s="133">
        <v>0</v>
      </c>
      <c r="S1258" s="156"/>
    </row>
    <row r="1259" spans="1:19">
      <c r="A1259" s="133" t="s">
        <v>1187</v>
      </c>
      <c r="B1259" s="133" t="s">
        <v>1175</v>
      </c>
      <c r="C1259" s="133" t="s">
        <v>1000</v>
      </c>
      <c r="D1259" s="133" t="s">
        <v>111</v>
      </c>
      <c r="E1259" s="133" t="s">
        <v>112</v>
      </c>
      <c r="F1259" s="133" t="s">
        <v>707</v>
      </c>
      <c r="G1259" s="133" t="s">
        <v>715</v>
      </c>
      <c r="H1259" s="133">
        <v>2.34</v>
      </c>
      <c r="I1259" s="133">
        <v>0</v>
      </c>
      <c r="J1259" s="133">
        <v>305</v>
      </c>
      <c r="L1259" s="133">
        <v>0</v>
      </c>
      <c r="M1259" s="133" t="s">
        <v>1096</v>
      </c>
      <c r="N1259" s="133">
        <v>0</v>
      </c>
      <c r="P1259" s="133">
        <v>0</v>
      </c>
      <c r="Q1259" s="133">
        <v>0</v>
      </c>
      <c r="R1259" s="133">
        <v>0</v>
      </c>
      <c r="S1259" s="156"/>
    </row>
    <row r="1260" spans="1:19">
      <c r="A1260" s="133" t="s">
        <v>1187</v>
      </c>
      <c r="B1260" s="133" t="s">
        <v>1175</v>
      </c>
      <c r="C1260" s="133" t="s">
        <v>1000</v>
      </c>
      <c r="D1260" s="133" t="s">
        <v>113</v>
      </c>
      <c r="E1260" s="133" t="s">
        <v>114</v>
      </c>
      <c r="F1260" s="133" t="s">
        <v>707</v>
      </c>
      <c r="G1260" s="133" t="s">
        <v>715</v>
      </c>
      <c r="H1260" s="133">
        <v>4.62</v>
      </c>
      <c r="I1260" s="133">
        <v>0</v>
      </c>
      <c r="J1260" s="133">
        <v>128</v>
      </c>
      <c r="L1260" s="133">
        <v>0</v>
      </c>
      <c r="M1260" s="133" t="s">
        <v>1096</v>
      </c>
      <c r="N1260" s="133">
        <v>0</v>
      </c>
      <c r="P1260" s="133">
        <v>0</v>
      </c>
      <c r="Q1260" s="133">
        <v>0</v>
      </c>
      <c r="R1260" s="133">
        <v>0</v>
      </c>
      <c r="S1260" s="156"/>
    </row>
    <row r="1261" spans="1:19">
      <c r="A1261" s="133" t="s">
        <v>1187</v>
      </c>
      <c r="B1261" s="133" t="s">
        <v>1175</v>
      </c>
      <c r="C1261" s="133" t="s">
        <v>1000</v>
      </c>
      <c r="D1261" s="133" t="s">
        <v>115</v>
      </c>
      <c r="E1261" s="133" t="s">
        <v>116</v>
      </c>
      <c r="F1261" s="133" t="s">
        <v>707</v>
      </c>
      <c r="G1261" s="133" t="s">
        <v>715</v>
      </c>
      <c r="H1261" s="133">
        <v>1.63</v>
      </c>
      <c r="I1261" s="133">
        <v>0</v>
      </c>
      <c r="J1261" s="133">
        <v>141</v>
      </c>
      <c r="L1261" s="133">
        <v>0</v>
      </c>
      <c r="M1261" s="133" t="s">
        <v>1096</v>
      </c>
      <c r="N1261" s="133">
        <v>0</v>
      </c>
      <c r="P1261" s="133">
        <v>0</v>
      </c>
      <c r="Q1261" s="133">
        <v>0</v>
      </c>
      <c r="R1261" s="133">
        <v>0</v>
      </c>
      <c r="S1261" s="156"/>
    </row>
    <row r="1262" spans="1:19">
      <c r="A1262" s="133" t="s">
        <v>1187</v>
      </c>
      <c r="B1262" s="133" t="s">
        <v>1175</v>
      </c>
      <c r="C1262" s="133" t="s">
        <v>1000</v>
      </c>
      <c r="D1262" s="133" t="s">
        <v>117</v>
      </c>
      <c r="E1262" s="133" t="s">
        <v>118</v>
      </c>
      <c r="F1262" s="133" t="s">
        <v>707</v>
      </c>
      <c r="G1262" s="133" t="s">
        <v>727</v>
      </c>
      <c r="H1262" s="133">
        <v>3.09</v>
      </c>
      <c r="I1262" s="133">
        <v>0</v>
      </c>
      <c r="J1262" s="133">
        <v>69</v>
      </c>
      <c r="L1262" s="133">
        <v>0</v>
      </c>
      <c r="M1262" s="133" t="s">
        <v>1096</v>
      </c>
      <c r="N1262" s="133">
        <v>0</v>
      </c>
      <c r="P1262" s="133">
        <v>0</v>
      </c>
      <c r="Q1262" s="133">
        <v>0</v>
      </c>
      <c r="R1262" s="133">
        <v>0</v>
      </c>
      <c r="S1262" s="156"/>
    </row>
    <row r="1263" spans="1:19">
      <c r="A1263" s="133" t="s">
        <v>1187</v>
      </c>
      <c r="B1263" s="133" t="s">
        <v>1175</v>
      </c>
      <c r="C1263" s="133" t="s">
        <v>1000</v>
      </c>
      <c r="D1263" s="133" t="s">
        <v>119</v>
      </c>
      <c r="E1263" s="133" t="s">
        <v>120</v>
      </c>
      <c r="F1263" s="133" t="s">
        <v>707</v>
      </c>
      <c r="G1263" s="133" t="s">
        <v>715</v>
      </c>
      <c r="H1263" s="133">
        <v>1.93</v>
      </c>
      <c r="I1263" s="133">
        <v>0</v>
      </c>
      <c r="J1263" s="133">
        <v>291</v>
      </c>
      <c r="L1263" s="133">
        <v>0</v>
      </c>
      <c r="M1263" s="133" t="s">
        <v>1096</v>
      </c>
      <c r="N1263" s="133">
        <v>0</v>
      </c>
      <c r="P1263" s="133">
        <v>0</v>
      </c>
      <c r="Q1263" s="133">
        <v>0</v>
      </c>
      <c r="R1263" s="133">
        <v>0</v>
      </c>
      <c r="S1263" s="156"/>
    </row>
    <row r="1264" spans="1:19">
      <c r="A1264" s="133" t="s">
        <v>1187</v>
      </c>
      <c r="B1264" s="133" t="s">
        <v>1175</v>
      </c>
      <c r="C1264" s="133" t="s">
        <v>1000</v>
      </c>
      <c r="D1264" s="133" t="s">
        <v>121</v>
      </c>
      <c r="E1264" s="133" t="s">
        <v>122</v>
      </c>
      <c r="F1264" s="133" t="s">
        <v>707</v>
      </c>
      <c r="G1264" s="133" t="s">
        <v>715</v>
      </c>
      <c r="H1264" s="133">
        <v>1.38</v>
      </c>
      <c r="I1264" s="133">
        <v>0</v>
      </c>
      <c r="J1264" s="133">
        <v>2</v>
      </c>
      <c r="L1264" s="133">
        <v>0</v>
      </c>
      <c r="M1264" s="133" t="s">
        <v>1096</v>
      </c>
      <c r="N1264" s="133">
        <v>0</v>
      </c>
      <c r="P1264" s="133">
        <v>0</v>
      </c>
      <c r="Q1264" s="133">
        <v>0</v>
      </c>
      <c r="R1264" s="133">
        <v>0</v>
      </c>
      <c r="S1264" s="156"/>
    </row>
    <row r="1265" spans="1:19">
      <c r="A1265" s="133" t="s">
        <v>1187</v>
      </c>
      <c r="B1265" s="133" t="s">
        <v>1175</v>
      </c>
      <c r="C1265" s="133" t="s">
        <v>1000</v>
      </c>
      <c r="D1265" s="133" t="s">
        <v>123</v>
      </c>
      <c r="E1265" s="133" t="s">
        <v>124</v>
      </c>
      <c r="F1265" s="133" t="s">
        <v>707</v>
      </c>
      <c r="G1265" s="133" t="s">
        <v>715</v>
      </c>
      <c r="H1265" s="133">
        <v>7.04</v>
      </c>
      <c r="I1265" s="133">
        <v>0</v>
      </c>
      <c r="J1265" s="133">
        <v>0</v>
      </c>
      <c r="L1265" s="133">
        <v>0</v>
      </c>
      <c r="M1265" s="133" t="s">
        <v>1096</v>
      </c>
      <c r="N1265" s="133">
        <v>0</v>
      </c>
      <c r="P1265" s="133">
        <v>0</v>
      </c>
      <c r="Q1265" s="133">
        <v>0</v>
      </c>
      <c r="R1265" s="133">
        <v>0</v>
      </c>
      <c r="S1265" s="156"/>
    </row>
    <row r="1266" spans="1:19">
      <c r="A1266" s="133" t="s">
        <v>1187</v>
      </c>
      <c r="B1266" s="133" t="s">
        <v>1175</v>
      </c>
      <c r="C1266" s="133" t="s">
        <v>1000</v>
      </c>
      <c r="D1266" s="133" t="s">
        <v>125</v>
      </c>
      <c r="E1266" s="133" t="s">
        <v>126</v>
      </c>
      <c r="F1266" s="133" t="s">
        <v>707</v>
      </c>
      <c r="G1266" s="133" t="s">
        <v>715</v>
      </c>
      <c r="H1266" s="133">
        <v>2.54</v>
      </c>
      <c r="I1266" s="133">
        <v>0</v>
      </c>
      <c r="J1266" s="133">
        <v>68</v>
      </c>
      <c r="L1266" s="133">
        <v>0</v>
      </c>
      <c r="M1266" s="133" t="s">
        <v>1096</v>
      </c>
      <c r="N1266" s="133">
        <v>0</v>
      </c>
      <c r="P1266" s="133">
        <v>0</v>
      </c>
      <c r="Q1266" s="133">
        <v>0</v>
      </c>
      <c r="R1266" s="133">
        <v>0</v>
      </c>
      <c r="S1266" s="156"/>
    </row>
    <row r="1267" spans="1:19">
      <c r="A1267" s="133" t="s">
        <v>1187</v>
      </c>
      <c r="B1267" s="133" t="s">
        <v>1175</v>
      </c>
      <c r="C1267" s="133" t="s">
        <v>1000</v>
      </c>
      <c r="D1267" s="133" t="s">
        <v>127</v>
      </c>
      <c r="E1267" s="133" t="s">
        <v>942</v>
      </c>
      <c r="F1267" s="133" t="s">
        <v>712</v>
      </c>
      <c r="G1267" s="133" t="s">
        <v>715</v>
      </c>
      <c r="H1267" s="133">
        <v>1.52</v>
      </c>
      <c r="I1267" s="133">
        <v>0</v>
      </c>
      <c r="J1267" s="133">
        <v>0</v>
      </c>
      <c r="L1267" s="133">
        <v>0</v>
      </c>
      <c r="M1267" s="133" t="s">
        <v>1096</v>
      </c>
      <c r="N1267" s="133">
        <v>0</v>
      </c>
      <c r="P1267" s="133">
        <v>0</v>
      </c>
      <c r="Q1267" s="133">
        <v>0</v>
      </c>
      <c r="R1267" s="133">
        <v>0</v>
      </c>
      <c r="S1267" s="156"/>
    </row>
    <row r="1268" spans="1:19">
      <c r="A1268" s="133" t="s">
        <v>1187</v>
      </c>
      <c r="B1268" s="133" t="s">
        <v>1175</v>
      </c>
      <c r="C1268" s="133" t="s">
        <v>1000</v>
      </c>
      <c r="D1268" s="133" t="s">
        <v>128</v>
      </c>
      <c r="E1268" s="133" t="s">
        <v>129</v>
      </c>
      <c r="F1268" s="133" t="s">
        <v>712</v>
      </c>
      <c r="G1268" s="133" t="s">
        <v>715</v>
      </c>
      <c r="H1268" s="133">
        <v>13.29</v>
      </c>
      <c r="I1268" s="133">
        <v>0</v>
      </c>
      <c r="J1268" s="133">
        <v>0</v>
      </c>
      <c r="L1268" s="133">
        <v>0</v>
      </c>
      <c r="M1268" s="133" t="s">
        <v>1096</v>
      </c>
      <c r="N1268" s="133">
        <v>0</v>
      </c>
      <c r="P1268" s="133">
        <v>0</v>
      </c>
      <c r="Q1268" s="133">
        <v>0</v>
      </c>
      <c r="R1268" s="133">
        <v>0</v>
      </c>
      <c r="S1268" s="156"/>
    </row>
    <row r="1269" spans="1:19">
      <c r="A1269" s="133" t="s">
        <v>1187</v>
      </c>
      <c r="B1269" s="133" t="s">
        <v>1175</v>
      </c>
      <c r="C1269" s="133" t="s">
        <v>1000</v>
      </c>
      <c r="D1269" s="133" t="s">
        <v>925</v>
      </c>
      <c r="E1269" s="133" t="s">
        <v>943</v>
      </c>
      <c r="F1269" s="133" t="s">
        <v>944</v>
      </c>
      <c r="G1269" s="133" t="s">
        <v>715</v>
      </c>
      <c r="H1269" s="133">
        <v>60.43</v>
      </c>
      <c r="I1269" s="133">
        <v>0</v>
      </c>
      <c r="J1269" s="133">
        <v>5</v>
      </c>
      <c r="L1269" s="133">
        <v>0</v>
      </c>
      <c r="M1269" s="133" t="s">
        <v>1096</v>
      </c>
      <c r="N1269" s="133">
        <v>0</v>
      </c>
      <c r="P1269" s="133">
        <v>0</v>
      </c>
      <c r="Q1269" s="133">
        <v>0</v>
      </c>
      <c r="R1269" s="133">
        <v>0</v>
      </c>
      <c r="S1269" s="156"/>
    </row>
    <row r="1270" spans="1:19">
      <c r="A1270" s="133" t="s">
        <v>1187</v>
      </c>
      <c r="B1270" s="133" t="s">
        <v>1175</v>
      </c>
      <c r="C1270" s="133" t="s">
        <v>1000</v>
      </c>
      <c r="D1270" s="133" t="s">
        <v>130</v>
      </c>
      <c r="E1270" s="133" t="s">
        <v>131</v>
      </c>
      <c r="F1270" s="133" t="s">
        <v>707</v>
      </c>
      <c r="G1270" s="133" t="s">
        <v>715</v>
      </c>
      <c r="H1270" s="133">
        <v>1.64</v>
      </c>
      <c r="I1270" s="133">
        <v>0</v>
      </c>
      <c r="J1270" s="133">
        <v>534</v>
      </c>
      <c r="K1270" s="133">
        <v>35</v>
      </c>
      <c r="L1270" s="133">
        <v>50</v>
      </c>
      <c r="M1270" s="133" t="s">
        <v>997</v>
      </c>
      <c r="N1270" s="133">
        <v>0</v>
      </c>
      <c r="P1270" s="133">
        <v>0</v>
      </c>
      <c r="Q1270" s="133">
        <v>50</v>
      </c>
      <c r="R1270" s="133">
        <v>0</v>
      </c>
      <c r="S1270" s="156">
        <v>-0.42857142857142855</v>
      </c>
    </row>
    <row r="1271" spans="1:19">
      <c r="A1271" s="133" t="s">
        <v>1187</v>
      </c>
      <c r="B1271" s="133" t="s">
        <v>1175</v>
      </c>
      <c r="C1271" s="133" t="s">
        <v>1000</v>
      </c>
      <c r="D1271" s="133" t="s">
        <v>132</v>
      </c>
      <c r="E1271" s="133" t="s">
        <v>133</v>
      </c>
      <c r="F1271" s="133" t="s">
        <v>707</v>
      </c>
      <c r="G1271" s="133" t="s">
        <v>715</v>
      </c>
      <c r="H1271" s="133">
        <v>12.43</v>
      </c>
      <c r="I1271" s="133">
        <v>0</v>
      </c>
      <c r="J1271" s="133">
        <v>115</v>
      </c>
      <c r="L1271" s="133">
        <v>0</v>
      </c>
      <c r="M1271" s="133" t="s">
        <v>1096</v>
      </c>
      <c r="N1271" s="133">
        <v>0</v>
      </c>
      <c r="P1271" s="133">
        <v>0</v>
      </c>
      <c r="Q1271" s="133">
        <v>0</v>
      </c>
      <c r="R1271" s="133">
        <v>0</v>
      </c>
      <c r="S1271" s="156"/>
    </row>
    <row r="1272" spans="1:19">
      <c r="A1272" s="133" t="s">
        <v>1187</v>
      </c>
      <c r="B1272" s="133" t="s">
        <v>1175</v>
      </c>
      <c r="C1272" s="133" t="s">
        <v>1000</v>
      </c>
      <c r="D1272" s="133" t="s">
        <v>134</v>
      </c>
      <c r="E1272" s="133" t="s">
        <v>135</v>
      </c>
      <c r="F1272" s="133" t="s">
        <v>707</v>
      </c>
      <c r="G1272" s="133" t="s">
        <v>715</v>
      </c>
      <c r="H1272" s="133">
        <v>3.47</v>
      </c>
      <c r="I1272" s="133">
        <v>0</v>
      </c>
      <c r="J1272" s="133">
        <v>316</v>
      </c>
      <c r="L1272" s="133">
        <v>0</v>
      </c>
      <c r="M1272" s="133" t="s">
        <v>1096</v>
      </c>
      <c r="N1272" s="133">
        <v>0</v>
      </c>
      <c r="P1272" s="133">
        <v>0</v>
      </c>
      <c r="Q1272" s="133">
        <v>0</v>
      </c>
      <c r="R1272" s="133">
        <v>0</v>
      </c>
      <c r="S1272" s="156"/>
    </row>
    <row r="1273" spans="1:19">
      <c r="A1273" s="133" t="s">
        <v>1187</v>
      </c>
      <c r="B1273" s="133" t="s">
        <v>1175</v>
      </c>
      <c r="C1273" s="133" t="s">
        <v>1000</v>
      </c>
      <c r="D1273" s="133" t="s">
        <v>138</v>
      </c>
      <c r="E1273" s="133" t="s">
        <v>139</v>
      </c>
      <c r="F1273" s="133" t="s">
        <v>707</v>
      </c>
      <c r="G1273" s="133" t="s">
        <v>732</v>
      </c>
      <c r="H1273" s="133">
        <v>15.11</v>
      </c>
      <c r="I1273" s="133">
        <v>0</v>
      </c>
      <c r="J1273" s="133">
        <v>0</v>
      </c>
      <c r="L1273" s="133">
        <v>0</v>
      </c>
      <c r="M1273" s="133" t="s">
        <v>1096</v>
      </c>
      <c r="N1273" s="133">
        <v>0</v>
      </c>
      <c r="P1273" s="133">
        <v>0</v>
      </c>
      <c r="Q1273" s="133">
        <v>0</v>
      </c>
      <c r="R1273" s="133">
        <v>0</v>
      </c>
      <c r="S1273" s="156"/>
    </row>
    <row r="1274" spans="1:19">
      <c r="A1274" s="133" t="s">
        <v>1187</v>
      </c>
      <c r="B1274" s="133" t="s">
        <v>1175</v>
      </c>
      <c r="C1274" s="133" t="s">
        <v>1000</v>
      </c>
      <c r="D1274" s="133" t="s">
        <v>140</v>
      </c>
      <c r="E1274" s="133" t="s">
        <v>141</v>
      </c>
      <c r="F1274" s="133" t="s">
        <v>707</v>
      </c>
      <c r="G1274" s="133" t="s">
        <v>732</v>
      </c>
      <c r="H1274" s="133">
        <v>267</v>
      </c>
      <c r="I1274" s="133">
        <v>0</v>
      </c>
      <c r="J1274" s="133">
        <v>3</v>
      </c>
      <c r="L1274" s="133">
        <v>0</v>
      </c>
      <c r="M1274" s="133" t="s">
        <v>1096</v>
      </c>
      <c r="N1274" s="133">
        <v>0</v>
      </c>
      <c r="P1274" s="133">
        <v>0</v>
      </c>
      <c r="Q1274" s="133">
        <v>0</v>
      </c>
      <c r="R1274" s="133">
        <v>0</v>
      </c>
      <c r="S1274" s="156"/>
    </row>
    <row r="1275" spans="1:19">
      <c r="A1275" s="133" t="s">
        <v>1187</v>
      </c>
      <c r="B1275" s="133" t="s">
        <v>1175</v>
      </c>
      <c r="C1275" s="133" t="s">
        <v>1000</v>
      </c>
      <c r="D1275" s="133" t="s">
        <v>142</v>
      </c>
      <c r="E1275" s="133" t="s">
        <v>143</v>
      </c>
      <c r="F1275" s="133" t="s">
        <v>709</v>
      </c>
      <c r="G1275" s="133" t="s">
        <v>719</v>
      </c>
      <c r="H1275" s="133">
        <v>0.91</v>
      </c>
      <c r="I1275" s="133">
        <v>0</v>
      </c>
      <c r="J1275" s="133">
        <v>38</v>
      </c>
      <c r="K1275" s="133">
        <v>50</v>
      </c>
      <c r="L1275" s="133">
        <v>26</v>
      </c>
      <c r="M1275" s="133" t="s">
        <v>714</v>
      </c>
      <c r="N1275" s="133">
        <v>0</v>
      </c>
      <c r="P1275" s="133">
        <v>0</v>
      </c>
      <c r="Q1275" s="133">
        <v>26</v>
      </c>
      <c r="R1275" s="133">
        <v>24</v>
      </c>
      <c r="S1275" s="156">
        <v>0.48</v>
      </c>
    </row>
    <row r="1276" spans="1:19">
      <c r="A1276" s="133" t="s">
        <v>1187</v>
      </c>
      <c r="B1276" s="133" t="s">
        <v>1175</v>
      </c>
      <c r="C1276" s="133" t="s">
        <v>1000</v>
      </c>
      <c r="D1276" s="133" t="s">
        <v>144</v>
      </c>
      <c r="E1276" s="133" t="s">
        <v>145</v>
      </c>
      <c r="F1276" s="133" t="s">
        <v>709</v>
      </c>
      <c r="G1276" s="133" t="s">
        <v>719</v>
      </c>
      <c r="H1276" s="133">
        <v>2.79</v>
      </c>
      <c r="I1276" s="133">
        <v>0</v>
      </c>
      <c r="J1276" s="133">
        <v>335</v>
      </c>
      <c r="K1276" s="133">
        <v>50</v>
      </c>
      <c r="L1276" s="133">
        <v>77</v>
      </c>
      <c r="M1276" s="133" t="s">
        <v>997</v>
      </c>
      <c r="N1276" s="133">
        <v>0</v>
      </c>
      <c r="P1276" s="133">
        <v>0</v>
      </c>
      <c r="Q1276" s="133">
        <v>77</v>
      </c>
      <c r="R1276" s="133">
        <v>0</v>
      </c>
      <c r="S1276" s="156">
        <v>-0.54</v>
      </c>
    </row>
    <row r="1277" spans="1:19">
      <c r="A1277" s="133" t="s">
        <v>1187</v>
      </c>
      <c r="B1277" s="133" t="s">
        <v>1175</v>
      </c>
      <c r="C1277" s="133" t="s">
        <v>1000</v>
      </c>
      <c r="D1277" s="133" t="s">
        <v>146</v>
      </c>
      <c r="E1277" s="133" t="s">
        <v>147</v>
      </c>
      <c r="F1277" s="133" t="s">
        <v>709</v>
      </c>
      <c r="G1277" s="133" t="s">
        <v>719</v>
      </c>
      <c r="H1277" s="133">
        <v>4.42</v>
      </c>
      <c r="I1277" s="133">
        <v>0</v>
      </c>
      <c r="J1277" s="133">
        <v>41</v>
      </c>
      <c r="K1277" s="133">
        <v>20</v>
      </c>
      <c r="L1277" s="133">
        <v>20</v>
      </c>
      <c r="M1277" s="133" t="s">
        <v>998</v>
      </c>
      <c r="N1277" s="133">
        <v>0</v>
      </c>
      <c r="P1277" s="133">
        <v>0</v>
      </c>
      <c r="Q1277" s="133">
        <v>20</v>
      </c>
      <c r="R1277" s="133">
        <v>0</v>
      </c>
      <c r="S1277" s="156">
        <v>0</v>
      </c>
    </row>
    <row r="1278" spans="1:19">
      <c r="A1278" s="133" t="s">
        <v>1187</v>
      </c>
      <c r="B1278" s="133" t="s">
        <v>1175</v>
      </c>
      <c r="C1278" s="133" t="s">
        <v>1000</v>
      </c>
      <c r="D1278" s="133" t="s">
        <v>148</v>
      </c>
      <c r="E1278" s="133" t="s">
        <v>149</v>
      </c>
      <c r="F1278" s="133" t="s">
        <v>709</v>
      </c>
      <c r="G1278" s="133" t="s">
        <v>719</v>
      </c>
      <c r="H1278" s="133">
        <v>11.54</v>
      </c>
      <c r="I1278" s="133">
        <v>0</v>
      </c>
      <c r="J1278" s="133">
        <v>200</v>
      </c>
      <c r="L1278" s="133">
        <v>0</v>
      </c>
      <c r="M1278" s="133" t="s">
        <v>1096</v>
      </c>
      <c r="N1278" s="133">
        <v>0</v>
      </c>
      <c r="P1278" s="133">
        <v>0</v>
      </c>
      <c r="Q1278" s="133">
        <v>0</v>
      </c>
      <c r="R1278" s="133">
        <v>0</v>
      </c>
      <c r="S1278" s="156"/>
    </row>
    <row r="1279" spans="1:19">
      <c r="A1279" s="133" t="s">
        <v>1187</v>
      </c>
      <c r="B1279" s="133" t="s">
        <v>1175</v>
      </c>
      <c r="C1279" s="133" t="s">
        <v>1000</v>
      </c>
      <c r="D1279" s="133" t="s">
        <v>150</v>
      </c>
      <c r="E1279" s="133" t="s">
        <v>151</v>
      </c>
      <c r="F1279" s="133" t="s">
        <v>709</v>
      </c>
      <c r="G1279" s="133" t="s">
        <v>719</v>
      </c>
      <c r="H1279" s="133">
        <v>10.83</v>
      </c>
      <c r="I1279" s="133">
        <v>0</v>
      </c>
      <c r="J1279" s="133">
        <v>0</v>
      </c>
      <c r="L1279" s="133">
        <v>0</v>
      </c>
      <c r="M1279" s="133" t="s">
        <v>1096</v>
      </c>
      <c r="N1279" s="133">
        <v>0</v>
      </c>
      <c r="P1279" s="133">
        <v>0</v>
      </c>
      <c r="Q1279" s="133">
        <v>0</v>
      </c>
      <c r="R1279" s="133">
        <v>0</v>
      </c>
      <c r="S1279" s="156"/>
    </row>
    <row r="1280" spans="1:19">
      <c r="A1280" s="133" t="s">
        <v>1187</v>
      </c>
      <c r="B1280" s="133" t="s">
        <v>1175</v>
      </c>
      <c r="C1280" s="133" t="s">
        <v>1000</v>
      </c>
      <c r="D1280" s="133" t="s">
        <v>152</v>
      </c>
      <c r="E1280" s="133" t="s">
        <v>153</v>
      </c>
      <c r="F1280" s="133" t="s">
        <v>709</v>
      </c>
      <c r="G1280" s="133" t="s">
        <v>719</v>
      </c>
      <c r="H1280" s="133">
        <v>23.65</v>
      </c>
      <c r="I1280" s="133">
        <v>0</v>
      </c>
      <c r="J1280" s="133">
        <v>0</v>
      </c>
      <c r="L1280" s="133">
        <v>0</v>
      </c>
      <c r="M1280" s="133" t="s">
        <v>1096</v>
      </c>
      <c r="N1280" s="133">
        <v>0</v>
      </c>
      <c r="P1280" s="133">
        <v>0</v>
      </c>
      <c r="Q1280" s="133">
        <v>0</v>
      </c>
      <c r="R1280" s="133">
        <v>0</v>
      </c>
      <c r="S1280" s="156"/>
    </row>
    <row r="1281" spans="1:19">
      <c r="A1281" s="10" t="s">
        <v>1187</v>
      </c>
      <c r="B1281" s="10" t="s">
        <v>1175</v>
      </c>
      <c r="C1281" s="10" t="s">
        <v>1000</v>
      </c>
      <c r="D1281" s="10" t="s">
        <v>890</v>
      </c>
      <c r="E1281" s="10" t="s">
        <v>945</v>
      </c>
      <c r="F1281" s="10" t="s">
        <v>946</v>
      </c>
      <c r="G1281" s="10" t="s">
        <v>719</v>
      </c>
      <c r="H1281" s="10">
        <v>2.4</v>
      </c>
      <c r="I1281" s="10">
        <v>0</v>
      </c>
      <c r="J1281" s="10">
        <v>0</v>
      </c>
      <c r="K1281" s="10"/>
      <c r="L1281" s="10">
        <v>0</v>
      </c>
      <c r="M1281" s="10" t="s">
        <v>1096</v>
      </c>
      <c r="N1281" s="10">
        <v>0</v>
      </c>
      <c r="O1281" s="10"/>
      <c r="P1281" s="10">
        <v>0</v>
      </c>
      <c r="Q1281" s="10">
        <v>0</v>
      </c>
      <c r="R1281" s="10">
        <v>0</v>
      </c>
      <c r="S1281" s="155"/>
    </row>
    <row r="1282" spans="1:19">
      <c r="A1282" s="133" t="s">
        <v>1187</v>
      </c>
      <c r="B1282" s="133" t="s">
        <v>1175</v>
      </c>
      <c r="C1282" s="133" t="s">
        <v>1000</v>
      </c>
      <c r="D1282" s="133" t="s">
        <v>891</v>
      </c>
      <c r="E1282" s="133" t="s">
        <v>947</v>
      </c>
      <c r="F1282" s="133" t="s">
        <v>946</v>
      </c>
      <c r="G1282" s="133" t="s">
        <v>719</v>
      </c>
      <c r="H1282" s="133">
        <v>4.1500000000000004</v>
      </c>
      <c r="I1282" s="133">
        <v>0</v>
      </c>
      <c r="J1282" s="133">
        <v>0</v>
      </c>
      <c r="L1282" s="133">
        <v>0</v>
      </c>
      <c r="M1282" s="133" t="s">
        <v>1096</v>
      </c>
      <c r="N1282" s="133">
        <v>0</v>
      </c>
      <c r="P1282" s="133">
        <v>0</v>
      </c>
      <c r="Q1282" s="133">
        <v>0</v>
      </c>
      <c r="R1282" s="133">
        <v>0</v>
      </c>
      <c r="S1282" s="156"/>
    </row>
    <row r="1283" spans="1:19">
      <c r="A1283" s="133" t="s">
        <v>1187</v>
      </c>
      <c r="B1283" s="133" t="s">
        <v>1175</v>
      </c>
      <c r="C1283" s="133" t="s">
        <v>1000</v>
      </c>
      <c r="D1283" s="133" t="s">
        <v>736</v>
      </c>
      <c r="E1283" s="133" t="s">
        <v>765</v>
      </c>
      <c r="F1283" s="133" t="s">
        <v>712</v>
      </c>
      <c r="G1283" s="133" t="s">
        <v>732</v>
      </c>
      <c r="H1283" s="133">
        <v>2.89</v>
      </c>
      <c r="I1283" s="133">
        <v>0</v>
      </c>
      <c r="J1283" s="133">
        <v>0</v>
      </c>
      <c r="L1283" s="133">
        <v>0</v>
      </c>
      <c r="M1283" s="133" t="s">
        <v>1096</v>
      </c>
      <c r="N1283" s="133">
        <v>0</v>
      </c>
      <c r="P1283" s="133">
        <v>0</v>
      </c>
      <c r="Q1283" s="133">
        <v>0</v>
      </c>
      <c r="R1283" s="133">
        <v>0</v>
      </c>
      <c r="S1283" s="156"/>
    </row>
    <row r="1284" spans="1:19">
      <c r="A1284" s="133" t="s">
        <v>1187</v>
      </c>
      <c r="B1284" s="133" t="s">
        <v>1175</v>
      </c>
      <c r="C1284" s="133" t="s">
        <v>1000</v>
      </c>
      <c r="D1284" s="133" t="s">
        <v>738</v>
      </c>
      <c r="E1284" s="133" t="s">
        <v>762</v>
      </c>
      <c r="F1284" s="133" t="s">
        <v>712</v>
      </c>
      <c r="G1284" s="133" t="s">
        <v>732</v>
      </c>
      <c r="H1284" s="133">
        <v>519.35</v>
      </c>
      <c r="I1284" s="133">
        <v>0</v>
      </c>
      <c r="J1284" s="133">
        <v>8</v>
      </c>
      <c r="L1284" s="133">
        <v>0</v>
      </c>
      <c r="M1284" s="133" t="s">
        <v>1096</v>
      </c>
      <c r="N1284" s="133">
        <v>0</v>
      </c>
      <c r="P1284" s="133">
        <v>0</v>
      </c>
      <c r="Q1284" s="133">
        <v>0</v>
      </c>
      <c r="R1284" s="133">
        <v>0</v>
      </c>
      <c r="S1284" s="156"/>
    </row>
    <row r="1285" spans="1:19">
      <c r="A1285" s="133" t="s">
        <v>1187</v>
      </c>
      <c r="B1285" s="133" t="s">
        <v>1175</v>
      </c>
      <c r="C1285" s="133" t="s">
        <v>1000</v>
      </c>
      <c r="D1285" s="133" t="s">
        <v>875</v>
      </c>
      <c r="E1285" s="133" t="s">
        <v>948</v>
      </c>
      <c r="F1285" s="133" t="s">
        <v>712</v>
      </c>
      <c r="G1285" s="133" t="s">
        <v>732</v>
      </c>
      <c r="H1285" s="133">
        <v>6.79</v>
      </c>
      <c r="I1285" s="133">
        <v>0</v>
      </c>
      <c r="J1285" s="133">
        <v>36</v>
      </c>
      <c r="L1285" s="133">
        <v>0</v>
      </c>
      <c r="M1285" s="133" t="s">
        <v>1096</v>
      </c>
      <c r="N1285" s="133">
        <v>0</v>
      </c>
      <c r="P1285" s="133">
        <v>0</v>
      </c>
      <c r="Q1285" s="133">
        <v>0</v>
      </c>
      <c r="R1285" s="133">
        <v>0</v>
      </c>
      <c r="S1285" s="156"/>
    </row>
    <row r="1286" spans="1:19">
      <c r="A1286" s="133" t="s">
        <v>1187</v>
      </c>
      <c r="B1286" s="133" t="s">
        <v>1175</v>
      </c>
      <c r="C1286" s="133" t="s">
        <v>1000</v>
      </c>
      <c r="D1286" s="133" t="s">
        <v>737</v>
      </c>
      <c r="E1286" s="133" t="s">
        <v>763</v>
      </c>
      <c r="F1286" s="133" t="s">
        <v>712</v>
      </c>
      <c r="G1286" s="133" t="s">
        <v>732</v>
      </c>
      <c r="H1286" s="133">
        <v>98.3</v>
      </c>
      <c r="I1286" s="133">
        <v>0</v>
      </c>
      <c r="J1286" s="133">
        <v>12</v>
      </c>
      <c r="L1286" s="133">
        <v>0</v>
      </c>
      <c r="M1286" s="133" t="s">
        <v>1096</v>
      </c>
      <c r="N1286" s="133">
        <v>0</v>
      </c>
      <c r="P1286" s="133">
        <v>0</v>
      </c>
      <c r="Q1286" s="133">
        <v>0</v>
      </c>
      <c r="R1286" s="133">
        <v>0</v>
      </c>
      <c r="S1286" s="156"/>
    </row>
    <row r="1287" spans="1:19">
      <c r="A1287" s="133" t="s">
        <v>1187</v>
      </c>
      <c r="B1287" s="133" t="s">
        <v>1175</v>
      </c>
      <c r="C1287" s="133" t="s">
        <v>1000</v>
      </c>
      <c r="D1287" s="133" t="s">
        <v>742</v>
      </c>
      <c r="E1287" s="133" t="s">
        <v>764</v>
      </c>
      <c r="F1287" s="133" t="s">
        <v>712</v>
      </c>
      <c r="G1287" s="133" t="s">
        <v>732</v>
      </c>
      <c r="H1287" s="133">
        <v>26.65</v>
      </c>
      <c r="I1287" s="133">
        <v>0</v>
      </c>
      <c r="J1287" s="133">
        <v>159</v>
      </c>
      <c r="L1287" s="133">
        <v>0</v>
      </c>
      <c r="M1287" s="133" t="s">
        <v>1096</v>
      </c>
      <c r="N1287" s="133">
        <v>0</v>
      </c>
      <c r="P1287" s="133">
        <v>0</v>
      </c>
      <c r="Q1287" s="133">
        <v>0</v>
      </c>
      <c r="R1287" s="133">
        <v>0</v>
      </c>
      <c r="S1287" s="156"/>
    </row>
    <row r="1288" spans="1:19">
      <c r="A1288" s="133" t="s">
        <v>1187</v>
      </c>
      <c r="B1288" s="133" t="s">
        <v>1175</v>
      </c>
      <c r="C1288" s="133" t="s">
        <v>1000</v>
      </c>
      <c r="D1288" s="133" t="s">
        <v>162</v>
      </c>
      <c r="E1288" s="133" t="s">
        <v>163</v>
      </c>
      <c r="F1288" s="133" t="s">
        <v>712</v>
      </c>
      <c r="G1288" s="133" t="s">
        <v>715</v>
      </c>
      <c r="H1288" s="133">
        <v>1.87</v>
      </c>
      <c r="I1288" s="133">
        <v>0</v>
      </c>
      <c r="J1288" s="133">
        <v>2</v>
      </c>
      <c r="L1288" s="133">
        <v>0</v>
      </c>
      <c r="M1288" s="133" t="s">
        <v>1096</v>
      </c>
      <c r="N1288" s="133">
        <v>0</v>
      </c>
      <c r="P1288" s="133">
        <v>0</v>
      </c>
      <c r="Q1288" s="133">
        <v>0</v>
      </c>
      <c r="R1288" s="133">
        <v>0</v>
      </c>
      <c r="S1288" s="156"/>
    </row>
    <row r="1289" spans="1:19">
      <c r="A1289" s="133" t="s">
        <v>1187</v>
      </c>
      <c r="B1289" s="133" t="s">
        <v>1175</v>
      </c>
      <c r="C1289" s="133" t="s">
        <v>1000</v>
      </c>
      <c r="D1289" s="133" t="s">
        <v>164</v>
      </c>
      <c r="E1289" s="133" t="s">
        <v>165</v>
      </c>
      <c r="F1289" s="133" t="s">
        <v>712</v>
      </c>
      <c r="G1289" s="133" t="s">
        <v>715</v>
      </c>
      <c r="H1289" s="133">
        <v>3.58</v>
      </c>
      <c r="I1289" s="133">
        <v>0</v>
      </c>
      <c r="J1289" s="133">
        <v>62</v>
      </c>
      <c r="L1289" s="133">
        <v>0</v>
      </c>
      <c r="M1289" s="133" t="s">
        <v>1096</v>
      </c>
      <c r="N1289" s="133">
        <v>0</v>
      </c>
      <c r="P1289" s="133">
        <v>0</v>
      </c>
      <c r="Q1289" s="133">
        <v>0</v>
      </c>
      <c r="R1289" s="133">
        <v>0</v>
      </c>
      <c r="S1289" s="156"/>
    </row>
    <row r="1290" spans="1:19">
      <c r="A1290" s="133" t="s">
        <v>1187</v>
      </c>
      <c r="B1290" s="133" t="s">
        <v>1175</v>
      </c>
      <c r="C1290" s="133" t="s">
        <v>1000</v>
      </c>
      <c r="D1290" s="133" t="s">
        <v>166</v>
      </c>
      <c r="E1290" s="133" t="s">
        <v>167</v>
      </c>
      <c r="F1290" s="133" t="s">
        <v>712</v>
      </c>
      <c r="G1290" s="133" t="s">
        <v>715</v>
      </c>
      <c r="H1290" s="133">
        <v>6.73</v>
      </c>
      <c r="I1290" s="133">
        <v>0</v>
      </c>
      <c r="J1290" s="133">
        <v>122</v>
      </c>
      <c r="L1290" s="133">
        <v>0</v>
      </c>
      <c r="M1290" s="133" t="s">
        <v>1096</v>
      </c>
      <c r="N1290" s="133">
        <v>0</v>
      </c>
      <c r="P1290" s="133">
        <v>0</v>
      </c>
      <c r="Q1290" s="133">
        <v>0</v>
      </c>
      <c r="R1290" s="133">
        <v>0</v>
      </c>
      <c r="S1290" s="156"/>
    </row>
    <row r="1291" spans="1:19">
      <c r="A1291" s="133" t="s">
        <v>1187</v>
      </c>
      <c r="B1291" s="133" t="s">
        <v>1175</v>
      </c>
      <c r="C1291" s="133" t="s">
        <v>1000</v>
      </c>
      <c r="D1291" s="133" t="s">
        <v>175</v>
      </c>
      <c r="E1291" s="133" t="s">
        <v>176</v>
      </c>
      <c r="F1291" s="133" t="s">
        <v>710</v>
      </c>
      <c r="G1291" s="133" t="s">
        <v>718</v>
      </c>
      <c r="H1291" s="133">
        <v>0.32</v>
      </c>
      <c r="I1291" s="133">
        <v>0</v>
      </c>
      <c r="J1291" s="133">
        <v>226</v>
      </c>
      <c r="L1291" s="133">
        <v>0</v>
      </c>
      <c r="M1291" s="133" t="s">
        <v>1096</v>
      </c>
      <c r="N1291" s="133">
        <v>0</v>
      </c>
      <c r="P1291" s="133">
        <v>0</v>
      </c>
      <c r="Q1291" s="133">
        <v>0</v>
      </c>
      <c r="R1291" s="133">
        <v>0</v>
      </c>
      <c r="S1291" s="156"/>
    </row>
    <row r="1292" spans="1:19">
      <c r="A1292" s="133" t="s">
        <v>1187</v>
      </c>
      <c r="B1292" s="133" t="s">
        <v>1175</v>
      </c>
      <c r="C1292" s="133" t="s">
        <v>1000</v>
      </c>
      <c r="D1292" s="133" t="s">
        <v>877</v>
      </c>
      <c r="E1292" s="133" t="s">
        <v>933</v>
      </c>
      <c r="F1292" s="133" t="s">
        <v>710</v>
      </c>
      <c r="G1292" s="133" t="s">
        <v>718</v>
      </c>
      <c r="H1292" s="133">
        <v>0.98</v>
      </c>
      <c r="I1292" s="133">
        <v>0</v>
      </c>
      <c r="J1292" s="133">
        <v>98</v>
      </c>
      <c r="L1292" s="133">
        <v>0</v>
      </c>
      <c r="M1292" s="133" t="s">
        <v>1096</v>
      </c>
      <c r="N1292" s="133">
        <v>0</v>
      </c>
      <c r="P1292" s="133">
        <v>0</v>
      </c>
      <c r="Q1292" s="133">
        <v>0</v>
      </c>
      <c r="R1292" s="133">
        <v>0</v>
      </c>
      <c r="S1292" s="156"/>
    </row>
    <row r="1293" spans="1:19">
      <c r="A1293" s="133" t="s">
        <v>1187</v>
      </c>
      <c r="B1293" s="133" t="s">
        <v>1175</v>
      </c>
      <c r="C1293" s="133" t="s">
        <v>1000</v>
      </c>
      <c r="D1293" s="133" t="s">
        <v>179</v>
      </c>
      <c r="E1293" s="133" t="s">
        <v>180</v>
      </c>
      <c r="F1293" s="133" t="s">
        <v>710</v>
      </c>
      <c r="G1293" s="133" t="s">
        <v>718</v>
      </c>
      <c r="H1293" s="133">
        <v>0.66</v>
      </c>
      <c r="I1293" s="133">
        <v>0</v>
      </c>
      <c r="J1293" s="133">
        <v>50</v>
      </c>
      <c r="L1293" s="133">
        <v>0</v>
      </c>
      <c r="M1293" s="133" t="s">
        <v>1096</v>
      </c>
      <c r="N1293" s="133">
        <v>0</v>
      </c>
      <c r="P1293" s="133">
        <v>0</v>
      </c>
      <c r="Q1293" s="133">
        <v>0</v>
      </c>
      <c r="R1293" s="133">
        <v>0</v>
      </c>
      <c r="S1293" s="156"/>
    </row>
    <row r="1294" spans="1:19">
      <c r="A1294" s="133" t="s">
        <v>1187</v>
      </c>
      <c r="B1294" s="133" t="s">
        <v>1175</v>
      </c>
      <c r="C1294" s="133" t="s">
        <v>1000</v>
      </c>
      <c r="D1294" s="133" t="s">
        <v>852</v>
      </c>
      <c r="E1294" s="133" t="s">
        <v>1179</v>
      </c>
      <c r="F1294" s="133" t="s">
        <v>710</v>
      </c>
      <c r="G1294" s="133" t="s">
        <v>718</v>
      </c>
      <c r="H1294" s="133">
        <v>0.74</v>
      </c>
      <c r="I1294" s="133">
        <v>0</v>
      </c>
      <c r="J1294" s="133">
        <v>279</v>
      </c>
      <c r="L1294" s="133">
        <v>0</v>
      </c>
      <c r="M1294" s="133" t="s">
        <v>1096</v>
      </c>
      <c r="N1294" s="133">
        <v>0</v>
      </c>
      <c r="P1294" s="133">
        <v>0</v>
      </c>
      <c r="Q1294" s="133">
        <v>0</v>
      </c>
      <c r="R1294" s="133">
        <v>0</v>
      </c>
      <c r="S1294" s="156"/>
    </row>
    <row r="1295" spans="1:19">
      <c r="A1295" s="133" t="s">
        <v>1187</v>
      </c>
      <c r="B1295" s="133" t="s">
        <v>1175</v>
      </c>
      <c r="C1295" s="133" t="s">
        <v>1000</v>
      </c>
      <c r="D1295" s="133" t="s">
        <v>183</v>
      </c>
      <c r="E1295" s="133" t="s">
        <v>184</v>
      </c>
      <c r="F1295" s="133" t="s">
        <v>710</v>
      </c>
      <c r="G1295" s="133" t="s">
        <v>718</v>
      </c>
      <c r="H1295" s="133">
        <v>0.86</v>
      </c>
      <c r="I1295" s="133">
        <v>0</v>
      </c>
      <c r="J1295" s="133">
        <v>50</v>
      </c>
      <c r="L1295" s="133">
        <v>0</v>
      </c>
      <c r="M1295" s="133" t="s">
        <v>1096</v>
      </c>
      <c r="N1295" s="133">
        <v>0</v>
      </c>
      <c r="P1295" s="133">
        <v>0</v>
      </c>
      <c r="Q1295" s="133">
        <v>0</v>
      </c>
      <c r="R1295" s="133">
        <v>0</v>
      </c>
      <c r="S1295" s="156"/>
    </row>
    <row r="1296" spans="1:19">
      <c r="A1296" s="133" t="s">
        <v>1187</v>
      </c>
      <c r="B1296" s="133" t="s">
        <v>1175</v>
      </c>
      <c r="C1296" s="133" t="s">
        <v>1000</v>
      </c>
      <c r="D1296" s="133" t="s">
        <v>829</v>
      </c>
      <c r="E1296" s="133" t="s">
        <v>888</v>
      </c>
      <c r="F1296" s="133" t="s">
        <v>710</v>
      </c>
      <c r="G1296" s="133" t="s">
        <v>718</v>
      </c>
      <c r="H1296" s="133">
        <v>0.88</v>
      </c>
      <c r="I1296" s="133">
        <v>0</v>
      </c>
      <c r="J1296" s="133">
        <v>527</v>
      </c>
      <c r="L1296" s="133">
        <v>0</v>
      </c>
      <c r="M1296" s="133" t="s">
        <v>1096</v>
      </c>
      <c r="N1296" s="133">
        <v>0</v>
      </c>
      <c r="P1296" s="133">
        <v>0</v>
      </c>
      <c r="Q1296" s="133">
        <v>0</v>
      </c>
      <c r="R1296" s="133">
        <v>0</v>
      </c>
      <c r="S1296" s="156"/>
    </row>
    <row r="1297" spans="1:19">
      <c r="A1297" s="133" t="s">
        <v>1187</v>
      </c>
      <c r="B1297" s="133" t="s">
        <v>1175</v>
      </c>
      <c r="C1297" s="133" t="s">
        <v>1000</v>
      </c>
      <c r="D1297" s="133" t="s">
        <v>892</v>
      </c>
      <c r="E1297" s="133" t="s">
        <v>949</v>
      </c>
      <c r="F1297" s="133" t="s">
        <v>946</v>
      </c>
      <c r="G1297" s="133" t="s">
        <v>719</v>
      </c>
      <c r="H1297" s="133">
        <v>0.56000000000000005</v>
      </c>
      <c r="I1297" s="133">
        <v>0</v>
      </c>
      <c r="J1297" s="133">
        <v>0</v>
      </c>
      <c r="L1297" s="133">
        <v>0</v>
      </c>
      <c r="M1297" s="133" t="s">
        <v>1096</v>
      </c>
      <c r="N1297" s="133">
        <v>0</v>
      </c>
      <c r="P1297" s="133">
        <v>0</v>
      </c>
      <c r="Q1297" s="133">
        <v>0</v>
      </c>
      <c r="R1297" s="133">
        <v>0</v>
      </c>
      <c r="S1297" s="156"/>
    </row>
    <row r="1298" spans="1:19">
      <c r="A1298" s="133" t="s">
        <v>1187</v>
      </c>
      <c r="B1298" s="133" t="s">
        <v>1175</v>
      </c>
      <c r="C1298" s="133" t="s">
        <v>1000</v>
      </c>
      <c r="D1298" s="133" t="s">
        <v>893</v>
      </c>
      <c r="E1298" s="133" t="s">
        <v>950</v>
      </c>
      <c r="F1298" s="133" t="s">
        <v>946</v>
      </c>
      <c r="G1298" s="133" t="s">
        <v>719</v>
      </c>
      <c r="H1298" s="133">
        <v>1.1299999999999999</v>
      </c>
      <c r="I1298" s="133">
        <v>0</v>
      </c>
      <c r="J1298" s="133">
        <v>0</v>
      </c>
      <c r="L1298" s="133">
        <v>0</v>
      </c>
      <c r="M1298" s="133" t="s">
        <v>1096</v>
      </c>
      <c r="N1298" s="133">
        <v>0</v>
      </c>
      <c r="P1298" s="133">
        <v>0</v>
      </c>
      <c r="Q1298" s="133">
        <v>0</v>
      </c>
      <c r="R1298" s="133">
        <v>0</v>
      </c>
      <c r="S1298" s="156"/>
    </row>
    <row r="1299" spans="1:19">
      <c r="A1299" s="133" t="s">
        <v>1187</v>
      </c>
      <c r="B1299" s="133" t="s">
        <v>1175</v>
      </c>
      <c r="C1299" s="133" t="s">
        <v>1000</v>
      </c>
      <c r="D1299" s="133" t="s">
        <v>894</v>
      </c>
      <c r="E1299" s="133" t="s">
        <v>951</v>
      </c>
      <c r="F1299" s="133" t="s">
        <v>946</v>
      </c>
      <c r="G1299" s="133" t="s">
        <v>719</v>
      </c>
      <c r="H1299" s="133">
        <v>1.32</v>
      </c>
      <c r="I1299" s="133">
        <v>0</v>
      </c>
      <c r="J1299" s="133">
        <v>0</v>
      </c>
      <c r="L1299" s="133">
        <v>0</v>
      </c>
      <c r="M1299" s="133" t="s">
        <v>1096</v>
      </c>
      <c r="N1299" s="133">
        <v>0</v>
      </c>
      <c r="P1299" s="133">
        <v>0</v>
      </c>
      <c r="Q1299" s="133">
        <v>0</v>
      </c>
      <c r="R1299" s="133">
        <v>0</v>
      </c>
      <c r="S1299" s="156"/>
    </row>
    <row r="1300" spans="1:19">
      <c r="A1300" s="133" t="s">
        <v>1187</v>
      </c>
      <c r="B1300" s="133" t="s">
        <v>1175</v>
      </c>
      <c r="C1300" s="133" t="s">
        <v>1000</v>
      </c>
      <c r="D1300" s="133" t="s">
        <v>895</v>
      </c>
      <c r="E1300" s="133" t="s">
        <v>952</v>
      </c>
      <c r="F1300" s="133" t="s">
        <v>946</v>
      </c>
      <c r="G1300" s="133" t="s">
        <v>719</v>
      </c>
      <c r="H1300" s="133">
        <v>2.56</v>
      </c>
      <c r="I1300" s="133">
        <v>0</v>
      </c>
      <c r="J1300" s="133">
        <v>0</v>
      </c>
      <c r="L1300" s="133">
        <v>0</v>
      </c>
      <c r="M1300" s="133" t="s">
        <v>1096</v>
      </c>
      <c r="N1300" s="133">
        <v>0</v>
      </c>
      <c r="P1300" s="133">
        <v>0</v>
      </c>
      <c r="Q1300" s="133">
        <v>0</v>
      </c>
      <c r="R1300" s="133">
        <v>0</v>
      </c>
      <c r="S1300" s="156"/>
    </row>
    <row r="1301" spans="1:19">
      <c r="A1301" s="133" t="s">
        <v>1187</v>
      </c>
      <c r="B1301" s="133" t="s">
        <v>1175</v>
      </c>
      <c r="C1301" s="133" t="s">
        <v>1000</v>
      </c>
      <c r="D1301" s="133" t="s">
        <v>209</v>
      </c>
      <c r="E1301" s="133" t="s">
        <v>210</v>
      </c>
      <c r="F1301" s="133" t="s">
        <v>709</v>
      </c>
      <c r="G1301" s="133" t="s">
        <v>719</v>
      </c>
      <c r="H1301" s="133">
        <v>2.92</v>
      </c>
      <c r="I1301" s="133">
        <v>0</v>
      </c>
      <c r="J1301" s="133">
        <v>0</v>
      </c>
      <c r="L1301" s="133">
        <v>0</v>
      </c>
      <c r="M1301" s="133" t="s">
        <v>1096</v>
      </c>
      <c r="N1301" s="133">
        <v>0</v>
      </c>
      <c r="P1301" s="133">
        <v>0</v>
      </c>
      <c r="Q1301" s="133">
        <v>0</v>
      </c>
      <c r="R1301" s="133">
        <v>0</v>
      </c>
      <c r="S1301" s="156"/>
    </row>
    <row r="1302" spans="1:19">
      <c r="A1302" s="133" t="s">
        <v>1187</v>
      </c>
      <c r="B1302" s="133" t="s">
        <v>1175</v>
      </c>
      <c r="C1302" s="133" t="s">
        <v>1000</v>
      </c>
      <c r="D1302" s="133" t="s">
        <v>211</v>
      </c>
      <c r="E1302" s="133" t="s">
        <v>212</v>
      </c>
      <c r="F1302" s="133" t="s">
        <v>709</v>
      </c>
      <c r="G1302" s="133" t="s">
        <v>719</v>
      </c>
      <c r="H1302" s="133">
        <v>2.79</v>
      </c>
      <c r="I1302" s="133">
        <v>0</v>
      </c>
      <c r="J1302" s="133">
        <v>1122</v>
      </c>
      <c r="K1302" s="133">
        <v>10</v>
      </c>
      <c r="L1302" s="133">
        <v>0</v>
      </c>
      <c r="M1302" s="133" t="s">
        <v>999</v>
      </c>
      <c r="N1302" s="133">
        <v>0</v>
      </c>
      <c r="P1302" s="133">
        <v>0</v>
      </c>
      <c r="Q1302" s="133">
        <v>0</v>
      </c>
      <c r="R1302" s="133">
        <v>10</v>
      </c>
      <c r="S1302" s="156">
        <v>1</v>
      </c>
    </row>
    <row r="1303" spans="1:19">
      <c r="A1303" s="133" t="s">
        <v>1187</v>
      </c>
      <c r="B1303" s="133" t="s">
        <v>1175</v>
      </c>
      <c r="C1303" s="133" t="s">
        <v>1000</v>
      </c>
      <c r="D1303" s="133" t="s">
        <v>896</v>
      </c>
      <c r="E1303" s="133" t="s">
        <v>953</v>
      </c>
      <c r="F1303" s="133" t="s">
        <v>946</v>
      </c>
      <c r="G1303" s="133" t="s">
        <v>719</v>
      </c>
      <c r="H1303" s="133">
        <v>2.56</v>
      </c>
      <c r="I1303" s="133">
        <v>0</v>
      </c>
      <c r="J1303" s="133">
        <v>0</v>
      </c>
      <c r="L1303" s="133">
        <v>0</v>
      </c>
      <c r="M1303" s="133" t="s">
        <v>1096</v>
      </c>
      <c r="N1303" s="133">
        <v>0</v>
      </c>
      <c r="P1303" s="133">
        <v>0</v>
      </c>
      <c r="Q1303" s="133">
        <v>0</v>
      </c>
      <c r="R1303" s="133">
        <v>0</v>
      </c>
      <c r="S1303" s="156"/>
    </row>
    <row r="1304" spans="1:19">
      <c r="A1304" s="133" t="s">
        <v>1187</v>
      </c>
      <c r="B1304" s="133" t="s">
        <v>1175</v>
      </c>
      <c r="C1304" s="133" t="s">
        <v>1000</v>
      </c>
      <c r="D1304" s="133" t="s">
        <v>215</v>
      </c>
      <c r="E1304" s="133" t="s">
        <v>216</v>
      </c>
      <c r="F1304" s="133" t="s">
        <v>709</v>
      </c>
      <c r="G1304" s="133" t="s">
        <v>719</v>
      </c>
      <c r="H1304" s="133">
        <v>12.92</v>
      </c>
      <c r="I1304" s="133">
        <v>0</v>
      </c>
      <c r="J1304" s="133">
        <v>0</v>
      </c>
      <c r="L1304" s="133">
        <v>0</v>
      </c>
      <c r="M1304" s="133" t="s">
        <v>1096</v>
      </c>
      <c r="N1304" s="133">
        <v>0</v>
      </c>
      <c r="P1304" s="133">
        <v>0</v>
      </c>
      <c r="Q1304" s="133">
        <v>0</v>
      </c>
      <c r="R1304" s="133">
        <v>0</v>
      </c>
      <c r="S1304" s="156"/>
    </row>
    <row r="1305" spans="1:19">
      <c r="A1305" s="133" t="s">
        <v>1187</v>
      </c>
      <c r="B1305" s="133" t="s">
        <v>1175</v>
      </c>
      <c r="C1305" s="133" t="s">
        <v>1000</v>
      </c>
      <c r="D1305" s="133" t="s">
        <v>217</v>
      </c>
      <c r="E1305" s="133" t="s">
        <v>218</v>
      </c>
      <c r="F1305" s="133" t="s">
        <v>709</v>
      </c>
      <c r="G1305" s="133" t="s">
        <v>719</v>
      </c>
      <c r="H1305" s="133">
        <v>2.66</v>
      </c>
      <c r="I1305" s="133">
        <v>0</v>
      </c>
      <c r="J1305" s="133">
        <v>120</v>
      </c>
      <c r="L1305" s="133">
        <v>0</v>
      </c>
      <c r="M1305" s="133" t="s">
        <v>1096</v>
      </c>
      <c r="N1305" s="133">
        <v>0</v>
      </c>
      <c r="P1305" s="133">
        <v>0</v>
      </c>
      <c r="Q1305" s="133">
        <v>0</v>
      </c>
      <c r="R1305" s="133">
        <v>0</v>
      </c>
      <c r="S1305" s="156"/>
    </row>
    <row r="1306" spans="1:19">
      <c r="A1306" s="133" t="s">
        <v>1187</v>
      </c>
      <c r="B1306" s="133" t="s">
        <v>1175</v>
      </c>
      <c r="C1306" s="133" t="s">
        <v>1000</v>
      </c>
      <c r="D1306" s="133" t="s">
        <v>876</v>
      </c>
      <c r="E1306" s="133" t="s">
        <v>954</v>
      </c>
      <c r="F1306" s="133" t="s">
        <v>707</v>
      </c>
      <c r="G1306" s="133" t="s">
        <v>732</v>
      </c>
      <c r="H1306" s="133">
        <v>9.81</v>
      </c>
      <c r="I1306" s="133">
        <v>0</v>
      </c>
      <c r="J1306" s="133">
        <v>27</v>
      </c>
      <c r="L1306" s="133">
        <v>0</v>
      </c>
      <c r="M1306" s="133" t="s">
        <v>1096</v>
      </c>
      <c r="N1306" s="133">
        <v>0</v>
      </c>
      <c r="P1306" s="133">
        <v>0</v>
      </c>
      <c r="Q1306" s="133">
        <v>0</v>
      </c>
      <c r="R1306" s="133">
        <v>0</v>
      </c>
      <c r="S1306" s="156"/>
    </row>
    <row r="1307" spans="1:19">
      <c r="A1307" s="133" t="s">
        <v>1187</v>
      </c>
      <c r="B1307" s="133" t="s">
        <v>1175</v>
      </c>
      <c r="C1307" s="133" t="s">
        <v>1000</v>
      </c>
      <c r="D1307" s="133" t="s">
        <v>219</v>
      </c>
      <c r="E1307" s="133" t="s">
        <v>220</v>
      </c>
      <c r="F1307" s="133" t="s">
        <v>707</v>
      </c>
      <c r="G1307" s="133" t="s">
        <v>732</v>
      </c>
      <c r="H1307" s="133">
        <v>37.92</v>
      </c>
      <c r="I1307" s="133">
        <v>0</v>
      </c>
      <c r="J1307" s="133">
        <v>53</v>
      </c>
      <c r="L1307" s="133">
        <v>0</v>
      </c>
      <c r="M1307" s="133" t="s">
        <v>1096</v>
      </c>
      <c r="N1307" s="133">
        <v>0</v>
      </c>
      <c r="P1307" s="133">
        <v>0</v>
      </c>
      <c r="Q1307" s="133">
        <v>0</v>
      </c>
      <c r="R1307" s="133">
        <v>0</v>
      </c>
      <c r="S1307" s="156"/>
    </row>
    <row r="1308" spans="1:19">
      <c r="A1308" s="133" t="s">
        <v>1187</v>
      </c>
      <c r="B1308" s="133" t="s">
        <v>1175</v>
      </c>
      <c r="C1308" s="133" t="s">
        <v>1000</v>
      </c>
      <c r="D1308" s="133" t="s">
        <v>227</v>
      </c>
      <c r="E1308" s="133" t="s">
        <v>228</v>
      </c>
      <c r="F1308" s="133" t="s">
        <v>709</v>
      </c>
      <c r="G1308" s="133" t="s">
        <v>719</v>
      </c>
      <c r="H1308" s="133">
        <v>1.1499999999999999</v>
      </c>
      <c r="I1308" s="133">
        <v>0</v>
      </c>
      <c r="J1308" s="133">
        <v>275</v>
      </c>
      <c r="L1308" s="133">
        <v>0</v>
      </c>
      <c r="M1308" s="133" t="s">
        <v>1096</v>
      </c>
      <c r="N1308" s="133">
        <v>0</v>
      </c>
      <c r="P1308" s="133">
        <v>0</v>
      </c>
      <c r="Q1308" s="133">
        <v>0</v>
      </c>
      <c r="R1308" s="133">
        <v>0</v>
      </c>
      <c r="S1308" s="156"/>
    </row>
    <row r="1309" spans="1:19">
      <c r="A1309" s="133" t="s">
        <v>1187</v>
      </c>
      <c r="B1309" s="133" t="s">
        <v>1175</v>
      </c>
      <c r="C1309" s="133" t="s">
        <v>1000</v>
      </c>
      <c r="D1309" s="133" t="s">
        <v>229</v>
      </c>
      <c r="E1309" s="133" t="s">
        <v>230</v>
      </c>
      <c r="F1309" s="133" t="s">
        <v>709</v>
      </c>
      <c r="G1309" s="133" t="s">
        <v>719</v>
      </c>
      <c r="H1309" s="133">
        <v>2.8</v>
      </c>
      <c r="I1309" s="133">
        <v>0</v>
      </c>
      <c r="J1309" s="133">
        <v>0</v>
      </c>
      <c r="L1309" s="133">
        <v>0</v>
      </c>
      <c r="M1309" s="133" t="s">
        <v>1096</v>
      </c>
      <c r="N1309" s="133">
        <v>0</v>
      </c>
      <c r="P1309" s="133">
        <v>0</v>
      </c>
      <c r="Q1309" s="133">
        <v>0</v>
      </c>
      <c r="R1309" s="133">
        <v>0</v>
      </c>
      <c r="S1309" s="156"/>
    </row>
    <row r="1310" spans="1:19">
      <c r="A1310" s="133" t="s">
        <v>1187</v>
      </c>
      <c r="B1310" s="133" t="s">
        <v>1175</v>
      </c>
      <c r="C1310" s="133" t="s">
        <v>1000</v>
      </c>
      <c r="D1310" s="133" t="s">
        <v>746</v>
      </c>
      <c r="E1310" s="133" t="s">
        <v>747</v>
      </c>
      <c r="F1310" s="133" t="s">
        <v>709</v>
      </c>
      <c r="G1310" s="133" t="s">
        <v>732</v>
      </c>
      <c r="H1310" s="133">
        <v>40.32</v>
      </c>
      <c r="I1310" s="133">
        <v>0</v>
      </c>
      <c r="J1310" s="133">
        <v>79</v>
      </c>
      <c r="L1310" s="133">
        <v>0</v>
      </c>
      <c r="M1310" s="133" t="s">
        <v>1096</v>
      </c>
      <c r="N1310" s="133">
        <v>0</v>
      </c>
      <c r="P1310" s="133">
        <v>0</v>
      </c>
      <c r="Q1310" s="133">
        <v>0</v>
      </c>
      <c r="R1310" s="133">
        <v>0</v>
      </c>
      <c r="S1310" s="156"/>
    </row>
    <row r="1311" spans="1:19">
      <c r="A1311" s="133" t="s">
        <v>1187</v>
      </c>
      <c r="B1311" s="133" t="s">
        <v>1175</v>
      </c>
      <c r="C1311" s="133" t="s">
        <v>1000</v>
      </c>
      <c r="D1311" s="133" t="s">
        <v>462</v>
      </c>
      <c r="E1311" s="133" t="s">
        <v>463</v>
      </c>
      <c r="F1311" s="133" t="s">
        <v>707</v>
      </c>
      <c r="G1311" s="133" t="s">
        <v>715</v>
      </c>
      <c r="H1311" s="133">
        <v>1.23</v>
      </c>
      <c r="I1311" s="133">
        <v>0</v>
      </c>
      <c r="J1311" s="133">
        <v>0</v>
      </c>
      <c r="L1311" s="133">
        <v>0</v>
      </c>
      <c r="M1311" s="133" t="s">
        <v>1096</v>
      </c>
      <c r="N1311" s="133">
        <v>0</v>
      </c>
      <c r="P1311" s="133">
        <v>0</v>
      </c>
      <c r="Q1311" s="133">
        <v>0</v>
      </c>
      <c r="R1311" s="133">
        <v>0</v>
      </c>
      <c r="S1311" s="156"/>
    </row>
    <row r="1312" spans="1:19">
      <c r="A1312" s="133" t="s">
        <v>1187</v>
      </c>
      <c r="B1312" s="133" t="s">
        <v>1175</v>
      </c>
      <c r="C1312" s="133" t="s">
        <v>1000</v>
      </c>
      <c r="D1312" s="133" t="s">
        <v>464</v>
      </c>
      <c r="E1312" s="133" t="s">
        <v>465</v>
      </c>
      <c r="F1312" s="133" t="s">
        <v>707</v>
      </c>
      <c r="G1312" s="133" t="s">
        <v>715</v>
      </c>
      <c r="H1312" s="133">
        <v>2.19</v>
      </c>
      <c r="I1312" s="133">
        <v>0</v>
      </c>
      <c r="J1312" s="133">
        <v>0</v>
      </c>
      <c r="L1312" s="133">
        <v>0</v>
      </c>
      <c r="M1312" s="133" t="s">
        <v>1096</v>
      </c>
      <c r="N1312" s="133">
        <v>0</v>
      </c>
      <c r="P1312" s="133">
        <v>0</v>
      </c>
      <c r="Q1312" s="133">
        <v>0</v>
      </c>
      <c r="R1312" s="133">
        <v>0</v>
      </c>
      <c r="S1312" s="156"/>
    </row>
    <row r="1313" spans="1:19">
      <c r="A1313" s="133" t="s">
        <v>1187</v>
      </c>
      <c r="B1313" s="133" t="s">
        <v>1175</v>
      </c>
      <c r="C1313" s="133" t="s">
        <v>1000</v>
      </c>
      <c r="D1313" s="133" t="s">
        <v>466</v>
      </c>
      <c r="E1313" s="133" t="s">
        <v>467</v>
      </c>
      <c r="F1313" s="133" t="s">
        <v>707</v>
      </c>
      <c r="G1313" s="133" t="s">
        <v>715</v>
      </c>
      <c r="H1313" s="133">
        <v>4.2699999999999996</v>
      </c>
      <c r="I1313" s="133">
        <v>0</v>
      </c>
      <c r="J1313" s="133">
        <v>0</v>
      </c>
      <c r="L1313" s="133">
        <v>0</v>
      </c>
      <c r="M1313" s="133" t="s">
        <v>1096</v>
      </c>
      <c r="N1313" s="133">
        <v>0</v>
      </c>
      <c r="P1313" s="133">
        <v>0</v>
      </c>
      <c r="Q1313" s="133">
        <v>0</v>
      </c>
      <c r="R1313" s="133">
        <v>0</v>
      </c>
      <c r="S1313" s="156"/>
    </row>
    <row r="1314" spans="1:19">
      <c r="A1314" s="133" t="s">
        <v>1187</v>
      </c>
      <c r="B1314" s="133" t="s">
        <v>1175</v>
      </c>
      <c r="C1314" s="133" t="s">
        <v>1000</v>
      </c>
      <c r="D1314" s="133" t="s">
        <v>897</v>
      </c>
      <c r="E1314" s="133" t="s">
        <v>955</v>
      </c>
      <c r="F1314" s="133" t="s">
        <v>946</v>
      </c>
      <c r="G1314" s="133" t="s">
        <v>719</v>
      </c>
      <c r="H1314" s="133">
        <v>0.6</v>
      </c>
      <c r="I1314" s="133">
        <v>0</v>
      </c>
      <c r="J1314" s="133">
        <v>0</v>
      </c>
      <c r="L1314" s="133">
        <v>0</v>
      </c>
      <c r="M1314" s="133" t="s">
        <v>1096</v>
      </c>
      <c r="N1314" s="133">
        <v>0</v>
      </c>
      <c r="P1314" s="133">
        <v>0</v>
      </c>
      <c r="Q1314" s="133">
        <v>0</v>
      </c>
      <c r="R1314" s="133">
        <v>0</v>
      </c>
      <c r="S1314" s="156"/>
    </row>
    <row r="1315" spans="1:19">
      <c r="A1315" s="133" t="s">
        <v>1187</v>
      </c>
      <c r="B1315" s="133" t="s">
        <v>1175</v>
      </c>
      <c r="C1315" s="133" t="s">
        <v>1000</v>
      </c>
      <c r="D1315" s="133" t="s">
        <v>898</v>
      </c>
      <c r="E1315" s="133" t="s">
        <v>956</v>
      </c>
      <c r="F1315" s="133" t="s">
        <v>946</v>
      </c>
      <c r="G1315" s="133" t="s">
        <v>719</v>
      </c>
      <c r="H1315" s="133">
        <v>2.99</v>
      </c>
      <c r="I1315" s="133">
        <v>0</v>
      </c>
      <c r="J1315" s="133">
        <v>0</v>
      </c>
      <c r="L1315" s="133">
        <v>0</v>
      </c>
      <c r="M1315" s="133" t="s">
        <v>1096</v>
      </c>
      <c r="N1315" s="133">
        <v>0</v>
      </c>
      <c r="P1315" s="133">
        <v>0</v>
      </c>
      <c r="Q1315" s="133">
        <v>0</v>
      </c>
      <c r="R1315" s="133">
        <v>0</v>
      </c>
      <c r="S1315" s="156"/>
    </row>
    <row r="1316" spans="1:19">
      <c r="A1316" s="133" t="s">
        <v>1187</v>
      </c>
      <c r="B1316" s="133" t="s">
        <v>1175</v>
      </c>
      <c r="C1316" s="133" t="s">
        <v>1000</v>
      </c>
      <c r="D1316" s="133" t="s">
        <v>899</v>
      </c>
      <c r="E1316" s="133" t="s">
        <v>957</v>
      </c>
      <c r="F1316" s="133" t="s">
        <v>946</v>
      </c>
      <c r="G1316" s="133" t="s">
        <v>719</v>
      </c>
      <c r="H1316" s="133">
        <v>5.98</v>
      </c>
      <c r="I1316" s="133">
        <v>0</v>
      </c>
      <c r="J1316" s="133">
        <v>0</v>
      </c>
      <c r="L1316" s="133">
        <v>0</v>
      </c>
      <c r="M1316" s="133" t="s">
        <v>1096</v>
      </c>
      <c r="N1316" s="133">
        <v>0</v>
      </c>
      <c r="P1316" s="133">
        <v>0</v>
      </c>
      <c r="Q1316" s="133">
        <v>0</v>
      </c>
      <c r="R1316" s="133">
        <v>0</v>
      </c>
      <c r="S1316" s="156"/>
    </row>
    <row r="1317" spans="1:19">
      <c r="A1317" s="133" t="s">
        <v>1187</v>
      </c>
      <c r="B1317" s="133" t="s">
        <v>1175</v>
      </c>
      <c r="C1317" s="133" t="s">
        <v>1000</v>
      </c>
      <c r="D1317" s="133" t="s">
        <v>474</v>
      </c>
      <c r="E1317" s="133" t="s">
        <v>475</v>
      </c>
      <c r="F1317" s="133" t="s">
        <v>709</v>
      </c>
      <c r="G1317" s="133" t="s">
        <v>719</v>
      </c>
      <c r="H1317" s="133">
        <v>2.68</v>
      </c>
      <c r="I1317" s="133">
        <v>0</v>
      </c>
      <c r="J1317" s="133">
        <v>31</v>
      </c>
      <c r="L1317" s="133">
        <v>0</v>
      </c>
      <c r="M1317" s="133" t="s">
        <v>1096</v>
      </c>
      <c r="N1317" s="133">
        <v>0</v>
      </c>
      <c r="P1317" s="133">
        <v>0</v>
      </c>
      <c r="Q1317" s="133">
        <v>0</v>
      </c>
      <c r="R1317" s="133">
        <v>0</v>
      </c>
      <c r="S1317" s="156"/>
    </row>
    <row r="1318" spans="1:19">
      <c r="A1318" s="133" t="s">
        <v>1187</v>
      </c>
      <c r="B1318" s="133" t="s">
        <v>1175</v>
      </c>
      <c r="C1318" s="133" t="s">
        <v>1000</v>
      </c>
      <c r="D1318" s="133" t="s">
        <v>480</v>
      </c>
      <c r="E1318" s="133" t="s">
        <v>832</v>
      </c>
      <c r="F1318" s="133" t="s">
        <v>708</v>
      </c>
      <c r="G1318" s="133" t="s">
        <v>715</v>
      </c>
      <c r="H1318" s="133">
        <v>51.24</v>
      </c>
      <c r="I1318" s="133">
        <v>0</v>
      </c>
      <c r="J1318" s="133">
        <v>0</v>
      </c>
      <c r="L1318" s="133">
        <v>0</v>
      </c>
      <c r="M1318" s="133" t="s">
        <v>1096</v>
      </c>
      <c r="N1318" s="133">
        <v>0</v>
      </c>
      <c r="P1318" s="133">
        <v>0</v>
      </c>
      <c r="Q1318" s="133">
        <v>0</v>
      </c>
      <c r="R1318" s="133">
        <v>0</v>
      </c>
      <c r="S1318" s="156"/>
    </row>
    <row r="1319" spans="1:19">
      <c r="A1319" s="133" t="s">
        <v>1187</v>
      </c>
      <c r="B1319" s="133" t="s">
        <v>1175</v>
      </c>
      <c r="C1319" s="133" t="s">
        <v>1000</v>
      </c>
      <c r="D1319" s="133" t="s">
        <v>481</v>
      </c>
      <c r="E1319" s="133" t="s">
        <v>482</v>
      </c>
      <c r="F1319" s="133" t="s">
        <v>708</v>
      </c>
      <c r="G1319" s="133" t="s">
        <v>715</v>
      </c>
      <c r="H1319" s="133">
        <v>520</v>
      </c>
      <c r="I1319" s="133">
        <v>0</v>
      </c>
      <c r="J1319" s="133">
        <v>0</v>
      </c>
      <c r="L1319" s="133">
        <v>0</v>
      </c>
      <c r="M1319" s="133" t="s">
        <v>1096</v>
      </c>
      <c r="N1319" s="133">
        <v>0</v>
      </c>
      <c r="P1319" s="133">
        <v>0</v>
      </c>
      <c r="Q1319" s="133">
        <v>0</v>
      </c>
      <c r="R1319" s="133">
        <v>0</v>
      </c>
      <c r="S1319" s="156"/>
    </row>
    <row r="1320" spans="1:19">
      <c r="A1320" s="133" t="s">
        <v>1187</v>
      </c>
      <c r="B1320" s="133" t="s">
        <v>1175</v>
      </c>
      <c r="C1320" s="133" t="s">
        <v>1000</v>
      </c>
      <c r="D1320" s="133" t="s">
        <v>483</v>
      </c>
      <c r="E1320" s="133" t="s">
        <v>484</v>
      </c>
      <c r="F1320" s="133" t="s">
        <v>708</v>
      </c>
      <c r="G1320" s="133" t="s">
        <v>715</v>
      </c>
      <c r="H1320" s="133">
        <v>10.9</v>
      </c>
      <c r="I1320" s="133">
        <v>0</v>
      </c>
      <c r="J1320" s="133">
        <v>0</v>
      </c>
      <c r="L1320" s="133">
        <v>0</v>
      </c>
      <c r="M1320" s="133" t="s">
        <v>1096</v>
      </c>
      <c r="N1320" s="133">
        <v>0</v>
      </c>
      <c r="P1320" s="133">
        <v>0</v>
      </c>
      <c r="Q1320" s="133">
        <v>0</v>
      </c>
      <c r="R1320" s="133">
        <v>0</v>
      </c>
      <c r="S1320" s="156"/>
    </row>
    <row r="1321" spans="1:19">
      <c r="A1321" s="133" t="s">
        <v>1187</v>
      </c>
      <c r="B1321" s="133" t="s">
        <v>1175</v>
      </c>
      <c r="C1321" s="133" t="s">
        <v>1000</v>
      </c>
      <c r="D1321" s="133" t="s">
        <v>485</v>
      </c>
      <c r="E1321" s="133" t="s">
        <v>486</v>
      </c>
      <c r="F1321" s="133" t="s">
        <v>708</v>
      </c>
      <c r="G1321" s="133" t="s">
        <v>715</v>
      </c>
      <c r="H1321" s="133">
        <v>2.83</v>
      </c>
      <c r="I1321" s="133">
        <v>0</v>
      </c>
      <c r="J1321" s="133">
        <v>0</v>
      </c>
      <c r="L1321" s="133">
        <v>0</v>
      </c>
      <c r="M1321" s="133" t="s">
        <v>1096</v>
      </c>
      <c r="N1321" s="133">
        <v>0</v>
      </c>
      <c r="P1321" s="133">
        <v>0</v>
      </c>
      <c r="Q1321" s="133">
        <v>0</v>
      </c>
      <c r="R1321" s="133">
        <v>0</v>
      </c>
      <c r="S1321" s="156"/>
    </row>
    <row r="1322" spans="1:19">
      <c r="A1322" s="133" t="s">
        <v>1187</v>
      </c>
      <c r="B1322" s="133" t="s">
        <v>1175</v>
      </c>
      <c r="C1322" s="133" t="s">
        <v>1000</v>
      </c>
      <c r="D1322" s="133" t="s">
        <v>900</v>
      </c>
      <c r="E1322" s="133" t="s">
        <v>958</v>
      </c>
      <c r="F1322" s="133" t="s">
        <v>946</v>
      </c>
      <c r="G1322" s="133" t="s">
        <v>719</v>
      </c>
      <c r="H1322" s="133">
        <v>1.26</v>
      </c>
      <c r="I1322" s="133">
        <v>0</v>
      </c>
      <c r="J1322" s="133">
        <v>0</v>
      </c>
      <c r="L1322" s="133">
        <v>0</v>
      </c>
      <c r="M1322" s="133" t="s">
        <v>1096</v>
      </c>
      <c r="N1322" s="133">
        <v>0</v>
      </c>
      <c r="P1322" s="133">
        <v>0</v>
      </c>
      <c r="Q1322" s="133">
        <v>0</v>
      </c>
      <c r="R1322" s="133">
        <v>0</v>
      </c>
      <c r="S1322" s="156"/>
    </row>
    <row r="1323" spans="1:19">
      <c r="A1323" s="133" t="s">
        <v>1187</v>
      </c>
      <c r="B1323" s="133" t="s">
        <v>1175</v>
      </c>
      <c r="C1323" s="133" t="s">
        <v>1000</v>
      </c>
      <c r="D1323" s="133" t="s">
        <v>495</v>
      </c>
      <c r="E1323" s="133" t="s">
        <v>496</v>
      </c>
      <c r="F1323" s="133" t="s">
        <v>707</v>
      </c>
      <c r="G1323" s="133" t="s">
        <v>732</v>
      </c>
      <c r="H1323" s="133">
        <v>6.05</v>
      </c>
      <c r="I1323" s="133">
        <v>0</v>
      </c>
      <c r="J1323" s="133">
        <v>105</v>
      </c>
      <c r="L1323" s="133">
        <v>0</v>
      </c>
      <c r="M1323" s="133" t="s">
        <v>1096</v>
      </c>
      <c r="N1323" s="133">
        <v>0</v>
      </c>
      <c r="P1323" s="133">
        <v>0</v>
      </c>
      <c r="Q1323" s="133">
        <v>0</v>
      </c>
      <c r="R1323" s="133">
        <v>0</v>
      </c>
      <c r="S1323" s="156"/>
    </row>
    <row r="1324" spans="1:19">
      <c r="A1324" s="133" t="s">
        <v>1187</v>
      </c>
      <c r="B1324" s="133" t="s">
        <v>1175</v>
      </c>
      <c r="C1324" s="133" t="s">
        <v>1000</v>
      </c>
      <c r="D1324" s="133" t="s">
        <v>497</v>
      </c>
      <c r="E1324" s="133" t="s">
        <v>498</v>
      </c>
      <c r="F1324" s="133" t="s">
        <v>707</v>
      </c>
      <c r="G1324" s="133" t="s">
        <v>732</v>
      </c>
      <c r="H1324" s="133">
        <v>23.46</v>
      </c>
      <c r="I1324" s="133">
        <v>0</v>
      </c>
      <c r="J1324" s="133">
        <v>52</v>
      </c>
      <c r="L1324" s="133">
        <v>0</v>
      </c>
      <c r="M1324" s="133" t="s">
        <v>1096</v>
      </c>
      <c r="N1324" s="133">
        <v>0</v>
      </c>
      <c r="P1324" s="133">
        <v>0</v>
      </c>
      <c r="Q1324" s="133">
        <v>0</v>
      </c>
      <c r="R1324" s="133">
        <v>0</v>
      </c>
      <c r="S1324" s="156"/>
    </row>
    <row r="1325" spans="1:19">
      <c r="A1325" s="133" t="s">
        <v>1187</v>
      </c>
      <c r="B1325" s="133" t="s">
        <v>1175</v>
      </c>
      <c r="C1325" s="133" t="s">
        <v>1000</v>
      </c>
      <c r="D1325" s="133" t="s">
        <v>499</v>
      </c>
      <c r="E1325" s="133" t="s">
        <v>500</v>
      </c>
      <c r="F1325" s="133" t="s">
        <v>708</v>
      </c>
      <c r="G1325" s="133" t="s">
        <v>715</v>
      </c>
      <c r="H1325" s="133">
        <v>56.08</v>
      </c>
      <c r="I1325" s="133">
        <v>0</v>
      </c>
      <c r="J1325" s="133">
        <v>2</v>
      </c>
      <c r="L1325" s="133">
        <v>0</v>
      </c>
      <c r="M1325" s="133" t="s">
        <v>1096</v>
      </c>
      <c r="N1325" s="133">
        <v>0</v>
      </c>
      <c r="P1325" s="133">
        <v>0</v>
      </c>
      <c r="Q1325" s="133">
        <v>0</v>
      </c>
      <c r="R1325" s="133">
        <v>0</v>
      </c>
      <c r="S1325" s="156"/>
    </row>
    <row r="1326" spans="1:19">
      <c r="A1326" s="133" t="s">
        <v>1187</v>
      </c>
      <c r="B1326" s="133" t="s">
        <v>1175</v>
      </c>
      <c r="C1326" s="133" t="s">
        <v>1000</v>
      </c>
      <c r="D1326" s="133" t="s">
        <v>501</v>
      </c>
      <c r="E1326" s="133" t="s">
        <v>502</v>
      </c>
      <c r="F1326" s="133" t="s">
        <v>708</v>
      </c>
      <c r="G1326" s="133" t="s">
        <v>715</v>
      </c>
      <c r="H1326" s="133">
        <v>11.48</v>
      </c>
      <c r="I1326" s="133">
        <v>0</v>
      </c>
      <c r="J1326" s="133">
        <v>47</v>
      </c>
      <c r="L1326" s="133">
        <v>6</v>
      </c>
      <c r="M1326" s="133" t="s">
        <v>1096</v>
      </c>
      <c r="N1326" s="133">
        <v>0</v>
      </c>
      <c r="P1326" s="133">
        <v>0</v>
      </c>
      <c r="Q1326" s="133">
        <v>6</v>
      </c>
      <c r="R1326" s="133">
        <v>0</v>
      </c>
      <c r="S1326" s="156"/>
    </row>
    <row r="1327" spans="1:19">
      <c r="A1327" s="133" t="s">
        <v>1187</v>
      </c>
      <c r="B1327" s="133" t="s">
        <v>1175</v>
      </c>
      <c r="C1327" s="133" t="s">
        <v>1000</v>
      </c>
      <c r="D1327" s="133" t="s">
        <v>503</v>
      </c>
      <c r="E1327" s="133" t="s">
        <v>504</v>
      </c>
      <c r="F1327" s="133" t="s">
        <v>708</v>
      </c>
      <c r="G1327" s="133" t="s">
        <v>715</v>
      </c>
      <c r="H1327" s="133">
        <v>3.38</v>
      </c>
      <c r="I1327" s="133">
        <v>0</v>
      </c>
      <c r="J1327" s="133">
        <v>294</v>
      </c>
      <c r="L1327" s="133">
        <v>12</v>
      </c>
      <c r="M1327" s="133" t="s">
        <v>1096</v>
      </c>
      <c r="N1327" s="133">
        <v>0</v>
      </c>
      <c r="P1327" s="133">
        <v>0</v>
      </c>
      <c r="Q1327" s="133">
        <v>12</v>
      </c>
      <c r="R1327" s="133">
        <v>0</v>
      </c>
      <c r="S1327" s="156"/>
    </row>
    <row r="1328" spans="1:19">
      <c r="A1328" s="133" t="s">
        <v>1187</v>
      </c>
      <c r="B1328" s="133" t="s">
        <v>1175</v>
      </c>
      <c r="C1328" s="133" t="s">
        <v>1000</v>
      </c>
      <c r="D1328" s="133" t="s">
        <v>505</v>
      </c>
      <c r="E1328" s="133" t="s">
        <v>959</v>
      </c>
      <c r="F1328" s="133" t="s">
        <v>712</v>
      </c>
      <c r="G1328" s="133" t="s">
        <v>715</v>
      </c>
      <c r="H1328" s="133">
        <v>1.94</v>
      </c>
      <c r="I1328" s="133">
        <v>0</v>
      </c>
      <c r="J1328" s="133">
        <v>0</v>
      </c>
      <c r="L1328" s="133">
        <v>0</v>
      </c>
      <c r="M1328" s="133" t="s">
        <v>1096</v>
      </c>
      <c r="N1328" s="133">
        <v>0</v>
      </c>
      <c r="P1328" s="133">
        <v>0</v>
      </c>
      <c r="Q1328" s="133">
        <v>0</v>
      </c>
      <c r="R1328" s="133">
        <v>0</v>
      </c>
      <c r="S1328" s="156"/>
    </row>
    <row r="1329" spans="1:19">
      <c r="A1329" s="133" t="s">
        <v>1187</v>
      </c>
      <c r="B1329" s="133" t="s">
        <v>1175</v>
      </c>
      <c r="C1329" s="133" t="s">
        <v>1000</v>
      </c>
      <c r="D1329" s="133" t="s">
        <v>506</v>
      </c>
      <c r="E1329" s="133" t="s">
        <v>507</v>
      </c>
      <c r="F1329" s="133" t="s">
        <v>712</v>
      </c>
      <c r="G1329" s="133" t="s">
        <v>715</v>
      </c>
      <c r="H1329" s="133">
        <v>3.49</v>
      </c>
      <c r="I1329" s="133">
        <v>0</v>
      </c>
      <c r="J1329" s="133">
        <v>0</v>
      </c>
      <c r="L1329" s="133">
        <v>0</v>
      </c>
      <c r="M1329" s="133" t="s">
        <v>1096</v>
      </c>
      <c r="N1329" s="133">
        <v>0</v>
      </c>
      <c r="P1329" s="133">
        <v>0</v>
      </c>
      <c r="Q1329" s="133">
        <v>0</v>
      </c>
      <c r="R1329" s="133">
        <v>0</v>
      </c>
      <c r="S1329" s="156"/>
    </row>
    <row r="1330" spans="1:19">
      <c r="A1330" s="133" t="s">
        <v>1187</v>
      </c>
      <c r="B1330" s="133" t="s">
        <v>1175</v>
      </c>
      <c r="C1330" s="133" t="s">
        <v>1000</v>
      </c>
      <c r="D1330" s="133" t="s">
        <v>508</v>
      </c>
      <c r="E1330" s="133" t="s">
        <v>960</v>
      </c>
      <c r="F1330" s="133" t="s">
        <v>712</v>
      </c>
      <c r="G1330" s="133" t="s">
        <v>715</v>
      </c>
      <c r="H1330" s="133">
        <v>6.94</v>
      </c>
      <c r="I1330" s="133">
        <v>0</v>
      </c>
      <c r="J1330" s="133">
        <v>0</v>
      </c>
      <c r="L1330" s="133">
        <v>0</v>
      </c>
      <c r="M1330" s="133" t="s">
        <v>1096</v>
      </c>
      <c r="N1330" s="133">
        <v>0</v>
      </c>
      <c r="P1330" s="133">
        <v>0</v>
      </c>
      <c r="Q1330" s="133">
        <v>0</v>
      </c>
      <c r="R1330" s="133">
        <v>0</v>
      </c>
      <c r="S1330" s="156"/>
    </row>
    <row r="1331" spans="1:19">
      <c r="A1331" s="133" t="s">
        <v>1187</v>
      </c>
      <c r="B1331" s="133" t="s">
        <v>1175</v>
      </c>
      <c r="C1331" s="133" t="s">
        <v>1000</v>
      </c>
      <c r="D1331" s="133" t="s">
        <v>901</v>
      </c>
      <c r="E1331" s="133" t="s">
        <v>961</v>
      </c>
      <c r="F1331" s="133" t="s">
        <v>946</v>
      </c>
      <c r="G1331" s="133" t="s">
        <v>719</v>
      </c>
      <c r="H1331" s="133">
        <v>0.93</v>
      </c>
      <c r="I1331" s="133">
        <v>0</v>
      </c>
      <c r="J1331" s="133">
        <v>0</v>
      </c>
      <c r="L1331" s="133">
        <v>0</v>
      </c>
      <c r="M1331" s="133" t="s">
        <v>1096</v>
      </c>
      <c r="N1331" s="133">
        <v>0</v>
      </c>
      <c r="P1331" s="133">
        <v>0</v>
      </c>
      <c r="Q1331" s="133">
        <v>0</v>
      </c>
      <c r="R1331" s="133">
        <v>0</v>
      </c>
      <c r="S1331" s="156"/>
    </row>
    <row r="1332" spans="1:19">
      <c r="A1332" s="133" t="s">
        <v>1187</v>
      </c>
      <c r="B1332" s="133" t="s">
        <v>1175</v>
      </c>
      <c r="C1332" s="133" t="s">
        <v>1000</v>
      </c>
      <c r="D1332" s="133" t="s">
        <v>902</v>
      </c>
      <c r="E1332" s="133" t="s">
        <v>962</v>
      </c>
      <c r="F1332" s="133" t="s">
        <v>946</v>
      </c>
      <c r="G1332" s="133" t="s">
        <v>719</v>
      </c>
      <c r="H1332" s="133">
        <v>0.54</v>
      </c>
      <c r="I1332" s="133">
        <v>0</v>
      </c>
      <c r="J1332" s="133">
        <v>0</v>
      </c>
      <c r="L1332" s="133">
        <v>0</v>
      </c>
      <c r="M1332" s="133" t="s">
        <v>1096</v>
      </c>
      <c r="N1332" s="133">
        <v>0</v>
      </c>
      <c r="P1332" s="133">
        <v>0</v>
      </c>
      <c r="Q1332" s="133">
        <v>0</v>
      </c>
      <c r="R1332" s="133">
        <v>0</v>
      </c>
      <c r="S1332" s="156"/>
    </row>
    <row r="1333" spans="1:19">
      <c r="A1333" s="133" t="s">
        <v>1187</v>
      </c>
      <c r="B1333" s="133" t="s">
        <v>1175</v>
      </c>
      <c r="C1333" s="133" t="s">
        <v>1000</v>
      </c>
      <c r="D1333" s="133" t="s">
        <v>903</v>
      </c>
      <c r="E1333" s="133" t="s">
        <v>963</v>
      </c>
      <c r="F1333" s="133" t="s">
        <v>946</v>
      </c>
      <c r="G1333" s="133" t="s">
        <v>719</v>
      </c>
      <c r="H1333" s="133">
        <v>2.13</v>
      </c>
      <c r="I1333" s="133">
        <v>0</v>
      </c>
      <c r="J1333" s="133">
        <v>0</v>
      </c>
      <c r="L1333" s="133">
        <v>0</v>
      </c>
      <c r="M1333" s="133" t="s">
        <v>1096</v>
      </c>
      <c r="N1333" s="133">
        <v>0</v>
      </c>
      <c r="P1333" s="133">
        <v>0</v>
      </c>
      <c r="Q1333" s="133">
        <v>0</v>
      </c>
      <c r="R1333" s="133">
        <v>0</v>
      </c>
      <c r="S1333" s="156"/>
    </row>
    <row r="1334" spans="1:19">
      <c r="A1334" s="133" t="s">
        <v>1187</v>
      </c>
      <c r="B1334" s="133" t="s">
        <v>1175</v>
      </c>
      <c r="C1334" s="133" t="s">
        <v>1000</v>
      </c>
      <c r="D1334" s="133" t="s">
        <v>904</v>
      </c>
      <c r="E1334" s="133" t="s">
        <v>964</v>
      </c>
      <c r="F1334" s="133" t="s">
        <v>946</v>
      </c>
      <c r="G1334" s="133" t="s">
        <v>719</v>
      </c>
      <c r="H1334" s="133">
        <v>4.1100000000000003</v>
      </c>
      <c r="I1334" s="133">
        <v>0</v>
      </c>
      <c r="J1334" s="133">
        <v>0</v>
      </c>
      <c r="L1334" s="133">
        <v>0</v>
      </c>
      <c r="M1334" s="133" t="s">
        <v>1096</v>
      </c>
      <c r="N1334" s="133">
        <v>0</v>
      </c>
      <c r="P1334" s="133">
        <v>0</v>
      </c>
      <c r="Q1334" s="133">
        <v>0</v>
      </c>
      <c r="R1334" s="133">
        <v>0</v>
      </c>
      <c r="S1334" s="156"/>
    </row>
    <row r="1335" spans="1:19">
      <c r="A1335" s="133" t="s">
        <v>1187</v>
      </c>
      <c r="B1335" s="133" t="s">
        <v>1175</v>
      </c>
      <c r="C1335" s="133" t="s">
        <v>1000</v>
      </c>
      <c r="D1335" s="133" t="s">
        <v>512</v>
      </c>
      <c r="E1335" s="133" t="s">
        <v>513</v>
      </c>
      <c r="F1335" s="133" t="s">
        <v>709</v>
      </c>
      <c r="G1335" s="133" t="s">
        <v>719</v>
      </c>
      <c r="H1335" s="133">
        <v>1.1599999999999999</v>
      </c>
      <c r="I1335" s="133">
        <v>0</v>
      </c>
      <c r="J1335" s="133">
        <v>0</v>
      </c>
      <c r="L1335" s="133">
        <v>0</v>
      </c>
      <c r="M1335" s="133" t="s">
        <v>1096</v>
      </c>
      <c r="N1335" s="133">
        <v>0</v>
      </c>
      <c r="P1335" s="133">
        <v>0</v>
      </c>
      <c r="Q1335" s="133">
        <v>0</v>
      </c>
      <c r="R1335" s="133">
        <v>0</v>
      </c>
      <c r="S1335" s="156"/>
    </row>
    <row r="1336" spans="1:19">
      <c r="A1336" s="133" t="s">
        <v>1187</v>
      </c>
      <c r="B1336" s="133" t="s">
        <v>1175</v>
      </c>
      <c r="C1336" s="133" t="s">
        <v>1000</v>
      </c>
      <c r="D1336" s="133" t="s">
        <v>514</v>
      </c>
      <c r="E1336" s="133" t="s">
        <v>515</v>
      </c>
      <c r="F1336" s="133" t="s">
        <v>709</v>
      </c>
      <c r="G1336" s="133" t="s">
        <v>719</v>
      </c>
      <c r="H1336" s="133">
        <v>2.14</v>
      </c>
      <c r="I1336" s="133">
        <v>0</v>
      </c>
      <c r="J1336" s="133">
        <v>0</v>
      </c>
      <c r="L1336" s="133">
        <v>0</v>
      </c>
      <c r="M1336" s="133" t="s">
        <v>1096</v>
      </c>
      <c r="N1336" s="133">
        <v>0</v>
      </c>
      <c r="P1336" s="133">
        <v>0</v>
      </c>
      <c r="Q1336" s="133">
        <v>0</v>
      </c>
      <c r="R1336" s="133">
        <v>0</v>
      </c>
      <c r="S1336" s="156"/>
    </row>
    <row r="1337" spans="1:19">
      <c r="A1337" s="133" t="s">
        <v>1187</v>
      </c>
      <c r="B1337" s="133" t="s">
        <v>1175</v>
      </c>
      <c r="C1337" s="133" t="s">
        <v>1000</v>
      </c>
      <c r="D1337" s="133" t="s">
        <v>516</v>
      </c>
      <c r="E1337" s="133" t="s">
        <v>517</v>
      </c>
      <c r="F1337" s="133" t="s">
        <v>709</v>
      </c>
      <c r="G1337" s="133" t="s">
        <v>719</v>
      </c>
      <c r="H1337" s="133">
        <v>4.8499999999999996</v>
      </c>
      <c r="I1337" s="133">
        <v>0</v>
      </c>
      <c r="J1337" s="133">
        <v>0</v>
      </c>
      <c r="L1337" s="133">
        <v>0</v>
      </c>
      <c r="M1337" s="133" t="s">
        <v>1096</v>
      </c>
      <c r="N1337" s="133">
        <v>0</v>
      </c>
      <c r="P1337" s="133">
        <v>0</v>
      </c>
      <c r="Q1337" s="133">
        <v>0</v>
      </c>
      <c r="R1337" s="133">
        <v>0</v>
      </c>
      <c r="S1337" s="156"/>
    </row>
    <row r="1338" spans="1:19">
      <c r="A1338" s="133" t="s">
        <v>1187</v>
      </c>
      <c r="B1338" s="133" t="s">
        <v>1175</v>
      </c>
      <c r="C1338" s="133" t="s">
        <v>1000</v>
      </c>
      <c r="D1338" s="133" t="s">
        <v>524</v>
      </c>
      <c r="E1338" s="133" t="s">
        <v>525</v>
      </c>
      <c r="F1338" s="133" t="s">
        <v>709</v>
      </c>
      <c r="G1338" s="133" t="s">
        <v>719</v>
      </c>
      <c r="H1338" s="133">
        <v>0.49</v>
      </c>
      <c r="I1338" s="133">
        <v>0</v>
      </c>
      <c r="J1338" s="133">
        <v>0</v>
      </c>
      <c r="L1338" s="133">
        <v>0</v>
      </c>
      <c r="M1338" s="133" t="s">
        <v>1096</v>
      </c>
      <c r="N1338" s="133">
        <v>0</v>
      </c>
      <c r="P1338" s="133">
        <v>0</v>
      </c>
      <c r="Q1338" s="133">
        <v>0</v>
      </c>
      <c r="R1338" s="133">
        <v>0</v>
      </c>
      <c r="S1338" s="156"/>
    </row>
    <row r="1339" spans="1:19">
      <c r="A1339" s="133" t="s">
        <v>1187</v>
      </c>
      <c r="B1339" s="133" t="s">
        <v>1175</v>
      </c>
      <c r="C1339" s="133" t="s">
        <v>1000</v>
      </c>
      <c r="D1339" s="133" t="s">
        <v>526</v>
      </c>
      <c r="E1339" s="133" t="s">
        <v>527</v>
      </c>
      <c r="F1339" s="133" t="s">
        <v>712</v>
      </c>
      <c r="G1339" s="133" t="s">
        <v>719</v>
      </c>
      <c r="H1339" s="133">
        <v>1.72</v>
      </c>
      <c r="I1339" s="133">
        <v>0</v>
      </c>
      <c r="J1339" s="133">
        <v>198</v>
      </c>
      <c r="K1339" s="133">
        <v>40</v>
      </c>
      <c r="L1339" s="133">
        <v>45</v>
      </c>
      <c r="M1339" s="133" t="s">
        <v>997</v>
      </c>
      <c r="N1339" s="133">
        <v>0</v>
      </c>
      <c r="P1339" s="133">
        <v>0</v>
      </c>
      <c r="Q1339" s="133">
        <v>45</v>
      </c>
      <c r="R1339" s="133">
        <v>0</v>
      </c>
      <c r="S1339" s="156">
        <v>-0.125</v>
      </c>
    </row>
    <row r="1340" spans="1:19">
      <c r="A1340" s="133" t="s">
        <v>1187</v>
      </c>
      <c r="B1340" s="133" t="s">
        <v>1175</v>
      </c>
      <c r="C1340" s="133" t="s">
        <v>1000</v>
      </c>
      <c r="D1340" s="133" t="s">
        <v>528</v>
      </c>
      <c r="E1340" s="133" t="s">
        <v>529</v>
      </c>
      <c r="F1340" s="133" t="s">
        <v>712</v>
      </c>
      <c r="G1340" s="133" t="s">
        <v>719</v>
      </c>
      <c r="H1340" s="133">
        <v>3.6</v>
      </c>
      <c r="I1340" s="133">
        <v>0</v>
      </c>
      <c r="J1340" s="133">
        <v>100</v>
      </c>
      <c r="K1340" s="133">
        <v>40</v>
      </c>
      <c r="L1340" s="133">
        <v>32</v>
      </c>
      <c r="M1340" s="133" t="s">
        <v>998</v>
      </c>
      <c r="N1340" s="133">
        <v>0</v>
      </c>
      <c r="P1340" s="133">
        <v>0</v>
      </c>
      <c r="Q1340" s="133">
        <v>32</v>
      </c>
      <c r="R1340" s="133">
        <v>8</v>
      </c>
      <c r="S1340" s="156">
        <v>0.2</v>
      </c>
    </row>
    <row r="1341" spans="1:19">
      <c r="A1341" s="133" t="s">
        <v>1187</v>
      </c>
      <c r="B1341" s="133" t="s">
        <v>1175</v>
      </c>
      <c r="C1341" s="133" t="s">
        <v>1000</v>
      </c>
      <c r="D1341" s="133" t="s">
        <v>530</v>
      </c>
      <c r="E1341" s="133" t="s">
        <v>531</v>
      </c>
      <c r="F1341" s="133" t="s">
        <v>712</v>
      </c>
      <c r="G1341" s="133" t="s">
        <v>719</v>
      </c>
      <c r="H1341" s="133">
        <v>6.89</v>
      </c>
      <c r="I1341" s="133">
        <v>0</v>
      </c>
      <c r="J1341" s="133">
        <v>171</v>
      </c>
      <c r="K1341" s="133">
        <v>10</v>
      </c>
      <c r="L1341" s="133">
        <v>0</v>
      </c>
      <c r="M1341" s="133" t="s">
        <v>999</v>
      </c>
      <c r="N1341" s="133">
        <v>0</v>
      </c>
      <c r="P1341" s="133">
        <v>0</v>
      </c>
      <c r="Q1341" s="133">
        <v>0</v>
      </c>
      <c r="R1341" s="133">
        <v>10</v>
      </c>
      <c r="S1341" s="156">
        <v>1</v>
      </c>
    </row>
    <row r="1342" spans="1:19">
      <c r="A1342" s="133" t="s">
        <v>1187</v>
      </c>
      <c r="B1342" s="133" t="s">
        <v>1175</v>
      </c>
      <c r="C1342" s="133" t="s">
        <v>1000</v>
      </c>
      <c r="D1342" s="133" t="s">
        <v>920</v>
      </c>
      <c r="E1342" s="133" t="s">
        <v>965</v>
      </c>
      <c r="F1342" s="133" t="s">
        <v>966</v>
      </c>
      <c r="G1342" s="133" t="s">
        <v>719</v>
      </c>
      <c r="H1342" s="133">
        <v>14.48</v>
      </c>
      <c r="I1342" s="133">
        <v>0</v>
      </c>
      <c r="J1342" s="133">
        <v>130</v>
      </c>
      <c r="K1342" s="133">
        <v>5</v>
      </c>
      <c r="L1342" s="133">
        <v>0</v>
      </c>
      <c r="M1342" s="133" t="s">
        <v>999</v>
      </c>
      <c r="N1342" s="133">
        <v>0</v>
      </c>
      <c r="P1342" s="133">
        <v>0</v>
      </c>
      <c r="Q1342" s="133">
        <v>0</v>
      </c>
      <c r="R1342" s="133">
        <v>5</v>
      </c>
      <c r="S1342" s="156">
        <v>1</v>
      </c>
    </row>
    <row r="1343" spans="1:19">
      <c r="A1343" s="133" t="s">
        <v>1187</v>
      </c>
      <c r="B1343" s="133" t="s">
        <v>1175</v>
      </c>
      <c r="C1343" s="133" t="s">
        <v>1000</v>
      </c>
      <c r="D1343" s="133" t="s">
        <v>538</v>
      </c>
      <c r="E1343" s="133" t="s">
        <v>539</v>
      </c>
      <c r="F1343" s="133" t="s">
        <v>709</v>
      </c>
      <c r="G1343" s="133" t="s">
        <v>719</v>
      </c>
      <c r="H1343" s="133">
        <v>1.1299999999999999</v>
      </c>
      <c r="I1343" s="133">
        <v>0</v>
      </c>
      <c r="J1343" s="133">
        <v>0</v>
      </c>
      <c r="L1343" s="133">
        <v>0</v>
      </c>
      <c r="M1343" s="133" t="s">
        <v>1096</v>
      </c>
      <c r="N1343" s="133">
        <v>0</v>
      </c>
      <c r="P1343" s="133">
        <v>0</v>
      </c>
      <c r="Q1343" s="133">
        <v>0</v>
      </c>
      <c r="R1343" s="133">
        <v>0</v>
      </c>
      <c r="S1343" s="156"/>
    </row>
    <row r="1344" spans="1:19">
      <c r="A1344" s="133" t="s">
        <v>1187</v>
      </c>
      <c r="B1344" s="133" t="s">
        <v>1175</v>
      </c>
      <c r="C1344" s="133" t="s">
        <v>1000</v>
      </c>
      <c r="D1344" s="133" t="s">
        <v>905</v>
      </c>
      <c r="E1344" s="133" t="s">
        <v>967</v>
      </c>
      <c r="F1344" s="133" t="s">
        <v>946</v>
      </c>
      <c r="G1344" s="133" t="s">
        <v>719</v>
      </c>
      <c r="H1344" s="133">
        <v>3.43</v>
      </c>
      <c r="I1344" s="133">
        <v>0</v>
      </c>
      <c r="J1344" s="133">
        <v>0</v>
      </c>
      <c r="L1344" s="133">
        <v>0</v>
      </c>
      <c r="M1344" s="133" t="s">
        <v>1096</v>
      </c>
      <c r="N1344" s="133">
        <v>0</v>
      </c>
      <c r="P1344" s="133">
        <v>0</v>
      </c>
      <c r="Q1344" s="133">
        <v>0</v>
      </c>
      <c r="R1344" s="133">
        <v>0</v>
      </c>
      <c r="S1344" s="156"/>
    </row>
    <row r="1345" spans="1:19">
      <c r="A1345" s="133" t="s">
        <v>1187</v>
      </c>
      <c r="B1345" s="133" t="s">
        <v>1175</v>
      </c>
      <c r="C1345" s="133" t="s">
        <v>1000</v>
      </c>
      <c r="D1345" s="133" t="s">
        <v>906</v>
      </c>
      <c r="E1345" s="133" t="s">
        <v>968</v>
      </c>
      <c r="F1345" s="133" t="s">
        <v>946</v>
      </c>
      <c r="G1345" s="133" t="s">
        <v>719</v>
      </c>
      <c r="H1345" s="133">
        <v>1.48</v>
      </c>
      <c r="I1345" s="133">
        <v>0</v>
      </c>
      <c r="J1345" s="133">
        <v>0</v>
      </c>
      <c r="L1345" s="133">
        <v>0</v>
      </c>
      <c r="M1345" s="133" t="s">
        <v>1096</v>
      </c>
      <c r="N1345" s="133">
        <v>0</v>
      </c>
      <c r="P1345" s="133">
        <v>0</v>
      </c>
      <c r="Q1345" s="133">
        <v>0</v>
      </c>
      <c r="R1345" s="133">
        <v>0</v>
      </c>
      <c r="S1345" s="156"/>
    </row>
    <row r="1346" spans="1:19">
      <c r="A1346" s="133" t="s">
        <v>1187</v>
      </c>
      <c r="B1346" s="133" t="s">
        <v>1175</v>
      </c>
      <c r="C1346" s="133" t="s">
        <v>1000</v>
      </c>
      <c r="D1346" s="133" t="s">
        <v>542</v>
      </c>
      <c r="E1346" s="133" t="s">
        <v>543</v>
      </c>
      <c r="F1346" s="133" t="s">
        <v>707</v>
      </c>
      <c r="G1346" s="133" t="s">
        <v>715</v>
      </c>
      <c r="H1346" s="133">
        <v>1.24</v>
      </c>
      <c r="I1346" s="133">
        <v>0</v>
      </c>
      <c r="J1346" s="133">
        <v>337</v>
      </c>
      <c r="L1346" s="133">
        <v>0</v>
      </c>
      <c r="M1346" s="133" t="s">
        <v>1096</v>
      </c>
      <c r="N1346" s="133">
        <v>0</v>
      </c>
      <c r="P1346" s="133">
        <v>0</v>
      </c>
      <c r="Q1346" s="133">
        <v>0</v>
      </c>
      <c r="R1346" s="133">
        <v>0</v>
      </c>
      <c r="S1346" s="156"/>
    </row>
    <row r="1347" spans="1:19">
      <c r="A1347" s="133" t="s">
        <v>1187</v>
      </c>
      <c r="B1347" s="133" t="s">
        <v>1175</v>
      </c>
      <c r="C1347" s="133" t="s">
        <v>1000</v>
      </c>
      <c r="D1347" s="133" t="s">
        <v>544</v>
      </c>
      <c r="E1347" s="133" t="s">
        <v>545</v>
      </c>
      <c r="F1347" s="133" t="s">
        <v>707</v>
      </c>
      <c r="G1347" s="133" t="s">
        <v>715</v>
      </c>
      <c r="H1347" s="133">
        <v>2.27</v>
      </c>
      <c r="I1347" s="133">
        <v>0</v>
      </c>
      <c r="J1347" s="133">
        <v>258</v>
      </c>
      <c r="L1347" s="133">
        <v>0</v>
      </c>
      <c r="M1347" s="133" t="s">
        <v>1096</v>
      </c>
      <c r="N1347" s="133">
        <v>0</v>
      </c>
      <c r="P1347" s="133">
        <v>0</v>
      </c>
      <c r="Q1347" s="133">
        <v>0</v>
      </c>
      <c r="R1347" s="133">
        <v>0</v>
      </c>
      <c r="S1347" s="156"/>
    </row>
    <row r="1348" spans="1:19">
      <c r="A1348" s="133" t="s">
        <v>1187</v>
      </c>
      <c r="B1348" s="133" t="s">
        <v>1175</v>
      </c>
      <c r="C1348" s="133" t="s">
        <v>1000</v>
      </c>
      <c r="D1348" s="133" t="s">
        <v>546</v>
      </c>
      <c r="E1348" s="133" t="s">
        <v>547</v>
      </c>
      <c r="F1348" s="133" t="s">
        <v>707</v>
      </c>
      <c r="G1348" s="133" t="s">
        <v>715</v>
      </c>
      <c r="H1348" s="133">
        <v>16.43</v>
      </c>
      <c r="I1348" s="133">
        <v>0</v>
      </c>
      <c r="J1348" s="133">
        <v>0</v>
      </c>
      <c r="L1348" s="133">
        <v>0</v>
      </c>
      <c r="M1348" s="133" t="s">
        <v>1096</v>
      </c>
      <c r="N1348" s="133">
        <v>0</v>
      </c>
      <c r="P1348" s="133">
        <v>0</v>
      </c>
      <c r="Q1348" s="133">
        <v>0</v>
      </c>
      <c r="R1348" s="133">
        <v>0</v>
      </c>
      <c r="S1348" s="156"/>
    </row>
    <row r="1349" spans="1:19">
      <c r="A1349" s="133" t="s">
        <v>1187</v>
      </c>
      <c r="B1349" s="133" t="s">
        <v>1175</v>
      </c>
      <c r="C1349" s="133" t="s">
        <v>1000</v>
      </c>
      <c r="D1349" s="133" t="s">
        <v>548</v>
      </c>
      <c r="E1349" s="133" t="s">
        <v>549</v>
      </c>
      <c r="F1349" s="133" t="s">
        <v>707</v>
      </c>
      <c r="G1349" s="133" t="s">
        <v>715</v>
      </c>
      <c r="H1349" s="133">
        <v>3.66</v>
      </c>
      <c r="I1349" s="133">
        <v>0</v>
      </c>
      <c r="J1349" s="133">
        <v>200</v>
      </c>
      <c r="L1349" s="133">
        <v>0</v>
      </c>
      <c r="M1349" s="133" t="s">
        <v>1096</v>
      </c>
      <c r="N1349" s="133">
        <v>0</v>
      </c>
      <c r="P1349" s="133">
        <v>0</v>
      </c>
      <c r="Q1349" s="133">
        <v>0</v>
      </c>
      <c r="R1349" s="133">
        <v>0</v>
      </c>
      <c r="S1349" s="156"/>
    </row>
    <row r="1350" spans="1:19">
      <c r="A1350" s="133" t="s">
        <v>1187</v>
      </c>
      <c r="B1350" s="133" t="s">
        <v>1175</v>
      </c>
      <c r="C1350" s="133" t="s">
        <v>1000</v>
      </c>
      <c r="D1350" s="133" t="s">
        <v>553</v>
      </c>
      <c r="E1350" s="133" t="s">
        <v>554</v>
      </c>
      <c r="F1350" s="133" t="s">
        <v>712</v>
      </c>
      <c r="G1350" s="133" t="s">
        <v>715</v>
      </c>
      <c r="H1350" s="133">
        <v>4.62</v>
      </c>
      <c r="I1350" s="133">
        <v>0</v>
      </c>
      <c r="J1350" s="133">
        <v>0</v>
      </c>
      <c r="L1350" s="133">
        <v>0</v>
      </c>
      <c r="M1350" s="133" t="s">
        <v>1096</v>
      </c>
      <c r="N1350" s="133">
        <v>0</v>
      </c>
      <c r="P1350" s="133">
        <v>0</v>
      </c>
      <c r="Q1350" s="133">
        <v>0</v>
      </c>
      <c r="R1350" s="133">
        <v>0</v>
      </c>
      <c r="S1350" s="156"/>
    </row>
    <row r="1351" spans="1:19">
      <c r="A1351" s="133" t="s">
        <v>1187</v>
      </c>
      <c r="B1351" s="133" t="s">
        <v>1175</v>
      </c>
      <c r="C1351" s="133" t="s">
        <v>1000</v>
      </c>
      <c r="D1351" s="133" t="s">
        <v>555</v>
      </c>
      <c r="E1351" s="133" t="s">
        <v>556</v>
      </c>
      <c r="F1351" s="133" t="s">
        <v>712</v>
      </c>
      <c r="G1351" s="133" t="s">
        <v>719</v>
      </c>
      <c r="H1351" s="133">
        <v>2.59</v>
      </c>
      <c r="I1351" s="133">
        <v>0</v>
      </c>
      <c r="J1351" s="133">
        <v>1140</v>
      </c>
      <c r="L1351" s="133">
        <v>0</v>
      </c>
      <c r="M1351" s="133" t="s">
        <v>1096</v>
      </c>
      <c r="N1351" s="133">
        <v>0</v>
      </c>
      <c r="P1351" s="133">
        <v>0</v>
      </c>
      <c r="Q1351" s="133">
        <v>0</v>
      </c>
      <c r="R1351" s="133">
        <v>0</v>
      </c>
      <c r="S1351" s="156"/>
    </row>
    <row r="1352" spans="1:19">
      <c r="A1352" s="133" t="s">
        <v>1187</v>
      </c>
      <c r="B1352" s="133" t="s">
        <v>1175</v>
      </c>
      <c r="C1352" s="133" t="s">
        <v>1000</v>
      </c>
      <c r="D1352" s="133" t="s">
        <v>557</v>
      </c>
      <c r="E1352" s="133" t="s">
        <v>558</v>
      </c>
      <c r="F1352" s="133" t="s">
        <v>712</v>
      </c>
      <c r="G1352" s="133" t="s">
        <v>719</v>
      </c>
      <c r="H1352" s="133">
        <v>4.75</v>
      </c>
      <c r="I1352" s="133">
        <v>0</v>
      </c>
      <c r="J1352" s="133">
        <v>2670</v>
      </c>
      <c r="L1352" s="133">
        <v>0</v>
      </c>
      <c r="M1352" s="133" t="s">
        <v>1096</v>
      </c>
      <c r="N1352" s="133">
        <v>0</v>
      </c>
      <c r="P1352" s="133">
        <v>0</v>
      </c>
      <c r="Q1352" s="133">
        <v>0</v>
      </c>
      <c r="R1352" s="133">
        <v>0</v>
      </c>
      <c r="S1352" s="156"/>
    </row>
    <row r="1353" spans="1:19">
      <c r="A1353" s="133" t="s">
        <v>1187</v>
      </c>
      <c r="B1353" s="133" t="s">
        <v>1175</v>
      </c>
      <c r="C1353" s="133" t="s">
        <v>1000</v>
      </c>
      <c r="D1353" s="133" t="s">
        <v>559</v>
      </c>
      <c r="E1353" s="133" t="s">
        <v>560</v>
      </c>
      <c r="F1353" s="133" t="s">
        <v>712</v>
      </c>
      <c r="G1353" s="133" t="s">
        <v>719</v>
      </c>
      <c r="H1353" s="133">
        <v>2.4</v>
      </c>
      <c r="I1353" s="133">
        <v>0</v>
      </c>
      <c r="J1353" s="133">
        <v>274</v>
      </c>
      <c r="L1353" s="133">
        <v>0</v>
      </c>
      <c r="M1353" s="133" t="s">
        <v>1096</v>
      </c>
      <c r="N1353" s="133">
        <v>0</v>
      </c>
      <c r="P1353" s="133">
        <v>0</v>
      </c>
      <c r="Q1353" s="133">
        <v>0</v>
      </c>
      <c r="R1353" s="133">
        <v>0</v>
      </c>
      <c r="S1353" s="156"/>
    </row>
    <row r="1354" spans="1:19">
      <c r="A1354" s="133" t="s">
        <v>1187</v>
      </c>
      <c r="B1354" s="133" t="s">
        <v>1175</v>
      </c>
      <c r="C1354" s="133" t="s">
        <v>1000</v>
      </c>
      <c r="D1354" s="133" t="s">
        <v>561</v>
      </c>
      <c r="E1354" s="133" t="s">
        <v>562</v>
      </c>
      <c r="F1354" s="133" t="s">
        <v>712</v>
      </c>
      <c r="G1354" s="133" t="s">
        <v>719</v>
      </c>
      <c r="H1354" s="133">
        <v>4.47</v>
      </c>
      <c r="I1354" s="133">
        <v>0</v>
      </c>
      <c r="J1354" s="133">
        <v>964</v>
      </c>
      <c r="K1354" s="133">
        <v>6</v>
      </c>
      <c r="L1354" s="133">
        <v>10</v>
      </c>
      <c r="M1354" s="133" t="s">
        <v>997</v>
      </c>
      <c r="N1354" s="133">
        <v>0</v>
      </c>
      <c r="P1354" s="133">
        <v>0</v>
      </c>
      <c r="Q1354" s="133">
        <v>10</v>
      </c>
      <c r="R1354" s="133">
        <v>0</v>
      </c>
      <c r="S1354" s="156">
        <v>-0.66666666666666663</v>
      </c>
    </row>
    <row r="1355" spans="1:19">
      <c r="A1355" s="133" t="s">
        <v>1187</v>
      </c>
      <c r="B1355" s="133" t="s">
        <v>1175</v>
      </c>
      <c r="C1355" s="133" t="s">
        <v>1000</v>
      </c>
      <c r="D1355" s="133" t="s">
        <v>883</v>
      </c>
      <c r="E1355" s="133" t="s">
        <v>969</v>
      </c>
      <c r="F1355" s="133" t="s">
        <v>712</v>
      </c>
      <c r="G1355" s="133" t="s">
        <v>715</v>
      </c>
      <c r="H1355" s="133">
        <v>1.66</v>
      </c>
      <c r="I1355" s="133">
        <v>0</v>
      </c>
      <c r="J1355" s="133">
        <v>197</v>
      </c>
      <c r="L1355" s="133">
        <v>0</v>
      </c>
      <c r="M1355" s="133" t="s">
        <v>1096</v>
      </c>
      <c r="N1355" s="133">
        <v>0</v>
      </c>
      <c r="P1355" s="133">
        <v>0</v>
      </c>
      <c r="Q1355" s="133">
        <v>0</v>
      </c>
      <c r="R1355" s="133">
        <v>0</v>
      </c>
      <c r="S1355" s="156"/>
    </row>
    <row r="1356" spans="1:19">
      <c r="A1356" s="133" t="s">
        <v>1187</v>
      </c>
      <c r="B1356" s="133" t="s">
        <v>1175</v>
      </c>
      <c r="C1356" s="133" t="s">
        <v>1000</v>
      </c>
      <c r="D1356" s="133" t="s">
        <v>884</v>
      </c>
      <c r="E1356" s="133" t="s">
        <v>970</v>
      </c>
      <c r="F1356" s="133" t="s">
        <v>712</v>
      </c>
      <c r="G1356" s="133" t="s">
        <v>715</v>
      </c>
      <c r="H1356" s="133">
        <v>13.56</v>
      </c>
      <c r="I1356" s="133">
        <v>0</v>
      </c>
      <c r="J1356" s="133">
        <v>141</v>
      </c>
      <c r="L1356" s="133">
        <v>0</v>
      </c>
      <c r="M1356" s="133" t="s">
        <v>1096</v>
      </c>
      <c r="N1356" s="133">
        <v>0</v>
      </c>
      <c r="P1356" s="133">
        <v>0</v>
      </c>
      <c r="Q1356" s="133">
        <v>0</v>
      </c>
      <c r="R1356" s="133">
        <v>0</v>
      </c>
      <c r="S1356" s="156"/>
    </row>
    <row r="1357" spans="1:19">
      <c r="A1357" s="133" t="s">
        <v>1187</v>
      </c>
      <c r="B1357" s="133" t="s">
        <v>1175</v>
      </c>
      <c r="C1357" s="133" t="s">
        <v>1000</v>
      </c>
      <c r="D1357" s="133" t="s">
        <v>576</v>
      </c>
      <c r="E1357" s="133" t="s">
        <v>577</v>
      </c>
      <c r="F1357" s="133" t="s">
        <v>709</v>
      </c>
      <c r="G1357" s="133" t="s">
        <v>715</v>
      </c>
      <c r="H1357" s="133">
        <v>0.97</v>
      </c>
      <c r="I1357" s="133">
        <v>0</v>
      </c>
      <c r="J1357" s="133">
        <v>0</v>
      </c>
      <c r="L1357" s="133">
        <v>0</v>
      </c>
      <c r="M1357" s="133" t="s">
        <v>1096</v>
      </c>
      <c r="N1357" s="133">
        <v>0</v>
      </c>
      <c r="P1357" s="133">
        <v>0</v>
      </c>
      <c r="Q1357" s="133">
        <v>0</v>
      </c>
      <c r="R1357" s="133">
        <v>0</v>
      </c>
      <c r="S1357" s="156"/>
    </row>
    <row r="1358" spans="1:19">
      <c r="A1358" s="133" t="s">
        <v>1187</v>
      </c>
      <c r="B1358" s="133" t="s">
        <v>1175</v>
      </c>
      <c r="C1358" s="133" t="s">
        <v>1000</v>
      </c>
      <c r="D1358" s="133" t="s">
        <v>578</v>
      </c>
      <c r="E1358" s="133" t="s">
        <v>579</v>
      </c>
      <c r="F1358" s="133" t="s">
        <v>709</v>
      </c>
      <c r="G1358" s="133" t="s">
        <v>715</v>
      </c>
      <c r="H1358" s="133">
        <v>2.3199999999999998</v>
      </c>
      <c r="I1358" s="133">
        <v>0</v>
      </c>
      <c r="J1358" s="133">
        <v>0</v>
      </c>
      <c r="L1358" s="133">
        <v>0</v>
      </c>
      <c r="M1358" s="133" t="s">
        <v>1096</v>
      </c>
      <c r="N1358" s="133">
        <v>0</v>
      </c>
      <c r="P1358" s="133">
        <v>0</v>
      </c>
      <c r="Q1358" s="133">
        <v>0</v>
      </c>
      <c r="R1358" s="133">
        <v>0</v>
      </c>
      <c r="S1358" s="156"/>
    </row>
    <row r="1359" spans="1:19">
      <c r="A1359" s="133" t="s">
        <v>1187</v>
      </c>
      <c r="B1359" s="133" t="s">
        <v>1175</v>
      </c>
      <c r="C1359" s="133" t="s">
        <v>1000</v>
      </c>
      <c r="D1359" s="133" t="s">
        <v>580</v>
      </c>
      <c r="E1359" s="133" t="s">
        <v>581</v>
      </c>
      <c r="F1359" s="133" t="s">
        <v>709</v>
      </c>
      <c r="G1359" s="133" t="s">
        <v>715</v>
      </c>
      <c r="H1359" s="133">
        <v>3.92</v>
      </c>
      <c r="I1359" s="133">
        <v>0</v>
      </c>
      <c r="J1359" s="133">
        <v>0</v>
      </c>
      <c r="L1359" s="133">
        <v>0</v>
      </c>
      <c r="M1359" s="133" t="s">
        <v>1096</v>
      </c>
      <c r="N1359" s="133">
        <v>0</v>
      </c>
      <c r="P1359" s="133">
        <v>0</v>
      </c>
      <c r="Q1359" s="133">
        <v>0</v>
      </c>
      <c r="R1359" s="133">
        <v>0</v>
      </c>
      <c r="S1359" s="156"/>
    </row>
    <row r="1360" spans="1:19">
      <c r="A1360" s="133" t="s">
        <v>1187</v>
      </c>
      <c r="B1360" s="133" t="s">
        <v>1175</v>
      </c>
      <c r="C1360" s="133" t="s">
        <v>1000</v>
      </c>
      <c r="D1360" s="133" t="s">
        <v>582</v>
      </c>
      <c r="E1360" s="133" t="s">
        <v>583</v>
      </c>
      <c r="F1360" s="133" t="s">
        <v>709</v>
      </c>
      <c r="G1360" s="133" t="s">
        <v>715</v>
      </c>
      <c r="H1360" s="133">
        <v>9.3000000000000007</v>
      </c>
      <c r="I1360" s="133">
        <v>0</v>
      </c>
      <c r="J1360" s="133">
        <v>0</v>
      </c>
      <c r="L1360" s="133">
        <v>0</v>
      </c>
      <c r="M1360" s="133" t="s">
        <v>1096</v>
      </c>
      <c r="N1360" s="133">
        <v>0</v>
      </c>
      <c r="P1360" s="133">
        <v>0</v>
      </c>
      <c r="Q1360" s="133">
        <v>0</v>
      </c>
      <c r="R1360" s="133">
        <v>0</v>
      </c>
      <c r="S1360" s="156"/>
    </row>
    <row r="1361" spans="1:19">
      <c r="A1361" s="133" t="s">
        <v>1187</v>
      </c>
      <c r="B1361" s="133" t="s">
        <v>1175</v>
      </c>
      <c r="C1361" s="133" t="s">
        <v>1000</v>
      </c>
      <c r="D1361" s="133" t="s">
        <v>584</v>
      </c>
      <c r="E1361" s="133" t="s">
        <v>585</v>
      </c>
      <c r="F1361" s="133" t="s">
        <v>707</v>
      </c>
      <c r="G1361" s="133" t="s">
        <v>715</v>
      </c>
      <c r="H1361" s="133">
        <v>4.09</v>
      </c>
      <c r="I1361" s="133">
        <v>0</v>
      </c>
      <c r="J1361" s="133">
        <v>458</v>
      </c>
      <c r="L1361" s="133">
        <v>0</v>
      </c>
      <c r="M1361" s="133" t="s">
        <v>1096</v>
      </c>
      <c r="N1361" s="133">
        <v>0</v>
      </c>
      <c r="P1361" s="133">
        <v>0</v>
      </c>
      <c r="Q1361" s="133">
        <v>0</v>
      </c>
      <c r="R1361" s="133">
        <v>0</v>
      </c>
      <c r="S1361" s="156"/>
    </row>
    <row r="1362" spans="1:19">
      <c r="A1362" s="133" t="s">
        <v>1187</v>
      </c>
      <c r="B1362" s="133" t="s">
        <v>1175</v>
      </c>
      <c r="C1362" s="133" t="s">
        <v>1000</v>
      </c>
      <c r="D1362" s="133" t="s">
        <v>586</v>
      </c>
      <c r="E1362" s="133" t="s">
        <v>587</v>
      </c>
      <c r="F1362" s="133" t="s">
        <v>707</v>
      </c>
      <c r="G1362" s="133" t="s">
        <v>715</v>
      </c>
      <c r="H1362" s="133">
        <v>11.23</v>
      </c>
      <c r="I1362" s="133">
        <v>0</v>
      </c>
      <c r="J1362" s="133">
        <v>0</v>
      </c>
      <c r="L1362" s="133">
        <v>0</v>
      </c>
      <c r="M1362" s="133" t="s">
        <v>1096</v>
      </c>
      <c r="N1362" s="133">
        <v>0</v>
      </c>
      <c r="P1362" s="133">
        <v>0</v>
      </c>
      <c r="Q1362" s="133">
        <v>0</v>
      </c>
      <c r="R1362" s="133">
        <v>0</v>
      </c>
      <c r="S1362" s="156"/>
    </row>
    <row r="1363" spans="1:19">
      <c r="A1363" s="133" t="s">
        <v>1187</v>
      </c>
      <c r="B1363" s="133" t="s">
        <v>1175</v>
      </c>
      <c r="C1363" s="133" t="s">
        <v>1000</v>
      </c>
      <c r="D1363" s="133" t="s">
        <v>588</v>
      </c>
      <c r="E1363" s="133" t="s">
        <v>589</v>
      </c>
      <c r="F1363" s="133" t="s">
        <v>707</v>
      </c>
      <c r="G1363" s="133" t="s">
        <v>715</v>
      </c>
      <c r="H1363" s="133">
        <v>3.05</v>
      </c>
      <c r="I1363" s="133">
        <v>0</v>
      </c>
      <c r="J1363" s="133">
        <v>213</v>
      </c>
      <c r="L1363" s="133">
        <v>0</v>
      </c>
      <c r="M1363" s="133" t="s">
        <v>1096</v>
      </c>
      <c r="N1363" s="133">
        <v>0</v>
      </c>
      <c r="P1363" s="133">
        <v>0</v>
      </c>
      <c r="Q1363" s="133">
        <v>0</v>
      </c>
      <c r="R1363" s="133">
        <v>0</v>
      </c>
      <c r="S1363" s="156"/>
    </row>
    <row r="1364" spans="1:19">
      <c r="A1364" s="133" t="s">
        <v>1187</v>
      </c>
      <c r="B1364" s="133" t="s">
        <v>1175</v>
      </c>
      <c r="C1364" s="133" t="s">
        <v>1000</v>
      </c>
      <c r="D1364" s="133" t="s">
        <v>885</v>
      </c>
      <c r="E1364" s="133" t="s">
        <v>971</v>
      </c>
      <c r="F1364" s="133" t="s">
        <v>712</v>
      </c>
      <c r="G1364" s="133" t="s">
        <v>715</v>
      </c>
      <c r="H1364" s="133">
        <v>3.49</v>
      </c>
      <c r="I1364" s="133">
        <v>0</v>
      </c>
      <c r="J1364" s="133">
        <v>179</v>
      </c>
      <c r="L1364" s="133">
        <v>0</v>
      </c>
      <c r="M1364" s="133" t="s">
        <v>1096</v>
      </c>
      <c r="N1364" s="133">
        <v>0</v>
      </c>
      <c r="P1364" s="133">
        <v>0</v>
      </c>
      <c r="Q1364" s="133">
        <v>0</v>
      </c>
      <c r="R1364" s="133">
        <v>0</v>
      </c>
      <c r="S1364" s="156"/>
    </row>
    <row r="1365" spans="1:19">
      <c r="A1365" s="133" t="s">
        <v>1187</v>
      </c>
      <c r="B1365" s="133" t="s">
        <v>1175</v>
      </c>
      <c r="C1365" s="133" t="s">
        <v>1000</v>
      </c>
      <c r="D1365" s="133" t="s">
        <v>886</v>
      </c>
      <c r="E1365" s="133" t="s">
        <v>972</v>
      </c>
      <c r="F1365" s="133" t="s">
        <v>712</v>
      </c>
      <c r="G1365" s="133" t="s">
        <v>715</v>
      </c>
      <c r="H1365" s="133">
        <v>1.87</v>
      </c>
      <c r="I1365" s="133">
        <v>0</v>
      </c>
      <c r="J1365" s="133">
        <v>135</v>
      </c>
      <c r="L1365" s="133">
        <v>0</v>
      </c>
      <c r="M1365" s="133" t="s">
        <v>1096</v>
      </c>
      <c r="N1365" s="133">
        <v>0</v>
      </c>
      <c r="P1365" s="133">
        <v>0</v>
      </c>
      <c r="Q1365" s="133">
        <v>0</v>
      </c>
      <c r="R1365" s="133">
        <v>0</v>
      </c>
      <c r="S1365" s="156"/>
    </row>
    <row r="1366" spans="1:19">
      <c r="A1366" s="133" t="s">
        <v>1187</v>
      </c>
      <c r="B1366" s="133" t="s">
        <v>1175</v>
      </c>
      <c r="C1366" s="133" t="s">
        <v>1000</v>
      </c>
      <c r="D1366" s="133" t="s">
        <v>887</v>
      </c>
      <c r="E1366" s="133" t="s">
        <v>973</v>
      </c>
      <c r="F1366" s="133" t="s">
        <v>712</v>
      </c>
      <c r="G1366" s="133" t="s">
        <v>715</v>
      </c>
      <c r="H1366" s="133">
        <v>6.61</v>
      </c>
      <c r="I1366" s="133">
        <v>0</v>
      </c>
      <c r="J1366" s="133">
        <v>162</v>
      </c>
      <c r="L1366" s="133">
        <v>0</v>
      </c>
      <c r="M1366" s="133" t="s">
        <v>1096</v>
      </c>
      <c r="N1366" s="133">
        <v>0</v>
      </c>
      <c r="P1366" s="133">
        <v>0</v>
      </c>
      <c r="Q1366" s="133">
        <v>0</v>
      </c>
      <c r="R1366" s="133">
        <v>0</v>
      </c>
      <c r="S1366" s="156"/>
    </row>
    <row r="1367" spans="1:19">
      <c r="A1367" s="133" t="s">
        <v>1187</v>
      </c>
      <c r="B1367" s="133" t="s">
        <v>1175</v>
      </c>
      <c r="C1367" s="133" t="s">
        <v>1000</v>
      </c>
      <c r="D1367" s="133" t="s">
        <v>600</v>
      </c>
      <c r="E1367" s="133" t="s">
        <v>974</v>
      </c>
      <c r="F1367" s="133" t="s">
        <v>867</v>
      </c>
      <c r="G1367" s="133" t="s">
        <v>715</v>
      </c>
      <c r="H1367" s="133">
        <v>1.43</v>
      </c>
      <c r="I1367" s="133">
        <v>0</v>
      </c>
      <c r="J1367" s="133">
        <v>499</v>
      </c>
      <c r="K1367" s="133">
        <v>20</v>
      </c>
      <c r="L1367" s="133">
        <v>0</v>
      </c>
      <c r="M1367" s="133" t="s">
        <v>999</v>
      </c>
      <c r="N1367" s="133">
        <v>0</v>
      </c>
      <c r="P1367" s="133">
        <v>0</v>
      </c>
      <c r="Q1367" s="133">
        <v>0</v>
      </c>
      <c r="R1367" s="133">
        <v>20</v>
      </c>
      <c r="S1367" s="156">
        <v>1</v>
      </c>
    </row>
    <row r="1368" spans="1:19">
      <c r="A1368" s="133" t="s">
        <v>1187</v>
      </c>
      <c r="B1368" s="133" t="s">
        <v>1175</v>
      </c>
      <c r="C1368" s="133" t="s">
        <v>1000</v>
      </c>
      <c r="D1368" s="133" t="s">
        <v>594</v>
      </c>
      <c r="E1368" s="133" t="s">
        <v>595</v>
      </c>
      <c r="F1368" s="133" t="s">
        <v>712</v>
      </c>
      <c r="G1368" s="133" t="s">
        <v>715</v>
      </c>
      <c r="H1368" s="133">
        <v>25.89</v>
      </c>
      <c r="I1368" s="133">
        <v>0</v>
      </c>
      <c r="J1368" s="133">
        <v>702</v>
      </c>
      <c r="L1368" s="133">
        <v>0</v>
      </c>
      <c r="M1368" s="133" t="s">
        <v>1096</v>
      </c>
      <c r="N1368" s="133">
        <v>0</v>
      </c>
      <c r="P1368" s="133">
        <v>0</v>
      </c>
      <c r="Q1368" s="133">
        <v>0</v>
      </c>
      <c r="R1368" s="133">
        <v>0</v>
      </c>
      <c r="S1368" s="156"/>
    </row>
    <row r="1369" spans="1:19">
      <c r="A1369" s="133" t="s">
        <v>1187</v>
      </c>
      <c r="B1369" s="133" t="s">
        <v>1175</v>
      </c>
      <c r="C1369" s="133" t="s">
        <v>1000</v>
      </c>
      <c r="D1369" s="133" t="s">
        <v>596</v>
      </c>
      <c r="E1369" s="133" t="s">
        <v>597</v>
      </c>
      <c r="F1369" s="133" t="s">
        <v>712</v>
      </c>
      <c r="G1369" s="133" t="s">
        <v>715</v>
      </c>
      <c r="H1369" s="133">
        <v>2.71</v>
      </c>
      <c r="I1369" s="133">
        <v>0</v>
      </c>
      <c r="J1369" s="133">
        <v>243</v>
      </c>
      <c r="K1369" s="133">
        <v>20</v>
      </c>
      <c r="L1369" s="133">
        <v>20</v>
      </c>
      <c r="M1369" s="133" t="s">
        <v>998</v>
      </c>
      <c r="N1369" s="133">
        <v>0</v>
      </c>
      <c r="P1369" s="133">
        <v>0</v>
      </c>
      <c r="Q1369" s="133">
        <v>20</v>
      </c>
      <c r="R1369" s="133">
        <v>0</v>
      </c>
      <c r="S1369" s="156">
        <v>0</v>
      </c>
    </row>
    <row r="1370" spans="1:19">
      <c r="A1370" s="133" t="s">
        <v>1187</v>
      </c>
      <c r="B1370" s="133" t="s">
        <v>1175</v>
      </c>
      <c r="C1370" s="133" t="s">
        <v>1000</v>
      </c>
      <c r="D1370" s="133" t="s">
        <v>598</v>
      </c>
      <c r="E1370" s="133" t="s">
        <v>599</v>
      </c>
      <c r="F1370" s="133" t="s">
        <v>712</v>
      </c>
      <c r="G1370" s="133" t="s">
        <v>715</v>
      </c>
      <c r="H1370" s="133">
        <v>6.66</v>
      </c>
      <c r="I1370" s="133">
        <v>0</v>
      </c>
      <c r="J1370" s="133">
        <v>220</v>
      </c>
      <c r="K1370" s="133">
        <v>20</v>
      </c>
      <c r="L1370" s="133">
        <v>20</v>
      </c>
      <c r="M1370" s="133" t="s">
        <v>998</v>
      </c>
      <c r="N1370" s="133">
        <v>0</v>
      </c>
      <c r="P1370" s="133">
        <v>0</v>
      </c>
      <c r="Q1370" s="133">
        <v>20</v>
      </c>
      <c r="R1370" s="133">
        <v>0</v>
      </c>
      <c r="S1370" s="156">
        <v>0</v>
      </c>
    </row>
    <row r="1371" spans="1:19">
      <c r="A1371" s="133" t="s">
        <v>1187</v>
      </c>
      <c r="B1371" s="133" t="s">
        <v>1175</v>
      </c>
      <c r="C1371" s="133" t="s">
        <v>1000</v>
      </c>
      <c r="D1371" s="133" t="s">
        <v>601</v>
      </c>
      <c r="E1371" s="133" t="s">
        <v>602</v>
      </c>
      <c r="F1371" s="133" t="s">
        <v>712</v>
      </c>
      <c r="G1371" s="133" t="s">
        <v>715</v>
      </c>
      <c r="H1371" s="133">
        <v>349.85</v>
      </c>
      <c r="I1371" s="133">
        <v>0</v>
      </c>
      <c r="J1371" s="133">
        <v>0</v>
      </c>
      <c r="L1371" s="133">
        <v>0</v>
      </c>
      <c r="M1371" s="133" t="s">
        <v>1096</v>
      </c>
      <c r="N1371" s="133">
        <v>0</v>
      </c>
      <c r="P1371" s="133">
        <v>0</v>
      </c>
      <c r="Q1371" s="133">
        <v>0</v>
      </c>
      <c r="R1371" s="133">
        <v>0</v>
      </c>
      <c r="S1371" s="156"/>
    </row>
    <row r="1372" spans="1:19">
      <c r="A1372" s="133" t="s">
        <v>1187</v>
      </c>
      <c r="B1372" s="133" t="s">
        <v>1175</v>
      </c>
      <c r="C1372" s="133" t="s">
        <v>1000</v>
      </c>
      <c r="D1372" s="133" t="s">
        <v>603</v>
      </c>
      <c r="E1372" s="133" t="s">
        <v>604</v>
      </c>
      <c r="F1372" s="133" t="s">
        <v>712</v>
      </c>
      <c r="G1372" s="133" t="s">
        <v>715</v>
      </c>
      <c r="H1372" s="133">
        <v>20.54</v>
      </c>
      <c r="I1372" s="133">
        <v>0</v>
      </c>
      <c r="J1372" s="133">
        <v>0</v>
      </c>
      <c r="L1372" s="133">
        <v>0</v>
      </c>
      <c r="M1372" s="133" t="s">
        <v>1096</v>
      </c>
      <c r="N1372" s="133">
        <v>0</v>
      </c>
      <c r="P1372" s="133">
        <v>0</v>
      </c>
      <c r="Q1372" s="133">
        <v>0</v>
      </c>
      <c r="R1372" s="133">
        <v>0</v>
      </c>
      <c r="S1372" s="156"/>
    </row>
    <row r="1373" spans="1:19">
      <c r="A1373" s="133" t="s">
        <v>1187</v>
      </c>
      <c r="B1373" s="133" t="s">
        <v>1175</v>
      </c>
      <c r="C1373" s="133" t="s">
        <v>1000</v>
      </c>
      <c r="D1373" s="133" t="s">
        <v>605</v>
      </c>
      <c r="E1373" s="133" t="s">
        <v>606</v>
      </c>
      <c r="F1373" s="133" t="s">
        <v>709</v>
      </c>
      <c r="G1373" s="133" t="s">
        <v>719</v>
      </c>
      <c r="H1373" s="133">
        <v>1.35</v>
      </c>
      <c r="I1373" s="133">
        <v>0</v>
      </c>
      <c r="J1373" s="133">
        <v>1048</v>
      </c>
      <c r="K1373" s="133">
        <v>30</v>
      </c>
      <c r="L1373" s="133">
        <v>30</v>
      </c>
      <c r="M1373" s="133" t="s">
        <v>998</v>
      </c>
      <c r="N1373" s="133">
        <v>0</v>
      </c>
      <c r="P1373" s="133">
        <v>0</v>
      </c>
      <c r="Q1373" s="133">
        <v>30</v>
      </c>
      <c r="R1373" s="133">
        <v>0</v>
      </c>
      <c r="S1373" s="156">
        <v>0</v>
      </c>
    </row>
    <row r="1374" spans="1:19">
      <c r="A1374" s="133" t="s">
        <v>1187</v>
      </c>
      <c r="B1374" s="133" t="s">
        <v>1175</v>
      </c>
      <c r="C1374" s="133" t="s">
        <v>1000</v>
      </c>
      <c r="D1374" s="133" t="s">
        <v>607</v>
      </c>
      <c r="E1374" s="133" t="s">
        <v>608</v>
      </c>
      <c r="F1374" s="133" t="s">
        <v>709</v>
      </c>
      <c r="G1374" s="133" t="s">
        <v>719</v>
      </c>
      <c r="H1374" s="133">
        <v>0.99</v>
      </c>
      <c r="I1374" s="133">
        <v>0</v>
      </c>
      <c r="J1374" s="133">
        <v>0</v>
      </c>
      <c r="L1374" s="133">
        <v>0</v>
      </c>
      <c r="M1374" s="133" t="s">
        <v>1096</v>
      </c>
      <c r="N1374" s="133">
        <v>0</v>
      </c>
      <c r="P1374" s="133">
        <v>0</v>
      </c>
      <c r="Q1374" s="133">
        <v>0</v>
      </c>
      <c r="R1374" s="133">
        <v>0</v>
      </c>
      <c r="S1374" s="156"/>
    </row>
    <row r="1375" spans="1:19">
      <c r="A1375" s="133" t="s">
        <v>1187</v>
      </c>
      <c r="B1375" s="133" t="s">
        <v>1175</v>
      </c>
      <c r="C1375" s="133" t="s">
        <v>1000</v>
      </c>
      <c r="D1375" s="133" t="s">
        <v>609</v>
      </c>
      <c r="E1375" s="133" t="s">
        <v>610</v>
      </c>
      <c r="F1375" s="133" t="s">
        <v>709</v>
      </c>
      <c r="G1375" s="133" t="s">
        <v>719</v>
      </c>
      <c r="H1375" s="133">
        <v>5.9</v>
      </c>
      <c r="I1375" s="133">
        <v>0</v>
      </c>
      <c r="J1375" s="133">
        <v>20</v>
      </c>
      <c r="L1375" s="133">
        <v>0</v>
      </c>
      <c r="M1375" s="133" t="s">
        <v>1096</v>
      </c>
      <c r="N1375" s="133">
        <v>0</v>
      </c>
      <c r="P1375" s="133">
        <v>0</v>
      </c>
      <c r="Q1375" s="133">
        <v>0</v>
      </c>
      <c r="R1375" s="133">
        <v>0</v>
      </c>
      <c r="S1375" s="156"/>
    </row>
    <row r="1376" spans="1:19">
      <c r="A1376" s="133" t="s">
        <v>1187</v>
      </c>
      <c r="B1376" s="133" t="s">
        <v>1175</v>
      </c>
      <c r="C1376" s="133" t="s">
        <v>1000</v>
      </c>
      <c r="D1376" s="133" t="s">
        <v>611</v>
      </c>
      <c r="E1376" s="133" t="s">
        <v>612</v>
      </c>
      <c r="F1376" s="133" t="s">
        <v>712</v>
      </c>
      <c r="G1376" s="133" t="s">
        <v>719</v>
      </c>
      <c r="H1376" s="133">
        <v>0.76</v>
      </c>
      <c r="I1376" s="133">
        <v>0</v>
      </c>
      <c r="J1376" s="133">
        <v>407</v>
      </c>
      <c r="L1376" s="133">
        <v>0</v>
      </c>
      <c r="M1376" s="133" t="s">
        <v>1096</v>
      </c>
      <c r="N1376" s="133">
        <v>0</v>
      </c>
      <c r="P1376" s="133">
        <v>0</v>
      </c>
      <c r="Q1376" s="133">
        <v>0</v>
      </c>
      <c r="R1376" s="133">
        <v>0</v>
      </c>
      <c r="S1376" s="156"/>
    </row>
    <row r="1377" spans="1:19">
      <c r="A1377" s="133" t="s">
        <v>1187</v>
      </c>
      <c r="B1377" s="133" t="s">
        <v>1175</v>
      </c>
      <c r="C1377" s="133" t="s">
        <v>1000</v>
      </c>
      <c r="D1377" s="133" t="s">
        <v>613</v>
      </c>
      <c r="E1377" s="133" t="s">
        <v>614</v>
      </c>
      <c r="F1377" s="133" t="s">
        <v>712</v>
      </c>
      <c r="G1377" s="133" t="s">
        <v>719</v>
      </c>
      <c r="H1377" s="133">
        <v>3.05</v>
      </c>
      <c r="I1377" s="133">
        <v>0</v>
      </c>
      <c r="J1377" s="133">
        <v>256</v>
      </c>
      <c r="L1377" s="133">
        <v>0</v>
      </c>
      <c r="M1377" s="133" t="s">
        <v>1096</v>
      </c>
      <c r="N1377" s="133">
        <v>0</v>
      </c>
      <c r="P1377" s="133">
        <v>0</v>
      </c>
      <c r="Q1377" s="133">
        <v>0</v>
      </c>
      <c r="R1377" s="133">
        <v>0</v>
      </c>
      <c r="S1377" s="156"/>
    </row>
    <row r="1378" spans="1:19">
      <c r="A1378" s="133" t="s">
        <v>1187</v>
      </c>
      <c r="B1378" s="133" t="s">
        <v>1175</v>
      </c>
      <c r="C1378" s="133" t="s">
        <v>1000</v>
      </c>
      <c r="D1378" s="133" t="s">
        <v>615</v>
      </c>
      <c r="E1378" s="133" t="s">
        <v>616</v>
      </c>
      <c r="F1378" s="133" t="s">
        <v>712</v>
      </c>
      <c r="G1378" s="133" t="s">
        <v>719</v>
      </c>
      <c r="H1378" s="133">
        <v>5.97</v>
      </c>
      <c r="I1378" s="133">
        <v>0</v>
      </c>
      <c r="J1378" s="133">
        <v>267</v>
      </c>
      <c r="L1378" s="133">
        <v>0</v>
      </c>
      <c r="M1378" s="133" t="s">
        <v>1096</v>
      </c>
      <c r="N1378" s="133">
        <v>0</v>
      </c>
      <c r="P1378" s="133">
        <v>0</v>
      </c>
      <c r="Q1378" s="133">
        <v>0</v>
      </c>
      <c r="R1378" s="133">
        <v>0</v>
      </c>
      <c r="S1378" s="156"/>
    </row>
    <row r="1379" spans="1:19">
      <c r="A1379" s="133" t="s">
        <v>1187</v>
      </c>
      <c r="B1379" s="133" t="s">
        <v>1175</v>
      </c>
      <c r="C1379" s="133" t="s">
        <v>1000</v>
      </c>
      <c r="D1379" s="133" t="s">
        <v>617</v>
      </c>
      <c r="E1379" s="133" t="s">
        <v>618</v>
      </c>
      <c r="F1379" s="133" t="s">
        <v>709</v>
      </c>
      <c r="G1379" s="133" t="s">
        <v>719</v>
      </c>
      <c r="H1379" s="133">
        <v>2.37</v>
      </c>
      <c r="I1379" s="133">
        <v>0</v>
      </c>
      <c r="J1379" s="133">
        <v>935</v>
      </c>
      <c r="L1379" s="133">
        <v>0</v>
      </c>
      <c r="M1379" s="133" t="s">
        <v>1096</v>
      </c>
      <c r="N1379" s="133">
        <v>0</v>
      </c>
      <c r="P1379" s="133">
        <v>0</v>
      </c>
      <c r="Q1379" s="133">
        <v>0</v>
      </c>
      <c r="R1379" s="133">
        <v>0</v>
      </c>
      <c r="S1379" s="156"/>
    </row>
    <row r="1380" spans="1:19">
      <c r="A1380" s="133" t="s">
        <v>1187</v>
      </c>
      <c r="B1380" s="133" t="s">
        <v>1175</v>
      </c>
      <c r="C1380" s="133" t="s">
        <v>1000</v>
      </c>
      <c r="D1380" s="133" t="s">
        <v>619</v>
      </c>
      <c r="E1380" s="133" t="s">
        <v>620</v>
      </c>
      <c r="F1380" s="133" t="s">
        <v>709</v>
      </c>
      <c r="G1380" s="133" t="s">
        <v>719</v>
      </c>
      <c r="H1380" s="133">
        <v>11.05</v>
      </c>
      <c r="I1380" s="133">
        <v>0</v>
      </c>
      <c r="J1380" s="133">
        <v>64</v>
      </c>
      <c r="L1380" s="133">
        <v>0</v>
      </c>
      <c r="M1380" s="133" t="s">
        <v>1096</v>
      </c>
      <c r="N1380" s="133">
        <v>0</v>
      </c>
      <c r="P1380" s="133">
        <v>0</v>
      </c>
      <c r="Q1380" s="133">
        <v>0</v>
      </c>
      <c r="R1380" s="133">
        <v>0</v>
      </c>
      <c r="S1380" s="156"/>
    </row>
    <row r="1381" spans="1:19">
      <c r="A1381" s="133" t="s">
        <v>1187</v>
      </c>
      <c r="B1381" s="133" t="s">
        <v>1175</v>
      </c>
      <c r="C1381" s="133" t="s">
        <v>1000</v>
      </c>
      <c r="D1381" s="133" t="s">
        <v>621</v>
      </c>
      <c r="E1381" s="133" t="s">
        <v>622</v>
      </c>
      <c r="F1381" s="133" t="s">
        <v>712</v>
      </c>
      <c r="G1381" s="133" t="s">
        <v>719</v>
      </c>
      <c r="H1381" s="133">
        <v>0.7</v>
      </c>
      <c r="I1381" s="133">
        <v>0</v>
      </c>
      <c r="J1381" s="133">
        <v>52</v>
      </c>
      <c r="K1381" s="133">
        <v>25</v>
      </c>
      <c r="L1381" s="133">
        <v>12</v>
      </c>
      <c r="M1381" s="133" t="s">
        <v>714</v>
      </c>
      <c r="N1381" s="133">
        <v>0</v>
      </c>
      <c r="P1381" s="133">
        <v>0</v>
      </c>
      <c r="Q1381" s="133">
        <v>12</v>
      </c>
      <c r="R1381" s="133">
        <v>13</v>
      </c>
      <c r="S1381" s="156">
        <v>0.52</v>
      </c>
    </row>
    <row r="1382" spans="1:19">
      <c r="A1382" s="133" t="s">
        <v>1187</v>
      </c>
      <c r="B1382" s="133" t="s">
        <v>1175</v>
      </c>
      <c r="C1382" s="133" t="s">
        <v>1000</v>
      </c>
      <c r="D1382" s="133" t="s">
        <v>623</v>
      </c>
      <c r="E1382" s="133" t="s">
        <v>624</v>
      </c>
      <c r="F1382" s="133" t="s">
        <v>712</v>
      </c>
      <c r="G1382" s="133" t="s">
        <v>719</v>
      </c>
      <c r="H1382" s="133">
        <v>1.3</v>
      </c>
      <c r="I1382" s="133">
        <v>0</v>
      </c>
      <c r="J1382" s="133">
        <v>448</v>
      </c>
      <c r="K1382" s="133">
        <v>30</v>
      </c>
      <c r="L1382" s="133">
        <v>7</v>
      </c>
      <c r="M1382" s="133" t="s">
        <v>996</v>
      </c>
      <c r="N1382" s="133">
        <v>0</v>
      </c>
      <c r="P1382" s="133">
        <v>0</v>
      </c>
      <c r="Q1382" s="133">
        <v>7</v>
      </c>
      <c r="R1382" s="133">
        <v>23</v>
      </c>
      <c r="S1382" s="156">
        <v>0.76666666666666672</v>
      </c>
    </row>
    <row r="1383" spans="1:19">
      <c r="A1383" s="133" t="s">
        <v>1187</v>
      </c>
      <c r="B1383" s="133" t="s">
        <v>1175</v>
      </c>
      <c r="C1383" s="133" t="s">
        <v>1000</v>
      </c>
      <c r="D1383" s="133" t="s">
        <v>625</v>
      </c>
      <c r="E1383" s="133" t="s">
        <v>626</v>
      </c>
      <c r="F1383" s="133" t="s">
        <v>712</v>
      </c>
      <c r="G1383" s="133" t="s">
        <v>719</v>
      </c>
      <c r="H1383" s="133">
        <v>6</v>
      </c>
      <c r="I1383" s="133">
        <v>0</v>
      </c>
      <c r="J1383" s="133">
        <v>539</v>
      </c>
      <c r="L1383" s="133">
        <v>0</v>
      </c>
      <c r="M1383" s="133" t="s">
        <v>1096</v>
      </c>
      <c r="N1383" s="133">
        <v>0</v>
      </c>
      <c r="P1383" s="133">
        <v>0</v>
      </c>
      <c r="Q1383" s="133">
        <v>0</v>
      </c>
      <c r="R1383" s="133">
        <v>0</v>
      </c>
      <c r="S1383" s="156"/>
    </row>
    <row r="1384" spans="1:19">
      <c r="A1384" s="133" t="s">
        <v>1187</v>
      </c>
      <c r="B1384" s="133" t="s">
        <v>1175</v>
      </c>
      <c r="C1384" s="133" t="s">
        <v>1000</v>
      </c>
      <c r="D1384" s="133" t="s">
        <v>627</v>
      </c>
      <c r="E1384" s="133" t="s">
        <v>628</v>
      </c>
      <c r="F1384" s="133" t="s">
        <v>712</v>
      </c>
      <c r="G1384" s="133" t="s">
        <v>715</v>
      </c>
      <c r="H1384" s="133">
        <v>1.05</v>
      </c>
      <c r="I1384" s="133">
        <v>0</v>
      </c>
      <c r="J1384" s="133">
        <v>116</v>
      </c>
      <c r="L1384" s="133">
        <v>0</v>
      </c>
      <c r="M1384" s="133" t="s">
        <v>1096</v>
      </c>
      <c r="N1384" s="133">
        <v>0</v>
      </c>
      <c r="P1384" s="133">
        <v>0</v>
      </c>
      <c r="Q1384" s="133">
        <v>0</v>
      </c>
      <c r="R1384" s="133">
        <v>0</v>
      </c>
      <c r="S1384" s="156"/>
    </row>
    <row r="1385" spans="1:19">
      <c r="A1385" s="133" t="s">
        <v>1187</v>
      </c>
      <c r="B1385" s="133" t="s">
        <v>1175</v>
      </c>
      <c r="C1385" s="133" t="s">
        <v>1000</v>
      </c>
      <c r="D1385" s="133" t="s">
        <v>629</v>
      </c>
      <c r="E1385" s="133" t="s">
        <v>630</v>
      </c>
      <c r="F1385" s="133" t="s">
        <v>712</v>
      </c>
      <c r="G1385" s="133" t="s">
        <v>715</v>
      </c>
      <c r="H1385" s="133">
        <v>2.27</v>
      </c>
      <c r="I1385" s="133">
        <v>0</v>
      </c>
      <c r="J1385" s="133">
        <v>317</v>
      </c>
      <c r="L1385" s="133">
        <v>0</v>
      </c>
      <c r="M1385" s="133" t="s">
        <v>1096</v>
      </c>
      <c r="N1385" s="133">
        <v>0</v>
      </c>
      <c r="P1385" s="133">
        <v>0</v>
      </c>
      <c r="Q1385" s="133">
        <v>0</v>
      </c>
      <c r="R1385" s="133">
        <v>0</v>
      </c>
      <c r="S1385" s="156"/>
    </row>
    <row r="1386" spans="1:19">
      <c r="A1386" s="133" t="s">
        <v>1187</v>
      </c>
      <c r="B1386" s="133" t="s">
        <v>1175</v>
      </c>
      <c r="C1386" s="133" t="s">
        <v>1000</v>
      </c>
      <c r="D1386" s="133" t="s">
        <v>631</v>
      </c>
      <c r="E1386" s="133" t="s">
        <v>632</v>
      </c>
      <c r="F1386" s="133" t="s">
        <v>712</v>
      </c>
      <c r="G1386" s="133" t="s">
        <v>715</v>
      </c>
      <c r="H1386" s="133">
        <v>4.3600000000000003</v>
      </c>
      <c r="I1386" s="133">
        <v>0</v>
      </c>
      <c r="J1386" s="133">
        <v>132</v>
      </c>
      <c r="L1386" s="133">
        <v>0</v>
      </c>
      <c r="M1386" s="133" t="s">
        <v>1096</v>
      </c>
      <c r="N1386" s="133">
        <v>0</v>
      </c>
      <c r="P1386" s="133">
        <v>0</v>
      </c>
      <c r="Q1386" s="133">
        <v>0</v>
      </c>
      <c r="R1386" s="133">
        <v>0</v>
      </c>
      <c r="S1386" s="156"/>
    </row>
    <row r="1387" spans="1:19">
      <c r="A1387" s="133" t="s">
        <v>1187</v>
      </c>
      <c r="B1387" s="133" t="s">
        <v>1175</v>
      </c>
      <c r="C1387" s="133" t="s">
        <v>1000</v>
      </c>
      <c r="D1387" s="133" t="s">
        <v>633</v>
      </c>
      <c r="E1387" s="133" t="s">
        <v>634</v>
      </c>
      <c r="F1387" s="133" t="s">
        <v>712</v>
      </c>
      <c r="G1387" s="133" t="s">
        <v>715</v>
      </c>
      <c r="H1387" s="133">
        <v>8.4600000000000009</v>
      </c>
      <c r="I1387" s="133">
        <v>0</v>
      </c>
      <c r="J1387" s="133">
        <v>450</v>
      </c>
      <c r="L1387" s="133">
        <v>0</v>
      </c>
      <c r="M1387" s="133" t="s">
        <v>1096</v>
      </c>
      <c r="N1387" s="133">
        <v>0</v>
      </c>
      <c r="P1387" s="133">
        <v>0</v>
      </c>
      <c r="Q1387" s="133">
        <v>0</v>
      </c>
      <c r="R1387" s="133">
        <v>0</v>
      </c>
      <c r="S1387" s="156"/>
    </row>
    <row r="1388" spans="1:19">
      <c r="A1388" s="133" t="s">
        <v>1187</v>
      </c>
      <c r="B1388" s="133" t="s">
        <v>1175</v>
      </c>
      <c r="C1388" s="133" t="s">
        <v>1000</v>
      </c>
      <c r="D1388" s="133" t="s">
        <v>635</v>
      </c>
      <c r="E1388" s="133" t="s">
        <v>636</v>
      </c>
      <c r="F1388" s="133" t="s">
        <v>709</v>
      </c>
      <c r="G1388" s="133" t="s">
        <v>719</v>
      </c>
      <c r="H1388" s="133">
        <v>0.82</v>
      </c>
      <c r="I1388" s="133">
        <v>0</v>
      </c>
      <c r="J1388" s="133">
        <v>497</v>
      </c>
      <c r="K1388" s="133">
        <v>30</v>
      </c>
      <c r="L1388" s="133">
        <v>25</v>
      </c>
      <c r="M1388" s="133" t="s">
        <v>998</v>
      </c>
      <c r="N1388" s="133">
        <v>0</v>
      </c>
      <c r="P1388" s="133">
        <v>0</v>
      </c>
      <c r="Q1388" s="133">
        <v>25</v>
      </c>
      <c r="R1388" s="133">
        <v>5</v>
      </c>
      <c r="S1388" s="156">
        <v>0.16666666666666666</v>
      </c>
    </row>
    <row r="1389" spans="1:19">
      <c r="A1389" s="133" t="s">
        <v>1187</v>
      </c>
      <c r="B1389" s="133" t="s">
        <v>1175</v>
      </c>
      <c r="C1389" s="133" t="s">
        <v>1000</v>
      </c>
      <c r="D1389" s="133" t="s">
        <v>637</v>
      </c>
      <c r="E1389" s="133" t="s">
        <v>638</v>
      </c>
      <c r="F1389" s="133" t="s">
        <v>709</v>
      </c>
      <c r="G1389" s="133" t="s">
        <v>719</v>
      </c>
      <c r="H1389" s="133">
        <v>1.35</v>
      </c>
      <c r="I1389" s="133">
        <v>0</v>
      </c>
      <c r="J1389" s="133">
        <v>1748</v>
      </c>
      <c r="K1389" s="133">
        <v>30</v>
      </c>
      <c r="L1389" s="133">
        <v>40</v>
      </c>
      <c r="M1389" s="133" t="s">
        <v>997</v>
      </c>
      <c r="N1389" s="133">
        <v>0</v>
      </c>
      <c r="P1389" s="133">
        <v>0</v>
      </c>
      <c r="Q1389" s="133">
        <v>40</v>
      </c>
      <c r="R1389" s="133">
        <v>0</v>
      </c>
      <c r="S1389" s="156">
        <v>-0.33333333333333331</v>
      </c>
    </row>
    <row r="1390" spans="1:19">
      <c r="A1390" s="133" t="s">
        <v>1187</v>
      </c>
      <c r="B1390" s="133" t="s">
        <v>1175</v>
      </c>
      <c r="C1390" s="133" t="s">
        <v>1000</v>
      </c>
      <c r="D1390" s="133" t="s">
        <v>639</v>
      </c>
      <c r="E1390" s="133" t="s">
        <v>640</v>
      </c>
      <c r="F1390" s="133" t="s">
        <v>709</v>
      </c>
      <c r="G1390" s="133" t="s">
        <v>719</v>
      </c>
      <c r="H1390" s="133">
        <v>2.34</v>
      </c>
      <c r="I1390" s="133">
        <v>0</v>
      </c>
      <c r="J1390" s="133">
        <v>618</v>
      </c>
      <c r="K1390" s="133">
        <v>12</v>
      </c>
      <c r="L1390" s="133">
        <v>26</v>
      </c>
      <c r="M1390" s="133" t="s">
        <v>997</v>
      </c>
      <c r="N1390" s="133">
        <v>0</v>
      </c>
      <c r="P1390" s="133">
        <v>0</v>
      </c>
      <c r="Q1390" s="133">
        <v>26</v>
      </c>
      <c r="R1390" s="133">
        <v>0</v>
      </c>
      <c r="S1390" s="156">
        <v>-1.1666666666666667</v>
      </c>
    </row>
    <row r="1391" spans="1:19">
      <c r="A1391" s="133" t="s">
        <v>1187</v>
      </c>
      <c r="B1391" s="133" t="s">
        <v>1175</v>
      </c>
      <c r="C1391" s="133" t="s">
        <v>1000</v>
      </c>
      <c r="D1391" s="133" t="s">
        <v>641</v>
      </c>
      <c r="E1391" s="133" t="s">
        <v>642</v>
      </c>
      <c r="F1391" s="133" t="s">
        <v>709</v>
      </c>
      <c r="G1391" s="133" t="s">
        <v>719</v>
      </c>
      <c r="H1391" s="133">
        <v>5.27</v>
      </c>
      <c r="I1391" s="133">
        <v>0</v>
      </c>
      <c r="J1391" s="133">
        <v>724</v>
      </c>
      <c r="K1391" s="133">
        <v>7</v>
      </c>
      <c r="L1391" s="133">
        <v>3</v>
      </c>
      <c r="M1391" s="133" t="s">
        <v>714</v>
      </c>
      <c r="N1391" s="133">
        <v>0</v>
      </c>
      <c r="P1391" s="133">
        <v>0</v>
      </c>
      <c r="Q1391" s="133">
        <v>3</v>
      </c>
      <c r="R1391" s="133">
        <v>4</v>
      </c>
      <c r="S1391" s="156">
        <v>0.5714285714285714</v>
      </c>
    </row>
    <row r="1392" spans="1:19">
      <c r="A1392" s="133" t="s">
        <v>1187</v>
      </c>
      <c r="B1392" s="133" t="s">
        <v>1175</v>
      </c>
      <c r="C1392" s="133" t="s">
        <v>1000</v>
      </c>
      <c r="D1392" s="133" t="s">
        <v>647</v>
      </c>
      <c r="E1392" s="133" t="s">
        <v>648</v>
      </c>
      <c r="F1392" s="133" t="s">
        <v>708</v>
      </c>
      <c r="G1392" s="133" t="s">
        <v>715</v>
      </c>
      <c r="H1392" s="133">
        <v>10.039999999999999</v>
      </c>
      <c r="I1392" s="133">
        <v>0</v>
      </c>
      <c r="J1392" s="133">
        <v>861</v>
      </c>
      <c r="L1392" s="133">
        <v>0</v>
      </c>
      <c r="M1392" s="133" t="s">
        <v>1096</v>
      </c>
      <c r="N1392" s="133">
        <v>0</v>
      </c>
      <c r="P1392" s="133">
        <v>0</v>
      </c>
      <c r="Q1392" s="133">
        <v>0</v>
      </c>
      <c r="R1392" s="133">
        <v>0</v>
      </c>
      <c r="S1392" s="156"/>
    </row>
    <row r="1393" spans="1:19">
      <c r="A1393" s="133" t="s">
        <v>1187</v>
      </c>
      <c r="B1393" s="133" t="s">
        <v>1175</v>
      </c>
      <c r="C1393" s="133" t="s">
        <v>1000</v>
      </c>
      <c r="D1393" s="133" t="s">
        <v>649</v>
      </c>
      <c r="E1393" s="133" t="s">
        <v>650</v>
      </c>
      <c r="F1393" s="133" t="s">
        <v>708</v>
      </c>
      <c r="G1393" s="133" t="s">
        <v>715</v>
      </c>
      <c r="H1393" s="133">
        <v>50.77</v>
      </c>
      <c r="I1393" s="133">
        <v>0</v>
      </c>
      <c r="J1393" s="133">
        <v>5</v>
      </c>
      <c r="L1393" s="133">
        <v>0</v>
      </c>
      <c r="M1393" s="133" t="s">
        <v>1096</v>
      </c>
      <c r="N1393" s="133">
        <v>0</v>
      </c>
      <c r="P1393" s="133">
        <v>0</v>
      </c>
      <c r="Q1393" s="133">
        <v>0</v>
      </c>
      <c r="R1393" s="133">
        <v>0</v>
      </c>
      <c r="S1393" s="156"/>
    </row>
    <row r="1394" spans="1:19">
      <c r="A1394" s="133" t="s">
        <v>1187</v>
      </c>
      <c r="B1394" s="133" t="s">
        <v>1175</v>
      </c>
      <c r="C1394" s="133" t="s">
        <v>1000</v>
      </c>
      <c r="D1394" s="133" t="s">
        <v>659</v>
      </c>
      <c r="E1394" s="133" t="s">
        <v>660</v>
      </c>
      <c r="F1394" s="133" t="s">
        <v>707</v>
      </c>
      <c r="G1394" s="133" t="s">
        <v>732</v>
      </c>
      <c r="H1394" s="133">
        <v>121.78</v>
      </c>
      <c r="I1394" s="133">
        <v>0</v>
      </c>
      <c r="J1394" s="133">
        <v>1</v>
      </c>
      <c r="L1394" s="133">
        <v>0</v>
      </c>
      <c r="M1394" s="133" t="s">
        <v>1096</v>
      </c>
      <c r="N1394" s="133">
        <v>0</v>
      </c>
      <c r="P1394" s="133">
        <v>0</v>
      </c>
      <c r="Q1394" s="133">
        <v>0</v>
      </c>
      <c r="R1394" s="133">
        <v>0</v>
      </c>
      <c r="S1394" s="156"/>
    </row>
    <row r="1395" spans="1:19">
      <c r="A1395" s="133" t="s">
        <v>1187</v>
      </c>
      <c r="B1395" s="133" t="s">
        <v>1175</v>
      </c>
      <c r="C1395" s="133" t="s">
        <v>1000</v>
      </c>
      <c r="D1395" s="133" t="s">
        <v>661</v>
      </c>
      <c r="E1395" s="133" t="s">
        <v>662</v>
      </c>
      <c r="F1395" s="133" t="s">
        <v>707</v>
      </c>
      <c r="G1395" s="133" t="s">
        <v>732</v>
      </c>
      <c r="H1395" s="133">
        <v>24.73</v>
      </c>
      <c r="I1395" s="133">
        <v>0</v>
      </c>
      <c r="J1395" s="133">
        <v>8</v>
      </c>
      <c r="L1395" s="133">
        <v>0</v>
      </c>
      <c r="M1395" s="133" t="s">
        <v>1096</v>
      </c>
      <c r="N1395" s="133">
        <v>0</v>
      </c>
      <c r="P1395" s="133">
        <v>0</v>
      </c>
      <c r="Q1395" s="133">
        <v>0</v>
      </c>
      <c r="R1395" s="133">
        <v>0</v>
      </c>
      <c r="S1395" s="156"/>
    </row>
    <row r="1396" spans="1:19">
      <c r="A1396" s="133" t="s">
        <v>1187</v>
      </c>
      <c r="B1396" s="133" t="s">
        <v>1175</v>
      </c>
      <c r="C1396" s="133" t="s">
        <v>1000</v>
      </c>
      <c r="D1396" s="133" t="s">
        <v>663</v>
      </c>
      <c r="E1396" s="133" t="s">
        <v>664</v>
      </c>
      <c r="F1396" s="133" t="s">
        <v>707</v>
      </c>
      <c r="G1396" s="133" t="s">
        <v>732</v>
      </c>
      <c r="H1396" s="133">
        <v>6.54</v>
      </c>
      <c r="I1396" s="133">
        <v>0</v>
      </c>
      <c r="J1396" s="133">
        <v>184</v>
      </c>
      <c r="L1396" s="133">
        <v>0</v>
      </c>
      <c r="M1396" s="133" t="s">
        <v>1096</v>
      </c>
      <c r="N1396" s="133">
        <v>0</v>
      </c>
      <c r="P1396" s="133">
        <v>0</v>
      </c>
      <c r="Q1396" s="133">
        <v>0</v>
      </c>
      <c r="R1396" s="133">
        <v>0</v>
      </c>
      <c r="S1396" s="156"/>
    </row>
    <row r="1397" spans="1:19">
      <c r="A1397" s="133" t="s">
        <v>1187</v>
      </c>
      <c r="B1397" s="133" t="s">
        <v>1175</v>
      </c>
      <c r="C1397" s="133" t="s">
        <v>1000</v>
      </c>
      <c r="D1397" s="133" t="s">
        <v>733</v>
      </c>
      <c r="E1397" s="133" t="s">
        <v>734</v>
      </c>
      <c r="F1397" s="133" t="s">
        <v>709</v>
      </c>
      <c r="G1397" s="133" t="s">
        <v>732</v>
      </c>
      <c r="H1397" s="133">
        <v>16.05</v>
      </c>
      <c r="I1397" s="133">
        <v>0</v>
      </c>
      <c r="J1397" s="133">
        <v>15</v>
      </c>
      <c r="L1397" s="133">
        <v>0</v>
      </c>
      <c r="M1397" s="133" t="s">
        <v>1096</v>
      </c>
      <c r="N1397" s="133">
        <v>0</v>
      </c>
      <c r="P1397" s="133">
        <v>0</v>
      </c>
      <c r="Q1397" s="133">
        <v>0</v>
      </c>
      <c r="R1397" s="133">
        <v>0</v>
      </c>
      <c r="S1397" s="156"/>
    </row>
    <row r="1398" spans="1:19">
      <c r="A1398" s="133" t="s">
        <v>1187</v>
      </c>
      <c r="B1398" s="133" t="s">
        <v>1175</v>
      </c>
      <c r="C1398" s="133" t="s">
        <v>1000</v>
      </c>
      <c r="D1398" s="133" t="s">
        <v>730</v>
      </c>
      <c r="E1398" s="133" t="s">
        <v>731</v>
      </c>
      <c r="F1398" s="133" t="s">
        <v>709</v>
      </c>
      <c r="G1398" s="133" t="s">
        <v>732</v>
      </c>
      <c r="H1398" s="133">
        <v>62.58</v>
      </c>
      <c r="I1398" s="133">
        <v>0</v>
      </c>
      <c r="J1398" s="133">
        <v>56</v>
      </c>
      <c r="L1398" s="133">
        <v>0</v>
      </c>
      <c r="M1398" s="133" t="s">
        <v>1096</v>
      </c>
      <c r="N1398" s="133">
        <v>0</v>
      </c>
      <c r="P1398" s="133">
        <v>0</v>
      </c>
      <c r="Q1398" s="133">
        <v>0</v>
      </c>
      <c r="R1398" s="133">
        <v>0</v>
      </c>
      <c r="S1398" s="156"/>
    </row>
    <row r="1399" spans="1:19">
      <c r="A1399" s="133" t="s">
        <v>1187</v>
      </c>
      <c r="B1399" s="133" t="s">
        <v>1175</v>
      </c>
      <c r="C1399" s="133" t="s">
        <v>1000</v>
      </c>
      <c r="D1399" s="133" t="s">
        <v>665</v>
      </c>
      <c r="E1399" s="133" t="s">
        <v>666</v>
      </c>
      <c r="F1399" s="133" t="s">
        <v>709</v>
      </c>
      <c r="G1399" s="133" t="s">
        <v>715</v>
      </c>
      <c r="H1399" s="133">
        <v>1.42</v>
      </c>
      <c r="I1399" s="133">
        <v>0</v>
      </c>
      <c r="J1399" s="133">
        <v>44</v>
      </c>
      <c r="L1399" s="133">
        <v>0</v>
      </c>
      <c r="M1399" s="133" t="s">
        <v>1096</v>
      </c>
      <c r="N1399" s="133">
        <v>0</v>
      </c>
      <c r="P1399" s="133">
        <v>0</v>
      </c>
      <c r="Q1399" s="133">
        <v>0</v>
      </c>
      <c r="R1399" s="133">
        <v>0</v>
      </c>
      <c r="S1399" s="156"/>
    </row>
    <row r="1400" spans="1:19">
      <c r="A1400" s="133" t="s">
        <v>1187</v>
      </c>
      <c r="B1400" s="133" t="s">
        <v>1175</v>
      </c>
      <c r="C1400" s="133" t="s">
        <v>1000</v>
      </c>
      <c r="D1400" s="133" t="s">
        <v>667</v>
      </c>
      <c r="E1400" s="133" t="s">
        <v>668</v>
      </c>
      <c r="F1400" s="133" t="s">
        <v>709</v>
      </c>
      <c r="G1400" s="133" t="s">
        <v>715</v>
      </c>
      <c r="H1400" s="133">
        <v>14.83</v>
      </c>
      <c r="I1400" s="133">
        <v>0</v>
      </c>
      <c r="J1400" s="133">
        <v>1</v>
      </c>
      <c r="L1400" s="133">
        <v>0</v>
      </c>
      <c r="M1400" s="133" t="s">
        <v>1096</v>
      </c>
      <c r="N1400" s="133">
        <v>0</v>
      </c>
      <c r="P1400" s="133">
        <v>0</v>
      </c>
      <c r="Q1400" s="133">
        <v>0</v>
      </c>
      <c r="R1400" s="133">
        <v>0</v>
      </c>
      <c r="S1400" s="156"/>
    </row>
    <row r="1401" spans="1:19">
      <c r="A1401" s="133" t="s">
        <v>1187</v>
      </c>
      <c r="B1401" s="133" t="s">
        <v>1175</v>
      </c>
      <c r="C1401" s="133" t="s">
        <v>1000</v>
      </c>
      <c r="D1401" s="133" t="s">
        <v>669</v>
      </c>
      <c r="E1401" s="133" t="s">
        <v>670</v>
      </c>
      <c r="F1401" s="133" t="s">
        <v>708</v>
      </c>
      <c r="G1401" s="133" t="s">
        <v>715</v>
      </c>
      <c r="H1401" s="133">
        <v>1.75</v>
      </c>
      <c r="I1401" s="133">
        <v>0</v>
      </c>
      <c r="J1401" s="133">
        <v>596</v>
      </c>
      <c r="L1401" s="133">
        <v>0</v>
      </c>
      <c r="M1401" s="133" t="s">
        <v>1096</v>
      </c>
      <c r="N1401" s="133">
        <v>0</v>
      </c>
      <c r="P1401" s="133">
        <v>0</v>
      </c>
      <c r="Q1401" s="133">
        <v>0</v>
      </c>
      <c r="R1401" s="133">
        <v>0</v>
      </c>
      <c r="S1401" s="156"/>
    </row>
    <row r="1402" spans="1:19">
      <c r="A1402" s="133" t="s">
        <v>1188</v>
      </c>
      <c r="B1402" s="133" t="s">
        <v>1175</v>
      </c>
      <c r="C1402" s="133" t="s">
        <v>1000</v>
      </c>
      <c r="D1402" s="133" t="s">
        <v>85</v>
      </c>
      <c r="E1402" s="133" t="s">
        <v>86</v>
      </c>
      <c r="F1402" s="133" t="s">
        <v>707</v>
      </c>
      <c r="G1402" s="133" t="s">
        <v>715</v>
      </c>
      <c r="H1402" s="133">
        <v>0.37</v>
      </c>
      <c r="I1402" s="133">
        <v>0.84</v>
      </c>
      <c r="J1402" s="133">
        <v>141</v>
      </c>
      <c r="K1402" s="133">
        <v>0</v>
      </c>
      <c r="L1402" s="133">
        <v>0</v>
      </c>
      <c r="M1402" s="133" t="s">
        <v>1096</v>
      </c>
      <c r="N1402" s="133">
        <v>0</v>
      </c>
      <c r="P1402" s="133">
        <v>0</v>
      </c>
      <c r="Q1402" s="133">
        <v>0</v>
      </c>
      <c r="R1402" s="133">
        <v>0</v>
      </c>
      <c r="S1402" s="156"/>
    </row>
    <row r="1403" spans="1:19">
      <c r="A1403" s="133" t="s">
        <v>1188</v>
      </c>
      <c r="B1403" s="133" t="s">
        <v>1175</v>
      </c>
      <c r="C1403" s="133" t="s">
        <v>1000</v>
      </c>
      <c r="D1403" s="133" t="s">
        <v>87</v>
      </c>
      <c r="E1403" s="133" t="s">
        <v>88</v>
      </c>
      <c r="F1403" s="133" t="s">
        <v>707</v>
      </c>
      <c r="G1403" s="133" t="s">
        <v>715</v>
      </c>
      <c r="H1403" s="133">
        <v>0.66</v>
      </c>
      <c r="I1403" s="133">
        <v>1.45</v>
      </c>
      <c r="J1403" s="133">
        <v>457</v>
      </c>
      <c r="L1403" s="133">
        <v>0</v>
      </c>
      <c r="M1403" s="133" t="s">
        <v>1096</v>
      </c>
      <c r="N1403" s="133">
        <v>0</v>
      </c>
      <c r="P1403" s="133">
        <v>0</v>
      </c>
      <c r="Q1403" s="133">
        <v>0</v>
      </c>
      <c r="R1403" s="133">
        <v>0</v>
      </c>
      <c r="S1403" s="156"/>
    </row>
    <row r="1404" spans="1:19">
      <c r="A1404" s="133" t="s">
        <v>1188</v>
      </c>
      <c r="B1404" s="133" t="s">
        <v>1175</v>
      </c>
      <c r="C1404" s="133" t="s">
        <v>1000</v>
      </c>
      <c r="D1404" s="133" t="s">
        <v>89</v>
      </c>
      <c r="E1404" s="133" t="s">
        <v>90</v>
      </c>
      <c r="F1404" s="133" t="s">
        <v>707</v>
      </c>
      <c r="G1404" s="133" t="s">
        <v>715</v>
      </c>
      <c r="H1404" s="133">
        <v>1.83</v>
      </c>
      <c r="I1404" s="133">
        <v>4.05</v>
      </c>
      <c r="J1404" s="133">
        <v>185</v>
      </c>
      <c r="L1404" s="133">
        <v>0</v>
      </c>
      <c r="M1404" s="133" t="s">
        <v>1096</v>
      </c>
      <c r="N1404" s="133">
        <v>0</v>
      </c>
      <c r="P1404" s="133">
        <v>0</v>
      </c>
      <c r="Q1404" s="133">
        <v>0</v>
      </c>
      <c r="R1404" s="133">
        <v>0</v>
      </c>
      <c r="S1404" s="156"/>
    </row>
    <row r="1405" spans="1:19">
      <c r="A1405" s="133" t="s">
        <v>1188</v>
      </c>
      <c r="B1405" s="133" t="s">
        <v>1175</v>
      </c>
      <c r="C1405" s="133" t="s">
        <v>1000</v>
      </c>
      <c r="D1405" s="133" t="s">
        <v>91</v>
      </c>
      <c r="E1405" s="133" t="s">
        <v>92</v>
      </c>
      <c r="F1405" s="133" t="s">
        <v>707</v>
      </c>
      <c r="G1405" s="133" t="s">
        <v>715</v>
      </c>
      <c r="H1405" s="133">
        <v>1.9</v>
      </c>
      <c r="I1405" s="133">
        <v>3.29</v>
      </c>
      <c r="J1405" s="133">
        <v>0</v>
      </c>
      <c r="L1405" s="133">
        <v>0</v>
      </c>
      <c r="M1405" s="133" t="s">
        <v>1096</v>
      </c>
      <c r="N1405" s="133">
        <v>0</v>
      </c>
      <c r="P1405" s="133">
        <v>0</v>
      </c>
      <c r="Q1405" s="133">
        <v>0</v>
      </c>
      <c r="R1405" s="133">
        <v>0</v>
      </c>
      <c r="S1405" s="156"/>
    </row>
    <row r="1406" spans="1:19">
      <c r="A1406" s="133" t="s">
        <v>1188</v>
      </c>
      <c r="B1406" s="133" t="s">
        <v>1175</v>
      </c>
      <c r="C1406" s="133" t="s">
        <v>1000</v>
      </c>
      <c r="D1406" s="133" t="s">
        <v>93</v>
      </c>
      <c r="E1406" s="133" t="s">
        <v>94</v>
      </c>
      <c r="F1406" s="133" t="s">
        <v>707</v>
      </c>
      <c r="G1406" s="133" t="s">
        <v>715</v>
      </c>
      <c r="H1406" s="133">
        <v>1.88</v>
      </c>
      <c r="I1406" s="133">
        <v>4.99</v>
      </c>
      <c r="J1406" s="133">
        <v>793</v>
      </c>
      <c r="K1406" s="133">
        <v>32</v>
      </c>
      <c r="L1406" s="133">
        <v>32</v>
      </c>
      <c r="M1406" s="133" t="s">
        <v>998</v>
      </c>
      <c r="N1406" s="133">
        <v>0</v>
      </c>
      <c r="P1406" s="133">
        <v>0</v>
      </c>
      <c r="Q1406" s="133">
        <v>32</v>
      </c>
      <c r="R1406" s="133">
        <v>0</v>
      </c>
      <c r="S1406" s="156">
        <v>0</v>
      </c>
    </row>
    <row r="1407" spans="1:19">
      <c r="A1407" s="133" t="s">
        <v>1188</v>
      </c>
      <c r="B1407" s="133" t="s">
        <v>1175</v>
      </c>
      <c r="C1407" s="133" t="s">
        <v>1000</v>
      </c>
      <c r="D1407" s="133" t="s">
        <v>95</v>
      </c>
      <c r="E1407" s="133" t="s">
        <v>96</v>
      </c>
      <c r="F1407" s="133" t="s">
        <v>707</v>
      </c>
      <c r="G1407" s="133" t="s">
        <v>715</v>
      </c>
      <c r="H1407" s="133">
        <v>1.94</v>
      </c>
      <c r="I1407" s="133">
        <v>5.49</v>
      </c>
      <c r="J1407" s="133">
        <v>600</v>
      </c>
      <c r="L1407" s="133">
        <v>0</v>
      </c>
      <c r="M1407" s="133" t="s">
        <v>1096</v>
      </c>
      <c r="N1407" s="133">
        <v>0</v>
      </c>
      <c r="P1407" s="133">
        <v>0</v>
      </c>
      <c r="Q1407" s="133">
        <v>0</v>
      </c>
      <c r="R1407" s="133">
        <v>0</v>
      </c>
      <c r="S1407" s="156"/>
    </row>
    <row r="1408" spans="1:19">
      <c r="A1408" s="133" t="s">
        <v>1188</v>
      </c>
      <c r="B1408" s="133" t="s">
        <v>1175</v>
      </c>
      <c r="C1408" s="133" t="s">
        <v>1000</v>
      </c>
      <c r="D1408" s="133" t="s">
        <v>97</v>
      </c>
      <c r="E1408" s="133" t="s">
        <v>98</v>
      </c>
      <c r="F1408" s="133" t="s">
        <v>707</v>
      </c>
      <c r="G1408" s="133" t="s">
        <v>715</v>
      </c>
      <c r="H1408" s="133">
        <v>1.78</v>
      </c>
      <c r="I1408" s="133">
        <v>4.99</v>
      </c>
      <c r="J1408" s="133">
        <v>600</v>
      </c>
      <c r="K1408" s="133">
        <v>32</v>
      </c>
      <c r="L1408" s="133">
        <v>32</v>
      </c>
      <c r="M1408" s="133" t="s">
        <v>998</v>
      </c>
      <c r="N1408" s="133">
        <v>0</v>
      </c>
      <c r="P1408" s="133">
        <v>0</v>
      </c>
      <c r="Q1408" s="133">
        <v>32</v>
      </c>
      <c r="R1408" s="133">
        <v>0</v>
      </c>
      <c r="S1408" s="156">
        <v>0</v>
      </c>
    </row>
    <row r="1409" spans="1:19">
      <c r="A1409" s="133" t="s">
        <v>1188</v>
      </c>
      <c r="B1409" s="133" t="s">
        <v>1175</v>
      </c>
      <c r="C1409" s="133" t="s">
        <v>1000</v>
      </c>
      <c r="D1409" s="133" t="s">
        <v>99</v>
      </c>
      <c r="E1409" s="133" t="s">
        <v>100</v>
      </c>
      <c r="F1409" s="133" t="s">
        <v>707</v>
      </c>
      <c r="G1409" s="133" t="s">
        <v>715</v>
      </c>
      <c r="H1409" s="133">
        <v>2</v>
      </c>
      <c r="I1409" s="133">
        <v>4.99</v>
      </c>
      <c r="J1409" s="133">
        <v>590</v>
      </c>
      <c r="K1409" s="133">
        <v>32</v>
      </c>
      <c r="L1409" s="133">
        <v>32</v>
      </c>
      <c r="M1409" s="133" t="s">
        <v>998</v>
      </c>
      <c r="N1409" s="133">
        <v>0</v>
      </c>
      <c r="P1409" s="133">
        <v>0</v>
      </c>
      <c r="Q1409" s="133">
        <v>32</v>
      </c>
      <c r="R1409" s="133">
        <v>0</v>
      </c>
      <c r="S1409" s="156">
        <v>0</v>
      </c>
    </row>
    <row r="1410" spans="1:19">
      <c r="A1410" s="133" t="s">
        <v>1188</v>
      </c>
      <c r="B1410" s="133" t="s">
        <v>1175</v>
      </c>
      <c r="C1410" s="133" t="s">
        <v>1000</v>
      </c>
      <c r="D1410" s="133" t="s">
        <v>101</v>
      </c>
      <c r="E1410" s="133" t="s">
        <v>102</v>
      </c>
      <c r="F1410" s="133" t="s">
        <v>707</v>
      </c>
      <c r="G1410" s="133" t="s">
        <v>715</v>
      </c>
      <c r="H1410" s="133">
        <v>0.87</v>
      </c>
      <c r="I1410" s="133">
        <v>2.29</v>
      </c>
      <c r="J1410" s="133">
        <v>14</v>
      </c>
      <c r="L1410" s="133">
        <v>0</v>
      </c>
      <c r="M1410" s="133" t="s">
        <v>1096</v>
      </c>
      <c r="N1410" s="133">
        <v>0</v>
      </c>
      <c r="P1410" s="133">
        <v>0</v>
      </c>
      <c r="Q1410" s="133">
        <v>0</v>
      </c>
      <c r="R1410" s="133">
        <v>0</v>
      </c>
      <c r="S1410" s="156"/>
    </row>
    <row r="1411" spans="1:19">
      <c r="A1411" s="133" t="s">
        <v>1188</v>
      </c>
      <c r="B1411" s="133" t="s">
        <v>1175</v>
      </c>
      <c r="C1411" s="133" t="s">
        <v>1000</v>
      </c>
      <c r="D1411" s="133" t="s">
        <v>103</v>
      </c>
      <c r="E1411" s="133" t="s">
        <v>104</v>
      </c>
      <c r="F1411" s="133" t="s">
        <v>707</v>
      </c>
      <c r="G1411" s="133" t="s">
        <v>715</v>
      </c>
      <c r="H1411" s="133">
        <v>1.38</v>
      </c>
      <c r="I1411" s="133">
        <v>3.59</v>
      </c>
      <c r="J1411" s="133">
        <v>129</v>
      </c>
      <c r="L1411" s="133">
        <v>0</v>
      </c>
      <c r="M1411" s="133" t="s">
        <v>1096</v>
      </c>
      <c r="N1411" s="133">
        <v>0</v>
      </c>
      <c r="P1411" s="133">
        <v>0</v>
      </c>
      <c r="Q1411" s="133">
        <v>0</v>
      </c>
      <c r="R1411" s="133">
        <v>0</v>
      </c>
      <c r="S1411" s="156"/>
    </row>
    <row r="1412" spans="1:19">
      <c r="A1412" s="133" t="s">
        <v>1188</v>
      </c>
      <c r="B1412" s="133" t="s">
        <v>1175</v>
      </c>
      <c r="C1412" s="133" t="s">
        <v>1000</v>
      </c>
      <c r="D1412" s="133" t="s">
        <v>105</v>
      </c>
      <c r="E1412" s="133" t="s">
        <v>106</v>
      </c>
      <c r="F1412" s="133" t="s">
        <v>707</v>
      </c>
      <c r="G1412" s="133" t="s">
        <v>715</v>
      </c>
      <c r="H1412" s="133">
        <v>8.39</v>
      </c>
      <c r="I1412" s="133">
        <v>21.89</v>
      </c>
      <c r="J1412" s="133">
        <v>0</v>
      </c>
      <c r="L1412" s="133">
        <v>0</v>
      </c>
      <c r="M1412" s="133" t="s">
        <v>1096</v>
      </c>
      <c r="N1412" s="133">
        <v>0</v>
      </c>
      <c r="P1412" s="133">
        <v>0</v>
      </c>
      <c r="Q1412" s="133">
        <v>0</v>
      </c>
      <c r="R1412" s="133">
        <v>0</v>
      </c>
      <c r="S1412" s="156"/>
    </row>
    <row r="1413" spans="1:19">
      <c r="A1413" s="133" t="s">
        <v>1188</v>
      </c>
      <c r="B1413" s="133" t="s">
        <v>1175</v>
      </c>
      <c r="C1413" s="133" t="s">
        <v>1000</v>
      </c>
      <c r="D1413" s="133" t="s">
        <v>107</v>
      </c>
      <c r="E1413" s="133" t="s">
        <v>108</v>
      </c>
      <c r="F1413" s="133" t="s">
        <v>707</v>
      </c>
      <c r="G1413" s="133" t="s">
        <v>715</v>
      </c>
      <c r="H1413" s="133">
        <v>2.61</v>
      </c>
      <c r="I1413" s="133">
        <v>6.49</v>
      </c>
      <c r="J1413" s="133">
        <v>176</v>
      </c>
      <c r="L1413" s="133">
        <v>0</v>
      </c>
      <c r="M1413" s="133" t="s">
        <v>1096</v>
      </c>
      <c r="N1413" s="133">
        <v>0</v>
      </c>
      <c r="P1413" s="133">
        <v>0</v>
      </c>
      <c r="Q1413" s="133">
        <v>0</v>
      </c>
      <c r="R1413" s="133">
        <v>0</v>
      </c>
      <c r="S1413" s="156"/>
    </row>
    <row r="1414" spans="1:19">
      <c r="A1414" s="133" t="s">
        <v>1188</v>
      </c>
      <c r="B1414" s="133" t="s">
        <v>1175</v>
      </c>
      <c r="C1414" s="133" t="s">
        <v>1000</v>
      </c>
      <c r="D1414" s="133" t="s">
        <v>109</v>
      </c>
      <c r="E1414" s="133" t="s">
        <v>110</v>
      </c>
      <c r="F1414" s="133" t="s">
        <v>707</v>
      </c>
      <c r="G1414" s="133" t="s">
        <v>715</v>
      </c>
      <c r="H1414" s="133">
        <v>1.4</v>
      </c>
      <c r="I1414" s="133">
        <v>2.75</v>
      </c>
      <c r="J1414" s="133">
        <v>924</v>
      </c>
      <c r="K1414" s="133">
        <v>30</v>
      </c>
      <c r="L1414" s="133">
        <v>30</v>
      </c>
      <c r="M1414" s="133" t="s">
        <v>998</v>
      </c>
      <c r="N1414" s="133">
        <v>0</v>
      </c>
      <c r="P1414" s="133">
        <v>0</v>
      </c>
      <c r="Q1414" s="133">
        <v>30</v>
      </c>
      <c r="R1414" s="133">
        <v>0</v>
      </c>
      <c r="S1414" s="156">
        <v>0</v>
      </c>
    </row>
    <row r="1415" spans="1:19">
      <c r="A1415" s="133" t="s">
        <v>1188</v>
      </c>
      <c r="B1415" s="133" t="s">
        <v>1175</v>
      </c>
      <c r="C1415" s="133" t="s">
        <v>1000</v>
      </c>
      <c r="D1415" s="133" t="s">
        <v>111</v>
      </c>
      <c r="E1415" s="133" t="s">
        <v>112</v>
      </c>
      <c r="F1415" s="133" t="s">
        <v>707</v>
      </c>
      <c r="G1415" s="133" t="s">
        <v>715</v>
      </c>
      <c r="H1415" s="133">
        <v>2.34</v>
      </c>
      <c r="I1415" s="133">
        <v>5.84</v>
      </c>
      <c r="J1415" s="133">
        <v>305</v>
      </c>
      <c r="L1415" s="133">
        <v>0</v>
      </c>
      <c r="M1415" s="133" t="s">
        <v>1096</v>
      </c>
      <c r="N1415" s="133">
        <v>0</v>
      </c>
      <c r="P1415" s="133">
        <v>0</v>
      </c>
      <c r="Q1415" s="133">
        <v>0</v>
      </c>
      <c r="R1415" s="133">
        <v>0</v>
      </c>
      <c r="S1415" s="156"/>
    </row>
    <row r="1416" spans="1:19">
      <c r="A1416" s="133" t="s">
        <v>1188</v>
      </c>
      <c r="B1416" s="133" t="s">
        <v>1175</v>
      </c>
      <c r="C1416" s="133" t="s">
        <v>1000</v>
      </c>
      <c r="D1416" s="133" t="s">
        <v>113</v>
      </c>
      <c r="E1416" s="133" t="s">
        <v>114</v>
      </c>
      <c r="F1416" s="133" t="s">
        <v>707</v>
      </c>
      <c r="G1416" s="133" t="s">
        <v>715</v>
      </c>
      <c r="H1416" s="133">
        <v>4.62</v>
      </c>
      <c r="I1416" s="133">
        <v>9.49</v>
      </c>
      <c r="J1416" s="133">
        <v>128</v>
      </c>
      <c r="L1416" s="133">
        <v>0</v>
      </c>
      <c r="M1416" s="133" t="s">
        <v>1096</v>
      </c>
      <c r="N1416" s="133">
        <v>0</v>
      </c>
      <c r="P1416" s="133">
        <v>0</v>
      </c>
      <c r="Q1416" s="133">
        <v>0</v>
      </c>
      <c r="R1416" s="133">
        <v>0</v>
      </c>
      <c r="S1416" s="156"/>
    </row>
    <row r="1417" spans="1:19">
      <c r="A1417" s="133" t="s">
        <v>1188</v>
      </c>
      <c r="B1417" s="133" t="s">
        <v>1175</v>
      </c>
      <c r="C1417" s="133" t="s">
        <v>1000</v>
      </c>
      <c r="D1417" s="133" t="s">
        <v>115</v>
      </c>
      <c r="E1417" s="133" t="s">
        <v>116</v>
      </c>
      <c r="F1417" s="133" t="s">
        <v>707</v>
      </c>
      <c r="G1417" s="133" t="s">
        <v>715</v>
      </c>
      <c r="H1417" s="133">
        <v>1.63</v>
      </c>
      <c r="I1417" s="133">
        <v>3.69</v>
      </c>
      <c r="J1417" s="133">
        <v>141</v>
      </c>
      <c r="K1417" s="133">
        <v>21</v>
      </c>
      <c r="L1417" s="133">
        <v>21</v>
      </c>
      <c r="M1417" s="133" t="s">
        <v>998</v>
      </c>
      <c r="N1417" s="133">
        <v>0</v>
      </c>
      <c r="P1417" s="133">
        <v>0</v>
      </c>
      <c r="Q1417" s="133">
        <v>21</v>
      </c>
      <c r="R1417" s="133">
        <v>0</v>
      </c>
      <c r="S1417" s="156">
        <v>0</v>
      </c>
    </row>
    <row r="1418" spans="1:19">
      <c r="A1418" s="133" t="s">
        <v>1188</v>
      </c>
      <c r="B1418" s="133" t="s">
        <v>1175</v>
      </c>
      <c r="C1418" s="133" t="s">
        <v>1000</v>
      </c>
      <c r="D1418" s="133" t="s">
        <v>117</v>
      </c>
      <c r="E1418" s="133" t="s">
        <v>118</v>
      </c>
      <c r="F1418" s="133" t="s">
        <v>707</v>
      </c>
      <c r="G1418" s="133" t="s">
        <v>727</v>
      </c>
      <c r="H1418" s="133">
        <v>3.09</v>
      </c>
      <c r="I1418" s="133">
        <v>6.69</v>
      </c>
      <c r="J1418" s="133">
        <v>69</v>
      </c>
      <c r="L1418" s="133">
        <v>0</v>
      </c>
      <c r="M1418" s="133" t="s">
        <v>1096</v>
      </c>
      <c r="N1418" s="133">
        <v>0</v>
      </c>
      <c r="P1418" s="133">
        <v>0</v>
      </c>
      <c r="Q1418" s="133">
        <v>0</v>
      </c>
      <c r="R1418" s="133">
        <v>0</v>
      </c>
      <c r="S1418" s="156"/>
    </row>
    <row r="1419" spans="1:19">
      <c r="A1419" s="133" t="s">
        <v>1188</v>
      </c>
      <c r="B1419" s="133" t="s">
        <v>1175</v>
      </c>
      <c r="C1419" s="133" t="s">
        <v>1000</v>
      </c>
      <c r="D1419" s="133" t="s">
        <v>119</v>
      </c>
      <c r="E1419" s="133" t="s">
        <v>120</v>
      </c>
      <c r="F1419" s="133" t="s">
        <v>707</v>
      </c>
      <c r="G1419" s="133" t="s">
        <v>715</v>
      </c>
      <c r="H1419" s="133">
        <v>1.93</v>
      </c>
      <c r="I1419" s="133">
        <v>5.49</v>
      </c>
      <c r="J1419" s="133">
        <v>291</v>
      </c>
      <c r="K1419" s="133">
        <v>25</v>
      </c>
      <c r="L1419" s="133">
        <v>25</v>
      </c>
      <c r="M1419" s="133" t="s">
        <v>998</v>
      </c>
      <c r="N1419" s="133">
        <v>0</v>
      </c>
      <c r="P1419" s="133">
        <v>0</v>
      </c>
      <c r="Q1419" s="133">
        <v>25</v>
      </c>
      <c r="R1419" s="133">
        <v>0</v>
      </c>
      <c r="S1419" s="156">
        <v>0</v>
      </c>
    </row>
    <row r="1420" spans="1:19">
      <c r="A1420" s="133" t="s">
        <v>1188</v>
      </c>
      <c r="B1420" s="133" t="s">
        <v>1175</v>
      </c>
      <c r="C1420" s="133" t="s">
        <v>1000</v>
      </c>
      <c r="D1420" s="133" t="s">
        <v>121</v>
      </c>
      <c r="E1420" s="133" t="s">
        <v>122</v>
      </c>
      <c r="F1420" s="133" t="s">
        <v>707</v>
      </c>
      <c r="G1420" s="133" t="s">
        <v>715</v>
      </c>
      <c r="H1420" s="133">
        <v>1.38</v>
      </c>
      <c r="I1420" s="133">
        <v>2.79</v>
      </c>
      <c r="J1420" s="133">
        <v>2</v>
      </c>
      <c r="L1420" s="133">
        <v>0</v>
      </c>
      <c r="M1420" s="133" t="s">
        <v>1096</v>
      </c>
      <c r="N1420" s="133">
        <v>0</v>
      </c>
      <c r="P1420" s="133">
        <v>0</v>
      </c>
      <c r="Q1420" s="133">
        <v>0</v>
      </c>
      <c r="R1420" s="133">
        <v>0</v>
      </c>
      <c r="S1420" s="156"/>
    </row>
    <row r="1421" spans="1:19">
      <c r="A1421" s="133" t="s">
        <v>1188</v>
      </c>
      <c r="B1421" s="133" t="s">
        <v>1175</v>
      </c>
      <c r="C1421" s="133" t="s">
        <v>1000</v>
      </c>
      <c r="D1421" s="133" t="s">
        <v>123</v>
      </c>
      <c r="E1421" s="133" t="s">
        <v>124</v>
      </c>
      <c r="F1421" s="133" t="s">
        <v>707</v>
      </c>
      <c r="G1421" s="133" t="s">
        <v>715</v>
      </c>
      <c r="H1421" s="133">
        <v>7.04</v>
      </c>
      <c r="I1421" s="133">
        <v>16.989999999999998</v>
      </c>
      <c r="J1421" s="133">
        <v>0</v>
      </c>
      <c r="L1421" s="133">
        <v>0</v>
      </c>
      <c r="M1421" s="133" t="s">
        <v>1096</v>
      </c>
      <c r="N1421" s="133">
        <v>0</v>
      </c>
      <c r="P1421" s="133">
        <v>0</v>
      </c>
      <c r="Q1421" s="133">
        <v>0</v>
      </c>
      <c r="R1421" s="133">
        <v>0</v>
      </c>
      <c r="S1421" s="156"/>
    </row>
    <row r="1422" spans="1:19">
      <c r="A1422" s="133" t="s">
        <v>1188</v>
      </c>
      <c r="B1422" s="133" t="s">
        <v>1175</v>
      </c>
      <c r="C1422" s="133" t="s">
        <v>1000</v>
      </c>
      <c r="D1422" s="133" t="s">
        <v>125</v>
      </c>
      <c r="E1422" s="133" t="s">
        <v>126</v>
      </c>
      <c r="F1422" s="133" t="s">
        <v>707</v>
      </c>
      <c r="G1422" s="133" t="s">
        <v>715</v>
      </c>
      <c r="H1422" s="133">
        <v>2.54</v>
      </c>
      <c r="I1422" s="133">
        <v>4.99</v>
      </c>
      <c r="J1422" s="133">
        <v>68</v>
      </c>
      <c r="L1422" s="133">
        <v>0</v>
      </c>
      <c r="M1422" s="133" t="s">
        <v>1096</v>
      </c>
      <c r="N1422" s="133">
        <v>0</v>
      </c>
      <c r="P1422" s="133">
        <v>0</v>
      </c>
      <c r="Q1422" s="133">
        <v>0</v>
      </c>
      <c r="R1422" s="133">
        <v>0</v>
      </c>
      <c r="S1422" s="156"/>
    </row>
    <row r="1423" spans="1:19">
      <c r="A1423" s="133" t="s">
        <v>1188</v>
      </c>
      <c r="B1423" s="133" t="s">
        <v>1175</v>
      </c>
      <c r="C1423" s="133" t="s">
        <v>1000</v>
      </c>
      <c r="D1423" s="133" t="s">
        <v>127</v>
      </c>
      <c r="E1423" s="133" t="s">
        <v>942</v>
      </c>
      <c r="F1423" s="133" t="s">
        <v>712</v>
      </c>
      <c r="G1423" s="133" t="s">
        <v>715</v>
      </c>
      <c r="H1423" s="133">
        <v>1.52</v>
      </c>
      <c r="I1423" s="133">
        <v>3.49</v>
      </c>
      <c r="J1423" s="133">
        <v>0</v>
      </c>
      <c r="L1423" s="133">
        <v>0</v>
      </c>
      <c r="M1423" s="133" t="s">
        <v>1096</v>
      </c>
      <c r="N1423" s="133">
        <v>0</v>
      </c>
      <c r="P1423" s="133">
        <v>0</v>
      </c>
      <c r="Q1423" s="133">
        <v>0</v>
      </c>
      <c r="R1423" s="133">
        <v>0</v>
      </c>
      <c r="S1423" s="156"/>
    </row>
    <row r="1424" spans="1:19">
      <c r="A1424" s="133" t="s">
        <v>1188</v>
      </c>
      <c r="B1424" s="133" t="s">
        <v>1175</v>
      </c>
      <c r="C1424" s="133" t="s">
        <v>1000</v>
      </c>
      <c r="D1424" s="133" t="s">
        <v>128</v>
      </c>
      <c r="E1424" s="133" t="s">
        <v>129</v>
      </c>
      <c r="F1424" s="133" t="s">
        <v>712</v>
      </c>
      <c r="G1424" s="133" t="s">
        <v>715</v>
      </c>
      <c r="H1424" s="133">
        <v>13.29</v>
      </c>
      <c r="I1424" s="133">
        <v>26.4</v>
      </c>
      <c r="J1424" s="133">
        <v>0</v>
      </c>
      <c r="L1424" s="133">
        <v>0</v>
      </c>
      <c r="M1424" s="133" t="s">
        <v>1096</v>
      </c>
      <c r="N1424" s="133">
        <v>0</v>
      </c>
      <c r="P1424" s="133">
        <v>0</v>
      </c>
      <c r="Q1424" s="133">
        <v>0</v>
      </c>
      <c r="R1424" s="133">
        <v>0</v>
      </c>
      <c r="S1424" s="156"/>
    </row>
    <row r="1425" spans="1:19">
      <c r="A1425" s="133" t="s">
        <v>1188</v>
      </c>
      <c r="B1425" s="133" t="s">
        <v>1175</v>
      </c>
      <c r="C1425" s="133" t="s">
        <v>1000</v>
      </c>
      <c r="D1425" s="133" t="s">
        <v>130</v>
      </c>
      <c r="E1425" s="133" t="s">
        <v>131</v>
      </c>
      <c r="F1425" s="133" t="s">
        <v>707</v>
      </c>
      <c r="G1425" s="133" t="s">
        <v>715</v>
      </c>
      <c r="H1425" s="133">
        <v>1.64</v>
      </c>
      <c r="I1425" s="133">
        <v>4.25</v>
      </c>
      <c r="J1425" s="133">
        <v>534</v>
      </c>
      <c r="K1425" s="133">
        <v>21</v>
      </c>
      <c r="L1425" s="133">
        <v>21</v>
      </c>
      <c r="M1425" s="133" t="s">
        <v>998</v>
      </c>
      <c r="N1425" s="133">
        <v>0</v>
      </c>
      <c r="P1425" s="133">
        <v>0</v>
      </c>
      <c r="Q1425" s="133">
        <v>21</v>
      </c>
      <c r="R1425" s="133">
        <v>0</v>
      </c>
      <c r="S1425" s="156">
        <v>0</v>
      </c>
    </row>
    <row r="1426" spans="1:19">
      <c r="A1426" s="133" t="s">
        <v>1188</v>
      </c>
      <c r="B1426" s="133" t="s">
        <v>1175</v>
      </c>
      <c r="C1426" s="133" t="s">
        <v>1000</v>
      </c>
      <c r="D1426" s="133" t="s">
        <v>132</v>
      </c>
      <c r="E1426" s="133" t="s">
        <v>133</v>
      </c>
      <c r="F1426" s="133" t="s">
        <v>707</v>
      </c>
      <c r="G1426" s="133" t="s">
        <v>715</v>
      </c>
      <c r="H1426" s="133">
        <v>12.43</v>
      </c>
      <c r="I1426" s="133">
        <v>26.99</v>
      </c>
      <c r="J1426" s="133">
        <v>115</v>
      </c>
      <c r="K1426" s="133">
        <v>2</v>
      </c>
      <c r="L1426" s="133">
        <v>-2</v>
      </c>
      <c r="M1426" s="133" t="s">
        <v>1191</v>
      </c>
      <c r="N1426" s="133">
        <v>4</v>
      </c>
      <c r="P1426" s="133">
        <v>0</v>
      </c>
      <c r="Q1426" s="133">
        <v>2</v>
      </c>
      <c r="R1426" s="133">
        <v>0</v>
      </c>
      <c r="S1426" s="156">
        <v>2</v>
      </c>
    </row>
    <row r="1427" spans="1:19">
      <c r="A1427" s="133" t="s">
        <v>1188</v>
      </c>
      <c r="B1427" s="133" t="s">
        <v>1175</v>
      </c>
      <c r="C1427" s="133" t="s">
        <v>1000</v>
      </c>
      <c r="D1427" s="133" t="s">
        <v>134</v>
      </c>
      <c r="E1427" s="133" t="s">
        <v>135</v>
      </c>
      <c r="F1427" s="133" t="s">
        <v>707</v>
      </c>
      <c r="G1427" s="133" t="s">
        <v>715</v>
      </c>
      <c r="H1427" s="133">
        <v>3.47</v>
      </c>
      <c r="I1427" s="133">
        <v>7.59</v>
      </c>
      <c r="J1427" s="133">
        <v>316</v>
      </c>
      <c r="K1427" s="133">
        <v>21</v>
      </c>
      <c r="L1427" s="133">
        <v>21</v>
      </c>
      <c r="M1427" s="133" t="s">
        <v>998</v>
      </c>
      <c r="N1427" s="133">
        <v>0</v>
      </c>
      <c r="P1427" s="133">
        <v>0</v>
      </c>
      <c r="Q1427" s="133">
        <v>21</v>
      </c>
      <c r="R1427" s="133">
        <v>0</v>
      </c>
      <c r="S1427" s="156">
        <v>0</v>
      </c>
    </row>
    <row r="1428" spans="1:19">
      <c r="A1428" s="133" t="s">
        <v>1188</v>
      </c>
      <c r="B1428" s="133" t="s">
        <v>1175</v>
      </c>
      <c r="C1428" s="133" t="s">
        <v>1000</v>
      </c>
      <c r="D1428" s="133" t="s">
        <v>138</v>
      </c>
      <c r="E1428" s="133" t="s">
        <v>139</v>
      </c>
      <c r="F1428" s="133" t="s">
        <v>707</v>
      </c>
      <c r="G1428" s="133" t="s">
        <v>732</v>
      </c>
      <c r="H1428" s="133">
        <v>15.11</v>
      </c>
      <c r="I1428" s="133">
        <v>25</v>
      </c>
      <c r="J1428" s="133">
        <v>0</v>
      </c>
      <c r="L1428" s="133">
        <v>0</v>
      </c>
      <c r="M1428" s="133" t="s">
        <v>1096</v>
      </c>
      <c r="N1428" s="133">
        <v>0</v>
      </c>
      <c r="P1428" s="133">
        <v>0</v>
      </c>
      <c r="Q1428" s="133">
        <v>0</v>
      </c>
      <c r="R1428" s="133">
        <v>0</v>
      </c>
      <c r="S1428" s="156"/>
    </row>
    <row r="1429" spans="1:19">
      <c r="A1429" s="133" t="s">
        <v>1188</v>
      </c>
      <c r="B1429" s="133" t="s">
        <v>1175</v>
      </c>
      <c r="C1429" s="133" t="s">
        <v>1000</v>
      </c>
      <c r="D1429" s="133" t="s">
        <v>140</v>
      </c>
      <c r="E1429" s="133" t="s">
        <v>141</v>
      </c>
      <c r="F1429" s="133" t="s">
        <v>707</v>
      </c>
      <c r="G1429" s="133" t="s">
        <v>732</v>
      </c>
      <c r="H1429" s="133">
        <v>267</v>
      </c>
      <c r="I1429" s="133">
        <v>372</v>
      </c>
      <c r="J1429" s="133">
        <v>3</v>
      </c>
      <c r="L1429" s="133">
        <v>0</v>
      </c>
      <c r="M1429" s="133" t="s">
        <v>1096</v>
      </c>
      <c r="N1429" s="133">
        <v>0</v>
      </c>
      <c r="P1429" s="133">
        <v>0</v>
      </c>
      <c r="Q1429" s="133">
        <v>0</v>
      </c>
      <c r="R1429" s="133">
        <v>0</v>
      </c>
      <c r="S1429" s="156"/>
    </row>
    <row r="1430" spans="1:19">
      <c r="A1430" s="133" t="s">
        <v>1188</v>
      </c>
      <c r="B1430" s="133" t="s">
        <v>1175</v>
      </c>
      <c r="C1430" s="133" t="s">
        <v>1000</v>
      </c>
      <c r="D1430" s="133" t="s">
        <v>142</v>
      </c>
      <c r="E1430" s="133" t="s">
        <v>143</v>
      </c>
      <c r="F1430" s="133" t="s">
        <v>709</v>
      </c>
      <c r="G1430" s="133" t="s">
        <v>719</v>
      </c>
      <c r="H1430" s="133">
        <v>0.91</v>
      </c>
      <c r="I1430" s="133">
        <v>3.2</v>
      </c>
      <c r="J1430" s="133">
        <v>38</v>
      </c>
      <c r="L1430" s="133">
        <v>0</v>
      </c>
      <c r="M1430" s="133" t="s">
        <v>1096</v>
      </c>
      <c r="N1430" s="133">
        <v>0</v>
      </c>
      <c r="P1430" s="133">
        <v>0</v>
      </c>
      <c r="Q1430" s="133">
        <v>0</v>
      </c>
      <c r="R1430" s="133">
        <v>0</v>
      </c>
      <c r="S1430" s="156"/>
    </row>
    <row r="1431" spans="1:19">
      <c r="A1431" s="133" t="s">
        <v>1188</v>
      </c>
      <c r="B1431" s="133" t="s">
        <v>1175</v>
      </c>
      <c r="C1431" s="133" t="s">
        <v>1000</v>
      </c>
      <c r="D1431" s="133" t="s">
        <v>144</v>
      </c>
      <c r="E1431" s="133" t="s">
        <v>145</v>
      </c>
      <c r="F1431" s="133" t="s">
        <v>709</v>
      </c>
      <c r="G1431" s="133" t="s">
        <v>719</v>
      </c>
      <c r="H1431" s="133">
        <v>2.79</v>
      </c>
      <c r="I1431" s="133">
        <v>6.69</v>
      </c>
      <c r="J1431" s="133">
        <v>335</v>
      </c>
      <c r="K1431" s="133">
        <v>21</v>
      </c>
      <c r="L1431" s="133">
        <v>0</v>
      </c>
      <c r="M1431" s="133" t="s">
        <v>999</v>
      </c>
      <c r="N1431" s="133">
        <v>21</v>
      </c>
      <c r="P1431" s="133">
        <v>0</v>
      </c>
      <c r="Q1431" s="133">
        <v>21</v>
      </c>
      <c r="R1431" s="133">
        <v>0</v>
      </c>
      <c r="S1431" s="156">
        <v>1</v>
      </c>
    </row>
    <row r="1432" spans="1:19">
      <c r="A1432" s="133" t="s">
        <v>1188</v>
      </c>
      <c r="B1432" s="133" t="s">
        <v>1175</v>
      </c>
      <c r="C1432" s="133" t="s">
        <v>1000</v>
      </c>
      <c r="D1432" s="133" t="s">
        <v>146</v>
      </c>
      <c r="E1432" s="133" t="s">
        <v>147</v>
      </c>
      <c r="F1432" s="133" t="s">
        <v>709</v>
      </c>
      <c r="G1432" s="133" t="s">
        <v>719</v>
      </c>
      <c r="H1432" s="133">
        <v>4.42</v>
      </c>
      <c r="I1432" s="133">
        <v>12.39</v>
      </c>
      <c r="J1432" s="133">
        <v>41</v>
      </c>
      <c r="L1432" s="133">
        <v>0</v>
      </c>
      <c r="M1432" s="133" t="s">
        <v>1096</v>
      </c>
      <c r="N1432" s="133">
        <v>0</v>
      </c>
      <c r="P1432" s="133">
        <v>0</v>
      </c>
      <c r="Q1432" s="133">
        <v>0</v>
      </c>
      <c r="R1432" s="133">
        <v>0</v>
      </c>
      <c r="S1432" s="156"/>
    </row>
    <row r="1433" spans="1:19">
      <c r="A1433" s="133" t="s">
        <v>1188</v>
      </c>
      <c r="B1433" s="133" t="s">
        <v>1175</v>
      </c>
      <c r="C1433" s="133" t="s">
        <v>1000</v>
      </c>
      <c r="D1433" s="133" t="s">
        <v>148</v>
      </c>
      <c r="E1433" s="133" t="s">
        <v>149</v>
      </c>
      <c r="F1433" s="133" t="s">
        <v>709</v>
      </c>
      <c r="G1433" s="133" t="s">
        <v>719</v>
      </c>
      <c r="H1433" s="133">
        <v>11.54</v>
      </c>
      <c r="I1433" s="133">
        <v>23.9</v>
      </c>
      <c r="J1433" s="133">
        <v>200</v>
      </c>
      <c r="L1433" s="133">
        <v>0</v>
      </c>
      <c r="M1433" s="133" t="s">
        <v>1096</v>
      </c>
      <c r="N1433" s="133">
        <v>0</v>
      </c>
      <c r="P1433" s="133">
        <v>0</v>
      </c>
      <c r="Q1433" s="133">
        <v>0</v>
      </c>
      <c r="R1433" s="133">
        <v>0</v>
      </c>
      <c r="S1433" s="156"/>
    </row>
    <row r="1434" spans="1:19">
      <c r="A1434" s="133" t="s">
        <v>1188</v>
      </c>
      <c r="B1434" s="133" t="s">
        <v>1175</v>
      </c>
      <c r="C1434" s="133" t="s">
        <v>1000</v>
      </c>
      <c r="D1434" s="133" t="s">
        <v>150</v>
      </c>
      <c r="E1434" s="133" t="s">
        <v>151</v>
      </c>
      <c r="F1434" s="133" t="s">
        <v>709</v>
      </c>
      <c r="G1434" s="133" t="s">
        <v>719</v>
      </c>
      <c r="H1434" s="133">
        <v>10.83</v>
      </c>
      <c r="I1434" s="133">
        <v>16.5</v>
      </c>
      <c r="J1434" s="133">
        <v>0</v>
      </c>
      <c r="L1434" s="133">
        <v>0</v>
      </c>
      <c r="M1434" s="133" t="s">
        <v>1096</v>
      </c>
      <c r="N1434" s="133">
        <v>0</v>
      </c>
      <c r="P1434" s="133">
        <v>0</v>
      </c>
      <c r="Q1434" s="133">
        <v>0</v>
      </c>
      <c r="R1434" s="133">
        <v>0</v>
      </c>
      <c r="S1434" s="156"/>
    </row>
    <row r="1435" spans="1:19">
      <c r="A1435" s="133" t="s">
        <v>1188</v>
      </c>
      <c r="B1435" s="133" t="s">
        <v>1175</v>
      </c>
      <c r="C1435" s="133" t="s">
        <v>1000</v>
      </c>
      <c r="D1435" s="133" t="s">
        <v>152</v>
      </c>
      <c r="E1435" s="133" t="s">
        <v>153</v>
      </c>
      <c r="F1435" s="133" t="s">
        <v>709</v>
      </c>
      <c r="G1435" s="133" t="s">
        <v>719</v>
      </c>
      <c r="H1435" s="133">
        <v>23.65</v>
      </c>
      <c r="I1435" s="133">
        <v>33</v>
      </c>
      <c r="J1435" s="133">
        <v>0</v>
      </c>
      <c r="L1435" s="133">
        <v>0</v>
      </c>
      <c r="M1435" s="133" t="s">
        <v>1096</v>
      </c>
      <c r="N1435" s="133">
        <v>0</v>
      </c>
      <c r="P1435" s="133">
        <v>0</v>
      </c>
      <c r="Q1435" s="133">
        <v>0</v>
      </c>
      <c r="R1435" s="133">
        <v>0</v>
      </c>
      <c r="S1435" s="156"/>
    </row>
    <row r="1436" spans="1:19">
      <c r="A1436" s="133" t="s">
        <v>1188</v>
      </c>
      <c r="B1436" s="133" t="s">
        <v>1175</v>
      </c>
      <c r="C1436" s="133" t="s">
        <v>1000</v>
      </c>
      <c r="D1436" s="133" t="s">
        <v>890</v>
      </c>
      <c r="E1436" s="133" t="s">
        <v>945</v>
      </c>
      <c r="F1436" s="133" t="s">
        <v>946</v>
      </c>
      <c r="G1436" s="133" t="s">
        <v>719</v>
      </c>
      <c r="H1436" s="133">
        <v>2.4</v>
      </c>
      <c r="I1436" s="133">
        <v>0</v>
      </c>
      <c r="J1436" s="133">
        <v>0</v>
      </c>
      <c r="L1436" s="133">
        <v>0</v>
      </c>
      <c r="M1436" s="133" t="s">
        <v>1096</v>
      </c>
      <c r="N1436" s="133">
        <v>0</v>
      </c>
      <c r="P1436" s="133">
        <v>0</v>
      </c>
      <c r="Q1436" s="133">
        <v>0</v>
      </c>
      <c r="R1436" s="133">
        <v>0</v>
      </c>
      <c r="S1436" s="156"/>
    </row>
    <row r="1437" spans="1:19">
      <c r="A1437" s="133" t="s">
        <v>1188</v>
      </c>
      <c r="B1437" s="133" t="s">
        <v>1175</v>
      </c>
      <c r="C1437" s="133" t="s">
        <v>1000</v>
      </c>
      <c r="D1437" s="133" t="s">
        <v>891</v>
      </c>
      <c r="E1437" s="133" t="s">
        <v>947</v>
      </c>
      <c r="F1437" s="133" t="s">
        <v>946</v>
      </c>
      <c r="G1437" s="133" t="s">
        <v>719</v>
      </c>
      <c r="H1437" s="133">
        <v>4.1500000000000004</v>
      </c>
      <c r="I1437" s="133">
        <v>0</v>
      </c>
      <c r="J1437" s="133">
        <v>0</v>
      </c>
      <c r="L1437" s="133">
        <v>0</v>
      </c>
      <c r="M1437" s="133" t="s">
        <v>1096</v>
      </c>
      <c r="N1437" s="133">
        <v>0</v>
      </c>
      <c r="P1437" s="133">
        <v>0</v>
      </c>
      <c r="Q1437" s="133">
        <v>0</v>
      </c>
      <c r="R1437" s="133">
        <v>0</v>
      </c>
      <c r="S1437" s="156"/>
    </row>
    <row r="1438" spans="1:19">
      <c r="A1438" s="133" t="s">
        <v>1188</v>
      </c>
      <c r="B1438" s="133" t="s">
        <v>1175</v>
      </c>
      <c r="C1438" s="133" t="s">
        <v>1000</v>
      </c>
      <c r="D1438" s="133" t="s">
        <v>736</v>
      </c>
      <c r="E1438" s="133" t="s">
        <v>765</v>
      </c>
      <c r="F1438" s="133" t="s">
        <v>712</v>
      </c>
      <c r="G1438" s="133" t="s">
        <v>732</v>
      </c>
      <c r="H1438" s="133">
        <v>2.89</v>
      </c>
      <c r="I1438" s="133">
        <v>5.2</v>
      </c>
      <c r="J1438" s="133">
        <v>0</v>
      </c>
      <c r="L1438" s="133">
        <v>0</v>
      </c>
      <c r="M1438" s="133" t="s">
        <v>1096</v>
      </c>
      <c r="N1438" s="133">
        <v>0</v>
      </c>
      <c r="P1438" s="133">
        <v>0</v>
      </c>
      <c r="Q1438" s="133">
        <v>0</v>
      </c>
      <c r="R1438" s="133">
        <v>0</v>
      </c>
      <c r="S1438" s="156"/>
    </row>
    <row r="1439" spans="1:19">
      <c r="A1439" s="133" t="s">
        <v>1188</v>
      </c>
      <c r="B1439" s="133" t="s">
        <v>1175</v>
      </c>
      <c r="C1439" s="133" t="s">
        <v>1000</v>
      </c>
      <c r="D1439" s="133" t="s">
        <v>738</v>
      </c>
      <c r="E1439" s="133" t="s">
        <v>762</v>
      </c>
      <c r="F1439" s="133" t="s">
        <v>712</v>
      </c>
      <c r="G1439" s="133" t="s">
        <v>732</v>
      </c>
      <c r="H1439" s="133">
        <v>519.35</v>
      </c>
      <c r="I1439" s="133">
        <v>840</v>
      </c>
      <c r="J1439" s="133">
        <v>8</v>
      </c>
      <c r="L1439" s="133">
        <v>0</v>
      </c>
      <c r="M1439" s="133" t="s">
        <v>1096</v>
      </c>
      <c r="N1439" s="133">
        <v>0</v>
      </c>
      <c r="P1439" s="133">
        <v>0</v>
      </c>
      <c r="Q1439" s="133">
        <v>0</v>
      </c>
      <c r="R1439" s="133">
        <v>0</v>
      </c>
      <c r="S1439" s="156"/>
    </row>
    <row r="1440" spans="1:19">
      <c r="A1440" s="133" t="s">
        <v>1188</v>
      </c>
      <c r="B1440" s="133" t="s">
        <v>1175</v>
      </c>
      <c r="C1440" s="133" t="s">
        <v>1000</v>
      </c>
      <c r="D1440" s="133" t="s">
        <v>875</v>
      </c>
      <c r="E1440" s="133" t="s">
        <v>948</v>
      </c>
      <c r="F1440" s="133" t="s">
        <v>712</v>
      </c>
      <c r="G1440" s="133" t="s">
        <v>732</v>
      </c>
      <c r="H1440" s="133">
        <v>6.79</v>
      </c>
      <c r="I1440" s="133">
        <v>13.49</v>
      </c>
      <c r="J1440" s="133">
        <v>36</v>
      </c>
      <c r="L1440" s="133">
        <v>0</v>
      </c>
      <c r="M1440" s="133" t="s">
        <v>1096</v>
      </c>
      <c r="N1440" s="133">
        <v>0</v>
      </c>
      <c r="P1440" s="133">
        <v>0</v>
      </c>
      <c r="Q1440" s="133">
        <v>0</v>
      </c>
      <c r="R1440" s="133">
        <v>0</v>
      </c>
      <c r="S1440" s="156"/>
    </row>
    <row r="1441" spans="1:19">
      <c r="A1441" s="133" t="s">
        <v>1188</v>
      </c>
      <c r="B1441" s="133" t="s">
        <v>1175</v>
      </c>
      <c r="C1441" s="133" t="s">
        <v>1000</v>
      </c>
      <c r="D1441" s="133" t="s">
        <v>737</v>
      </c>
      <c r="E1441" s="133" t="s">
        <v>763</v>
      </c>
      <c r="F1441" s="133" t="s">
        <v>712</v>
      </c>
      <c r="G1441" s="133" t="s">
        <v>732</v>
      </c>
      <c r="H1441" s="133">
        <v>98.3</v>
      </c>
      <c r="I1441" s="133">
        <v>171</v>
      </c>
      <c r="J1441" s="133">
        <v>12</v>
      </c>
      <c r="L1441" s="133">
        <v>0</v>
      </c>
      <c r="M1441" s="133" t="s">
        <v>1096</v>
      </c>
      <c r="N1441" s="133">
        <v>0</v>
      </c>
      <c r="P1441" s="133">
        <v>0</v>
      </c>
      <c r="Q1441" s="133">
        <v>0</v>
      </c>
      <c r="R1441" s="133">
        <v>0</v>
      </c>
      <c r="S1441" s="156"/>
    </row>
    <row r="1442" spans="1:19">
      <c r="A1442" s="133" t="s">
        <v>1188</v>
      </c>
      <c r="B1442" s="133" t="s">
        <v>1175</v>
      </c>
      <c r="C1442" s="133" t="s">
        <v>1000</v>
      </c>
      <c r="D1442" s="133" t="s">
        <v>742</v>
      </c>
      <c r="E1442" s="133" t="s">
        <v>764</v>
      </c>
      <c r="F1442" s="133" t="s">
        <v>712</v>
      </c>
      <c r="G1442" s="133" t="s">
        <v>732</v>
      </c>
      <c r="H1442" s="133">
        <v>26.65</v>
      </c>
      <c r="I1442" s="133">
        <v>49.8</v>
      </c>
      <c r="J1442" s="133">
        <v>159</v>
      </c>
      <c r="L1442" s="133">
        <v>0</v>
      </c>
      <c r="M1442" s="133" t="s">
        <v>1096</v>
      </c>
      <c r="N1442" s="133">
        <v>0</v>
      </c>
      <c r="P1442" s="133">
        <v>0</v>
      </c>
      <c r="Q1442" s="133">
        <v>0</v>
      </c>
      <c r="R1442" s="133">
        <v>0</v>
      </c>
      <c r="S1442" s="156"/>
    </row>
    <row r="1443" spans="1:19">
      <c r="A1443" s="133" t="s">
        <v>1188</v>
      </c>
      <c r="B1443" s="133" t="s">
        <v>1175</v>
      </c>
      <c r="C1443" s="133" t="s">
        <v>1000</v>
      </c>
      <c r="D1443" s="133" t="s">
        <v>162</v>
      </c>
      <c r="E1443" s="133" t="s">
        <v>163</v>
      </c>
      <c r="F1443" s="133" t="s">
        <v>712</v>
      </c>
      <c r="G1443" s="133" t="s">
        <v>715</v>
      </c>
      <c r="H1443" s="133">
        <v>1.87</v>
      </c>
      <c r="I1443" s="133">
        <v>5.7</v>
      </c>
      <c r="J1443" s="133">
        <v>2</v>
      </c>
      <c r="L1443" s="133">
        <v>0</v>
      </c>
      <c r="M1443" s="133" t="s">
        <v>1096</v>
      </c>
      <c r="N1443" s="133">
        <v>0</v>
      </c>
      <c r="P1443" s="133">
        <v>0</v>
      </c>
      <c r="Q1443" s="133">
        <v>0</v>
      </c>
      <c r="R1443" s="133">
        <v>0</v>
      </c>
      <c r="S1443" s="156"/>
    </row>
    <row r="1444" spans="1:19">
      <c r="A1444" s="133" t="s">
        <v>1188</v>
      </c>
      <c r="B1444" s="133" t="s">
        <v>1175</v>
      </c>
      <c r="C1444" s="133" t="s">
        <v>1000</v>
      </c>
      <c r="D1444" s="133" t="s">
        <v>164</v>
      </c>
      <c r="E1444" s="133" t="s">
        <v>165</v>
      </c>
      <c r="F1444" s="133" t="s">
        <v>712</v>
      </c>
      <c r="G1444" s="133" t="s">
        <v>715</v>
      </c>
      <c r="H1444" s="133">
        <v>3.58</v>
      </c>
      <c r="I1444" s="133">
        <v>10.69</v>
      </c>
      <c r="J1444" s="133">
        <v>62</v>
      </c>
      <c r="L1444" s="133">
        <v>0</v>
      </c>
      <c r="M1444" s="133" t="s">
        <v>1096</v>
      </c>
      <c r="N1444" s="133">
        <v>0</v>
      </c>
      <c r="P1444" s="133">
        <v>0</v>
      </c>
      <c r="Q1444" s="133">
        <v>0</v>
      </c>
      <c r="R1444" s="133">
        <v>0</v>
      </c>
      <c r="S1444" s="156"/>
    </row>
    <row r="1445" spans="1:19">
      <c r="A1445" s="133" t="s">
        <v>1188</v>
      </c>
      <c r="B1445" s="133" t="s">
        <v>1175</v>
      </c>
      <c r="C1445" s="133" t="s">
        <v>1000</v>
      </c>
      <c r="D1445" s="133" t="s">
        <v>166</v>
      </c>
      <c r="E1445" s="133" t="s">
        <v>167</v>
      </c>
      <c r="F1445" s="133" t="s">
        <v>712</v>
      </c>
      <c r="G1445" s="133" t="s">
        <v>715</v>
      </c>
      <c r="H1445" s="133">
        <v>6.73</v>
      </c>
      <c r="I1445" s="133">
        <v>20.49</v>
      </c>
      <c r="J1445" s="133">
        <v>122</v>
      </c>
      <c r="L1445" s="133">
        <v>0</v>
      </c>
      <c r="M1445" s="133" t="s">
        <v>1096</v>
      </c>
      <c r="N1445" s="133">
        <v>0</v>
      </c>
      <c r="P1445" s="133">
        <v>0</v>
      </c>
      <c r="Q1445" s="133">
        <v>0</v>
      </c>
      <c r="R1445" s="133">
        <v>0</v>
      </c>
      <c r="S1445" s="156"/>
    </row>
    <row r="1446" spans="1:19">
      <c r="A1446" s="133" t="s">
        <v>1188</v>
      </c>
      <c r="B1446" s="133" t="s">
        <v>1175</v>
      </c>
      <c r="C1446" s="133" t="s">
        <v>1000</v>
      </c>
      <c r="D1446" s="133" t="s">
        <v>892</v>
      </c>
      <c r="E1446" s="133" t="s">
        <v>949</v>
      </c>
      <c r="F1446" s="133" t="s">
        <v>946</v>
      </c>
      <c r="G1446" s="133" t="s">
        <v>719</v>
      </c>
      <c r="H1446" s="133">
        <v>0.56000000000000005</v>
      </c>
      <c r="I1446" s="133">
        <v>0</v>
      </c>
      <c r="J1446" s="133">
        <v>0</v>
      </c>
      <c r="L1446" s="133">
        <v>0</v>
      </c>
      <c r="M1446" s="133" t="s">
        <v>1096</v>
      </c>
      <c r="N1446" s="133">
        <v>0</v>
      </c>
      <c r="P1446" s="133">
        <v>0</v>
      </c>
      <c r="Q1446" s="133">
        <v>0</v>
      </c>
      <c r="R1446" s="133">
        <v>0</v>
      </c>
      <c r="S1446" s="156"/>
    </row>
    <row r="1447" spans="1:19">
      <c r="A1447" s="133" t="s">
        <v>1188</v>
      </c>
      <c r="B1447" s="133" t="s">
        <v>1175</v>
      </c>
      <c r="C1447" s="133" t="s">
        <v>1000</v>
      </c>
      <c r="D1447" s="133" t="s">
        <v>893</v>
      </c>
      <c r="E1447" s="133" t="s">
        <v>950</v>
      </c>
      <c r="F1447" s="133" t="s">
        <v>946</v>
      </c>
      <c r="G1447" s="133" t="s">
        <v>719</v>
      </c>
      <c r="H1447" s="133">
        <v>1.1299999999999999</v>
      </c>
      <c r="I1447" s="133">
        <v>0</v>
      </c>
      <c r="J1447" s="133">
        <v>0</v>
      </c>
      <c r="L1447" s="133">
        <v>0</v>
      </c>
      <c r="M1447" s="133" t="s">
        <v>1096</v>
      </c>
      <c r="N1447" s="133">
        <v>0</v>
      </c>
      <c r="P1447" s="133">
        <v>0</v>
      </c>
      <c r="Q1447" s="133">
        <v>0</v>
      </c>
      <c r="R1447" s="133">
        <v>0</v>
      </c>
      <c r="S1447" s="156"/>
    </row>
    <row r="1448" spans="1:19">
      <c r="A1448" s="133" t="s">
        <v>1188</v>
      </c>
      <c r="B1448" s="133" t="s">
        <v>1175</v>
      </c>
      <c r="C1448" s="133" t="s">
        <v>1000</v>
      </c>
      <c r="D1448" s="133" t="s">
        <v>894</v>
      </c>
      <c r="E1448" s="133" t="s">
        <v>951</v>
      </c>
      <c r="F1448" s="133" t="s">
        <v>946</v>
      </c>
      <c r="G1448" s="133" t="s">
        <v>719</v>
      </c>
      <c r="H1448" s="133">
        <v>1.32</v>
      </c>
      <c r="I1448" s="133">
        <v>0</v>
      </c>
      <c r="J1448" s="133">
        <v>0</v>
      </c>
      <c r="L1448" s="133">
        <v>0</v>
      </c>
      <c r="M1448" s="133" t="s">
        <v>1096</v>
      </c>
      <c r="N1448" s="133">
        <v>0</v>
      </c>
      <c r="P1448" s="133">
        <v>0</v>
      </c>
      <c r="Q1448" s="133">
        <v>0</v>
      </c>
      <c r="R1448" s="133">
        <v>0</v>
      </c>
      <c r="S1448" s="156"/>
    </row>
    <row r="1449" spans="1:19">
      <c r="A1449" s="133" t="s">
        <v>1188</v>
      </c>
      <c r="B1449" s="133" t="s">
        <v>1175</v>
      </c>
      <c r="C1449" s="133" t="s">
        <v>1000</v>
      </c>
      <c r="D1449" s="133" t="s">
        <v>895</v>
      </c>
      <c r="E1449" s="133" t="s">
        <v>952</v>
      </c>
      <c r="F1449" s="133" t="s">
        <v>946</v>
      </c>
      <c r="G1449" s="133" t="s">
        <v>719</v>
      </c>
      <c r="H1449" s="133">
        <v>2.56</v>
      </c>
      <c r="I1449" s="133">
        <v>0</v>
      </c>
      <c r="J1449" s="133">
        <v>0</v>
      </c>
      <c r="L1449" s="133">
        <v>0</v>
      </c>
      <c r="M1449" s="133" t="s">
        <v>1096</v>
      </c>
      <c r="N1449" s="133">
        <v>0</v>
      </c>
      <c r="P1449" s="133">
        <v>0</v>
      </c>
      <c r="Q1449" s="133">
        <v>0</v>
      </c>
      <c r="R1449" s="133">
        <v>0</v>
      </c>
      <c r="S1449" s="156"/>
    </row>
    <row r="1450" spans="1:19">
      <c r="A1450" s="133" t="s">
        <v>1188</v>
      </c>
      <c r="B1450" s="133" t="s">
        <v>1175</v>
      </c>
      <c r="C1450" s="133" t="s">
        <v>1000</v>
      </c>
      <c r="D1450" s="133" t="s">
        <v>209</v>
      </c>
      <c r="E1450" s="133" t="s">
        <v>210</v>
      </c>
      <c r="F1450" s="133" t="s">
        <v>709</v>
      </c>
      <c r="G1450" s="133" t="s">
        <v>719</v>
      </c>
      <c r="H1450" s="133">
        <v>2.92</v>
      </c>
      <c r="I1450" s="133">
        <v>8.9</v>
      </c>
      <c r="J1450" s="133">
        <v>0</v>
      </c>
      <c r="L1450" s="133">
        <v>0</v>
      </c>
      <c r="M1450" s="133" t="s">
        <v>1096</v>
      </c>
      <c r="N1450" s="133">
        <v>0</v>
      </c>
      <c r="P1450" s="133">
        <v>0</v>
      </c>
      <c r="Q1450" s="133">
        <v>0</v>
      </c>
      <c r="R1450" s="133">
        <v>0</v>
      </c>
      <c r="S1450" s="156"/>
    </row>
    <row r="1451" spans="1:19">
      <c r="A1451" s="133" t="s">
        <v>1188</v>
      </c>
      <c r="B1451" s="133" t="s">
        <v>1175</v>
      </c>
      <c r="C1451" s="133" t="s">
        <v>1000</v>
      </c>
      <c r="D1451" s="133" t="s">
        <v>211</v>
      </c>
      <c r="E1451" s="133" t="s">
        <v>212</v>
      </c>
      <c r="F1451" s="133" t="s">
        <v>709</v>
      </c>
      <c r="G1451" s="133" t="s">
        <v>719</v>
      </c>
      <c r="H1451" s="133">
        <v>2.79</v>
      </c>
      <c r="I1451" s="133">
        <v>8.9</v>
      </c>
      <c r="J1451" s="133">
        <v>1122</v>
      </c>
      <c r="K1451" s="133">
        <v>21</v>
      </c>
      <c r="L1451" s="133">
        <v>14</v>
      </c>
      <c r="M1451" s="133" t="s">
        <v>714</v>
      </c>
      <c r="N1451" s="133">
        <v>7</v>
      </c>
      <c r="P1451" s="133">
        <v>0</v>
      </c>
      <c r="Q1451" s="133">
        <v>21</v>
      </c>
      <c r="R1451" s="133">
        <v>0</v>
      </c>
      <c r="S1451" s="156">
        <v>0.33333333333333331</v>
      </c>
    </row>
    <row r="1452" spans="1:19">
      <c r="A1452" s="133" t="s">
        <v>1188</v>
      </c>
      <c r="B1452" s="133" t="s">
        <v>1175</v>
      </c>
      <c r="C1452" s="133" t="s">
        <v>1000</v>
      </c>
      <c r="D1452" s="133" t="s">
        <v>896</v>
      </c>
      <c r="E1452" s="133" t="s">
        <v>953</v>
      </c>
      <c r="F1452" s="133" t="s">
        <v>946</v>
      </c>
      <c r="G1452" s="133" t="s">
        <v>719</v>
      </c>
      <c r="H1452" s="133">
        <v>2.56</v>
      </c>
      <c r="I1452" s="133">
        <v>0</v>
      </c>
      <c r="J1452" s="133">
        <v>0</v>
      </c>
      <c r="L1452" s="133">
        <v>0</v>
      </c>
      <c r="M1452" s="133" t="s">
        <v>1096</v>
      </c>
      <c r="N1452" s="133">
        <v>0</v>
      </c>
      <c r="P1452" s="133">
        <v>0</v>
      </c>
      <c r="Q1452" s="133">
        <v>0</v>
      </c>
      <c r="R1452" s="133">
        <v>0</v>
      </c>
      <c r="S1452" s="156"/>
    </row>
    <row r="1453" spans="1:19">
      <c r="A1453" s="133" t="s">
        <v>1188</v>
      </c>
      <c r="B1453" s="133" t="s">
        <v>1175</v>
      </c>
      <c r="C1453" s="133" t="s">
        <v>1000</v>
      </c>
      <c r="D1453" s="133" t="s">
        <v>215</v>
      </c>
      <c r="E1453" s="133" t="s">
        <v>216</v>
      </c>
      <c r="F1453" s="133" t="s">
        <v>709</v>
      </c>
      <c r="G1453" s="133" t="s">
        <v>719</v>
      </c>
      <c r="H1453" s="133">
        <v>12.92</v>
      </c>
      <c r="I1453" s="133">
        <v>42</v>
      </c>
      <c r="J1453" s="133">
        <v>0</v>
      </c>
      <c r="L1453" s="133">
        <v>0</v>
      </c>
      <c r="M1453" s="133" t="s">
        <v>1096</v>
      </c>
      <c r="N1453" s="133">
        <v>0</v>
      </c>
      <c r="P1453" s="133">
        <v>0</v>
      </c>
      <c r="Q1453" s="133">
        <v>0</v>
      </c>
      <c r="R1453" s="133">
        <v>0</v>
      </c>
      <c r="S1453" s="156"/>
    </row>
    <row r="1454" spans="1:19">
      <c r="A1454" s="133" t="s">
        <v>1188</v>
      </c>
      <c r="B1454" s="133" t="s">
        <v>1175</v>
      </c>
      <c r="C1454" s="133" t="s">
        <v>1000</v>
      </c>
      <c r="D1454" s="133" t="s">
        <v>217</v>
      </c>
      <c r="E1454" s="133" t="s">
        <v>218</v>
      </c>
      <c r="F1454" s="133" t="s">
        <v>709</v>
      </c>
      <c r="G1454" s="133" t="s">
        <v>719</v>
      </c>
      <c r="H1454" s="133">
        <v>2.66</v>
      </c>
      <c r="I1454" s="133">
        <v>8.9</v>
      </c>
      <c r="J1454" s="133">
        <v>120</v>
      </c>
      <c r="L1454" s="133">
        <v>0</v>
      </c>
      <c r="M1454" s="133" t="s">
        <v>1096</v>
      </c>
      <c r="N1454" s="133">
        <v>0</v>
      </c>
      <c r="P1454" s="133">
        <v>0</v>
      </c>
      <c r="Q1454" s="133">
        <v>0</v>
      </c>
      <c r="R1454" s="133">
        <v>0</v>
      </c>
      <c r="S1454" s="156"/>
    </row>
    <row r="1455" spans="1:19">
      <c r="A1455" s="133" t="s">
        <v>1188</v>
      </c>
      <c r="B1455" s="133" t="s">
        <v>1175</v>
      </c>
      <c r="C1455" s="133" t="s">
        <v>1000</v>
      </c>
      <c r="D1455" s="133" t="s">
        <v>876</v>
      </c>
      <c r="E1455" s="133" t="s">
        <v>954</v>
      </c>
      <c r="F1455" s="133" t="s">
        <v>707</v>
      </c>
      <c r="G1455" s="133" t="s">
        <v>732</v>
      </c>
      <c r="H1455" s="133">
        <v>9.81</v>
      </c>
      <c r="I1455" s="133">
        <v>15.09</v>
      </c>
      <c r="J1455" s="133">
        <v>27</v>
      </c>
      <c r="L1455" s="133">
        <v>0</v>
      </c>
      <c r="M1455" s="133" t="s">
        <v>1096</v>
      </c>
      <c r="N1455" s="133">
        <v>0</v>
      </c>
      <c r="P1455" s="133">
        <v>0</v>
      </c>
      <c r="Q1455" s="133">
        <v>0</v>
      </c>
      <c r="R1455" s="133">
        <v>0</v>
      </c>
      <c r="S1455" s="156"/>
    </row>
    <row r="1456" spans="1:19">
      <c r="A1456" s="133" t="s">
        <v>1188</v>
      </c>
      <c r="B1456" s="133" t="s">
        <v>1175</v>
      </c>
      <c r="C1456" s="133" t="s">
        <v>1000</v>
      </c>
      <c r="D1456" s="133" t="s">
        <v>219</v>
      </c>
      <c r="E1456" s="133" t="s">
        <v>220</v>
      </c>
      <c r="F1456" s="133" t="s">
        <v>707</v>
      </c>
      <c r="G1456" s="133" t="s">
        <v>732</v>
      </c>
      <c r="H1456" s="133">
        <v>37.92</v>
      </c>
      <c r="I1456" s="133">
        <v>30.9</v>
      </c>
      <c r="J1456" s="133">
        <v>53</v>
      </c>
      <c r="L1456" s="133">
        <v>0</v>
      </c>
      <c r="M1456" s="133" t="s">
        <v>1096</v>
      </c>
      <c r="N1456" s="133">
        <v>0</v>
      </c>
      <c r="P1456" s="133">
        <v>0</v>
      </c>
      <c r="Q1456" s="133">
        <v>0</v>
      </c>
      <c r="R1456" s="133">
        <v>0</v>
      </c>
      <c r="S1456" s="156"/>
    </row>
    <row r="1457" spans="1:19">
      <c r="A1457" s="133" t="s">
        <v>1188</v>
      </c>
      <c r="B1457" s="133" t="s">
        <v>1175</v>
      </c>
      <c r="C1457" s="133" t="s">
        <v>1000</v>
      </c>
      <c r="D1457" s="133" t="s">
        <v>227</v>
      </c>
      <c r="E1457" s="133" t="s">
        <v>228</v>
      </c>
      <c r="F1457" s="133" t="s">
        <v>709</v>
      </c>
      <c r="G1457" s="133" t="s">
        <v>719</v>
      </c>
      <c r="H1457" s="133">
        <v>1.1499999999999999</v>
      </c>
      <c r="I1457" s="133">
        <v>2.44</v>
      </c>
      <c r="J1457" s="133">
        <v>275</v>
      </c>
      <c r="K1457" s="133">
        <v>42</v>
      </c>
      <c r="L1457" s="133">
        <v>25</v>
      </c>
      <c r="M1457" s="133" t="s">
        <v>714</v>
      </c>
      <c r="N1457" s="133">
        <v>17</v>
      </c>
      <c r="P1457" s="133">
        <v>0</v>
      </c>
      <c r="Q1457" s="133">
        <v>42</v>
      </c>
      <c r="R1457" s="133">
        <v>0</v>
      </c>
      <c r="S1457" s="156">
        <v>0.40476190476190477</v>
      </c>
    </row>
    <row r="1458" spans="1:19">
      <c r="A1458" s="133" t="s">
        <v>1188</v>
      </c>
      <c r="B1458" s="133" t="s">
        <v>1175</v>
      </c>
      <c r="C1458" s="133" t="s">
        <v>1000</v>
      </c>
      <c r="D1458" s="133" t="s">
        <v>229</v>
      </c>
      <c r="E1458" s="133" t="s">
        <v>230</v>
      </c>
      <c r="F1458" s="133" t="s">
        <v>709</v>
      </c>
      <c r="G1458" s="133" t="s">
        <v>719</v>
      </c>
      <c r="H1458" s="133">
        <v>2.8</v>
      </c>
      <c r="I1458" s="133">
        <v>6.49</v>
      </c>
      <c r="J1458" s="133">
        <v>0</v>
      </c>
      <c r="K1458" s="133">
        <v>21</v>
      </c>
      <c r="L1458" s="133">
        <v>0</v>
      </c>
      <c r="M1458" s="133" t="s">
        <v>999</v>
      </c>
      <c r="N1458" s="133">
        <v>1</v>
      </c>
      <c r="P1458" s="133">
        <v>0</v>
      </c>
      <c r="Q1458" s="133">
        <v>1</v>
      </c>
      <c r="R1458" s="133">
        <v>20</v>
      </c>
      <c r="S1458" s="156">
        <v>1</v>
      </c>
    </row>
    <row r="1459" spans="1:19">
      <c r="A1459" s="133" t="s">
        <v>1188</v>
      </c>
      <c r="B1459" s="133" t="s">
        <v>1175</v>
      </c>
      <c r="C1459" s="133" t="s">
        <v>1000</v>
      </c>
      <c r="D1459" s="133" t="s">
        <v>746</v>
      </c>
      <c r="E1459" s="133" t="s">
        <v>747</v>
      </c>
      <c r="F1459" s="133" t="s">
        <v>709</v>
      </c>
      <c r="G1459" s="133" t="s">
        <v>732</v>
      </c>
      <c r="H1459" s="133">
        <v>40.32</v>
      </c>
      <c r="I1459" s="133">
        <v>62.5</v>
      </c>
      <c r="J1459" s="133">
        <v>79</v>
      </c>
      <c r="L1459" s="133">
        <v>0</v>
      </c>
      <c r="M1459" s="133" t="s">
        <v>1096</v>
      </c>
      <c r="N1459" s="133">
        <v>0</v>
      </c>
      <c r="P1459" s="133">
        <v>0</v>
      </c>
      <c r="Q1459" s="133">
        <v>0</v>
      </c>
      <c r="R1459" s="133">
        <v>0</v>
      </c>
      <c r="S1459" s="156"/>
    </row>
    <row r="1460" spans="1:19">
      <c r="A1460" s="133" t="s">
        <v>1188</v>
      </c>
      <c r="B1460" s="133" t="s">
        <v>1175</v>
      </c>
      <c r="C1460" s="133" t="s">
        <v>1000</v>
      </c>
      <c r="D1460" s="133" t="s">
        <v>462</v>
      </c>
      <c r="E1460" s="133" t="s">
        <v>463</v>
      </c>
      <c r="F1460" s="133" t="s">
        <v>707</v>
      </c>
      <c r="G1460" s="133" t="s">
        <v>715</v>
      </c>
      <c r="H1460" s="133">
        <v>1.23</v>
      </c>
      <c r="I1460" s="133">
        <v>0</v>
      </c>
      <c r="J1460" s="133">
        <v>0</v>
      </c>
      <c r="L1460" s="133">
        <v>0</v>
      </c>
      <c r="M1460" s="133" t="s">
        <v>1096</v>
      </c>
      <c r="N1460" s="133">
        <v>0</v>
      </c>
      <c r="P1460" s="133">
        <v>0</v>
      </c>
      <c r="Q1460" s="133">
        <v>0</v>
      </c>
      <c r="R1460" s="133">
        <v>0</v>
      </c>
      <c r="S1460" s="156"/>
    </row>
    <row r="1461" spans="1:19">
      <c r="A1461" s="133" t="s">
        <v>1188</v>
      </c>
      <c r="B1461" s="133" t="s">
        <v>1175</v>
      </c>
      <c r="C1461" s="133" t="s">
        <v>1000</v>
      </c>
      <c r="D1461" s="133" t="s">
        <v>464</v>
      </c>
      <c r="E1461" s="133" t="s">
        <v>465</v>
      </c>
      <c r="F1461" s="133" t="s">
        <v>707</v>
      </c>
      <c r="G1461" s="133" t="s">
        <v>715</v>
      </c>
      <c r="H1461" s="133">
        <v>2.19</v>
      </c>
      <c r="I1461" s="133">
        <v>0</v>
      </c>
      <c r="J1461" s="133">
        <v>0</v>
      </c>
      <c r="L1461" s="133">
        <v>0</v>
      </c>
      <c r="M1461" s="133" t="s">
        <v>1096</v>
      </c>
      <c r="N1461" s="133">
        <v>0</v>
      </c>
      <c r="P1461" s="133">
        <v>0</v>
      </c>
      <c r="Q1461" s="133">
        <v>0</v>
      </c>
      <c r="R1461" s="133">
        <v>0</v>
      </c>
      <c r="S1461" s="156"/>
    </row>
    <row r="1462" spans="1:19">
      <c r="A1462" s="133" t="s">
        <v>1188</v>
      </c>
      <c r="B1462" s="133" t="s">
        <v>1175</v>
      </c>
      <c r="C1462" s="133" t="s">
        <v>1000</v>
      </c>
      <c r="D1462" s="133" t="s">
        <v>466</v>
      </c>
      <c r="E1462" s="133" t="s">
        <v>467</v>
      </c>
      <c r="F1462" s="133" t="s">
        <v>707</v>
      </c>
      <c r="G1462" s="133" t="s">
        <v>715</v>
      </c>
      <c r="H1462" s="133">
        <v>4.2699999999999996</v>
      </c>
      <c r="I1462" s="133">
        <v>0</v>
      </c>
      <c r="J1462" s="133">
        <v>0</v>
      </c>
      <c r="L1462" s="133">
        <v>0</v>
      </c>
      <c r="M1462" s="133" t="s">
        <v>1096</v>
      </c>
      <c r="N1462" s="133">
        <v>0</v>
      </c>
      <c r="P1462" s="133">
        <v>0</v>
      </c>
      <c r="Q1462" s="133">
        <v>0</v>
      </c>
      <c r="R1462" s="133">
        <v>0</v>
      </c>
      <c r="S1462" s="156"/>
    </row>
    <row r="1463" spans="1:19">
      <c r="A1463" s="133" t="s">
        <v>1188</v>
      </c>
      <c r="B1463" s="133" t="s">
        <v>1175</v>
      </c>
      <c r="C1463" s="133" t="s">
        <v>1000</v>
      </c>
      <c r="D1463" s="133" t="s">
        <v>897</v>
      </c>
      <c r="E1463" s="133" t="s">
        <v>955</v>
      </c>
      <c r="F1463" s="133" t="s">
        <v>946</v>
      </c>
      <c r="G1463" s="133" t="s">
        <v>719</v>
      </c>
      <c r="H1463" s="133">
        <v>0.6</v>
      </c>
      <c r="I1463" s="133">
        <v>0</v>
      </c>
      <c r="J1463" s="133">
        <v>0</v>
      </c>
      <c r="L1463" s="133">
        <v>0</v>
      </c>
      <c r="M1463" s="133" t="s">
        <v>1096</v>
      </c>
      <c r="N1463" s="133">
        <v>0</v>
      </c>
      <c r="P1463" s="133">
        <v>0</v>
      </c>
      <c r="Q1463" s="133">
        <v>0</v>
      </c>
      <c r="R1463" s="133">
        <v>0</v>
      </c>
      <c r="S1463" s="156"/>
    </row>
    <row r="1464" spans="1:19">
      <c r="A1464" s="133" t="s">
        <v>1188</v>
      </c>
      <c r="B1464" s="133" t="s">
        <v>1175</v>
      </c>
      <c r="C1464" s="133" t="s">
        <v>1000</v>
      </c>
      <c r="D1464" s="133" t="s">
        <v>898</v>
      </c>
      <c r="E1464" s="133" t="s">
        <v>956</v>
      </c>
      <c r="F1464" s="133" t="s">
        <v>946</v>
      </c>
      <c r="G1464" s="133" t="s">
        <v>719</v>
      </c>
      <c r="H1464" s="133">
        <v>2.99</v>
      </c>
      <c r="I1464" s="133">
        <v>0</v>
      </c>
      <c r="J1464" s="133">
        <v>0</v>
      </c>
      <c r="L1464" s="133">
        <v>0</v>
      </c>
      <c r="M1464" s="133" t="s">
        <v>1096</v>
      </c>
      <c r="N1464" s="133">
        <v>0</v>
      </c>
      <c r="P1464" s="133">
        <v>0</v>
      </c>
      <c r="Q1464" s="133">
        <v>0</v>
      </c>
      <c r="R1464" s="133">
        <v>0</v>
      </c>
      <c r="S1464" s="156"/>
    </row>
    <row r="1465" spans="1:19">
      <c r="A1465" s="133" t="s">
        <v>1188</v>
      </c>
      <c r="B1465" s="133" t="s">
        <v>1175</v>
      </c>
      <c r="C1465" s="133" t="s">
        <v>1000</v>
      </c>
      <c r="D1465" s="133" t="s">
        <v>899</v>
      </c>
      <c r="E1465" s="133" t="s">
        <v>957</v>
      </c>
      <c r="F1465" s="133" t="s">
        <v>946</v>
      </c>
      <c r="G1465" s="133" t="s">
        <v>719</v>
      </c>
      <c r="H1465" s="133">
        <v>5.98</v>
      </c>
      <c r="I1465" s="133">
        <v>0</v>
      </c>
      <c r="J1465" s="133">
        <v>0</v>
      </c>
      <c r="L1465" s="133">
        <v>0</v>
      </c>
      <c r="M1465" s="133" t="s">
        <v>1096</v>
      </c>
      <c r="N1465" s="133">
        <v>0</v>
      </c>
      <c r="P1465" s="133">
        <v>0</v>
      </c>
      <c r="Q1465" s="133">
        <v>0</v>
      </c>
      <c r="R1465" s="133">
        <v>0</v>
      </c>
      <c r="S1465" s="156"/>
    </row>
    <row r="1466" spans="1:19">
      <c r="A1466" s="133" t="s">
        <v>1188</v>
      </c>
      <c r="B1466" s="133" t="s">
        <v>1175</v>
      </c>
      <c r="C1466" s="133" t="s">
        <v>1000</v>
      </c>
      <c r="D1466" s="133" t="s">
        <v>474</v>
      </c>
      <c r="E1466" s="133" t="s">
        <v>475</v>
      </c>
      <c r="F1466" s="133" t="s">
        <v>709</v>
      </c>
      <c r="G1466" s="133" t="s">
        <v>719</v>
      </c>
      <c r="H1466" s="133">
        <v>2.68</v>
      </c>
      <c r="I1466" s="133">
        <v>8.9</v>
      </c>
      <c r="J1466" s="133">
        <v>31</v>
      </c>
      <c r="K1466" s="133">
        <v>42</v>
      </c>
      <c r="L1466" s="133">
        <v>21</v>
      </c>
      <c r="M1466" s="133" t="s">
        <v>714</v>
      </c>
      <c r="N1466" s="133">
        <v>17</v>
      </c>
      <c r="P1466" s="133">
        <v>0</v>
      </c>
      <c r="Q1466" s="133">
        <v>38</v>
      </c>
      <c r="R1466" s="133">
        <v>4</v>
      </c>
      <c r="S1466" s="156">
        <v>0.5</v>
      </c>
    </row>
    <row r="1467" spans="1:19">
      <c r="A1467" s="133" t="s">
        <v>1188</v>
      </c>
      <c r="B1467" s="133" t="s">
        <v>1175</v>
      </c>
      <c r="C1467" s="133" t="s">
        <v>1000</v>
      </c>
      <c r="D1467" s="133" t="s">
        <v>480</v>
      </c>
      <c r="E1467" s="133" t="s">
        <v>832</v>
      </c>
      <c r="F1467" s="133" t="s">
        <v>708</v>
      </c>
      <c r="G1467" s="133" t="s">
        <v>715</v>
      </c>
      <c r="H1467" s="133">
        <v>51.24</v>
      </c>
      <c r="I1467" s="133">
        <v>172</v>
      </c>
      <c r="J1467" s="133">
        <v>0</v>
      </c>
      <c r="L1467" s="133">
        <v>0</v>
      </c>
      <c r="M1467" s="133" t="s">
        <v>1096</v>
      </c>
      <c r="N1467" s="133">
        <v>0</v>
      </c>
      <c r="P1467" s="133">
        <v>0</v>
      </c>
      <c r="Q1467" s="133">
        <v>0</v>
      </c>
      <c r="R1467" s="133">
        <v>0</v>
      </c>
      <c r="S1467" s="156"/>
    </row>
    <row r="1468" spans="1:19">
      <c r="A1468" s="133" t="s">
        <v>1188</v>
      </c>
      <c r="B1468" s="133" t="s">
        <v>1175</v>
      </c>
      <c r="C1468" s="133" t="s">
        <v>1000</v>
      </c>
      <c r="D1468" s="133" t="s">
        <v>481</v>
      </c>
      <c r="E1468" s="133" t="s">
        <v>482</v>
      </c>
      <c r="F1468" s="133" t="s">
        <v>708</v>
      </c>
      <c r="G1468" s="133" t="s">
        <v>715</v>
      </c>
      <c r="H1468" s="133">
        <v>520</v>
      </c>
      <c r="I1468" s="133">
        <v>2235.4899999999998</v>
      </c>
      <c r="J1468" s="133">
        <v>0</v>
      </c>
      <c r="L1468" s="133">
        <v>0</v>
      </c>
      <c r="M1468" s="133" t="s">
        <v>1096</v>
      </c>
      <c r="N1468" s="133">
        <v>0</v>
      </c>
      <c r="P1468" s="133">
        <v>0</v>
      </c>
      <c r="Q1468" s="133">
        <v>0</v>
      </c>
      <c r="R1468" s="133">
        <v>0</v>
      </c>
      <c r="S1468" s="156"/>
    </row>
    <row r="1469" spans="1:19">
      <c r="A1469" s="133" t="s">
        <v>1188</v>
      </c>
      <c r="B1469" s="133" t="s">
        <v>1175</v>
      </c>
      <c r="C1469" s="133" t="s">
        <v>1000</v>
      </c>
      <c r="D1469" s="133" t="s">
        <v>483</v>
      </c>
      <c r="E1469" s="133" t="s">
        <v>484</v>
      </c>
      <c r="F1469" s="133" t="s">
        <v>708</v>
      </c>
      <c r="G1469" s="133" t="s">
        <v>715</v>
      </c>
      <c r="H1469" s="133">
        <v>10.9</v>
      </c>
      <c r="I1469" s="133">
        <v>36.369999999999997</v>
      </c>
      <c r="J1469" s="133">
        <v>0</v>
      </c>
      <c r="L1469" s="133">
        <v>0</v>
      </c>
      <c r="M1469" s="133" t="s">
        <v>1096</v>
      </c>
      <c r="N1469" s="133">
        <v>0</v>
      </c>
      <c r="P1469" s="133">
        <v>0</v>
      </c>
      <c r="Q1469" s="133">
        <v>0</v>
      </c>
      <c r="R1469" s="133">
        <v>0</v>
      </c>
      <c r="S1469" s="156"/>
    </row>
    <row r="1470" spans="1:19">
      <c r="A1470" s="133" t="s">
        <v>1188</v>
      </c>
      <c r="B1470" s="133" t="s">
        <v>1175</v>
      </c>
      <c r="C1470" s="133" t="s">
        <v>1000</v>
      </c>
      <c r="D1470" s="133" t="s">
        <v>485</v>
      </c>
      <c r="E1470" s="133" t="s">
        <v>486</v>
      </c>
      <c r="F1470" s="133" t="s">
        <v>708</v>
      </c>
      <c r="G1470" s="133" t="s">
        <v>715</v>
      </c>
      <c r="H1470" s="133">
        <v>2.83</v>
      </c>
      <c r="I1470" s="133">
        <v>9.58</v>
      </c>
      <c r="J1470" s="133">
        <v>0</v>
      </c>
      <c r="L1470" s="133">
        <v>0</v>
      </c>
      <c r="M1470" s="133" t="s">
        <v>1096</v>
      </c>
      <c r="N1470" s="133">
        <v>0</v>
      </c>
      <c r="P1470" s="133">
        <v>0</v>
      </c>
      <c r="Q1470" s="133">
        <v>0</v>
      </c>
      <c r="R1470" s="133">
        <v>0</v>
      </c>
      <c r="S1470" s="156"/>
    </row>
    <row r="1471" spans="1:19">
      <c r="A1471" s="133" t="s">
        <v>1188</v>
      </c>
      <c r="B1471" s="133" t="s">
        <v>1175</v>
      </c>
      <c r="C1471" s="133" t="s">
        <v>1000</v>
      </c>
      <c r="D1471" s="133" t="s">
        <v>900</v>
      </c>
      <c r="E1471" s="133" t="s">
        <v>958</v>
      </c>
      <c r="F1471" s="133" t="s">
        <v>946</v>
      </c>
      <c r="G1471" s="133" t="s">
        <v>719</v>
      </c>
      <c r="H1471" s="133">
        <v>1.26</v>
      </c>
      <c r="I1471" s="133">
        <v>0</v>
      </c>
      <c r="J1471" s="133">
        <v>0</v>
      </c>
      <c r="L1471" s="133">
        <v>0</v>
      </c>
      <c r="M1471" s="133" t="s">
        <v>1096</v>
      </c>
      <c r="N1471" s="133">
        <v>0</v>
      </c>
      <c r="P1471" s="133">
        <v>0</v>
      </c>
      <c r="Q1471" s="133">
        <v>0</v>
      </c>
      <c r="R1471" s="133">
        <v>0</v>
      </c>
      <c r="S1471" s="156"/>
    </row>
    <row r="1472" spans="1:19">
      <c r="A1472" s="133" t="s">
        <v>1188</v>
      </c>
      <c r="B1472" s="133" t="s">
        <v>1175</v>
      </c>
      <c r="C1472" s="133" t="s">
        <v>1000</v>
      </c>
      <c r="D1472" s="133" t="s">
        <v>495</v>
      </c>
      <c r="E1472" s="133" t="s">
        <v>496</v>
      </c>
      <c r="F1472" s="133" t="s">
        <v>707</v>
      </c>
      <c r="G1472" s="133" t="s">
        <v>732</v>
      </c>
      <c r="H1472" s="133">
        <v>6.05</v>
      </c>
      <c r="I1472" s="133">
        <v>9.49</v>
      </c>
      <c r="J1472" s="133">
        <v>105</v>
      </c>
      <c r="L1472" s="133">
        <v>0</v>
      </c>
      <c r="M1472" s="133" t="s">
        <v>1096</v>
      </c>
      <c r="N1472" s="133">
        <v>0</v>
      </c>
      <c r="P1472" s="133">
        <v>0</v>
      </c>
      <c r="Q1472" s="133">
        <v>0</v>
      </c>
      <c r="R1472" s="133">
        <v>0</v>
      </c>
      <c r="S1472" s="156"/>
    </row>
    <row r="1473" spans="1:19">
      <c r="A1473" s="133" t="s">
        <v>1188</v>
      </c>
      <c r="B1473" s="133" t="s">
        <v>1175</v>
      </c>
      <c r="C1473" s="133" t="s">
        <v>1000</v>
      </c>
      <c r="D1473" s="133" t="s">
        <v>497</v>
      </c>
      <c r="E1473" s="133" t="s">
        <v>498</v>
      </c>
      <c r="F1473" s="133" t="s">
        <v>707</v>
      </c>
      <c r="G1473" s="133" t="s">
        <v>732</v>
      </c>
      <c r="H1473" s="133">
        <v>23.46</v>
      </c>
      <c r="I1473" s="133">
        <v>28.9</v>
      </c>
      <c r="J1473" s="133">
        <v>52</v>
      </c>
      <c r="L1473" s="133">
        <v>0</v>
      </c>
      <c r="M1473" s="133" t="s">
        <v>1096</v>
      </c>
      <c r="N1473" s="133">
        <v>0</v>
      </c>
      <c r="P1473" s="133">
        <v>0</v>
      </c>
      <c r="Q1473" s="133">
        <v>0</v>
      </c>
      <c r="R1473" s="133">
        <v>0</v>
      </c>
      <c r="S1473" s="156"/>
    </row>
    <row r="1474" spans="1:19">
      <c r="A1474" s="133" t="s">
        <v>1188</v>
      </c>
      <c r="B1474" s="133" t="s">
        <v>1175</v>
      </c>
      <c r="C1474" s="133" t="s">
        <v>1000</v>
      </c>
      <c r="D1474" s="133" t="s">
        <v>499</v>
      </c>
      <c r="E1474" s="133" t="s">
        <v>500</v>
      </c>
      <c r="F1474" s="133" t="s">
        <v>708</v>
      </c>
      <c r="G1474" s="133" t="s">
        <v>715</v>
      </c>
      <c r="H1474" s="133">
        <v>56.08</v>
      </c>
      <c r="I1474" s="133">
        <v>127.72</v>
      </c>
      <c r="J1474" s="133">
        <v>2</v>
      </c>
      <c r="L1474" s="133">
        <v>0</v>
      </c>
      <c r="M1474" s="133" t="s">
        <v>1096</v>
      </c>
      <c r="N1474" s="133">
        <v>0</v>
      </c>
      <c r="P1474" s="133">
        <v>0</v>
      </c>
      <c r="Q1474" s="133">
        <v>0</v>
      </c>
      <c r="R1474" s="133">
        <v>0</v>
      </c>
      <c r="S1474" s="156"/>
    </row>
    <row r="1475" spans="1:19">
      <c r="A1475" s="133" t="s">
        <v>1188</v>
      </c>
      <c r="B1475" s="133" t="s">
        <v>1175</v>
      </c>
      <c r="C1475" s="133" t="s">
        <v>1000</v>
      </c>
      <c r="D1475" s="133" t="s">
        <v>501</v>
      </c>
      <c r="E1475" s="133" t="s">
        <v>502</v>
      </c>
      <c r="F1475" s="133" t="s">
        <v>708</v>
      </c>
      <c r="G1475" s="133" t="s">
        <v>715</v>
      </c>
      <c r="H1475" s="133">
        <v>11.48</v>
      </c>
      <c r="I1475" s="133">
        <v>25.91</v>
      </c>
      <c r="J1475" s="133">
        <v>47</v>
      </c>
      <c r="L1475" s="133">
        <v>0</v>
      </c>
      <c r="M1475" s="133" t="s">
        <v>1096</v>
      </c>
      <c r="N1475" s="133">
        <v>0</v>
      </c>
      <c r="P1475" s="133">
        <v>0</v>
      </c>
      <c r="Q1475" s="133">
        <v>0</v>
      </c>
      <c r="R1475" s="133">
        <v>0</v>
      </c>
      <c r="S1475" s="156"/>
    </row>
    <row r="1476" spans="1:19">
      <c r="A1476" s="133" t="s">
        <v>1188</v>
      </c>
      <c r="B1476" s="133" t="s">
        <v>1175</v>
      </c>
      <c r="C1476" s="133" t="s">
        <v>1000</v>
      </c>
      <c r="D1476" s="133" t="s">
        <v>503</v>
      </c>
      <c r="E1476" s="133" t="s">
        <v>504</v>
      </c>
      <c r="F1476" s="133" t="s">
        <v>708</v>
      </c>
      <c r="G1476" s="133" t="s">
        <v>715</v>
      </c>
      <c r="H1476" s="133">
        <v>3.38</v>
      </c>
      <c r="I1476" s="133">
        <v>7.22</v>
      </c>
      <c r="J1476" s="133">
        <v>294</v>
      </c>
      <c r="L1476" s="133">
        <v>0</v>
      </c>
      <c r="M1476" s="133" t="s">
        <v>1096</v>
      </c>
      <c r="N1476" s="133">
        <v>0</v>
      </c>
      <c r="P1476" s="133">
        <v>0</v>
      </c>
      <c r="Q1476" s="133">
        <v>0</v>
      </c>
      <c r="R1476" s="133">
        <v>0</v>
      </c>
      <c r="S1476" s="156"/>
    </row>
    <row r="1477" spans="1:19">
      <c r="A1477" s="133" t="s">
        <v>1188</v>
      </c>
      <c r="B1477" s="133" t="s">
        <v>1175</v>
      </c>
      <c r="C1477" s="133" t="s">
        <v>1000</v>
      </c>
      <c r="D1477" s="133" t="s">
        <v>505</v>
      </c>
      <c r="E1477" s="133" t="s">
        <v>959</v>
      </c>
      <c r="F1477" s="133" t="s">
        <v>712</v>
      </c>
      <c r="G1477" s="133" t="s">
        <v>715</v>
      </c>
      <c r="H1477" s="133">
        <v>1.94</v>
      </c>
      <c r="I1477" s="133">
        <v>4.12</v>
      </c>
      <c r="J1477" s="133">
        <v>0</v>
      </c>
      <c r="L1477" s="133">
        <v>0</v>
      </c>
      <c r="M1477" s="133" t="s">
        <v>1096</v>
      </c>
      <c r="N1477" s="133">
        <v>0</v>
      </c>
      <c r="P1477" s="133">
        <v>0</v>
      </c>
      <c r="Q1477" s="133">
        <v>0</v>
      </c>
      <c r="R1477" s="133">
        <v>0</v>
      </c>
      <c r="S1477" s="156"/>
    </row>
    <row r="1478" spans="1:19">
      <c r="A1478" s="133" t="s">
        <v>1188</v>
      </c>
      <c r="B1478" s="133" t="s">
        <v>1175</v>
      </c>
      <c r="C1478" s="133" t="s">
        <v>1000</v>
      </c>
      <c r="D1478" s="133" t="s">
        <v>506</v>
      </c>
      <c r="E1478" s="133" t="s">
        <v>507</v>
      </c>
      <c r="F1478" s="133" t="s">
        <v>712</v>
      </c>
      <c r="G1478" s="133" t="s">
        <v>715</v>
      </c>
      <c r="H1478" s="133">
        <v>3.49</v>
      </c>
      <c r="I1478" s="133">
        <v>7.39</v>
      </c>
      <c r="J1478" s="133">
        <v>0</v>
      </c>
      <c r="L1478" s="133">
        <v>0</v>
      </c>
      <c r="M1478" s="133" t="s">
        <v>1096</v>
      </c>
      <c r="N1478" s="133">
        <v>0</v>
      </c>
      <c r="P1478" s="133">
        <v>0</v>
      </c>
      <c r="Q1478" s="133">
        <v>0</v>
      </c>
      <c r="R1478" s="133">
        <v>0</v>
      </c>
      <c r="S1478" s="156"/>
    </row>
    <row r="1479" spans="1:19">
      <c r="A1479" s="133" t="s">
        <v>1188</v>
      </c>
      <c r="B1479" s="133" t="s">
        <v>1175</v>
      </c>
      <c r="C1479" s="133" t="s">
        <v>1000</v>
      </c>
      <c r="D1479" s="133" t="s">
        <v>508</v>
      </c>
      <c r="E1479" s="133" t="s">
        <v>960</v>
      </c>
      <c r="F1479" s="133" t="s">
        <v>712</v>
      </c>
      <c r="G1479" s="133" t="s">
        <v>715</v>
      </c>
      <c r="H1479" s="133">
        <v>6.94</v>
      </c>
      <c r="I1479" s="133">
        <v>13.76</v>
      </c>
      <c r="J1479" s="133">
        <v>0</v>
      </c>
      <c r="L1479" s="133">
        <v>0</v>
      </c>
      <c r="M1479" s="133" t="s">
        <v>1096</v>
      </c>
      <c r="N1479" s="133">
        <v>0</v>
      </c>
      <c r="P1479" s="133">
        <v>0</v>
      </c>
      <c r="Q1479" s="133">
        <v>0</v>
      </c>
      <c r="R1479" s="133">
        <v>0</v>
      </c>
      <c r="S1479" s="156"/>
    </row>
    <row r="1480" spans="1:19">
      <c r="A1480" s="133" t="s">
        <v>1188</v>
      </c>
      <c r="B1480" s="133" t="s">
        <v>1175</v>
      </c>
      <c r="C1480" s="133" t="s">
        <v>1000</v>
      </c>
      <c r="D1480" s="133" t="s">
        <v>901</v>
      </c>
      <c r="E1480" s="133" t="s">
        <v>961</v>
      </c>
      <c r="F1480" s="133" t="s">
        <v>946</v>
      </c>
      <c r="G1480" s="133" t="s">
        <v>719</v>
      </c>
      <c r="H1480" s="133">
        <v>0.93</v>
      </c>
      <c r="I1480" s="133">
        <v>0</v>
      </c>
      <c r="J1480" s="133">
        <v>0</v>
      </c>
      <c r="L1480" s="133">
        <v>0</v>
      </c>
      <c r="M1480" s="133" t="s">
        <v>1096</v>
      </c>
      <c r="N1480" s="133">
        <v>0</v>
      </c>
      <c r="P1480" s="133">
        <v>0</v>
      </c>
      <c r="Q1480" s="133">
        <v>0</v>
      </c>
      <c r="R1480" s="133">
        <v>0</v>
      </c>
      <c r="S1480" s="156"/>
    </row>
    <row r="1481" spans="1:19">
      <c r="A1481" s="133" t="s">
        <v>1188</v>
      </c>
      <c r="B1481" s="133" t="s">
        <v>1175</v>
      </c>
      <c r="C1481" s="133" t="s">
        <v>1000</v>
      </c>
      <c r="D1481" s="133" t="s">
        <v>902</v>
      </c>
      <c r="E1481" s="133" t="s">
        <v>962</v>
      </c>
      <c r="F1481" s="133" t="s">
        <v>946</v>
      </c>
      <c r="G1481" s="133" t="s">
        <v>719</v>
      </c>
      <c r="H1481" s="133">
        <v>0.54</v>
      </c>
      <c r="I1481" s="133">
        <v>0</v>
      </c>
      <c r="J1481" s="133">
        <v>0</v>
      </c>
      <c r="L1481" s="133">
        <v>0</v>
      </c>
      <c r="M1481" s="133" t="s">
        <v>1096</v>
      </c>
      <c r="N1481" s="133">
        <v>0</v>
      </c>
      <c r="P1481" s="133">
        <v>0</v>
      </c>
      <c r="Q1481" s="133">
        <v>0</v>
      </c>
      <c r="R1481" s="133">
        <v>0</v>
      </c>
      <c r="S1481" s="156"/>
    </row>
    <row r="1482" spans="1:19">
      <c r="A1482" s="133" t="s">
        <v>1188</v>
      </c>
      <c r="B1482" s="133" t="s">
        <v>1175</v>
      </c>
      <c r="C1482" s="133" t="s">
        <v>1000</v>
      </c>
      <c r="D1482" s="133" t="s">
        <v>903</v>
      </c>
      <c r="E1482" s="133" t="s">
        <v>963</v>
      </c>
      <c r="F1482" s="133" t="s">
        <v>946</v>
      </c>
      <c r="G1482" s="133" t="s">
        <v>719</v>
      </c>
      <c r="H1482" s="133">
        <v>2.13</v>
      </c>
      <c r="I1482" s="133">
        <v>0</v>
      </c>
      <c r="J1482" s="133">
        <v>0</v>
      </c>
      <c r="L1482" s="133">
        <v>0</v>
      </c>
      <c r="M1482" s="133" t="s">
        <v>1096</v>
      </c>
      <c r="N1482" s="133">
        <v>0</v>
      </c>
      <c r="P1482" s="133">
        <v>0</v>
      </c>
      <c r="Q1482" s="133">
        <v>0</v>
      </c>
      <c r="R1482" s="133">
        <v>0</v>
      </c>
      <c r="S1482" s="156"/>
    </row>
    <row r="1483" spans="1:19">
      <c r="A1483" s="133" t="s">
        <v>1188</v>
      </c>
      <c r="B1483" s="133" t="s">
        <v>1175</v>
      </c>
      <c r="C1483" s="133" t="s">
        <v>1000</v>
      </c>
      <c r="D1483" s="133" t="s">
        <v>904</v>
      </c>
      <c r="E1483" s="133" t="s">
        <v>964</v>
      </c>
      <c r="F1483" s="133" t="s">
        <v>946</v>
      </c>
      <c r="G1483" s="133" t="s">
        <v>719</v>
      </c>
      <c r="H1483" s="133">
        <v>4.1100000000000003</v>
      </c>
      <c r="I1483" s="133">
        <v>0</v>
      </c>
      <c r="J1483" s="133">
        <v>0</v>
      </c>
      <c r="L1483" s="133">
        <v>0</v>
      </c>
      <c r="M1483" s="133" t="s">
        <v>1096</v>
      </c>
      <c r="N1483" s="133">
        <v>0</v>
      </c>
      <c r="P1483" s="133">
        <v>0</v>
      </c>
      <c r="Q1483" s="133">
        <v>0</v>
      </c>
      <c r="R1483" s="133">
        <v>0</v>
      </c>
      <c r="S1483" s="156"/>
    </row>
    <row r="1484" spans="1:19">
      <c r="A1484" s="133" t="s">
        <v>1188</v>
      </c>
      <c r="B1484" s="133" t="s">
        <v>1175</v>
      </c>
      <c r="C1484" s="133" t="s">
        <v>1000</v>
      </c>
      <c r="D1484" s="133" t="s">
        <v>512</v>
      </c>
      <c r="E1484" s="133" t="s">
        <v>513</v>
      </c>
      <c r="F1484" s="133" t="s">
        <v>709</v>
      </c>
      <c r="G1484" s="133" t="s">
        <v>719</v>
      </c>
      <c r="H1484" s="133">
        <v>1.1599999999999999</v>
      </c>
      <c r="I1484" s="133">
        <v>1.89</v>
      </c>
      <c r="J1484" s="133">
        <v>0</v>
      </c>
      <c r="L1484" s="133">
        <v>0</v>
      </c>
      <c r="M1484" s="133" t="s">
        <v>1096</v>
      </c>
      <c r="N1484" s="133">
        <v>0</v>
      </c>
      <c r="P1484" s="133">
        <v>0</v>
      </c>
      <c r="Q1484" s="133">
        <v>0</v>
      </c>
      <c r="R1484" s="133">
        <v>0</v>
      </c>
      <c r="S1484" s="156"/>
    </row>
    <row r="1485" spans="1:19">
      <c r="A1485" s="133" t="s">
        <v>1188</v>
      </c>
      <c r="B1485" s="133" t="s">
        <v>1175</v>
      </c>
      <c r="C1485" s="133" t="s">
        <v>1000</v>
      </c>
      <c r="D1485" s="133" t="s">
        <v>514</v>
      </c>
      <c r="E1485" s="133" t="s">
        <v>515</v>
      </c>
      <c r="F1485" s="133" t="s">
        <v>709</v>
      </c>
      <c r="G1485" s="133" t="s">
        <v>719</v>
      </c>
      <c r="H1485" s="133">
        <v>2.14</v>
      </c>
      <c r="I1485" s="133">
        <v>3.37</v>
      </c>
      <c r="J1485" s="133">
        <v>0</v>
      </c>
      <c r="L1485" s="133">
        <v>0</v>
      </c>
      <c r="M1485" s="133" t="s">
        <v>1096</v>
      </c>
      <c r="N1485" s="133">
        <v>0</v>
      </c>
      <c r="P1485" s="133">
        <v>0</v>
      </c>
      <c r="Q1485" s="133">
        <v>0</v>
      </c>
      <c r="R1485" s="133">
        <v>0</v>
      </c>
      <c r="S1485" s="156"/>
    </row>
    <row r="1486" spans="1:19">
      <c r="A1486" s="133" t="s">
        <v>1188</v>
      </c>
      <c r="B1486" s="133" t="s">
        <v>1175</v>
      </c>
      <c r="C1486" s="133" t="s">
        <v>1000</v>
      </c>
      <c r="D1486" s="133" t="s">
        <v>516</v>
      </c>
      <c r="E1486" s="133" t="s">
        <v>517</v>
      </c>
      <c r="F1486" s="133" t="s">
        <v>709</v>
      </c>
      <c r="G1486" s="133" t="s">
        <v>719</v>
      </c>
      <c r="H1486" s="133">
        <v>4.8499999999999996</v>
      </c>
      <c r="I1486" s="133">
        <v>5.4</v>
      </c>
      <c r="J1486" s="133">
        <v>0</v>
      </c>
      <c r="L1486" s="133">
        <v>0</v>
      </c>
      <c r="M1486" s="133" t="s">
        <v>1096</v>
      </c>
      <c r="N1486" s="133">
        <v>0</v>
      </c>
      <c r="P1486" s="133">
        <v>0</v>
      </c>
      <c r="Q1486" s="133">
        <v>0</v>
      </c>
      <c r="R1486" s="133">
        <v>0</v>
      </c>
      <c r="S1486" s="156"/>
    </row>
    <row r="1487" spans="1:19">
      <c r="A1487" s="133" t="s">
        <v>1188</v>
      </c>
      <c r="B1487" s="133" t="s">
        <v>1175</v>
      </c>
      <c r="C1487" s="133" t="s">
        <v>1000</v>
      </c>
      <c r="D1487" s="133" t="s">
        <v>524</v>
      </c>
      <c r="E1487" s="133" t="s">
        <v>525</v>
      </c>
      <c r="F1487" s="133" t="s">
        <v>709</v>
      </c>
      <c r="G1487" s="133" t="s">
        <v>719</v>
      </c>
      <c r="H1487" s="133">
        <v>0.49</v>
      </c>
      <c r="I1487" s="133">
        <v>0.85</v>
      </c>
      <c r="J1487" s="133">
        <v>0</v>
      </c>
      <c r="L1487" s="133">
        <v>0</v>
      </c>
      <c r="M1487" s="133" t="s">
        <v>1096</v>
      </c>
      <c r="N1487" s="133">
        <v>0</v>
      </c>
      <c r="P1487" s="133">
        <v>0</v>
      </c>
      <c r="Q1487" s="133">
        <v>0</v>
      </c>
      <c r="R1487" s="133">
        <v>0</v>
      </c>
      <c r="S1487" s="156"/>
    </row>
    <row r="1488" spans="1:19">
      <c r="A1488" s="133" t="s">
        <v>1188</v>
      </c>
      <c r="B1488" s="133" t="s">
        <v>1175</v>
      </c>
      <c r="C1488" s="133" t="s">
        <v>1000</v>
      </c>
      <c r="D1488" s="133" t="s">
        <v>526</v>
      </c>
      <c r="E1488" s="133" t="s">
        <v>527</v>
      </c>
      <c r="F1488" s="133" t="s">
        <v>712</v>
      </c>
      <c r="G1488" s="133" t="s">
        <v>719</v>
      </c>
      <c r="H1488" s="133">
        <v>1.72</v>
      </c>
      <c r="I1488" s="133">
        <v>3.49</v>
      </c>
      <c r="J1488" s="133">
        <v>198</v>
      </c>
      <c r="L1488" s="133">
        <v>0</v>
      </c>
      <c r="M1488" s="133" t="s">
        <v>1096</v>
      </c>
      <c r="N1488" s="133">
        <v>0</v>
      </c>
      <c r="P1488" s="133">
        <v>0</v>
      </c>
      <c r="Q1488" s="133">
        <v>0</v>
      </c>
      <c r="R1488" s="133">
        <v>0</v>
      </c>
      <c r="S1488" s="156"/>
    </row>
    <row r="1489" spans="1:19">
      <c r="A1489" s="133" t="s">
        <v>1188</v>
      </c>
      <c r="B1489" s="133" t="s">
        <v>1175</v>
      </c>
      <c r="C1489" s="133" t="s">
        <v>1000</v>
      </c>
      <c r="D1489" s="133" t="s">
        <v>528</v>
      </c>
      <c r="E1489" s="133" t="s">
        <v>529</v>
      </c>
      <c r="F1489" s="133" t="s">
        <v>712</v>
      </c>
      <c r="G1489" s="133" t="s">
        <v>719</v>
      </c>
      <c r="H1489" s="133">
        <v>3.6</v>
      </c>
      <c r="I1489" s="133">
        <v>7.59</v>
      </c>
      <c r="J1489" s="133">
        <v>100</v>
      </c>
      <c r="K1489" s="133">
        <v>21</v>
      </c>
      <c r="L1489" s="133">
        <v>30</v>
      </c>
      <c r="M1489" s="133" t="s">
        <v>997</v>
      </c>
      <c r="N1489" s="133">
        <v>0</v>
      </c>
      <c r="P1489" s="133">
        <v>0</v>
      </c>
      <c r="Q1489" s="133">
        <v>30</v>
      </c>
      <c r="R1489" s="133">
        <v>0</v>
      </c>
      <c r="S1489" s="156">
        <v>-0.42857142857142855</v>
      </c>
    </row>
    <row r="1490" spans="1:19">
      <c r="A1490" s="133" t="s">
        <v>1188</v>
      </c>
      <c r="B1490" s="133" t="s">
        <v>1175</v>
      </c>
      <c r="C1490" s="133" t="s">
        <v>1000</v>
      </c>
      <c r="D1490" s="133" t="s">
        <v>530</v>
      </c>
      <c r="E1490" s="133" t="s">
        <v>531</v>
      </c>
      <c r="F1490" s="133" t="s">
        <v>712</v>
      </c>
      <c r="G1490" s="133" t="s">
        <v>719</v>
      </c>
      <c r="H1490" s="133">
        <v>6.89</v>
      </c>
      <c r="I1490" s="133">
        <v>13.99</v>
      </c>
      <c r="J1490" s="133">
        <v>171</v>
      </c>
      <c r="L1490" s="133">
        <v>0</v>
      </c>
      <c r="M1490" s="133" t="s">
        <v>1096</v>
      </c>
      <c r="N1490" s="133">
        <v>0</v>
      </c>
      <c r="P1490" s="133">
        <v>0</v>
      </c>
      <c r="Q1490" s="133">
        <v>0</v>
      </c>
      <c r="R1490" s="133">
        <v>0</v>
      </c>
      <c r="S1490" s="156"/>
    </row>
    <row r="1491" spans="1:19">
      <c r="A1491" s="133" t="s">
        <v>1188</v>
      </c>
      <c r="B1491" s="133" t="s">
        <v>1175</v>
      </c>
      <c r="C1491" s="133" t="s">
        <v>1000</v>
      </c>
      <c r="D1491" s="133" t="s">
        <v>538</v>
      </c>
      <c r="E1491" s="133" t="s">
        <v>539</v>
      </c>
      <c r="F1491" s="133" t="s">
        <v>709</v>
      </c>
      <c r="G1491" s="133" t="s">
        <v>719</v>
      </c>
      <c r="H1491" s="133">
        <v>1.1299999999999999</v>
      </c>
      <c r="I1491" s="133">
        <v>4.07</v>
      </c>
      <c r="J1491" s="133">
        <v>0</v>
      </c>
      <c r="L1491" s="133">
        <v>0</v>
      </c>
      <c r="M1491" s="133" t="s">
        <v>1096</v>
      </c>
      <c r="N1491" s="133">
        <v>0</v>
      </c>
      <c r="P1491" s="133">
        <v>0</v>
      </c>
      <c r="Q1491" s="133">
        <v>0</v>
      </c>
      <c r="R1491" s="133">
        <v>0</v>
      </c>
      <c r="S1491" s="156"/>
    </row>
    <row r="1492" spans="1:19">
      <c r="A1492" s="133" t="s">
        <v>1188</v>
      </c>
      <c r="B1492" s="133" t="s">
        <v>1175</v>
      </c>
      <c r="C1492" s="133" t="s">
        <v>1000</v>
      </c>
      <c r="D1492" s="133" t="s">
        <v>905</v>
      </c>
      <c r="E1492" s="133" t="s">
        <v>967</v>
      </c>
      <c r="F1492" s="133" t="s">
        <v>946</v>
      </c>
      <c r="G1492" s="133" t="s">
        <v>719</v>
      </c>
      <c r="H1492" s="133">
        <v>3.43</v>
      </c>
      <c r="I1492" s="133">
        <v>0</v>
      </c>
      <c r="J1492" s="133">
        <v>0</v>
      </c>
      <c r="L1492" s="133">
        <v>0</v>
      </c>
      <c r="M1492" s="133" t="s">
        <v>1096</v>
      </c>
      <c r="N1492" s="133">
        <v>0</v>
      </c>
      <c r="P1492" s="133">
        <v>0</v>
      </c>
      <c r="Q1492" s="133">
        <v>0</v>
      </c>
      <c r="R1492" s="133">
        <v>0</v>
      </c>
      <c r="S1492" s="156"/>
    </row>
    <row r="1493" spans="1:19">
      <c r="A1493" s="133" t="s">
        <v>1188</v>
      </c>
      <c r="B1493" s="133" t="s">
        <v>1175</v>
      </c>
      <c r="C1493" s="133" t="s">
        <v>1000</v>
      </c>
      <c r="D1493" s="133" t="s">
        <v>906</v>
      </c>
      <c r="E1493" s="133" t="s">
        <v>968</v>
      </c>
      <c r="F1493" s="133" t="s">
        <v>946</v>
      </c>
      <c r="G1493" s="133" t="s">
        <v>719</v>
      </c>
      <c r="H1493" s="133">
        <v>1.48</v>
      </c>
      <c r="I1493" s="133">
        <v>0</v>
      </c>
      <c r="J1493" s="133">
        <v>0</v>
      </c>
      <c r="L1493" s="133">
        <v>0</v>
      </c>
      <c r="M1493" s="133" t="s">
        <v>1096</v>
      </c>
      <c r="N1493" s="133">
        <v>0</v>
      </c>
      <c r="P1493" s="133">
        <v>0</v>
      </c>
      <c r="Q1493" s="133">
        <v>0</v>
      </c>
      <c r="R1493" s="133">
        <v>0</v>
      </c>
      <c r="S1493" s="156"/>
    </row>
    <row r="1494" spans="1:19">
      <c r="A1494" s="133" t="s">
        <v>1188</v>
      </c>
      <c r="B1494" s="133" t="s">
        <v>1175</v>
      </c>
      <c r="C1494" s="133" t="s">
        <v>1000</v>
      </c>
      <c r="D1494" s="133" t="s">
        <v>542</v>
      </c>
      <c r="E1494" s="133" t="s">
        <v>543</v>
      </c>
      <c r="F1494" s="133" t="s">
        <v>707</v>
      </c>
      <c r="G1494" s="133" t="s">
        <v>715</v>
      </c>
      <c r="H1494" s="133">
        <v>1.24</v>
      </c>
      <c r="I1494" s="133">
        <v>2.99</v>
      </c>
      <c r="J1494" s="133">
        <v>337</v>
      </c>
      <c r="L1494" s="133">
        <v>0</v>
      </c>
      <c r="M1494" s="133" t="s">
        <v>1096</v>
      </c>
      <c r="N1494" s="133">
        <v>0</v>
      </c>
      <c r="P1494" s="133">
        <v>0</v>
      </c>
      <c r="Q1494" s="133">
        <v>0</v>
      </c>
      <c r="R1494" s="133">
        <v>0</v>
      </c>
      <c r="S1494" s="156"/>
    </row>
    <row r="1495" spans="1:19">
      <c r="A1495" s="133" t="s">
        <v>1188</v>
      </c>
      <c r="B1495" s="133" t="s">
        <v>1175</v>
      </c>
      <c r="C1495" s="133" t="s">
        <v>1000</v>
      </c>
      <c r="D1495" s="133" t="s">
        <v>544</v>
      </c>
      <c r="E1495" s="133" t="s">
        <v>545</v>
      </c>
      <c r="F1495" s="133" t="s">
        <v>707</v>
      </c>
      <c r="G1495" s="133" t="s">
        <v>715</v>
      </c>
      <c r="H1495" s="133">
        <v>2.27</v>
      </c>
      <c r="I1495" s="133">
        <v>4.99</v>
      </c>
      <c r="J1495" s="133">
        <v>258</v>
      </c>
      <c r="L1495" s="133">
        <v>0</v>
      </c>
      <c r="M1495" s="133" t="s">
        <v>1096</v>
      </c>
      <c r="N1495" s="133">
        <v>0</v>
      </c>
      <c r="P1495" s="133">
        <v>0</v>
      </c>
      <c r="Q1495" s="133">
        <v>0</v>
      </c>
      <c r="R1495" s="133">
        <v>0</v>
      </c>
      <c r="S1495" s="156"/>
    </row>
    <row r="1496" spans="1:19">
      <c r="A1496" s="133" t="s">
        <v>1188</v>
      </c>
      <c r="B1496" s="133" t="s">
        <v>1175</v>
      </c>
      <c r="C1496" s="133" t="s">
        <v>1000</v>
      </c>
      <c r="D1496" s="133" t="s">
        <v>546</v>
      </c>
      <c r="E1496" s="133" t="s">
        <v>547</v>
      </c>
      <c r="F1496" s="133" t="s">
        <v>707</v>
      </c>
      <c r="G1496" s="133" t="s">
        <v>715</v>
      </c>
      <c r="H1496" s="133">
        <v>16.43</v>
      </c>
      <c r="I1496" s="133">
        <v>29.9</v>
      </c>
      <c r="J1496" s="133">
        <v>0</v>
      </c>
      <c r="L1496" s="133">
        <v>0</v>
      </c>
      <c r="M1496" s="133" t="s">
        <v>1096</v>
      </c>
      <c r="N1496" s="133">
        <v>0</v>
      </c>
      <c r="P1496" s="133">
        <v>0</v>
      </c>
      <c r="Q1496" s="133">
        <v>0</v>
      </c>
      <c r="R1496" s="133">
        <v>0</v>
      </c>
      <c r="S1496" s="156"/>
    </row>
    <row r="1497" spans="1:19">
      <c r="A1497" s="133" t="s">
        <v>1188</v>
      </c>
      <c r="B1497" s="133" t="s">
        <v>1175</v>
      </c>
      <c r="C1497" s="133" t="s">
        <v>1000</v>
      </c>
      <c r="D1497" s="133" t="s">
        <v>548</v>
      </c>
      <c r="E1497" s="133" t="s">
        <v>549</v>
      </c>
      <c r="F1497" s="133" t="s">
        <v>707</v>
      </c>
      <c r="G1497" s="133" t="s">
        <v>715</v>
      </c>
      <c r="H1497" s="133">
        <v>3.66</v>
      </c>
      <c r="I1497" s="133">
        <v>8.69</v>
      </c>
      <c r="J1497" s="133">
        <v>200</v>
      </c>
      <c r="L1497" s="133">
        <v>0</v>
      </c>
      <c r="M1497" s="133" t="s">
        <v>1096</v>
      </c>
      <c r="N1497" s="133">
        <v>0</v>
      </c>
      <c r="P1497" s="133">
        <v>0</v>
      </c>
      <c r="Q1497" s="133">
        <v>0</v>
      </c>
      <c r="R1497" s="133">
        <v>0</v>
      </c>
      <c r="S1497" s="156"/>
    </row>
    <row r="1498" spans="1:19">
      <c r="A1498" s="133" t="s">
        <v>1188</v>
      </c>
      <c r="B1498" s="133" t="s">
        <v>1175</v>
      </c>
      <c r="C1498" s="133" t="s">
        <v>1000</v>
      </c>
      <c r="D1498" s="133" t="s">
        <v>553</v>
      </c>
      <c r="E1498" s="133" t="s">
        <v>554</v>
      </c>
      <c r="F1498" s="133" t="s">
        <v>712</v>
      </c>
      <c r="G1498" s="133" t="s">
        <v>715</v>
      </c>
      <c r="H1498" s="133">
        <v>4.62</v>
      </c>
      <c r="I1498" s="133">
        <v>7.59</v>
      </c>
      <c r="J1498" s="133">
        <v>0</v>
      </c>
      <c r="K1498" s="133">
        <v>21</v>
      </c>
      <c r="L1498" s="133">
        <v>21</v>
      </c>
      <c r="M1498" s="133" t="s">
        <v>998</v>
      </c>
      <c r="N1498" s="133">
        <v>0</v>
      </c>
      <c r="P1498" s="133">
        <v>0</v>
      </c>
      <c r="Q1498" s="133">
        <v>21</v>
      </c>
      <c r="R1498" s="133">
        <v>0</v>
      </c>
      <c r="S1498" s="156">
        <v>0</v>
      </c>
    </row>
    <row r="1499" spans="1:19">
      <c r="A1499" s="133" t="s">
        <v>1188</v>
      </c>
      <c r="B1499" s="133" t="s">
        <v>1175</v>
      </c>
      <c r="C1499" s="133" t="s">
        <v>1000</v>
      </c>
      <c r="D1499" s="133" t="s">
        <v>555</v>
      </c>
      <c r="E1499" s="133" t="s">
        <v>556</v>
      </c>
      <c r="F1499" s="133" t="s">
        <v>712</v>
      </c>
      <c r="G1499" s="133" t="s">
        <v>719</v>
      </c>
      <c r="H1499" s="133">
        <v>2.59</v>
      </c>
      <c r="I1499" s="133">
        <v>0</v>
      </c>
      <c r="J1499" s="133">
        <v>1140</v>
      </c>
      <c r="K1499" s="133">
        <v>42</v>
      </c>
      <c r="L1499" s="133">
        <v>42</v>
      </c>
      <c r="M1499" s="133" t="s">
        <v>998</v>
      </c>
      <c r="N1499" s="133">
        <v>0</v>
      </c>
      <c r="P1499" s="133">
        <v>0</v>
      </c>
      <c r="Q1499" s="133">
        <v>42</v>
      </c>
      <c r="R1499" s="133">
        <v>0</v>
      </c>
      <c r="S1499" s="156">
        <v>0</v>
      </c>
    </row>
    <row r="1500" spans="1:19">
      <c r="A1500" s="133" t="s">
        <v>1188</v>
      </c>
      <c r="B1500" s="133" t="s">
        <v>1175</v>
      </c>
      <c r="C1500" s="133" t="s">
        <v>1000</v>
      </c>
      <c r="D1500" s="133" t="s">
        <v>557</v>
      </c>
      <c r="E1500" s="133" t="s">
        <v>558</v>
      </c>
      <c r="F1500" s="133" t="s">
        <v>712</v>
      </c>
      <c r="G1500" s="133" t="s">
        <v>719</v>
      </c>
      <c r="H1500" s="133">
        <v>4.75</v>
      </c>
      <c r="I1500" s="133">
        <v>0</v>
      </c>
      <c r="J1500" s="133">
        <v>2670</v>
      </c>
      <c r="K1500" s="133">
        <v>42</v>
      </c>
      <c r="L1500" s="133">
        <v>42</v>
      </c>
      <c r="M1500" s="133" t="s">
        <v>998</v>
      </c>
      <c r="N1500" s="133">
        <v>0</v>
      </c>
      <c r="P1500" s="133">
        <v>0</v>
      </c>
      <c r="Q1500" s="133">
        <v>42</v>
      </c>
      <c r="R1500" s="133">
        <v>0</v>
      </c>
      <c r="S1500" s="156">
        <v>0</v>
      </c>
    </row>
    <row r="1501" spans="1:19">
      <c r="A1501" s="133" t="s">
        <v>1188</v>
      </c>
      <c r="B1501" s="133" t="s">
        <v>1175</v>
      </c>
      <c r="C1501" s="133" t="s">
        <v>1000</v>
      </c>
      <c r="D1501" s="133" t="s">
        <v>559</v>
      </c>
      <c r="E1501" s="133" t="s">
        <v>560</v>
      </c>
      <c r="F1501" s="133" t="s">
        <v>712</v>
      </c>
      <c r="G1501" s="133" t="s">
        <v>719</v>
      </c>
      <c r="H1501" s="133">
        <v>2.4</v>
      </c>
      <c r="I1501" s="133">
        <v>4.8899999999999997</v>
      </c>
      <c r="J1501" s="133">
        <v>274</v>
      </c>
      <c r="L1501" s="133">
        <v>0</v>
      </c>
      <c r="M1501" s="133" t="s">
        <v>1096</v>
      </c>
      <c r="N1501" s="133">
        <v>0</v>
      </c>
      <c r="P1501" s="133">
        <v>0</v>
      </c>
      <c r="Q1501" s="133">
        <v>0</v>
      </c>
      <c r="R1501" s="133">
        <v>0</v>
      </c>
      <c r="S1501" s="156"/>
    </row>
    <row r="1502" spans="1:19">
      <c r="A1502" s="133" t="s">
        <v>1188</v>
      </c>
      <c r="B1502" s="133" t="s">
        <v>1175</v>
      </c>
      <c r="C1502" s="133" t="s">
        <v>1000</v>
      </c>
      <c r="D1502" s="133" t="s">
        <v>561</v>
      </c>
      <c r="E1502" s="133" t="s">
        <v>562</v>
      </c>
      <c r="F1502" s="133" t="s">
        <v>712</v>
      </c>
      <c r="G1502" s="133" t="s">
        <v>719</v>
      </c>
      <c r="H1502" s="133">
        <v>4.47</v>
      </c>
      <c r="I1502" s="133">
        <v>9.2899999999999991</v>
      </c>
      <c r="J1502" s="133">
        <v>964</v>
      </c>
      <c r="L1502" s="133">
        <v>0</v>
      </c>
      <c r="M1502" s="133" t="s">
        <v>1096</v>
      </c>
      <c r="N1502" s="133">
        <v>0</v>
      </c>
      <c r="P1502" s="133">
        <v>0</v>
      </c>
      <c r="Q1502" s="133">
        <v>0</v>
      </c>
      <c r="R1502" s="133">
        <v>0</v>
      </c>
      <c r="S1502" s="156"/>
    </row>
    <row r="1503" spans="1:19">
      <c r="A1503" s="133" t="s">
        <v>1188</v>
      </c>
      <c r="B1503" s="133" t="s">
        <v>1175</v>
      </c>
      <c r="C1503" s="133" t="s">
        <v>1000</v>
      </c>
      <c r="D1503" s="133" t="s">
        <v>883</v>
      </c>
      <c r="E1503" s="133" t="s">
        <v>969</v>
      </c>
      <c r="F1503" s="133" t="s">
        <v>712</v>
      </c>
      <c r="G1503" s="133" t="s">
        <v>715</v>
      </c>
      <c r="H1503" s="133">
        <v>1.66</v>
      </c>
      <c r="I1503" s="133">
        <v>2.99</v>
      </c>
      <c r="J1503" s="133">
        <v>197</v>
      </c>
      <c r="L1503" s="133">
        <v>0</v>
      </c>
      <c r="M1503" s="133" t="s">
        <v>1096</v>
      </c>
      <c r="N1503" s="133">
        <v>0</v>
      </c>
      <c r="P1503" s="133">
        <v>0</v>
      </c>
      <c r="Q1503" s="133">
        <v>0</v>
      </c>
      <c r="R1503" s="133">
        <v>0</v>
      </c>
      <c r="S1503" s="156"/>
    </row>
    <row r="1504" spans="1:19">
      <c r="A1504" s="133" t="s">
        <v>1188</v>
      </c>
      <c r="B1504" s="133" t="s">
        <v>1175</v>
      </c>
      <c r="C1504" s="133" t="s">
        <v>1000</v>
      </c>
      <c r="D1504" s="133" t="s">
        <v>884</v>
      </c>
      <c r="E1504" s="133" t="s">
        <v>970</v>
      </c>
      <c r="F1504" s="133" t="s">
        <v>712</v>
      </c>
      <c r="G1504" s="133" t="s">
        <v>715</v>
      </c>
      <c r="H1504" s="133">
        <v>13.56</v>
      </c>
      <c r="I1504" s="133">
        <v>24.9</v>
      </c>
      <c r="J1504" s="133">
        <v>141</v>
      </c>
      <c r="L1504" s="133">
        <v>0</v>
      </c>
      <c r="M1504" s="133" t="s">
        <v>1096</v>
      </c>
      <c r="N1504" s="133">
        <v>0</v>
      </c>
      <c r="P1504" s="133">
        <v>0</v>
      </c>
      <c r="Q1504" s="133">
        <v>0</v>
      </c>
      <c r="R1504" s="133">
        <v>0</v>
      </c>
      <c r="S1504" s="156"/>
    </row>
    <row r="1505" spans="1:19">
      <c r="A1505" s="133" t="s">
        <v>1188</v>
      </c>
      <c r="B1505" s="133" t="s">
        <v>1175</v>
      </c>
      <c r="C1505" s="133" t="s">
        <v>1000</v>
      </c>
      <c r="D1505" s="133" t="s">
        <v>576</v>
      </c>
      <c r="E1505" s="133" t="s">
        <v>577</v>
      </c>
      <c r="F1505" s="133" t="s">
        <v>709</v>
      </c>
      <c r="G1505" s="133" t="s">
        <v>715</v>
      </c>
      <c r="H1505" s="133">
        <v>0.97</v>
      </c>
      <c r="I1505" s="133">
        <v>0</v>
      </c>
      <c r="J1505" s="133">
        <v>0</v>
      </c>
      <c r="L1505" s="133">
        <v>0</v>
      </c>
      <c r="M1505" s="133" t="s">
        <v>1096</v>
      </c>
      <c r="N1505" s="133">
        <v>0</v>
      </c>
      <c r="P1505" s="133">
        <v>0</v>
      </c>
      <c r="Q1505" s="133">
        <v>0</v>
      </c>
      <c r="R1505" s="133">
        <v>0</v>
      </c>
      <c r="S1505" s="156"/>
    </row>
    <row r="1506" spans="1:19">
      <c r="A1506" s="133" t="s">
        <v>1188</v>
      </c>
      <c r="B1506" s="133" t="s">
        <v>1175</v>
      </c>
      <c r="C1506" s="133" t="s">
        <v>1000</v>
      </c>
      <c r="D1506" s="133" t="s">
        <v>578</v>
      </c>
      <c r="E1506" s="133" t="s">
        <v>579</v>
      </c>
      <c r="F1506" s="133" t="s">
        <v>709</v>
      </c>
      <c r="G1506" s="133" t="s">
        <v>715</v>
      </c>
      <c r="H1506" s="133">
        <v>2.3199999999999998</v>
      </c>
      <c r="I1506" s="133">
        <v>0</v>
      </c>
      <c r="J1506" s="133">
        <v>0</v>
      </c>
      <c r="L1506" s="133">
        <v>0</v>
      </c>
      <c r="M1506" s="133" t="s">
        <v>1096</v>
      </c>
      <c r="N1506" s="133">
        <v>0</v>
      </c>
      <c r="P1506" s="133">
        <v>0</v>
      </c>
      <c r="Q1506" s="133">
        <v>0</v>
      </c>
      <c r="R1506" s="133">
        <v>0</v>
      </c>
      <c r="S1506" s="156"/>
    </row>
    <row r="1507" spans="1:19">
      <c r="A1507" s="133" t="s">
        <v>1188</v>
      </c>
      <c r="B1507" s="133" t="s">
        <v>1175</v>
      </c>
      <c r="C1507" s="133" t="s">
        <v>1000</v>
      </c>
      <c r="D1507" s="133" t="s">
        <v>580</v>
      </c>
      <c r="E1507" s="133" t="s">
        <v>581</v>
      </c>
      <c r="F1507" s="133" t="s">
        <v>709</v>
      </c>
      <c r="G1507" s="133" t="s">
        <v>715</v>
      </c>
      <c r="H1507" s="133">
        <v>3.92</v>
      </c>
      <c r="I1507" s="133">
        <v>0</v>
      </c>
      <c r="J1507" s="133">
        <v>0</v>
      </c>
      <c r="L1507" s="133">
        <v>0</v>
      </c>
      <c r="M1507" s="133" t="s">
        <v>1096</v>
      </c>
      <c r="N1507" s="133">
        <v>0</v>
      </c>
      <c r="P1507" s="133">
        <v>0</v>
      </c>
      <c r="Q1507" s="133">
        <v>0</v>
      </c>
      <c r="R1507" s="133">
        <v>0</v>
      </c>
      <c r="S1507" s="156"/>
    </row>
    <row r="1508" spans="1:19">
      <c r="A1508" s="133" t="s">
        <v>1188</v>
      </c>
      <c r="B1508" s="133" t="s">
        <v>1175</v>
      </c>
      <c r="C1508" s="133" t="s">
        <v>1000</v>
      </c>
      <c r="D1508" s="133" t="s">
        <v>582</v>
      </c>
      <c r="E1508" s="133" t="s">
        <v>583</v>
      </c>
      <c r="F1508" s="133" t="s">
        <v>709</v>
      </c>
      <c r="G1508" s="133" t="s">
        <v>715</v>
      </c>
      <c r="H1508" s="133">
        <v>9.3000000000000007</v>
      </c>
      <c r="I1508" s="133">
        <v>0</v>
      </c>
      <c r="J1508" s="133">
        <v>0</v>
      </c>
      <c r="L1508" s="133">
        <v>0</v>
      </c>
      <c r="M1508" s="133" t="s">
        <v>1096</v>
      </c>
      <c r="N1508" s="133">
        <v>0</v>
      </c>
      <c r="P1508" s="133">
        <v>0</v>
      </c>
      <c r="Q1508" s="133">
        <v>0</v>
      </c>
      <c r="R1508" s="133">
        <v>0</v>
      </c>
      <c r="S1508" s="156"/>
    </row>
    <row r="1509" spans="1:19">
      <c r="A1509" s="133" t="s">
        <v>1188</v>
      </c>
      <c r="B1509" s="133" t="s">
        <v>1175</v>
      </c>
      <c r="C1509" s="133" t="s">
        <v>1000</v>
      </c>
      <c r="D1509" s="133" t="s">
        <v>584</v>
      </c>
      <c r="E1509" s="133" t="s">
        <v>585</v>
      </c>
      <c r="F1509" s="133" t="s">
        <v>707</v>
      </c>
      <c r="G1509" s="133" t="s">
        <v>715</v>
      </c>
      <c r="H1509" s="133">
        <v>4.09</v>
      </c>
      <c r="I1509" s="133">
        <v>19.95</v>
      </c>
      <c r="J1509" s="133">
        <v>458</v>
      </c>
      <c r="L1509" s="133">
        <v>0</v>
      </c>
      <c r="M1509" s="133" t="s">
        <v>1096</v>
      </c>
      <c r="N1509" s="133">
        <v>0</v>
      </c>
      <c r="P1509" s="133">
        <v>0</v>
      </c>
      <c r="Q1509" s="133">
        <v>0</v>
      </c>
      <c r="R1509" s="133">
        <v>0</v>
      </c>
      <c r="S1509" s="156"/>
    </row>
    <row r="1510" spans="1:19">
      <c r="A1510" s="133" t="s">
        <v>1188</v>
      </c>
      <c r="B1510" s="133" t="s">
        <v>1175</v>
      </c>
      <c r="C1510" s="133" t="s">
        <v>1000</v>
      </c>
      <c r="D1510" s="133" t="s">
        <v>586</v>
      </c>
      <c r="E1510" s="133" t="s">
        <v>587</v>
      </c>
      <c r="F1510" s="133" t="s">
        <v>707</v>
      </c>
      <c r="G1510" s="133" t="s">
        <v>715</v>
      </c>
      <c r="H1510" s="133">
        <v>11.23</v>
      </c>
      <c r="I1510" s="133">
        <v>19.989999999999998</v>
      </c>
      <c r="J1510" s="133">
        <v>0</v>
      </c>
      <c r="L1510" s="133">
        <v>0</v>
      </c>
      <c r="M1510" s="133" t="s">
        <v>1096</v>
      </c>
      <c r="N1510" s="133">
        <v>0</v>
      </c>
      <c r="P1510" s="133">
        <v>0</v>
      </c>
      <c r="Q1510" s="133">
        <v>0</v>
      </c>
      <c r="R1510" s="133">
        <v>0</v>
      </c>
      <c r="S1510" s="156"/>
    </row>
    <row r="1511" spans="1:19">
      <c r="A1511" s="133" t="s">
        <v>1188</v>
      </c>
      <c r="B1511" s="133" t="s">
        <v>1175</v>
      </c>
      <c r="C1511" s="133" t="s">
        <v>1000</v>
      </c>
      <c r="D1511" s="133" t="s">
        <v>588</v>
      </c>
      <c r="E1511" s="133" t="s">
        <v>589</v>
      </c>
      <c r="F1511" s="133" t="s">
        <v>707</v>
      </c>
      <c r="G1511" s="133" t="s">
        <v>715</v>
      </c>
      <c r="H1511" s="133">
        <v>3.05</v>
      </c>
      <c r="I1511" s="133">
        <v>5.39</v>
      </c>
      <c r="J1511" s="133">
        <v>213</v>
      </c>
      <c r="L1511" s="133">
        <v>0</v>
      </c>
      <c r="M1511" s="133" t="s">
        <v>1096</v>
      </c>
      <c r="N1511" s="133">
        <v>0</v>
      </c>
      <c r="P1511" s="133">
        <v>0</v>
      </c>
      <c r="Q1511" s="133">
        <v>0</v>
      </c>
      <c r="R1511" s="133">
        <v>0</v>
      </c>
      <c r="S1511" s="156"/>
    </row>
    <row r="1512" spans="1:19">
      <c r="A1512" s="133" t="s">
        <v>1188</v>
      </c>
      <c r="B1512" s="133" t="s">
        <v>1175</v>
      </c>
      <c r="C1512" s="133" t="s">
        <v>1000</v>
      </c>
      <c r="D1512" s="133" t="s">
        <v>885</v>
      </c>
      <c r="E1512" s="133" t="s">
        <v>971</v>
      </c>
      <c r="F1512" s="133" t="s">
        <v>712</v>
      </c>
      <c r="G1512" s="133" t="s">
        <v>715</v>
      </c>
      <c r="H1512" s="133">
        <v>3.49</v>
      </c>
      <c r="I1512" s="133">
        <v>6.59</v>
      </c>
      <c r="J1512" s="133">
        <v>179</v>
      </c>
      <c r="K1512" s="133">
        <v>21</v>
      </c>
      <c r="L1512" s="133">
        <v>40</v>
      </c>
      <c r="M1512" s="133" t="s">
        <v>997</v>
      </c>
      <c r="N1512" s="133">
        <v>0</v>
      </c>
      <c r="P1512" s="133">
        <v>0</v>
      </c>
      <c r="Q1512" s="133">
        <v>40</v>
      </c>
      <c r="R1512" s="133">
        <v>0</v>
      </c>
      <c r="S1512" s="156">
        <v>-0.90476190476190477</v>
      </c>
    </row>
    <row r="1513" spans="1:19">
      <c r="A1513" s="133" t="s">
        <v>1188</v>
      </c>
      <c r="B1513" s="133" t="s">
        <v>1175</v>
      </c>
      <c r="C1513" s="133" t="s">
        <v>1000</v>
      </c>
      <c r="D1513" s="133" t="s">
        <v>886</v>
      </c>
      <c r="E1513" s="133" t="s">
        <v>972</v>
      </c>
      <c r="F1513" s="133" t="s">
        <v>712</v>
      </c>
      <c r="G1513" s="133" t="s">
        <v>715</v>
      </c>
      <c r="H1513" s="133">
        <v>1.87</v>
      </c>
      <c r="I1513" s="133">
        <v>3.79</v>
      </c>
      <c r="J1513" s="133">
        <v>135</v>
      </c>
      <c r="L1513" s="133">
        <v>0</v>
      </c>
      <c r="M1513" s="133" t="s">
        <v>1096</v>
      </c>
      <c r="N1513" s="133">
        <v>0</v>
      </c>
      <c r="P1513" s="133">
        <v>0</v>
      </c>
      <c r="Q1513" s="133">
        <v>0</v>
      </c>
      <c r="R1513" s="133">
        <v>0</v>
      </c>
      <c r="S1513" s="156"/>
    </row>
    <row r="1514" spans="1:19">
      <c r="A1514" s="133" t="s">
        <v>1188</v>
      </c>
      <c r="B1514" s="133" t="s">
        <v>1175</v>
      </c>
      <c r="C1514" s="133" t="s">
        <v>1000</v>
      </c>
      <c r="D1514" s="133" t="s">
        <v>887</v>
      </c>
      <c r="E1514" s="133" t="s">
        <v>973</v>
      </c>
      <c r="F1514" s="133" t="s">
        <v>712</v>
      </c>
      <c r="G1514" s="133" t="s">
        <v>715</v>
      </c>
      <c r="H1514" s="133">
        <v>6.61</v>
      </c>
      <c r="I1514" s="133">
        <v>11.9</v>
      </c>
      <c r="J1514" s="133">
        <v>162</v>
      </c>
      <c r="K1514" s="133">
        <v>21</v>
      </c>
      <c r="L1514" s="133">
        <v>21</v>
      </c>
      <c r="M1514" s="133" t="s">
        <v>998</v>
      </c>
      <c r="N1514" s="133">
        <v>0</v>
      </c>
      <c r="P1514" s="133">
        <v>0</v>
      </c>
      <c r="Q1514" s="133">
        <v>21</v>
      </c>
      <c r="R1514" s="133">
        <v>0</v>
      </c>
      <c r="S1514" s="156">
        <v>0</v>
      </c>
    </row>
    <row r="1515" spans="1:19">
      <c r="A1515" s="133" t="s">
        <v>1188</v>
      </c>
      <c r="B1515" s="133" t="s">
        <v>1175</v>
      </c>
      <c r="C1515" s="133" t="s">
        <v>1000</v>
      </c>
      <c r="D1515" s="133" t="s">
        <v>594</v>
      </c>
      <c r="E1515" s="133" t="s">
        <v>595</v>
      </c>
      <c r="F1515" s="133" t="s">
        <v>712</v>
      </c>
      <c r="G1515" s="133" t="s">
        <v>715</v>
      </c>
      <c r="H1515" s="133">
        <v>25.89</v>
      </c>
      <c r="I1515" s="133">
        <v>41</v>
      </c>
      <c r="J1515" s="133">
        <v>702</v>
      </c>
      <c r="L1515" s="133">
        <v>0</v>
      </c>
      <c r="M1515" s="133" t="s">
        <v>1096</v>
      </c>
      <c r="N1515" s="133">
        <v>0</v>
      </c>
      <c r="P1515" s="133">
        <v>0</v>
      </c>
      <c r="Q1515" s="133">
        <v>0</v>
      </c>
      <c r="R1515" s="133">
        <v>0</v>
      </c>
      <c r="S1515" s="156"/>
    </row>
    <row r="1516" spans="1:19">
      <c r="A1516" s="133" t="s">
        <v>1188</v>
      </c>
      <c r="B1516" s="133" t="s">
        <v>1175</v>
      </c>
      <c r="C1516" s="133" t="s">
        <v>1000</v>
      </c>
      <c r="D1516" s="133" t="s">
        <v>596</v>
      </c>
      <c r="E1516" s="133" t="s">
        <v>597</v>
      </c>
      <c r="F1516" s="133" t="s">
        <v>712</v>
      </c>
      <c r="G1516" s="133" t="s">
        <v>715</v>
      </c>
      <c r="H1516" s="133">
        <v>2.71</v>
      </c>
      <c r="I1516" s="133">
        <v>4.99</v>
      </c>
      <c r="J1516" s="133">
        <v>243</v>
      </c>
      <c r="K1516" s="133">
        <v>63</v>
      </c>
      <c r="L1516" s="133">
        <v>42</v>
      </c>
      <c r="M1516" s="133" t="s">
        <v>714</v>
      </c>
      <c r="N1516" s="133">
        <v>86</v>
      </c>
      <c r="P1516" s="133">
        <v>0</v>
      </c>
      <c r="Q1516" s="133">
        <v>128</v>
      </c>
      <c r="R1516" s="133">
        <v>0</v>
      </c>
      <c r="S1516" s="156">
        <v>0.33333333333333331</v>
      </c>
    </row>
    <row r="1517" spans="1:19">
      <c r="A1517" s="133" t="s">
        <v>1188</v>
      </c>
      <c r="B1517" s="133" t="s">
        <v>1175</v>
      </c>
      <c r="C1517" s="133" t="s">
        <v>1000</v>
      </c>
      <c r="D1517" s="133" t="s">
        <v>598</v>
      </c>
      <c r="E1517" s="133" t="s">
        <v>599</v>
      </c>
      <c r="F1517" s="133" t="s">
        <v>712</v>
      </c>
      <c r="G1517" s="133" t="s">
        <v>715</v>
      </c>
      <c r="H1517" s="133">
        <v>6.66</v>
      </c>
      <c r="I1517" s="133">
        <v>11.9</v>
      </c>
      <c r="J1517" s="133">
        <v>220</v>
      </c>
      <c r="K1517" s="133">
        <v>21</v>
      </c>
      <c r="L1517" s="133">
        <v>21</v>
      </c>
      <c r="M1517" s="133" t="s">
        <v>998</v>
      </c>
      <c r="N1517" s="133">
        <v>0</v>
      </c>
      <c r="P1517" s="133">
        <v>0</v>
      </c>
      <c r="Q1517" s="133">
        <v>21</v>
      </c>
      <c r="R1517" s="133">
        <v>0</v>
      </c>
      <c r="S1517" s="156">
        <v>0</v>
      </c>
    </row>
    <row r="1518" spans="1:19">
      <c r="A1518" s="133" t="s">
        <v>1188</v>
      </c>
      <c r="B1518" s="133" t="s">
        <v>1175</v>
      </c>
      <c r="C1518" s="133" t="s">
        <v>1000</v>
      </c>
      <c r="D1518" s="133" t="s">
        <v>601</v>
      </c>
      <c r="E1518" s="133" t="s">
        <v>602</v>
      </c>
      <c r="F1518" s="133" t="s">
        <v>712</v>
      </c>
      <c r="G1518" s="133" t="s">
        <v>715</v>
      </c>
      <c r="H1518" s="133">
        <v>349.85</v>
      </c>
      <c r="I1518" s="133">
        <v>729</v>
      </c>
      <c r="J1518" s="133">
        <v>0</v>
      </c>
      <c r="L1518" s="133">
        <v>0</v>
      </c>
      <c r="M1518" s="133" t="s">
        <v>1096</v>
      </c>
      <c r="N1518" s="133">
        <v>0</v>
      </c>
      <c r="P1518" s="133">
        <v>0</v>
      </c>
      <c r="Q1518" s="133">
        <v>0</v>
      </c>
      <c r="R1518" s="133">
        <v>0</v>
      </c>
      <c r="S1518" s="156"/>
    </row>
    <row r="1519" spans="1:19">
      <c r="A1519" s="133" t="s">
        <v>1188</v>
      </c>
      <c r="B1519" s="133" t="s">
        <v>1175</v>
      </c>
      <c r="C1519" s="133" t="s">
        <v>1000</v>
      </c>
      <c r="D1519" s="133" t="s">
        <v>603</v>
      </c>
      <c r="E1519" s="133" t="s">
        <v>604</v>
      </c>
      <c r="F1519" s="133" t="s">
        <v>712</v>
      </c>
      <c r="G1519" s="133" t="s">
        <v>715</v>
      </c>
      <c r="H1519" s="133">
        <v>20.54</v>
      </c>
      <c r="I1519" s="133">
        <v>41</v>
      </c>
      <c r="J1519" s="133">
        <v>0</v>
      </c>
      <c r="L1519" s="133">
        <v>0</v>
      </c>
      <c r="M1519" s="133" t="s">
        <v>1096</v>
      </c>
      <c r="N1519" s="133">
        <v>0</v>
      </c>
      <c r="P1519" s="133">
        <v>0</v>
      </c>
      <c r="Q1519" s="133">
        <v>0</v>
      </c>
      <c r="R1519" s="133">
        <v>0</v>
      </c>
      <c r="S1519" s="156"/>
    </row>
    <row r="1520" spans="1:19">
      <c r="A1520" s="133" t="s">
        <v>1188</v>
      </c>
      <c r="B1520" s="133" t="s">
        <v>1175</v>
      </c>
      <c r="C1520" s="133" t="s">
        <v>1000</v>
      </c>
      <c r="D1520" s="133" t="s">
        <v>605</v>
      </c>
      <c r="E1520" s="133" t="s">
        <v>606</v>
      </c>
      <c r="F1520" s="133" t="s">
        <v>709</v>
      </c>
      <c r="G1520" s="133" t="s">
        <v>719</v>
      </c>
      <c r="H1520" s="133">
        <v>1.35</v>
      </c>
      <c r="I1520" s="133">
        <v>8.69</v>
      </c>
      <c r="J1520" s="133">
        <v>1048</v>
      </c>
      <c r="K1520" s="133">
        <v>63</v>
      </c>
      <c r="L1520" s="133">
        <v>104</v>
      </c>
      <c r="M1520" s="133" t="s">
        <v>997</v>
      </c>
      <c r="N1520" s="133">
        <v>0</v>
      </c>
      <c r="P1520" s="133">
        <v>0</v>
      </c>
      <c r="Q1520" s="133">
        <v>104</v>
      </c>
      <c r="R1520" s="133">
        <v>0</v>
      </c>
      <c r="S1520" s="156">
        <v>-0.65079365079365081</v>
      </c>
    </row>
    <row r="1521" spans="1:19">
      <c r="A1521" s="133" t="s">
        <v>1188</v>
      </c>
      <c r="B1521" s="133" t="s">
        <v>1175</v>
      </c>
      <c r="C1521" s="133" t="s">
        <v>1000</v>
      </c>
      <c r="D1521" s="133" t="s">
        <v>607</v>
      </c>
      <c r="E1521" s="133" t="s">
        <v>608</v>
      </c>
      <c r="F1521" s="133" t="s">
        <v>709</v>
      </c>
      <c r="G1521" s="133" t="s">
        <v>719</v>
      </c>
      <c r="H1521" s="133">
        <v>0.99</v>
      </c>
      <c r="I1521" s="133">
        <v>4.8899999999999997</v>
      </c>
      <c r="J1521" s="133">
        <v>0</v>
      </c>
      <c r="L1521" s="133">
        <v>0</v>
      </c>
      <c r="M1521" s="133" t="s">
        <v>1096</v>
      </c>
      <c r="N1521" s="133">
        <v>0</v>
      </c>
      <c r="P1521" s="133">
        <v>0</v>
      </c>
      <c r="Q1521" s="133">
        <v>0</v>
      </c>
      <c r="R1521" s="133">
        <v>0</v>
      </c>
      <c r="S1521" s="156"/>
    </row>
    <row r="1522" spans="1:19">
      <c r="A1522" s="133" t="s">
        <v>1188</v>
      </c>
      <c r="B1522" s="133" t="s">
        <v>1175</v>
      </c>
      <c r="C1522" s="133" t="s">
        <v>1000</v>
      </c>
      <c r="D1522" s="133" t="s">
        <v>609</v>
      </c>
      <c r="E1522" s="133" t="s">
        <v>610</v>
      </c>
      <c r="F1522" s="133" t="s">
        <v>709</v>
      </c>
      <c r="G1522" s="133" t="s">
        <v>719</v>
      </c>
      <c r="H1522" s="133">
        <v>5.9</v>
      </c>
      <c r="I1522" s="133">
        <v>34.9</v>
      </c>
      <c r="J1522" s="133">
        <v>20</v>
      </c>
      <c r="L1522" s="133">
        <v>0</v>
      </c>
      <c r="M1522" s="133" t="s">
        <v>1096</v>
      </c>
      <c r="N1522" s="133">
        <v>0</v>
      </c>
      <c r="P1522" s="133">
        <v>0</v>
      </c>
      <c r="Q1522" s="133">
        <v>0</v>
      </c>
      <c r="R1522" s="133">
        <v>0</v>
      </c>
      <c r="S1522" s="156"/>
    </row>
    <row r="1523" spans="1:19">
      <c r="A1523" s="133" t="s">
        <v>1188</v>
      </c>
      <c r="B1523" s="133" t="s">
        <v>1175</v>
      </c>
      <c r="C1523" s="133" t="s">
        <v>1000</v>
      </c>
      <c r="D1523" s="133" t="s">
        <v>611</v>
      </c>
      <c r="E1523" s="133" t="s">
        <v>612</v>
      </c>
      <c r="F1523" s="133" t="s">
        <v>712</v>
      </c>
      <c r="G1523" s="133" t="s">
        <v>719</v>
      </c>
      <c r="H1523" s="133">
        <v>0.76</v>
      </c>
      <c r="I1523" s="133">
        <v>2.29</v>
      </c>
      <c r="J1523" s="133">
        <v>407</v>
      </c>
      <c r="K1523" s="133">
        <v>42</v>
      </c>
      <c r="L1523" s="133">
        <v>42</v>
      </c>
      <c r="M1523" s="133" t="s">
        <v>998</v>
      </c>
      <c r="N1523" s="133">
        <v>0</v>
      </c>
      <c r="P1523" s="133">
        <v>0</v>
      </c>
      <c r="Q1523" s="133">
        <v>42</v>
      </c>
      <c r="R1523" s="133">
        <v>0</v>
      </c>
      <c r="S1523" s="156">
        <v>0</v>
      </c>
    </row>
    <row r="1524" spans="1:19">
      <c r="A1524" s="133" t="s">
        <v>1188</v>
      </c>
      <c r="B1524" s="133" t="s">
        <v>1175</v>
      </c>
      <c r="C1524" s="133" t="s">
        <v>1000</v>
      </c>
      <c r="D1524" s="133" t="s">
        <v>613</v>
      </c>
      <c r="E1524" s="133" t="s">
        <v>614</v>
      </c>
      <c r="F1524" s="133" t="s">
        <v>712</v>
      </c>
      <c r="G1524" s="133" t="s">
        <v>719</v>
      </c>
      <c r="H1524" s="133">
        <v>3.05</v>
      </c>
      <c r="I1524" s="133">
        <v>7.84</v>
      </c>
      <c r="J1524" s="133">
        <v>256</v>
      </c>
      <c r="L1524" s="133">
        <v>0</v>
      </c>
      <c r="M1524" s="133" t="s">
        <v>1096</v>
      </c>
      <c r="N1524" s="133">
        <v>0</v>
      </c>
      <c r="P1524" s="133">
        <v>0</v>
      </c>
      <c r="Q1524" s="133">
        <v>0</v>
      </c>
      <c r="R1524" s="133">
        <v>0</v>
      </c>
      <c r="S1524" s="156"/>
    </row>
    <row r="1525" spans="1:19">
      <c r="A1525" s="133" t="s">
        <v>1188</v>
      </c>
      <c r="B1525" s="133" t="s">
        <v>1175</v>
      </c>
      <c r="C1525" s="133" t="s">
        <v>1000</v>
      </c>
      <c r="D1525" s="133" t="s">
        <v>615</v>
      </c>
      <c r="E1525" s="133" t="s">
        <v>616</v>
      </c>
      <c r="F1525" s="133" t="s">
        <v>712</v>
      </c>
      <c r="G1525" s="133" t="s">
        <v>719</v>
      </c>
      <c r="H1525" s="133">
        <v>5.97</v>
      </c>
      <c r="I1525" s="133">
        <v>14.39</v>
      </c>
      <c r="J1525" s="133">
        <v>267</v>
      </c>
      <c r="L1525" s="133">
        <v>0</v>
      </c>
      <c r="M1525" s="133" t="s">
        <v>1096</v>
      </c>
      <c r="N1525" s="133">
        <v>0</v>
      </c>
      <c r="P1525" s="133">
        <v>0</v>
      </c>
      <c r="Q1525" s="133">
        <v>0</v>
      </c>
      <c r="R1525" s="133">
        <v>0</v>
      </c>
      <c r="S1525" s="156"/>
    </row>
    <row r="1526" spans="1:19">
      <c r="A1526" s="133" t="s">
        <v>1188</v>
      </c>
      <c r="B1526" s="133" t="s">
        <v>1175</v>
      </c>
      <c r="C1526" s="133" t="s">
        <v>1000</v>
      </c>
      <c r="D1526" s="133" t="s">
        <v>617</v>
      </c>
      <c r="E1526" s="133" t="s">
        <v>618</v>
      </c>
      <c r="F1526" s="133" t="s">
        <v>709</v>
      </c>
      <c r="G1526" s="133" t="s">
        <v>719</v>
      </c>
      <c r="H1526" s="133">
        <v>2.37</v>
      </c>
      <c r="I1526" s="133">
        <v>6.3</v>
      </c>
      <c r="J1526" s="133">
        <v>935</v>
      </c>
      <c r="L1526" s="133">
        <v>0</v>
      </c>
      <c r="M1526" s="133" t="s">
        <v>1096</v>
      </c>
      <c r="N1526" s="133">
        <v>0</v>
      </c>
      <c r="P1526" s="133">
        <v>0</v>
      </c>
      <c r="Q1526" s="133">
        <v>0</v>
      </c>
      <c r="R1526" s="133">
        <v>0</v>
      </c>
      <c r="S1526" s="156"/>
    </row>
    <row r="1527" spans="1:19">
      <c r="A1527" s="133" t="s">
        <v>1188</v>
      </c>
      <c r="B1527" s="133" t="s">
        <v>1175</v>
      </c>
      <c r="C1527" s="133" t="s">
        <v>1000</v>
      </c>
      <c r="D1527" s="133" t="s">
        <v>619</v>
      </c>
      <c r="E1527" s="133" t="s">
        <v>620</v>
      </c>
      <c r="F1527" s="133" t="s">
        <v>709</v>
      </c>
      <c r="G1527" s="133" t="s">
        <v>719</v>
      </c>
      <c r="H1527" s="133">
        <v>11.05</v>
      </c>
      <c r="I1527" s="133">
        <v>29</v>
      </c>
      <c r="J1527" s="133">
        <v>64</v>
      </c>
      <c r="L1527" s="133">
        <v>0</v>
      </c>
      <c r="M1527" s="133" t="s">
        <v>1096</v>
      </c>
      <c r="N1527" s="133">
        <v>0</v>
      </c>
      <c r="P1527" s="133">
        <v>0</v>
      </c>
      <c r="Q1527" s="133">
        <v>0</v>
      </c>
      <c r="R1527" s="133">
        <v>0</v>
      </c>
      <c r="S1527" s="156"/>
    </row>
    <row r="1528" spans="1:19">
      <c r="A1528" s="133" t="s">
        <v>1188</v>
      </c>
      <c r="B1528" s="133" t="s">
        <v>1175</v>
      </c>
      <c r="C1528" s="133" t="s">
        <v>1000</v>
      </c>
      <c r="D1528" s="133" t="s">
        <v>621</v>
      </c>
      <c r="E1528" s="133" t="s">
        <v>622</v>
      </c>
      <c r="F1528" s="133" t="s">
        <v>712</v>
      </c>
      <c r="G1528" s="133" t="s">
        <v>719</v>
      </c>
      <c r="H1528" s="133">
        <v>0.7</v>
      </c>
      <c r="I1528" s="133">
        <v>1.99</v>
      </c>
      <c r="J1528" s="133">
        <v>52</v>
      </c>
      <c r="L1528" s="133">
        <v>0</v>
      </c>
      <c r="M1528" s="133" t="s">
        <v>1096</v>
      </c>
      <c r="N1528" s="133">
        <v>0</v>
      </c>
      <c r="P1528" s="133">
        <v>0</v>
      </c>
      <c r="Q1528" s="133">
        <v>0</v>
      </c>
      <c r="R1528" s="133">
        <v>0</v>
      </c>
      <c r="S1528" s="156"/>
    </row>
    <row r="1529" spans="1:19">
      <c r="A1529" s="133" t="s">
        <v>1188</v>
      </c>
      <c r="B1529" s="133" t="s">
        <v>1175</v>
      </c>
      <c r="C1529" s="133" t="s">
        <v>1000</v>
      </c>
      <c r="D1529" s="133" t="s">
        <v>623</v>
      </c>
      <c r="E1529" s="133" t="s">
        <v>624</v>
      </c>
      <c r="F1529" s="133" t="s">
        <v>712</v>
      </c>
      <c r="G1529" s="133" t="s">
        <v>719</v>
      </c>
      <c r="H1529" s="133">
        <v>1.3</v>
      </c>
      <c r="I1529" s="133">
        <v>2.99</v>
      </c>
      <c r="J1529" s="133">
        <v>448</v>
      </c>
      <c r="K1529" s="133">
        <v>63</v>
      </c>
      <c r="L1529" s="133">
        <v>-21</v>
      </c>
      <c r="M1529" s="133" t="s">
        <v>1191</v>
      </c>
      <c r="N1529" s="133">
        <v>149</v>
      </c>
      <c r="P1529" s="133">
        <v>0</v>
      </c>
      <c r="Q1529" s="133">
        <v>128</v>
      </c>
      <c r="R1529" s="133">
        <v>0</v>
      </c>
      <c r="S1529" s="156">
        <v>1.3333333333333333</v>
      </c>
    </row>
    <row r="1530" spans="1:19">
      <c r="A1530" s="133" t="s">
        <v>1188</v>
      </c>
      <c r="B1530" s="133" t="s">
        <v>1175</v>
      </c>
      <c r="C1530" s="133" t="s">
        <v>1000</v>
      </c>
      <c r="D1530" s="133" t="s">
        <v>625</v>
      </c>
      <c r="E1530" s="133" t="s">
        <v>626</v>
      </c>
      <c r="F1530" s="133" t="s">
        <v>712</v>
      </c>
      <c r="G1530" s="133" t="s">
        <v>719</v>
      </c>
      <c r="H1530" s="133">
        <v>6</v>
      </c>
      <c r="I1530" s="133">
        <v>12.99</v>
      </c>
      <c r="J1530" s="133">
        <v>539</v>
      </c>
      <c r="L1530" s="133">
        <v>0</v>
      </c>
      <c r="M1530" s="133" t="s">
        <v>1096</v>
      </c>
      <c r="N1530" s="133">
        <v>0</v>
      </c>
      <c r="P1530" s="133">
        <v>0</v>
      </c>
      <c r="Q1530" s="133">
        <v>0</v>
      </c>
      <c r="R1530" s="133">
        <v>0</v>
      </c>
      <c r="S1530" s="156"/>
    </row>
    <row r="1531" spans="1:19">
      <c r="A1531" s="133" t="s">
        <v>1188</v>
      </c>
      <c r="B1531" s="133" t="s">
        <v>1175</v>
      </c>
      <c r="C1531" s="133" t="s">
        <v>1000</v>
      </c>
      <c r="D1531" s="133" t="s">
        <v>627</v>
      </c>
      <c r="E1531" s="133" t="s">
        <v>628</v>
      </c>
      <c r="F1531" s="133" t="s">
        <v>712</v>
      </c>
      <c r="G1531" s="133" t="s">
        <v>715</v>
      </c>
      <c r="H1531" s="133">
        <v>1.05</v>
      </c>
      <c r="I1531" s="133">
        <v>2.59</v>
      </c>
      <c r="J1531" s="133">
        <v>116</v>
      </c>
      <c r="L1531" s="133">
        <v>0</v>
      </c>
      <c r="M1531" s="133" t="s">
        <v>1096</v>
      </c>
      <c r="N1531" s="133">
        <v>0</v>
      </c>
      <c r="P1531" s="133">
        <v>0</v>
      </c>
      <c r="Q1531" s="133">
        <v>0</v>
      </c>
      <c r="R1531" s="133">
        <v>0</v>
      </c>
      <c r="S1531" s="156"/>
    </row>
    <row r="1532" spans="1:19">
      <c r="A1532" s="133" t="s">
        <v>1188</v>
      </c>
      <c r="B1532" s="133" t="s">
        <v>1175</v>
      </c>
      <c r="C1532" s="133" t="s">
        <v>1000</v>
      </c>
      <c r="D1532" s="133" t="s">
        <v>629</v>
      </c>
      <c r="E1532" s="133" t="s">
        <v>630</v>
      </c>
      <c r="F1532" s="133" t="s">
        <v>712</v>
      </c>
      <c r="G1532" s="133" t="s">
        <v>715</v>
      </c>
      <c r="H1532" s="133">
        <v>2.27</v>
      </c>
      <c r="I1532" s="133">
        <v>5.49</v>
      </c>
      <c r="J1532" s="133">
        <v>317</v>
      </c>
      <c r="K1532" s="133">
        <v>21</v>
      </c>
      <c r="L1532" s="133">
        <v>10</v>
      </c>
      <c r="M1532" s="133" t="s">
        <v>714</v>
      </c>
      <c r="N1532" s="133">
        <v>41</v>
      </c>
      <c r="P1532" s="133">
        <v>0</v>
      </c>
      <c r="Q1532" s="133">
        <v>51</v>
      </c>
      <c r="R1532" s="133">
        <v>0</v>
      </c>
      <c r="S1532" s="156">
        <v>0.52380952380952384</v>
      </c>
    </row>
    <row r="1533" spans="1:19">
      <c r="A1533" s="133" t="s">
        <v>1188</v>
      </c>
      <c r="B1533" s="133" t="s">
        <v>1175</v>
      </c>
      <c r="C1533" s="133" t="s">
        <v>1000</v>
      </c>
      <c r="D1533" s="133" t="s">
        <v>631</v>
      </c>
      <c r="E1533" s="133" t="s">
        <v>632</v>
      </c>
      <c r="F1533" s="133" t="s">
        <v>712</v>
      </c>
      <c r="G1533" s="133" t="s">
        <v>715</v>
      </c>
      <c r="H1533" s="133">
        <v>4.3600000000000003</v>
      </c>
      <c r="I1533" s="133">
        <v>9.99</v>
      </c>
      <c r="J1533" s="133">
        <v>132</v>
      </c>
      <c r="L1533" s="133">
        <v>0</v>
      </c>
      <c r="M1533" s="133" t="s">
        <v>1096</v>
      </c>
      <c r="N1533" s="133">
        <v>0</v>
      </c>
      <c r="P1533" s="133">
        <v>0</v>
      </c>
      <c r="Q1533" s="133">
        <v>0</v>
      </c>
      <c r="R1533" s="133">
        <v>0</v>
      </c>
      <c r="S1533" s="156"/>
    </row>
    <row r="1534" spans="1:19">
      <c r="A1534" s="133" t="s">
        <v>1188</v>
      </c>
      <c r="B1534" s="133" t="s">
        <v>1175</v>
      </c>
      <c r="C1534" s="133" t="s">
        <v>1000</v>
      </c>
      <c r="D1534" s="133" t="s">
        <v>633</v>
      </c>
      <c r="E1534" s="133" t="s">
        <v>634</v>
      </c>
      <c r="F1534" s="133" t="s">
        <v>712</v>
      </c>
      <c r="G1534" s="133" t="s">
        <v>715</v>
      </c>
      <c r="H1534" s="133">
        <v>8.4600000000000009</v>
      </c>
      <c r="I1534" s="133">
        <v>18.989999999999998</v>
      </c>
      <c r="J1534" s="133">
        <v>450</v>
      </c>
      <c r="K1534" s="133">
        <v>12</v>
      </c>
      <c r="L1534" s="133">
        <v>-12</v>
      </c>
      <c r="M1534" s="133" t="s">
        <v>1191</v>
      </c>
      <c r="N1534" s="133">
        <v>24</v>
      </c>
      <c r="P1534" s="133">
        <v>0</v>
      </c>
      <c r="Q1534" s="133">
        <v>12</v>
      </c>
      <c r="R1534" s="133">
        <v>0</v>
      </c>
      <c r="S1534" s="156">
        <v>2</v>
      </c>
    </row>
    <row r="1535" spans="1:19">
      <c r="A1535" s="133" t="s">
        <v>1188</v>
      </c>
      <c r="B1535" s="133" t="s">
        <v>1175</v>
      </c>
      <c r="C1535" s="133" t="s">
        <v>1000</v>
      </c>
      <c r="D1535" s="133" t="s">
        <v>635</v>
      </c>
      <c r="E1535" s="133" t="s">
        <v>636</v>
      </c>
      <c r="F1535" s="133" t="s">
        <v>709</v>
      </c>
      <c r="G1535" s="133" t="s">
        <v>719</v>
      </c>
      <c r="H1535" s="133">
        <v>0.82</v>
      </c>
      <c r="I1535" s="133">
        <v>1.99</v>
      </c>
      <c r="J1535" s="133">
        <v>497</v>
      </c>
      <c r="K1535" s="133">
        <v>21</v>
      </c>
      <c r="L1535" s="133">
        <v>21</v>
      </c>
      <c r="M1535" s="133" t="s">
        <v>998</v>
      </c>
      <c r="N1535" s="133">
        <v>0</v>
      </c>
      <c r="P1535" s="133">
        <v>0</v>
      </c>
      <c r="Q1535" s="133">
        <v>21</v>
      </c>
      <c r="R1535" s="133">
        <v>0</v>
      </c>
      <c r="S1535" s="156">
        <v>0</v>
      </c>
    </row>
    <row r="1536" spans="1:19">
      <c r="A1536" s="133" t="s">
        <v>1188</v>
      </c>
      <c r="B1536" s="133" t="s">
        <v>1175</v>
      </c>
      <c r="C1536" s="133" t="s">
        <v>1000</v>
      </c>
      <c r="D1536" s="133" t="s">
        <v>637</v>
      </c>
      <c r="E1536" s="133" t="s">
        <v>638</v>
      </c>
      <c r="F1536" s="133" t="s">
        <v>709</v>
      </c>
      <c r="G1536" s="133" t="s">
        <v>719</v>
      </c>
      <c r="H1536" s="133">
        <v>1.35</v>
      </c>
      <c r="I1536" s="133">
        <v>3.59</v>
      </c>
      <c r="J1536" s="133">
        <v>1748</v>
      </c>
      <c r="K1536" s="133">
        <v>63</v>
      </c>
      <c r="L1536" s="133">
        <v>63</v>
      </c>
      <c r="M1536" s="133" t="s">
        <v>998</v>
      </c>
      <c r="N1536" s="133">
        <v>0</v>
      </c>
      <c r="P1536" s="133">
        <v>0</v>
      </c>
      <c r="Q1536" s="133">
        <v>63</v>
      </c>
      <c r="R1536" s="133">
        <v>0</v>
      </c>
      <c r="S1536" s="156">
        <v>0</v>
      </c>
    </row>
    <row r="1537" spans="1:19">
      <c r="A1537" s="10" t="s">
        <v>1188</v>
      </c>
      <c r="B1537" s="10" t="s">
        <v>1175</v>
      </c>
      <c r="C1537" s="10" t="s">
        <v>1000</v>
      </c>
      <c r="D1537" s="10" t="s">
        <v>639</v>
      </c>
      <c r="E1537" s="10" t="s">
        <v>640</v>
      </c>
      <c r="F1537" s="10" t="s">
        <v>709</v>
      </c>
      <c r="G1537" s="10" t="s">
        <v>719</v>
      </c>
      <c r="H1537" s="10">
        <v>2.34</v>
      </c>
      <c r="I1537" s="10">
        <v>5.79</v>
      </c>
      <c r="J1537" s="10">
        <v>618</v>
      </c>
      <c r="K1537" s="10">
        <v>21</v>
      </c>
      <c r="L1537" s="10">
        <v>21</v>
      </c>
      <c r="M1537" s="10" t="s">
        <v>998</v>
      </c>
      <c r="N1537" s="10">
        <v>0</v>
      </c>
      <c r="O1537" s="10"/>
      <c r="P1537" s="10">
        <v>0</v>
      </c>
      <c r="Q1537" s="10">
        <v>21</v>
      </c>
      <c r="R1537" s="10">
        <v>0</v>
      </c>
      <c r="S1537" s="155">
        <v>0</v>
      </c>
    </row>
    <row r="1538" spans="1:19">
      <c r="A1538" s="133" t="s">
        <v>1188</v>
      </c>
      <c r="B1538" s="133" t="s">
        <v>1175</v>
      </c>
      <c r="C1538" s="133" t="s">
        <v>1000</v>
      </c>
      <c r="D1538" s="133" t="s">
        <v>641</v>
      </c>
      <c r="E1538" s="133" t="s">
        <v>642</v>
      </c>
      <c r="F1538" s="133" t="s">
        <v>709</v>
      </c>
      <c r="G1538" s="133" t="s">
        <v>719</v>
      </c>
      <c r="H1538" s="133">
        <v>5.27</v>
      </c>
      <c r="I1538" s="133">
        <v>11.5</v>
      </c>
      <c r="J1538" s="133">
        <v>724</v>
      </c>
      <c r="K1538" s="133">
        <v>6</v>
      </c>
      <c r="L1538" s="133">
        <v>6</v>
      </c>
      <c r="M1538" s="133" t="s">
        <v>998</v>
      </c>
      <c r="N1538" s="133">
        <v>0</v>
      </c>
      <c r="P1538" s="133">
        <v>0</v>
      </c>
      <c r="Q1538" s="133">
        <v>6</v>
      </c>
      <c r="R1538" s="133">
        <v>0</v>
      </c>
      <c r="S1538" s="156">
        <v>0</v>
      </c>
    </row>
    <row r="1539" spans="1:19">
      <c r="A1539" s="133" t="s">
        <v>1188</v>
      </c>
      <c r="B1539" s="133" t="s">
        <v>1175</v>
      </c>
      <c r="C1539" s="133" t="s">
        <v>1000</v>
      </c>
      <c r="D1539" s="133" t="s">
        <v>647</v>
      </c>
      <c r="E1539" s="133" t="s">
        <v>648</v>
      </c>
      <c r="F1539" s="133" t="s">
        <v>708</v>
      </c>
      <c r="G1539" s="133" t="s">
        <v>715</v>
      </c>
      <c r="H1539" s="133">
        <v>10.039999999999999</v>
      </c>
      <c r="I1539" s="133">
        <v>24.9</v>
      </c>
      <c r="J1539" s="133">
        <v>861</v>
      </c>
      <c r="L1539" s="133">
        <v>0</v>
      </c>
      <c r="M1539" s="133" t="s">
        <v>1096</v>
      </c>
      <c r="N1539" s="133">
        <v>0</v>
      </c>
      <c r="P1539" s="133">
        <v>0</v>
      </c>
      <c r="Q1539" s="133">
        <v>0</v>
      </c>
      <c r="R1539" s="133">
        <v>0</v>
      </c>
      <c r="S1539" s="156"/>
    </row>
    <row r="1540" spans="1:19">
      <c r="A1540" s="133" t="s">
        <v>1188</v>
      </c>
      <c r="B1540" s="133" t="s">
        <v>1175</v>
      </c>
      <c r="C1540" s="133" t="s">
        <v>1000</v>
      </c>
      <c r="D1540" s="133" t="s">
        <v>649</v>
      </c>
      <c r="E1540" s="133" t="s">
        <v>650</v>
      </c>
      <c r="F1540" s="133" t="s">
        <v>708</v>
      </c>
      <c r="G1540" s="133" t="s">
        <v>715</v>
      </c>
      <c r="H1540" s="133">
        <v>50.77</v>
      </c>
      <c r="I1540" s="133">
        <v>109.81</v>
      </c>
      <c r="J1540" s="133">
        <v>5</v>
      </c>
      <c r="L1540" s="133">
        <v>0</v>
      </c>
      <c r="M1540" s="133" t="s">
        <v>1096</v>
      </c>
      <c r="N1540" s="133">
        <v>0</v>
      </c>
      <c r="P1540" s="133">
        <v>0</v>
      </c>
      <c r="Q1540" s="133">
        <v>0</v>
      </c>
      <c r="R1540" s="133">
        <v>0</v>
      </c>
      <c r="S1540" s="156"/>
    </row>
    <row r="1541" spans="1:19">
      <c r="A1541" s="133" t="s">
        <v>1188</v>
      </c>
      <c r="B1541" s="133" t="s">
        <v>1175</v>
      </c>
      <c r="C1541" s="133" t="s">
        <v>1000</v>
      </c>
      <c r="D1541" s="133" t="s">
        <v>659</v>
      </c>
      <c r="E1541" s="133" t="s">
        <v>660</v>
      </c>
      <c r="F1541" s="133" t="s">
        <v>707</v>
      </c>
      <c r="G1541" s="133" t="s">
        <v>732</v>
      </c>
      <c r="H1541" s="133">
        <v>121.78</v>
      </c>
      <c r="I1541" s="133">
        <v>189</v>
      </c>
      <c r="J1541" s="133">
        <v>1</v>
      </c>
      <c r="L1541" s="133">
        <v>0</v>
      </c>
      <c r="M1541" s="133" t="s">
        <v>1096</v>
      </c>
      <c r="N1541" s="133">
        <v>0</v>
      </c>
      <c r="P1541" s="133">
        <v>0</v>
      </c>
      <c r="Q1541" s="133">
        <v>0</v>
      </c>
      <c r="R1541" s="133">
        <v>0</v>
      </c>
      <c r="S1541" s="156"/>
    </row>
    <row r="1542" spans="1:19">
      <c r="A1542" s="133" t="s">
        <v>1188</v>
      </c>
      <c r="B1542" s="133" t="s">
        <v>1175</v>
      </c>
      <c r="C1542" s="133" t="s">
        <v>1000</v>
      </c>
      <c r="D1542" s="133" t="s">
        <v>661</v>
      </c>
      <c r="E1542" s="133" t="s">
        <v>662</v>
      </c>
      <c r="F1542" s="133" t="s">
        <v>707</v>
      </c>
      <c r="G1542" s="133" t="s">
        <v>732</v>
      </c>
      <c r="H1542" s="133">
        <v>24.73</v>
      </c>
      <c r="I1542" s="133">
        <v>38.4</v>
      </c>
      <c r="J1542" s="133">
        <v>8</v>
      </c>
      <c r="L1542" s="133">
        <v>0</v>
      </c>
      <c r="M1542" s="133" t="s">
        <v>1096</v>
      </c>
      <c r="N1542" s="133">
        <v>0</v>
      </c>
      <c r="P1542" s="133">
        <v>0</v>
      </c>
      <c r="Q1542" s="133">
        <v>0</v>
      </c>
      <c r="R1542" s="133">
        <v>0</v>
      </c>
      <c r="S1542" s="156"/>
    </row>
    <row r="1543" spans="1:19">
      <c r="A1543" s="133" t="s">
        <v>1188</v>
      </c>
      <c r="B1543" s="133" t="s">
        <v>1175</v>
      </c>
      <c r="C1543" s="133" t="s">
        <v>1000</v>
      </c>
      <c r="D1543" s="133" t="s">
        <v>663</v>
      </c>
      <c r="E1543" s="133" t="s">
        <v>664</v>
      </c>
      <c r="F1543" s="133" t="s">
        <v>707</v>
      </c>
      <c r="G1543" s="133" t="s">
        <v>732</v>
      </c>
      <c r="H1543" s="133">
        <v>6.54</v>
      </c>
      <c r="I1543" s="133">
        <v>10.5</v>
      </c>
      <c r="J1543" s="133">
        <v>184</v>
      </c>
      <c r="L1543" s="133">
        <v>0</v>
      </c>
      <c r="M1543" s="133" t="s">
        <v>1096</v>
      </c>
      <c r="N1543" s="133">
        <v>0</v>
      </c>
      <c r="P1543" s="133">
        <v>0</v>
      </c>
      <c r="Q1543" s="133">
        <v>0</v>
      </c>
      <c r="R1543" s="133">
        <v>0</v>
      </c>
      <c r="S1543" s="156"/>
    </row>
    <row r="1544" spans="1:19">
      <c r="A1544" s="133" t="s">
        <v>1188</v>
      </c>
      <c r="B1544" s="133" t="s">
        <v>1175</v>
      </c>
      <c r="C1544" s="133" t="s">
        <v>1000</v>
      </c>
      <c r="D1544" s="133" t="s">
        <v>733</v>
      </c>
      <c r="E1544" s="133" t="s">
        <v>734</v>
      </c>
      <c r="F1544" s="133" t="s">
        <v>709</v>
      </c>
      <c r="G1544" s="133" t="s">
        <v>732</v>
      </c>
      <c r="H1544" s="133">
        <v>16.05</v>
      </c>
      <c r="I1544" s="133">
        <v>30.15</v>
      </c>
      <c r="J1544" s="133">
        <v>15</v>
      </c>
      <c r="L1544" s="133">
        <v>0</v>
      </c>
      <c r="M1544" s="133" t="s">
        <v>1096</v>
      </c>
      <c r="N1544" s="133">
        <v>0</v>
      </c>
      <c r="P1544" s="133">
        <v>0</v>
      </c>
      <c r="Q1544" s="133">
        <v>0</v>
      </c>
      <c r="R1544" s="133">
        <v>0</v>
      </c>
      <c r="S1544" s="156"/>
    </row>
    <row r="1545" spans="1:19">
      <c r="A1545" s="133" t="s">
        <v>1188</v>
      </c>
      <c r="B1545" s="133" t="s">
        <v>1175</v>
      </c>
      <c r="C1545" s="133" t="s">
        <v>1000</v>
      </c>
      <c r="D1545" s="133" t="s">
        <v>730</v>
      </c>
      <c r="E1545" s="133" t="s">
        <v>731</v>
      </c>
      <c r="F1545" s="133" t="s">
        <v>709</v>
      </c>
      <c r="G1545" s="133" t="s">
        <v>732</v>
      </c>
      <c r="H1545" s="133">
        <v>62.58</v>
      </c>
      <c r="I1545" s="133">
        <v>108</v>
      </c>
      <c r="J1545" s="133">
        <v>56</v>
      </c>
      <c r="L1545" s="133">
        <v>0</v>
      </c>
      <c r="M1545" s="133" t="s">
        <v>1096</v>
      </c>
      <c r="N1545" s="133">
        <v>0</v>
      </c>
      <c r="P1545" s="133">
        <v>0</v>
      </c>
      <c r="Q1545" s="133">
        <v>0</v>
      </c>
      <c r="R1545" s="133">
        <v>0</v>
      </c>
      <c r="S1545" s="156"/>
    </row>
    <row r="1546" spans="1:19">
      <c r="A1546" s="133" t="s">
        <v>1188</v>
      </c>
      <c r="B1546" s="133" t="s">
        <v>1175</v>
      </c>
      <c r="C1546" s="133" t="s">
        <v>1000</v>
      </c>
      <c r="D1546" s="133" t="s">
        <v>665</v>
      </c>
      <c r="E1546" s="133" t="s">
        <v>666</v>
      </c>
      <c r="F1546" s="133" t="s">
        <v>709</v>
      </c>
      <c r="G1546" s="133" t="s">
        <v>715</v>
      </c>
      <c r="H1546" s="133">
        <v>1.42</v>
      </c>
      <c r="I1546" s="133">
        <v>6.5</v>
      </c>
      <c r="J1546" s="133">
        <v>44</v>
      </c>
      <c r="K1546" s="133">
        <v>84</v>
      </c>
      <c r="L1546" s="133">
        <v>0</v>
      </c>
      <c r="M1546" s="133" t="s">
        <v>999</v>
      </c>
      <c r="N1546" s="133">
        <v>144</v>
      </c>
      <c r="P1546" s="133">
        <v>0</v>
      </c>
      <c r="Q1546" s="133">
        <v>144</v>
      </c>
      <c r="R1546" s="133">
        <v>0</v>
      </c>
      <c r="S1546" s="156">
        <v>1</v>
      </c>
    </row>
    <row r="1547" spans="1:19">
      <c r="A1547" s="133" t="s">
        <v>1188</v>
      </c>
      <c r="B1547" s="133" t="s">
        <v>1175</v>
      </c>
      <c r="C1547" s="133" t="s">
        <v>1000</v>
      </c>
      <c r="D1547" s="133" t="s">
        <v>667</v>
      </c>
      <c r="E1547" s="133" t="s">
        <v>668</v>
      </c>
      <c r="F1547" s="133" t="s">
        <v>709</v>
      </c>
      <c r="G1547" s="133" t="s">
        <v>715</v>
      </c>
      <c r="H1547" s="133">
        <v>14.83</v>
      </c>
      <c r="I1547" s="133">
        <v>59</v>
      </c>
      <c r="J1547" s="133">
        <v>1</v>
      </c>
      <c r="K1547" s="133">
        <v>6</v>
      </c>
      <c r="L1547" s="133">
        <v>6</v>
      </c>
      <c r="M1547" s="133" t="s">
        <v>998</v>
      </c>
      <c r="N1547" s="133">
        <v>0</v>
      </c>
      <c r="P1547" s="133">
        <v>0</v>
      </c>
      <c r="Q1547" s="133">
        <v>6</v>
      </c>
      <c r="R1547" s="133">
        <v>0</v>
      </c>
      <c r="S1547" s="156">
        <v>0</v>
      </c>
    </row>
    <row r="1548" spans="1:19">
      <c r="A1548" s="133" t="s">
        <v>1188</v>
      </c>
      <c r="B1548" s="133" t="s">
        <v>1175</v>
      </c>
      <c r="C1548" s="133" t="s">
        <v>1000</v>
      </c>
      <c r="D1548" s="133" t="s">
        <v>669</v>
      </c>
      <c r="E1548" s="133" t="s">
        <v>670</v>
      </c>
      <c r="F1548" s="133" t="s">
        <v>708</v>
      </c>
      <c r="G1548" s="133" t="s">
        <v>715</v>
      </c>
      <c r="H1548" s="133">
        <v>1.75</v>
      </c>
      <c r="I1548" s="133">
        <v>7.32</v>
      </c>
      <c r="J1548" s="133">
        <v>596</v>
      </c>
      <c r="L1548" s="133">
        <v>0</v>
      </c>
      <c r="M1548" s="133" t="s">
        <v>1096</v>
      </c>
      <c r="N1548" s="133">
        <v>0</v>
      </c>
      <c r="P1548" s="133">
        <v>0</v>
      </c>
      <c r="Q1548" s="133">
        <v>0</v>
      </c>
      <c r="R1548" s="133">
        <v>0</v>
      </c>
      <c r="S1548" s="156"/>
    </row>
    <row r="1549" spans="1:19">
      <c r="S1549" s="156"/>
    </row>
    <row r="1550" spans="1:19">
      <c r="S1550" s="156"/>
    </row>
    <row r="1551" spans="1:19">
      <c r="S1551" s="156"/>
    </row>
    <row r="1552" spans="1:19">
      <c r="S1552" s="156"/>
    </row>
    <row r="1553" spans="19:19">
      <c r="S1553" s="156"/>
    </row>
    <row r="1554" spans="19:19">
      <c r="S1554" s="156"/>
    </row>
    <row r="1555" spans="19:19">
      <c r="S1555" s="156"/>
    </row>
    <row r="1556" spans="19:19">
      <c r="S1556" s="156"/>
    </row>
    <row r="1557" spans="19:19">
      <c r="S1557" s="156"/>
    </row>
    <row r="1558" spans="19:19">
      <c r="S1558" s="156"/>
    </row>
    <row r="1559" spans="19:19">
      <c r="S1559" s="156"/>
    </row>
    <row r="1560" spans="19:19">
      <c r="S1560" s="156"/>
    </row>
    <row r="1561" spans="19:19">
      <c r="S1561" s="156"/>
    </row>
    <row r="1562" spans="19:19">
      <c r="S1562" s="156"/>
    </row>
    <row r="1563" spans="19:19">
      <c r="S1563" s="156"/>
    </row>
    <row r="1564" spans="19:19">
      <c r="S1564" s="156"/>
    </row>
    <row r="1565" spans="19:19">
      <c r="S1565" s="156"/>
    </row>
    <row r="1566" spans="19:19">
      <c r="S1566" s="156"/>
    </row>
    <row r="1567" spans="19:19">
      <c r="S1567" s="156"/>
    </row>
    <row r="1568" spans="19:19">
      <c r="S1568" s="156"/>
    </row>
    <row r="1569" spans="19:19">
      <c r="S1569" s="156"/>
    </row>
    <row r="1570" spans="19:19">
      <c r="S1570" s="156"/>
    </row>
    <row r="1571" spans="19:19">
      <c r="S1571" s="156"/>
    </row>
    <row r="1572" spans="19:19">
      <c r="S1572" s="156"/>
    </row>
    <row r="1573" spans="19:19">
      <c r="S1573" s="156"/>
    </row>
    <row r="1574" spans="19:19">
      <c r="S1574" s="156"/>
    </row>
    <row r="1575" spans="19:19">
      <c r="S1575" s="156"/>
    </row>
    <row r="1576" spans="19:19">
      <c r="S1576" s="156"/>
    </row>
    <row r="1577" spans="19:19">
      <c r="S1577" s="156"/>
    </row>
    <row r="1578" spans="19:19">
      <c r="S1578" s="156"/>
    </row>
    <row r="1579" spans="19:19">
      <c r="S1579" s="156"/>
    </row>
    <row r="1580" spans="19:19">
      <c r="S1580" s="156"/>
    </row>
    <row r="1581" spans="19:19">
      <c r="S1581" s="156"/>
    </row>
    <row r="1582" spans="19:19">
      <c r="S1582" s="156"/>
    </row>
    <row r="1583" spans="19:19">
      <c r="S1583" s="156"/>
    </row>
    <row r="1584" spans="19:19">
      <c r="S1584" s="156"/>
    </row>
    <row r="1585" spans="19:19">
      <c r="S1585" s="156"/>
    </row>
    <row r="1586" spans="19:19">
      <c r="S1586" s="156"/>
    </row>
    <row r="1587" spans="19:19">
      <c r="S1587" s="156"/>
    </row>
    <row r="1588" spans="19:19">
      <c r="S1588" s="156"/>
    </row>
    <row r="1589" spans="19:19">
      <c r="S1589" s="156"/>
    </row>
    <row r="1590" spans="19:19">
      <c r="S1590" s="156"/>
    </row>
    <row r="1591" spans="19:19">
      <c r="S1591" s="156"/>
    </row>
    <row r="1592" spans="19:19">
      <c r="S1592" s="156"/>
    </row>
    <row r="1593" spans="19:19">
      <c r="S1593" s="156"/>
    </row>
    <row r="1594" spans="19:19">
      <c r="S1594" s="156"/>
    </row>
    <row r="1595" spans="19:19">
      <c r="S1595" s="156"/>
    </row>
    <row r="1596" spans="19:19">
      <c r="S1596" s="156"/>
    </row>
    <row r="1597" spans="19:19">
      <c r="S1597" s="156"/>
    </row>
    <row r="1598" spans="19:19">
      <c r="S1598" s="156"/>
    </row>
    <row r="1599" spans="19:19">
      <c r="S1599" s="156"/>
    </row>
    <row r="1600" spans="19:19">
      <c r="S1600" s="156"/>
    </row>
    <row r="1601" spans="19:19">
      <c r="S1601" s="156"/>
    </row>
    <row r="1602" spans="19:19">
      <c r="S1602" s="156"/>
    </row>
    <row r="1603" spans="19:19">
      <c r="S1603" s="156"/>
    </row>
    <row r="1604" spans="19:19">
      <c r="S1604" s="156"/>
    </row>
    <row r="1605" spans="19:19">
      <c r="S1605" s="156"/>
    </row>
    <row r="1606" spans="19:19">
      <c r="S1606" s="156"/>
    </row>
    <row r="1607" spans="19:19">
      <c r="S1607" s="156"/>
    </row>
    <row r="1608" spans="19:19">
      <c r="S1608" s="156"/>
    </row>
    <row r="1609" spans="19:19">
      <c r="S1609" s="156"/>
    </row>
    <row r="1610" spans="19:19">
      <c r="S1610" s="156"/>
    </row>
    <row r="1611" spans="19:19">
      <c r="S1611" s="156"/>
    </row>
    <row r="1612" spans="19:19">
      <c r="S1612" s="156"/>
    </row>
    <row r="1613" spans="19:19">
      <c r="S1613" s="156"/>
    </row>
    <row r="1614" spans="19:19">
      <c r="S1614" s="156"/>
    </row>
    <row r="1615" spans="19:19">
      <c r="S1615" s="156"/>
    </row>
    <row r="1616" spans="19:19">
      <c r="S1616" s="156"/>
    </row>
    <row r="1617" spans="19:19">
      <c r="S1617" s="156"/>
    </row>
    <row r="1618" spans="19:19">
      <c r="S1618" s="156"/>
    </row>
    <row r="1619" spans="19:19">
      <c r="S1619" s="156"/>
    </row>
    <row r="1620" spans="19:19">
      <c r="S1620" s="156"/>
    </row>
    <row r="1621" spans="19:19">
      <c r="S1621" s="156"/>
    </row>
    <row r="1622" spans="19:19">
      <c r="S1622" s="156"/>
    </row>
    <row r="1623" spans="19:19">
      <c r="S1623" s="156"/>
    </row>
    <row r="1624" spans="19:19">
      <c r="S1624" s="156"/>
    </row>
    <row r="1625" spans="19:19">
      <c r="S1625" s="156"/>
    </row>
    <row r="1626" spans="19:19">
      <c r="S1626" s="156"/>
    </row>
    <row r="1627" spans="19:19">
      <c r="S1627" s="156"/>
    </row>
    <row r="1628" spans="19:19">
      <c r="S1628" s="156"/>
    </row>
    <row r="1629" spans="19:19">
      <c r="S1629" s="156"/>
    </row>
    <row r="1630" spans="19:19">
      <c r="S1630" s="156"/>
    </row>
    <row r="1631" spans="19:19">
      <c r="S1631" s="156"/>
    </row>
    <row r="1632" spans="19:19">
      <c r="S1632" s="156"/>
    </row>
    <row r="1633" spans="19:19">
      <c r="S1633" s="156"/>
    </row>
    <row r="1634" spans="19:19">
      <c r="S1634" s="156"/>
    </row>
    <row r="1635" spans="19:19">
      <c r="S1635" s="156"/>
    </row>
    <row r="1636" spans="19:19">
      <c r="S1636" s="156"/>
    </row>
    <row r="1637" spans="19:19">
      <c r="S1637" s="156"/>
    </row>
    <row r="1638" spans="19:19">
      <c r="S1638" s="156"/>
    </row>
    <row r="1639" spans="19:19">
      <c r="S1639" s="156"/>
    </row>
    <row r="1640" spans="19:19">
      <c r="S1640" s="156"/>
    </row>
    <row r="1641" spans="19:19">
      <c r="S1641" s="156"/>
    </row>
    <row r="1642" spans="19:19">
      <c r="S1642" s="156"/>
    </row>
    <row r="1643" spans="19:19">
      <c r="S1643" s="156"/>
    </row>
    <row r="1644" spans="19:19">
      <c r="S1644" s="156"/>
    </row>
    <row r="1645" spans="19:19">
      <c r="S1645" s="156"/>
    </row>
    <row r="1646" spans="19:19">
      <c r="S1646" s="156"/>
    </row>
    <row r="1647" spans="19:19">
      <c r="S1647" s="156"/>
    </row>
    <row r="1648" spans="19:19">
      <c r="S1648" s="156"/>
    </row>
    <row r="1649" spans="19:19">
      <c r="S1649" s="156"/>
    </row>
    <row r="1650" spans="19:19">
      <c r="S1650" s="156"/>
    </row>
    <row r="1651" spans="19:19">
      <c r="S1651" s="156"/>
    </row>
    <row r="1652" spans="19:19">
      <c r="S1652" s="156"/>
    </row>
    <row r="1653" spans="19:19">
      <c r="S1653" s="156"/>
    </row>
    <row r="1654" spans="19:19">
      <c r="S1654" s="156"/>
    </row>
    <row r="1655" spans="19:19">
      <c r="S1655" s="156"/>
    </row>
    <row r="1656" spans="19:19">
      <c r="S1656" s="156"/>
    </row>
    <row r="1657" spans="19:19">
      <c r="S1657" s="156"/>
    </row>
    <row r="1658" spans="19:19">
      <c r="S1658" s="156"/>
    </row>
    <row r="1659" spans="19:19">
      <c r="S1659" s="156"/>
    </row>
    <row r="1660" spans="19:19">
      <c r="S1660" s="156"/>
    </row>
    <row r="1661" spans="19:19">
      <c r="S1661" s="156"/>
    </row>
    <row r="1662" spans="19:19">
      <c r="S1662" s="156"/>
    </row>
    <row r="1663" spans="19:19">
      <c r="S1663" s="156"/>
    </row>
    <row r="1664" spans="19:19">
      <c r="S1664" s="156"/>
    </row>
    <row r="1665" spans="19:19">
      <c r="S1665" s="156"/>
    </row>
    <row r="1666" spans="19:19">
      <c r="S1666" s="156"/>
    </row>
    <row r="1667" spans="19:19">
      <c r="S1667" s="156"/>
    </row>
    <row r="1668" spans="19:19">
      <c r="S1668" s="156"/>
    </row>
    <row r="1669" spans="19:19">
      <c r="S1669" s="156"/>
    </row>
    <row r="1670" spans="19:19">
      <c r="S1670" s="156"/>
    </row>
    <row r="1671" spans="19:19">
      <c r="S1671" s="156"/>
    </row>
    <row r="1672" spans="19:19">
      <c r="S1672" s="156"/>
    </row>
    <row r="1673" spans="19:19">
      <c r="S1673" s="156"/>
    </row>
    <row r="1674" spans="19:19">
      <c r="S1674" s="156"/>
    </row>
    <row r="1675" spans="19:19">
      <c r="S1675" s="156"/>
    </row>
    <row r="1676" spans="19:19">
      <c r="S1676" s="156"/>
    </row>
    <row r="1677" spans="19:19">
      <c r="S1677" s="156"/>
    </row>
    <row r="1678" spans="19:19">
      <c r="S1678" s="156"/>
    </row>
    <row r="1679" spans="19:19">
      <c r="S1679" s="156"/>
    </row>
    <row r="1680" spans="19:19">
      <c r="S1680" s="156"/>
    </row>
    <row r="1681" spans="19:19">
      <c r="S1681" s="156"/>
    </row>
    <row r="1682" spans="19:19">
      <c r="S1682" s="156"/>
    </row>
    <row r="1683" spans="19:19">
      <c r="S1683" s="156"/>
    </row>
    <row r="1684" spans="19:19">
      <c r="S1684" s="156"/>
    </row>
    <row r="1685" spans="19:19">
      <c r="S1685" s="156"/>
    </row>
    <row r="1686" spans="19:19">
      <c r="S1686" s="156"/>
    </row>
    <row r="1687" spans="19:19">
      <c r="S1687" s="156"/>
    </row>
    <row r="1688" spans="19:19">
      <c r="S1688" s="156"/>
    </row>
    <row r="1689" spans="19:19">
      <c r="S1689" s="156"/>
    </row>
    <row r="1690" spans="19:19">
      <c r="S1690" s="156"/>
    </row>
    <row r="1691" spans="19:19">
      <c r="S1691" s="156"/>
    </row>
    <row r="1692" spans="19:19">
      <c r="S1692" s="156"/>
    </row>
    <row r="1693" spans="19:19">
      <c r="S1693" s="156"/>
    </row>
    <row r="1694" spans="19:19">
      <c r="S1694" s="156"/>
    </row>
    <row r="1695" spans="19:19">
      <c r="S1695" s="156"/>
    </row>
    <row r="1696" spans="19:19">
      <c r="S1696" s="156"/>
    </row>
    <row r="1697" spans="19:19">
      <c r="S1697" s="156"/>
    </row>
    <row r="1698" spans="19:19">
      <c r="S1698" s="156"/>
    </row>
    <row r="1699" spans="19:19">
      <c r="S1699" s="156"/>
    </row>
    <row r="1700" spans="19:19">
      <c r="S1700" s="156"/>
    </row>
    <row r="1701" spans="19:19">
      <c r="S1701" s="156"/>
    </row>
    <row r="1702" spans="19:19">
      <c r="S1702" s="156"/>
    </row>
    <row r="1703" spans="19:19">
      <c r="S1703" s="156"/>
    </row>
    <row r="1704" spans="19:19">
      <c r="S1704" s="156"/>
    </row>
    <row r="1705" spans="19:19">
      <c r="S1705" s="156"/>
    </row>
    <row r="1706" spans="19:19">
      <c r="S1706" s="156"/>
    </row>
    <row r="1707" spans="19:19">
      <c r="S1707" s="156"/>
    </row>
    <row r="1708" spans="19:19">
      <c r="S1708" s="156"/>
    </row>
    <row r="1709" spans="19:19">
      <c r="S1709" s="156"/>
    </row>
    <row r="1710" spans="19:19">
      <c r="S1710" s="156"/>
    </row>
    <row r="1711" spans="19:19">
      <c r="S1711" s="156"/>
    </row>
    <row r="1712" spans="19:19">
      <c r="S1712" s="156"/>
    </row>
    <row r="1713" spans="19:19">
      <c r="S1713" s="156"/>
    </row>
    <row r="1714" spans="19:19">
      <c r="S1714" s="156"/>
    </row>
    <row r="1715" spans="19:19">
      <c r="S1715" s="156"/>
    </row>
    <row r="1716" spans="19:19">
      <c r="S1716" s="156"/>
    </row>
    <row r="1717" spans="19:19">
      <c r="S1717" s="156"/>
    </row>
    <row r="1718" spans="19:19">
      <c r="S1718" s="156"/>
    </row>
    <row r="1719" spans="19:19">
      <c r="S1719" s="156"/>
    </row>
    <row r="1720" spans="19:19">
      <c r="S1720" s="156"/>
    </row>
    <row r="1721" spans="19:19">
      <c r="S1721" s="156"/>
    </row>
    <row r="1722" spans="19:19">
      <c r="S1722" s="156"/>
    </row>
    <row r="1723" spans="19:19">
      <c r="S1723" s="156"/>
    </row>
    <row r="1724" spans="19:19">
      <c r="S1724" s="156"/>
    </row>
    <row r="1725" spans="19:19">
      <c r="S1725" s="156"/>
    </row>
    <row r="1726" spans="19:19">
      <c r="S1726" s="156"/>
    </row>
    <row r="1727" spans="19:19">
      <c r="S1727" s="156"/>
    </row>
    <row r="1728" spans="19:19">
      <c r="S1728" s="156"/>
    </row>
    <row r="1729" spans="19:19">
      <c r="S1729" s="156"/>
    </row>
    <row r="1730" spans="19:19">
      <c r="S1730" s="156"/>
    </row>
    <row r="1731" spans="19:19">
      <c r="S1731" s="156"/>
    </row>
    <row r="1732" spans="19:19">
      <c r="S1732" s="156"/>
    </row>
    <row r="1733" spans="19:19">
      <c r="S1733" s="156"/>
    </row>
    <row r="1734" spans="19:19">
      <c r="S1734" s="156"/>
    </row>
    <row r="1735" spans="19:19">
      <c r="S1735" s="156"/>
    </row>
    <row r="1736" spans="19:19">
      <c r="S1736" s="156"/>
    </row>
    <row r="1737" spans="19:19">
      <c r="S1737" s="156"/>
    </row>
    <row r="1738" spans="19:19">
      <c r="S1738" s="156"/>
    </row>
    <row r="1739" spans="19:19">
      <c r="S1739" s="156"/>
    </row>
    <row r="1740" spans="19:19">
      <c r="S1740" s="156"/>
    </row>
    <row r="1741" spans="19:19">
      <c r="S1741" s="156"/>
    </row>
    <row r="1742" spans="19:19">
      <c r="S1742" s="156"/>
    </row>
    <row r="1743" spans="19:19">
      <c r="S1743" s="156"/>
    </row>
    <row r="1744" spans="19:19">
      <c r="S1744" s="156"/>
    </row>
    <row r="1745" spans="19:19">
      <c r="S1745" s="156"/>
    </row>
    <row r="1746" spans="19:19">
      <c r="S1746" s="156"/>
    </row>
    <row r="1747" spans="19:19">
      <c r="S1747" s="156"/>
    </row>
    <row r="1748" spans="19:19">
      <c r="S1748" s="156"/>
    </row>
    <row r="1749" spans="19:19">
      <c r="S1749" s="156"/>
    </row>
    <row r="1750" spans="19:19">
      <c r="S1750" s="156"/>
    </row>
    <row r="1751" spans="19:19">
      <c r="S1751" s="156"/>
    </row>
    <row r="1752" spans="19:19">
      <c r="S1752" s="156"/>
    </row>
    <row r="1753" spans="19:19">
      <c r="S1753" s="156"/>
    </row>
    <row r="1754" spans="19:19">
      <c r="S1754" s="156"/>
    </row>
    <row r="1755" spans="19:19">
      <c r="S1755" s="156"/>
    </row>
    <row r="1756" spans="19:19">
      <c r="S1756" s="156"/>
    </row>
    <row r="1757" spans="19:19">
      <c r="S1757" s="156"/>
    </row>
    <row r="1758" spans="19:19">
      <c r="S1758" s="156"/>
    </row>
    <row r="1759" spans="19:19">
      <c r="S1759" s="156"/>
    </row>
    <row r="1760" spans="19:19">
      <c r="S1760" s="156"/>
    </row>
    <row r="1761" spans="19:19">
      <c r="S1761" s="156"/>
    </row>
    <row r="1762" spans="19:19">
      <c r="S1762" s="156"/>
    </row>
    <row r="1763" spans="19:19">
      <c r="S1763" s="156"/>
    </row>
    <row r="1764" spans="19:19">
      <c r="S1764" s="156"/>
    </row>
    <row r="1765" spans="19:19">
      <c r="S1765" s="156"/>
    </row>
    <row r="1766" spans="19:19">
      <c r="S1766" s="156"/>
    </row>
    <row r="1767" spans="19:19">
      <c r="S1767" s="156"/>
    </row>
    <row r="1768" spans="19:19">
      <c r="S1768" s="156"/>
    </row>
    <row r="1769" spans="19:19">
      <c r="S1769" s="156"/>
    </row>
    <row r="1770" spans="19:19">
      <c r="S1770" s="156"/>
    </row>
    <row r="1771" spans="19:19">
      <c r="S1771" s="156"/>
    </row>
    <row r="1772" spans="19:19">
      <c r="S1772" s="156"/>
    </row>
    <row r="1773" spans="19:19">
      <c r="S1773" s="156"/>
    </row>
    <row r="1774" spans="19:19">
      <c r="S1774" s="156"/>
    </row>
    <row r="1775" spans="19:19">
      <c r="S1775" s="156"/>
    </row>
    <row r="1776" spans="19:19">
      <c r="S1776" s="156"/>
    </row>
    <row r="1777" spans="19:19">
      <c r="S1777" s="156"/>
    </row>
    <row r="1778" spans="19:19">
      <c r="S1778" s="156"/>
    </row>
    <row r="1779" spans="19:19">
      <c r="S1779" s="156"/>
    </row>
    <row r="1780" spans="19:19">
      <c r="S1780" s="156"/>
    </row>
    <row r="1781" spans="19:19">
      <c r="S1781" s="156"/>
    </row>
    <row r="1782" spans="19:19">
      <c r="S1782" s="156"/>
    </row>
    <row r="1783" spans="19:19">
      <c r="S1783" s="156"/>
    </row>
    <row r="1784" spans="19:19">
      <c r="S1784" s="156"/>
    </row>
    <row r="1785" spans="19:19">
      <c r="S1785" s="156"/>
    </row>
    <row r="1786" spans="19:19">
      <c r="S1786" s="156"/>
    </row>
    <row r="1787" spans="19:19">
      <c r="S1787" s="156"/>
    </row>
    <row r="1788" spans="19:19">
      <c r="S1788" s="156"/>
    </row>
    <row r="1789" spans="19:19">
      <c r="S1789" s="156"/>
    </row>
    <row r="1790" spans="19:19">
      <c r="S1790" s="156"/>
    </row>
    <row r="1791" spans="19:19">
      <c r="S1791" s="156"/>
    </row>
    <row r="1792" spans="19:19">
      <c r="S1792" s="156"/>
    </row>
    <row r="1793" spans="1:19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0"/>
      <c r="Q1793" s="10"/>
      <c r="R1793" s="10"/>
      <c r="S1793" s="155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AR209"/>
  <sheetViews>
    <sheetView topLeftCell="A192" zoomScale="110" zoomScaleNormal="110" workbookViewId="0">
      <selection activeCell="A209" sqref="A209"/>
    </sheetView>
  </sheetViews>
  <sheetFormatPr baseColWidth="10" defaultColWidth="11.42578125" defaultRowHeight="15"/>
  <cols>
    <col min="1" max="1" width="11.5703125" customWidth="1"/>
    <col min="2" max="2" width="30" customWidth="1"/>
    <col min="3" max="3" width="8" customWidth="1"/>
    <col min="4" max="4" width="15.42578125" customWidth="1"/>
    <col min="5" max="5" width="15.42578125" style="3" customWidth="1"/>
    <col min="6" max="6" width="22.28515625" customWidth="1"/>
    <col min="7" max="7" width="11.42578125" customWidth="1"/>
    <col min="8" max="8" width="20.42578125" customWidth="1"/>
    <col min="9" max="11" width="11.42578125" customWidth="1"/>
    <col min="12" max="12" width="11.42578125" style="3" customWidth="1"/>
    <col min="13" max="14" width="20.140625" style="3" customWidth="1"/>
    <col min="15" max="15" width="11.42578125" style="3" customWidth="1"/>
    <col min="16" max="16" width="13.42578125" customWidth="1"/>
    <col min="17" max="17" width="13.7109375" customWidth="1"/>
    <col min="18" max="18" width="13.7109375" style="3" customWidth="1"/>
    <col min="19" max="19" width="11.42578125" customWidth="1"/>
    <col min="20" max="20" width="12.85546875" style="3" customWidth="1"/>
    <col min="21" max="27" width="11.42578125" customWidth="1"/>
    <col min="28" max="29" width="13.42578125" style="3" customWidth="1"/>
    <col min="30" max="30" width="10.140625" style="3" customWidth="1"/>
    <col min="31" max="33" width="11.42578125" style="3" customWidth="1"/>
    <col min="34" max="34" width="10" style="3" customWidth="1"/>
    <col min="35" max="35" width="11.42578125" style="3" customWidth="1"/>
    <col min="36" max="36" width="18.5703125" style="3" bestFit="1" customWidth="1"/>
    <col min="37" max="37" width="11.42578125" style="3" customWidth="1"/>
    <col min="38" max="38" width="9.7109375" style="3" customWidth="1"/>
    <col min="41" max="42" width="0" hidden="1" customWidth="1"/>
    <col min="43" max="43" width="15.7109375" bestFit="1" customWidth="1"/>
    <col min="44" max="44" width="14.7109375" bestFit="1" customWidth="1"/>
  </cols>
  <sheetData>
    <row r="1" spans="1:44" s="7" customFormat="1" ht="60.75" thickBot="1">
      <c r="A1" s="14" t="s">
        <v>0</v>
      </c>
      <c r="B1" s="14" t="s">
        <v>1</v>
      </c>
      <c r="C1" s="14" t="s">
        <v>2</v>
      </c>
      <c r="D1" s="14" t="s">
        <v>6</v>
      </c>
      <c r="E1" s="14" t="s">
        <v>846</v>
      </c>
      <c r="F1" s="14" t="s">
        <v>769</v>
      </c>
      <c r="G1" s="65" t="s">
        <v>781</v>
      </c>
      <c r="H1" s="14" t="s">
        <v>7</v>
      </c>
      <c r="I1" s="14" t="s">
        <v>723</v>
      </c>
      <c r="J1" s="14" t="s">
        <v>728</v>
      </c>
      <c r="K1" s="15" t="s">
        <v>3</v>
      </c>
      <c r="L1" s="15" t="s">
        <v>4</v>
      </c>
      <c r="M1" s="15" t="s">
        <v>5</v>
      </c>
      <c r="N1" s="15" t="s">
        <v>847</v>
      </c>
      <c r="O1" s="15" t="s">
        <v>786</v>
      </c>
      <c r="P1" s="15" t="s">
        <v>803</v>
      </c>
      <c r="Q1" s="15" t="s">
        <v>725</v>
      </c>
      <c r="R1" s="14" t="s">
        <v>8</v>
      </c>
      <c r="S1" s="14" t="s">
        <v>9</v>
      </c>
      <c r="T1" s="108" t="s">
        <v>834</v>
      </c>
      <c r="U1" s="17" t="s">
        <v>749</v>
      </c>
      <c r="V1" s="73" t="s">
        <v>791</v>
      </c>
      <c r="W1" s="14" t="s">
        <v>750</v>
      </c>
      <c r="X1" s="14" t="s">
        <v>756</v>
      </c>
      <c r="Y1" s="14" t="s">
        <v>754</v>
      </c>
      <c r="Z1" s="14" t="s">
        <v>755</v>
      </c>
      <c r="AA1" s="14" t="s">
        <v>757</v>
      </c>
      <c r="AB1" s="14" t="s">
        <v>758</v>
      </c>
      <c r="AC1" s="14" t="s">
        <v>849</v>
      </c>
      <c r="AD1" s="32" t="s">
        <v>759</v>
      </c>
      <c r="AE1" s="32" t="s">
        <v>818</v>
      </c>
      <c r="AF1" s="107" t="s">
        <v>830</v>
      </c>
      <c r="AG1" s="32" t="s">
        <v>800</v>
      </c>
      <c r="AH1" s="14" t="s">
        <v>839</v>
      </c>
      <c r="AI1" s="32" t="s">
        <v>815</v>
      </c>
      <c r="AJ1" s="32" t="s">
        <v>871</v>
      </c>
      <c r="AK1" s="14" t="s">
        <v>799</v>
      </c>
      <c r="AL1" s="14" t="s">
        <v>841</v>
      </c>
      <c r="AM1" s="14" t="s">
        <v>819</v>
      </c>
      <c r="AN1" s="32" t="s">
        <v>801</v>
      </c>
      <c r="AO1" s="32" t="s">
        <v>840</v>
      </c>
      <c r="AP1" s="127" t="s">
        <v>850</v>
      </c>
      <c r="AQ1" s="14" t="s">
        <v>872</v>
      </c>
      <c r="AR1" s="14" t="s">
        <v>874</v>
      </c>
    </row>
    <row r="2" spans="1:44" s="83" customFormat="1">
      <c r="A2" s="18" t="s">
        <v>62</v>
      </c>
      <c r="B2" s="18" t="s">
        <v>63</v>
      </c>
      <c r="C2" s="83" t="s">
        <v>671</v>
      </c>
      <c r="D2" s="83" t="s">
        <v>707</v>
      </c>
      <c r="H2" s="83" t="s">
        <v>717</v>
      </c>
      <c r="I2" s="83" t="s">
        <v>722</v>
      </c>
      <c r="J2" s="83" t="s">
        <v>718</v>
      </c>
      <c r="K2" s="84">
        <v>0</v>
      </c>
      <c r="L2" s="84">
        <f t="shared" ref="L2:L36" si="0">+K2*75%</f>
        <v>0</v>
      </c>
      <c r="M2" s="84">
        <v>1.63941</v>
      </c>
      <c r="N2" s="84"/>
      <c r="O2" s="84">
        <v>300</v>
      </c>
      <c r="P2" s="84" t="s">
        <v>804</v>
      </c>
      <c r="Q2" s="84" t="s">
        <v>802</v>
      </c>
      <c r="R2" s="83">
        <v>4</v>
      </c>
      <c r="S2" s="83">
        <v>4</v>
      </c>
      <c r="T2" s="83">
        <v>1</v>
      </c>
      <c r="U2" s="84">
        <v>150</v>
      </c>
      <c r="V2" s="84">
        <v>150</v>
      </c>
      <c r="W2" s="84">
        <f>Tabla17[[#This Row],[CONSUMO TOTAL PRO VALO]]/52</f>
        <v>2.8846153846153846</v>
      </c>
      <c r="X2" s="21">
        <v>0</v>
      </c>
      <c r="Y2" s="13">
        <v>0</v>
      </c>
      <c r="Z2" s="13">
        <f>Tabla17[[#This Row],[CONSUMO TOTAL TODAS]]/52</f>
        <v>0</v>
      </c>
      <c r="AA2" s="85">
        <f>Tabla17[[#This Row],[CONSUMO PROMEDIO PROPIO]]+Tabla17[[#This Row],[CONSUMO PROMEDIO TODAS]]</f>
        <v>2.8846153846153846</v>
      </c>
      <c r="AB2" s="86">
        <f>Tabla17[[#This Row],[CONSUMO PROMEDIO TOTAL]]*(Tabla17[[#This Row],[FRECUENCIA]]+Tabla17[[#This Row],[TIEMPO REPOSICION ]])*1.7</f>
        <v>39.230769230769226</v>
      </c>
      <c r="AC2" s="86">
        <v>0</v>
      </c>
      <c r="AD2" s="86">
        <v>0</v>
      </c>
      <c r="AE2" s="122" t="e">
        <f>VLOOKUP(Tabla17[[#This Row],[CODIGO ]],#REF!,2,0)</f>
        <v>#REF!</v>
      </c>
      <c r="AF2" s="123">
        <f>IFERROR(VLOOKUP(Tabla17[[#This Row],[CODIGO ]],#REF!,2,0),0)</f>
        <v>0</v>
      </c>
      <c r="AG2" s="87" t="e">
        <f>Tabla17[[#This Row],[INVENTARIO FISICO ]]-Tabla17[[#This Row],[BUFFER REAL]]</f>
        <v>#REF!</v>
      </c>
      <c r="AH2" s="88"/>
      <c r="AI2" s="87"/>
      <c r="AJ2" s="87">
        <f>Tabla17[[#This Row],[SINOCHEM EN TRANSITO  ]]+Tabla17[[#This Row],[TRANSITO LOCAL]]</f>
        <v>0</v>
      </c>
      <c r="AK2" s="87">
        <v>600</v>
      </c>
      <c r="AL2" s="87"/>
      <c r="AM2" s="124" t="e">
        <f>Tabla17[[#This Row],[INVENTARIO FISICO ]]-Tabla17[[#This Row],[BUFFER REAL]]+Tabla17[[#This Row],[SINOCHEM EN TRANSITO  ]]+Tabla17[[#This Row],[TRANSITO LOCAL]]</f>
        <v>#REF!</v>
      </c>
      <c r="AN2" s="128">
        <f>Tabla17[[#This Row],[BUFFER REAL]]/((Tabla17[[#This Row],[TIEMPO REPOSICION ]]/Tabla17[[#This Row],[FRECUENCIA]])+1)*1.7</f>
        <v>0</v>
      </c>
      <c r="AO2" s="87">
        <v>0</v>
      </c>
      <c r="AP2" s="77">
        <v>0</v>
      </c>
      <c r="AQ2" s="126">
        <v>0</v>
      </c>
      <c r="AR2" s="88">
        <v>0</v>
      </c>
    </row>
    <row r="3" spans="1:44" s="7" customFormat="1">
      <c r="A3" s="18" t="s">
        <v>64</v>
      </c>
      <c r="B3" s="18" t="s">
        <v>65</v>
      </c>
      <c r="C3" s="7" t="s">
        <v>672</v>
      </c>
      <c r="D3" s="7" t="s">
        <v>707</v>
      </c>
      <c r="H3" s="7" t="s">
        <v>717</v>
      </c>
      <c r="I3" s="7" t="s">
        <v>767</v>
      </c>
      <c r="J3" s="7" t="s">
        <v>718</v>
      </c>
      <c r="K3" s="13">
        <v>0</v>
      </c>
      <c r="L3" s="13">
        <f t="shared" si="0"/>
        <v>0</v>
      </c>
      <c r="M3" s="13">
        <v>1.8</v>
      </c>
      <c r="N3" s="13"/>
      <c r="O3" s="13">
        <v>300</v>
      </c>
      <c r="P3" s="13" t="s">
        <v>804</v>
      </c>
      <c r="Q3" s="13" t="s">
        <v>802</v>
      </c>
      <c r="R3" s="7">
        <v>4</v>
      </c>
      <c r="S3" s="7">
        <v>4</v>
      </c>
      <c r="T3" s="7">
        <v>1</v>
      </c>
      <c r="U3" s="13">
        <v>1100</v>
      </c>
      <c r="V3" s="13">
        <v>1100</v>
      </c>
      <c r="W3" s="13">
        <f>Tabla17[[#This Row],[CONSUMO TOTAL PRO VALO]]/52</f>
        <v>21.153846153846153</v>
      </c>
      <c r="X3" s="21">
        <v>0</v>
      </c>
      <c r="Y3" s="13">
        <v>0</v>
      </c>
      <c r="Z3" s="13">
        <f>Tabla17[[#This Row],[CONSUMO TOTAL TODAS]]/52</f>
        <v>0</v>
      </c>
      <c r="AA3" s="25">
        <f>Tabla17[[#This Row],[CONSUMO PROMEDIO PROPIO]]+Tabla17[[#This Row],[CONSUMO PROMEDIO TODAS]]</f>
        <v>21.153846153846153</v>
      </c>
      <c r="AB3" s="26">
        <f>Tabla17[[#This Row],[CONSUMO PROMEDIO TOTAL]]*(Tabla17[[#This Row],[FRECUENCIA]]+Tabla17[[#This Row],[TIEMPO REPOSICION ]])*1.7</f>
        <v>287.69230769230768</v>
      </c>
      <c r="AC3" s="26">
        <v>300</v>
      </c>
      <c r="AD3" s="26">
        <v>500</v>
      </c>
      <c r="AE3" s="3" t="e">
        <f>VLOOKUP(Tabla17[[#This Row],[CODIGO ]],#REF!,2,0)</f>
        <v>#REF!</v>
      </c>
      <c r="AF3" s="2">
        <f>IFERROR(VLOOKUP(Tabla17[[#This Row],[CODIGO ]],#REF!,2,0),0)</f>
        <v>0</v>
      </c>
      <c r="AG3" s="80" t="e">
        <f>Tabla17[[#This Row],[INVENTARIO FISICO ]]-Tabla17[[#This Row],[BUFFER REAL]]</f>
        <v>#REF!</v>
      </c>
      <c r="AH3" s="27"/>
      <c r="AI3" s="118"/>
      <c r="AJ3" s="118">
        <f>Tabla17[[#This Row],[SINOCHEM EN TRANSITO  ]]+Tabla17[[#This Row],[TRANSITO LOCAL]]</f>
        <v>0</v>
      </c>
      <c r="AK3" s="80">
        <v>300</v>
      </c>
      <c r="AL3" s="80"/>
      <c r="AM3" s="124" t="e">
        <f>Tabla17[[#This Row],[INVENTARIO FISICO ]]-Tabla17[[#This Row],[BUFFER REAL]]+Tabla17[[#This Row],[SINOCHEM EN TRANSITO  ]]+Tabla17[[#This Row],[TRANSITO LOCAL]]</f>
        <v>#REF!</v>
      </c>
      <c r="AN3" s="128">
        <f>Tabla17[[#This Row],[BUFFER REAL]]/((Tabla17[[#This Row],[TIEMPO REPOSICION ]]/Tabla17[[#This Row],[FRECUENCIA]])+1)</f>
        <v>250</v>
      </c>
      <c r="AO3" s="80">
        <v>0</v>
      </c>
      <c r="AP3" s="77">
        <v>300</v>
      </c>
      <c r="AQ3" s="77"/>
      <c r="AR3" s="27">
        <v>150</v>
      </c>
    </row>
    <row r="4" spans="1:44" s="7" customFormat="1">
      <c r="A4" s="18" t="s">
        <v>66</v>
      </c>
      <c r="B4" s="18" t="s">
        <v>67</v>
      </c>
      <c r="C4" s="7" t="s">
        <v>672</v>
      </c>
      <c r="D4" s="7" t="s">
        <v>707</v>
      </c>
      <c r="H4" s="7" t="s">
        <v>717</v>
      </c>
      <c r="I4" s="7" t="s">
        <v>724</v>
      </c>
      <c r="J4" s="7" t="s">
        <v>718</v>
      </c>
      <c r="K4" s="13">
        <v>0</v>
      </c>
      <c r="L4" s="13">
        <f t="shared" si="0"/>
        <v>0</v>
      </c>
      <c r="M4" s="13">
        <v>2.06698</v>
      </c>
      <c r="N4" s="13"/>
      <c r="O4" s="13">
        <v>300</v>
      </c>
      <c r="P4" s="13" t="s">
        <v>804</v>
      </c>
      <c r="Q4" s="13" t="s">
        <v>802</v>
      </c>
      <c r="R4" s="7">
        <v>4</v>
      </c>
      <c r="S4" s="7">
        <v>4</v>
      </c>
      <c r="T4" s="7">
        <v>1</v>
      </c>
      <c r="U4" s="13">
        <v>487</v>
      </c>
      <c r="V4" s="13">
        <v>487</v>
      </c>
      <c r="W4" s="13">
        <f>Tabla17[[#This Row],[CONSUMO TOTAL PRO VALO]]/52</f>
        <v>9.365384615384615</v>
      </c>
      <c r="X4" s="21">
        <v>0</v>
      </c>
      <c r="Y4" s="13">
        <v>0</v>
      </c>
      <c r="Z4" s="13">
        <f>Tabla17[[#This Row],[CONSUMO TOTAL TODAS]]/52</f>
        <v>0</v>
      </c>
      <c r="AA4" s="25">
        <f>Tabla17[[#This Row],[CONSUMO PROMEDIO PROPIO]]+Tabla17[[#This Row],[CONSUMO PROMEDIO TODAS]]</f>
        <v>9.365384615384615</v>
      </c>
      <c r="AB4" s="26">
        <f>Tabla17[[#This Row],[CONSUMO PROMEDIO TOTAL]]*(Tabla17[[#This Row],[FRECUENCIA]]+Tabla17[[#This Row],[TIEMPO REPOSICION ]])*1.7</f>
        <v>127.36923076923075</v>
      </c>
      <c r="AC4" s="26">
        <v>300</v>
      </c>
      <c r="AD4" s="26">
        <v>500</v>
      </c>
      <c r="AE4" s="3" t="e">
        <f>VLOOKUP(Tabla17[[#This Row],[CODIGO ]],#REF!,2,0)</f>
        <v>#REF!</v>
      </c>
      <c r="AF4" s="2">
        <f>IFERROR(VLOOKUP(Tabla17[[#This Row],[CODIGO ]],#REF!,2,0),0)</f>
        <v>0</v>
      </c>
      <c r="AG4" s="80" t="e">
        <f>Tabla17[[#This Row],[INVENTARIO FISICO ]]-Tabla17[[#This Row],[BUFFER REAL]]</f>
        <v>#REF!</v>
      </c>
      <c r="AH4" s="27"/>
      <c r="AI4" s="118"/>
      <c r="AJ4" s="118">
        <f>Tabla17[[#This Row],[SINOCHEM EN TRANSITO  ]]+Tabla17[[#This Row],[TRANSITO LOCAL]]</f>
        <v>0</v>
      </c>
      <c r="AK4" s="80">
        <v>300</v>
      </c>
      <c r="AL4" s="80"/>
      <c r="AM4" s="124" t="e">
        <f>Tabla17[[#This Row],[INVENTARIO FISICO ]]-Tabla17[[#This Row],[BUFFER REAL]]+Tabla17[[#This Row],[SINOCHEM EN TRANSITO  ]]+Tabla17[[#This Row],[TRANSITO LOCAL]]</f>
        <v>#REF!</v>
      </c>
      <c r="AN4" s="128">
        <f>Tabla17[[#This Row],[BUFFER REAL]]/((Tabla17[[#This Row],[TIEMPO REPOSICION ]]/Tabla17[[#This Row],[FRECUENCIA]])+1)</f>
        <v>250</v>
      </c>
      <c r="AO4" s="80">
        <v>0</v>
      </c>
      <c r="AP4" s="77">
        <v>0</v>
      </c>
      <c r="AQ4" s="77"/>
      <c r="AR4" s="27">
        <v>150</v>
      </c>
    </row>
    <row r="5" spans="1:44" s="7" customFormat="1">
      <c r="A5" s="145" t="s">
        <v>908</v>
      </c>
      <c r="B5" s="18" t="s">
        <v>909</v>
      </c>
      <c r="C5" s="20" t="s">
        <v>699</v>
      </c>
      <c r="D5" s="20" t="s">
        <v>707</v>
      </c>
      <c r="E5" s="20"/>
      <c r="F5" s="20"/>
      <c r="G5" s="20"/>
      <c r="H5" s="20" t="s">
        <v>910</v>
      </c>
      <c r="I5" s="7" t="s">
        <v>767</v>
      </c>
      <c r="J5" s="7" t="s">
        <v>718</v>
      </c>
      <c r="K5" s="21"/>
      <c r="L5" s="21">
        <f t="shared" si="0"/>
        <v>0</v>
      </c>
      <c r="M5" s="21"/>
      <c r="N5" s="21"/>
      <c r="O5" s="21"/>
      <c r="P5" s="21"/>
      <c r="Q5" s="13" t="s">
        <v>802</v>
      </c>
      <c r="R5" s="20">
        <v>4</v>
      </c>
      <c r="S5" s="20">
        <v>4</v>
      </c>
      <c r="T5" s="20">
        <v>1</v>
      </c>
      <c r="U5" s="21"/>
      <c r="V5" s="21"/>
      <c r="W5" s="21">
        <f>Tabla17[[#This Row],[CONSUMO TOTAL PRO VALO]]/52</f>
        <v>0</v>
      </c>
      <c r="X5" s="21" t="e">
        <f>Tabla2[[#This Row],[CONSUMO TOTAL ]]+Tabla3[[#This Row],[CONSUMO TOTAL]]+#REF!+#REF!</f>
        <v>#REF!</v>
      </c>
      <c r="Y5" s="21"/>
      <c r="Z5" s="21">
        <f>Tabla17[[#This Row],[CONSUMO TOTAL TODAS]]/52</f>
        <v>0</v>
      </c>
      <c r="AA5" s="28">
        <f>Tabla17[[#This Row],[CONSUMO PROMEDIO PROPIO]]+Tabla17[[#This Row],[CONSUMO PROMEDIO TODAS]]</f>
        <v>0</v>
      </c>
      <c r="AB5" s="33">
        <f>Tabla17[[#This Row],[CONSUMO PROMEDIO TOTAL]]*(Tabla17[[#This Row],[FRECUENCIA]]+Tabla17[[#This Row],[TIEMPO REPOSICION ]])*1.7</f>
        <v>0</v>
      </c>
      <c r="AC5" s="33"/>
      <c r="AD5" s="33">
        <v>1</v>
      </c>
      <c r="AE5" s="135" t="e">
        <f>VLOOKUP(Tabla17[[#This Row],[CODIGO ]],#REF!,2,0)</f>
        <v>#REF!</v>
      </c>
      <c r="AF5" s="116">
        <f>IFERROR(VLOOKUP(Tabla17[[#This Row],[CODIGO ]],#REF!,2,0),0)</f>
        <v>0</v>
      </c>
      <c r="AG5" s="117" t="e">
        <f>Tabla17[[#This Row],[INVENTARIO FISICO ]]-Tabla17[[#This Row],[BUFFER REAL]]</f>
        <v>#REF!</v>
      </c>
      <c r="AH5" s="110"/>
      <c r="AI5" s="110"/>
      <c r="AJ5" s="117">
        <f>Tabla17[[#This Row],[SINOCHEM EN TRANSITO  ]]+Tabla17[[#This Row],[TRANSITO LOCAL]]</f>
        <v>0</v>
      </c>
      <c r="AK5" s="117"/>
      <c r="AL5" s="117"/>
      <c r="AM5" s="142" t="e">
        <f>Tabla17[[#This Row],[INVENTARIO FISICO ]]-Tabla17[[#This Row],[BUFFER REAL]]+Tabla17[[#This Row],[SINOCHEM EN TRANSITO  ]]+Tabla17[[#This Row],[TRANSITO LOCAL]]</f>
        <v>#REF!</v>
      </c>
      <c r="AN5" s="117">
        <f>Tabla17[[#This Row],[BUFFER REAL]]/((Tabla17[[#This Row],[TIEMPO REPOSICION ]]/Tabla17[[#This Row],[FRECUENCIA]])+1)</f>
        <v>0.5</v>
      </c>
      <c r="AO5" s="117"/>
      <c r="AP5" s="110"/>
      <c r="AQ5" s="110"/>
      <c r="AR5" s="30"/>
    </row>
    <row r="6" spans="1:44" s="7" customFormat="1">
      <c r="A6" s="18" t="s">
        <v>848</v>
      </c>
      <c r="B6" s="18" t="s">
        <v>854</v>
      </c>
      <c r="C6" s="7" t="s">
        <v>676</v>
      </c>
      <c r="D6" s="7" t="s">
        <v>707</v>
      </c>
      <c r="H6" s="7" t="s">
        <v>717</v>
      </c>
      <c r="I6" s="7" t="s">
        <v>724</v>
      </c>
      <c r="J6" s="7" t="s">
        <v>718</v>
      </c>
      <c r="K6" s="13"/>
      <c r="L6" s="13">
        <f t="shared" si="0"/>
        <v>0</v>
      </c>
      <c r="M6" s="13"/>
      <c r="N6" s="13"/>
      <c r="O6" s="13"/>
      <c r="P6" s="13" t="s">
        <v>804</v>
      </c>
      <c r="Q6" s="13" t="s">
        <v>802</v>
      </c>
      <c r="R6" s="7">
        <v>4</v>
      </c>
      <c r="S6" s="7">
        <v>4</v>
      </c>
      <c r="T6" s="7">
        <v>1</v>
      </c>
      <c r="U6" s="13"/>
      <c r="V6" s="13"/>
      <c r="W6" s="13">
        <f>Tabla17[[#This Row],[CONSUMO TOTAL PRO VALO]]/52</f>
        <v>0</v>
      </c>
      <c r="X6" s="21" t="e">
        <f>Tabla2[[#This Row],[CONSUMO TOTAL ]]+Tabla3[[#This Row],[CONSUMO TOTAL]]+#REF!+#REF!</f>
        <v>#REF!</v>
      </c>
      <c r="Y6" s="13"/>
      <c r="Z6" s="13">
        <f>Tabla17[[#This Row],[CONSUMO TOTAL TODAS]]/52</f>
        <v>0</v>
      </c>
      <c r="AA6" s="40">
        <f>Tabla17[[#This Row],[CONSUMO PROMEDIO PROPIO]]+Tabla17[[#This Row],[CONSUMO PROMEDIO TODAS]]</f>
        <v>0</v>
      </c>
      <c r="AB6" s="26">
        <f>Tabla17[[#This Row],[CONSUMO PROMEDIO TOTAL]]*(Tabla17[[#This Row],[FRECUENCIA]]+Tabla17[[#This Row],[TIEMPO REPOSICION ]])*1.7</f>
        <v>0</v>
      </c>
      <c r="AC6" s="26">
        <v>600</v>
      </c>
      <c r="AD6" s="26">
        <v>600</v>
      </c>
      <c r="AE6" s="134" t="e">
        <f>VLOOKUP(Tabla17[[#This Row],[CODIGO ]],#REF!,2,0)</f>
        <v>#REF!</v>
      </c>
      <c r="AF6" s="2">
        <f>IFERROR(VLOOKUP(Tabla17[[#This Row],[CODIGO ]],#REF!,2,0),0)</f>
        <v>0</v>
      </c>
      <c r="AG6" s="80" t="e">
        <f>Tabla17[[#This Row],[INVENTARIO FISICO ]]-Tabla17[[#This Row],[BUFFER REAL]]</f>
        <v>#REF!</v>
      </c>
      <c r="AH6" s="77"/>
      <c r="AI6" s="77">
        <v>600</v>
      </c>
      <c r="AJ6" s="80">
        <f>Tabla17[[#This Row],[SINOCHEM EN TRANSITO  ]]+Tabla17[[#This Row],[TRANSITO LOCAL]]</f>
        <v>600</v>
      </c>
      <c r="AK6" s="80"/>
      <c r="AL6" s="80"/>
      <c r="AM6" s="124" t="e">
        <f>Tabla17[[#This Row],[INVENTARIO FISICO ]]-Tabla17[[#This Row],[BUFFER REAL]]+Tabla17[[#This Row],[SINOCHEM EN TRANSITO  ]]+Tabla17[[#This Row],[TRANSITO LOCAL]]</f>
        <v>#REF!</v>
      </c>
      <c r="AN6" s="128">
        <f>Tabla17[[#This Row],[BUFFER REAL]]/((Tabla17[[#This Row],[TIEMPO REPOSICION ]]/Tabla17[[#This Row],[FRECUENCIA]])+1)</f>
        <v>300</v>
      </c>
      <c r="AO6" s="80"/>
      <c r="AP6" s="77">
        <v>0</v>
      </c>
      <c r="AQ6" s="77"/>
      <c r="AR6" s="27">
        <v>0</v>
      </c>
    </row>
    <row r="7" spans="1:44" s="7" customFormat="1">
      <c r="A7" s="18" t="s">
        <v>851</v>
      </c>
      <c r="B7" s="129" t="s">
        <v>870</v>
      </c>
      <c r="C7" s="7" t="s">
        <v>681</v>
      </c>
      <c r="D7" s="7" t="s">
        <v>707</v>
      </c>
      <c r="H7" s="7" t="s">
        <v>717</v>
      </c>
      <c r="I7" s="7" t="s">
        <v>724</v>
      </c>
      <c r="J7" s="7" t="s">
        <v>718</v>
      </c>
      <c r="K7" s="13"/>
      <c r="L7" s="13">
        <f t="shared" si="0"/>
        <v>0</v>
      </c>
      <c r="M7" s="13"/>
      <c r="N7" s="13"/>
      <c r="O7" s="13"/>
      <c r="P7" s="13" t="s">
        <v>804</v>
      </c>
      <c r="Q7" s="13" t="s">
        <v>802</v>
      </c>
      <c r="R7" s="7">
        <v>4</v>
      </c>
      <c r="S7" s="7">
        <v>4</v>
      </c>
      <c r="T7" s="7">
        <v>1</v>
      </c>
      <c r="U7" s="13"/>
      <c r="V7" s="13"/>
      <c r="W7" s="13">
        <f>Tabla17[[#This Row],[CONSUMO TOTAL PRO VALO]]/52</f>
        <v>0</v>
      </c>
      <c r="X7" s="21" t="e">
        <f>Tabla2[[#This Row],[CONSUMO TOTAL ]]+Tabla3[[#This Row],[CONSUMO TOTAL]]+#REF!+#REF!</f>
        <v>#REF!</v>
      </c>
      <c r="Y7" s="13"/>
      <c r="Z7" s="13">
        <f>Tabla17[[#This Row],[CONSUMO TOTAL TODAS]]/52</f>
        <v>0</v>
      </c>
      <c r="AA7" s="40">
        <f>Tabla17[[#This Row],[CONSUMO PROMEDIO PROPIO]]+Tabla17[[#This Row],[CONSUMO PROMEDIO TODAS]]</f>
        <v>0</v>
      </c>
      <c r="AB7" s="26">
        <f>Tabla17[[#This Row],[CONSUMO PROMEDIO TOTAL]]*(Tabla17[[#This Row],[FRECUENCIA]]+Tabla17[[#This Row],[TIEMPO REPOSICION ]])*1.7</f>
        <v>0</v>
      </c>
      <c r="AC7" s="26">
        <v>10</v>
      </c>
      <c r="AD7" s="26">
        <v>0</v>
      </c>
      <c r="AE7" s="133" t="e">
        <f>VLOOKUP(Tabla17[[#This Row],[CODIGO ]],#REF!,2,0)</f>
        <v>#REF!</v>
      </c>
      <c r="AF7" s="2">
        <f>IFERROR(VLOOKUP(Tabla17[[#This Row],[CODIGO ]],#REF!,2,0),0)</f>
        <v>0</v>
      </c>
      <c r="AG7" s="80" t="e">
        <f>Tabla17[[#This Row],[INVENTARIO FISICO ]]-Tabla17[[#This Row],[BUFFER REAL]]</f>
        <v>#REF!</v>
      </c>
      <c r="AH7" s="77"/>
      <c r="AI7" s="77"/>
      <c r="AJ7" s="80">
        <f>Tabla17[[#This Row],[SINOCHEM EN TRANSITO  ]]+Tabla17[[#This Row],[TRANSITO LOCAL]]</f>
        <v>0</v>
      </c>
      <c r="AK7" s="80"/>
      <c r="AL7" s="80"/>
      <c r="AM7" s="124" t="e">
        <f>Tabla17[[#This Row],[INVENTARIO FISICO ]]-Tabla17[[#This Row],[BUFFER REAL]]+Tabla17[[#This Row],[SINOCHEM EN TRANSITO  ]]+Tabla17[[#This Row],[TRANSITO LOCAL]]</f>
        <v>#REF!</v>
      </c>
      <c r="AN7" s="128">
        <f>Tabla17[[#This Row],[BUFFER REAL]]/((Tabla17[[#This Row],[TIEMPO REPOSICION ]]/Tabla17[[#This Row],[FRECUENCIA]])+1)</f>
        <v>0</v>
      </c>
      <c r="AO7" s="80"/>
      <c r="AP7" s="126">
        <v>0</v>
      </c>
      <c r="AQ7" s="77"/>
      <c r="AR7" s="27">
        <v>5</v>
      </c>
    </row>
    <row r="8" spans="1:44" s="7" customFormat="1">
      <c r="A8" s="18" t="s">
        <v>68</v>
      </c>
      <c r="B8" s="18" t="s">
        <v>907</v>
      </c>
      <c r="C8" s="7" t="s">
        <v>673</v>
      </c>
      <c r="D8" s="7" t="s">
        <v>707</v>
      </c>
      <c r="H8" s="7" t="s">
        <v>717</v>
      </c>
      <c r="I8" s="7" t="s">
        <v>724</v>
      </c>
      <c r="J8" s="7" t="s">
        <v>718</v>
      </c>
      <c r="K8" s="13">
        <v>0</v>
      </c>
      <c r="L8" s="13">
        <f t="shared" si="0"/>
        <v>0</v>
      </c>
      <c r="M8" s="13">
        <v>1.4821800000000001</v>
      </c>
      <c r="N8" s="13"/>
      <c r="O8" s="13">
        <v>300</v>
      </c>
      <c r="P8" s="13" t="s">
        <v>804</v>
      </c>
      <c r="Q8" s="13" t="s">
        <v>802</v>
      </c>
      <c r="R8" s="7">
        <v>4</v>
      </c>
      <c r="S8" s="7">
        <v>4</v>
      </c>
      <c r="T8" s="7">
        <v>1</v>
      </c>
      <c r="U8" s="13">
        <v>1782</v>
      </c>
      <c r="V8" s="13">
        <v>1782</v>
      </c>
      <c r="W8" s="13">
        <f>Tabla17[[#This Row],[CONSUMO TOTAL PRO VALO]]/52</f>
        <v>34.269230769230766</v>
      </c>
      <c r="X8" s="21">
        <v>0</v>
      </c>
      <c r="Y8" s="13">
        <v>0</v>
      </c>
      <c r="Z8" s="13">
        <f>Tabla17[[#This Row],[CONSUMO TOTAL TODAS]]/52</f>
        <v>0</v>
      </c>
      <c r="AA8" s="25">
        <f>Tabla17[[#This Row],[CONSUMO PROMEDIO PROPIO]]+Tabla17[[#This Row],[CONSUMO PROMEDIO TODAS]]</f>
        <v>34.269230769230766</v>
      </c>
      <c r="AB8" s="26">
        <f>Tabla17[[#This Row],[CONSUMO PROMEDIO TOTAL]]*(Tabla17[[#This Row],[FRECUENCIA]]+Tabla17[[#This Row],[TIEMPO REPOSICION ]])*1.7</f>
        <v>466.06153846153842</v>
      </c>
      <c r="AC8" s="26">
        <v>500</v>
      </c>
      <c r="AD8" s="26">
        <v>500</v>
      </c>
      <c r="AE8" s="3" t="e">
        <f>VLOOKUP(Tabla17[[#This Row],[CODIGO ]],#REF!,2,0)</f>
        <v>#REF!</v>
      </c>
      <c r="AF8" s="2">
        <f>IFERROR(VLOOKUP(Tabla17[[#This Row],[CODIGO ]],#REF!,2,0),0)</f>
        <v>0</v>
      </c>
      <c r="AG8" s="80" t="e">
        <f>Tabla17[[#This Row],[INVENTARIO FISICO ]]-Tabla17[[#This Row],[BUFFER REAL]]</f>
        <v>#REF!</v>
      </c>
      <c r="AH8" s="27"/>
      <c r="AI8" s="80"/>
      <c r="AJ8" s="80">
        <f>Tabla17[[#This Row],[SINOCHEM EN TRANSITO  ]]+Tabla17[[#This Row],[TRANSITO LOCAL]]</f>
        <v>0</v>
      </c>
      <c r="AK8" s="80">
        <v>300</v>
      </c>
      <c r="AL8" s="80"/>
      <c r="AM8" s="124" t="e">
        <f>Tabla17[[#This Row],[INVENTARIO FISICO ]]-Tabla17[[#This Row],[BUFFER REAL]]+Tabla17[[#This Row],[SINOCHEM EN TRANSITO  ]]+Tabla17[[#This Row],[TRANSITO LOCAL]]</f>
        <v>#REF!</v>
      </c>
      <c r="AN8" s="128">
        <f>Tabla17[[#This Row],[BUFFER REAL]]/((Tabla17[[#This Row],[TIEMPO REPOSICION ]]/Tabla17[[#This Row],[FRECUENCIA]])+1)</f>
        <v>250</v>
      </c>
      <c r="AO8" s="80">
        <v>300</v>
      </c>
      <c r="AP8" s="77">
        <v>0</v>
      </c>
      <c r="AQ8" s="77"/>
      <c r="AR8" s="27">
        <v>0</v>
      </c>
    </row>
    <row r="9" spans="1:44" s="83" customFormat="1">
      <c r="A9" s="18" t="s">
        <v>69</v>
      </c>
      <c r="B9" s="18" t="s">
        <v>70</v>
      </c>
      <c r="C9" s="7" t="s">
        <v>672</v>
      </c>
      <c r="D9" s="7" t="s">
        <v>707</v>
      </c>
      <c r="E9" s="7"/>
      <c r="F9" s="7"/>
      <c r="G9" s="7"/>
      <c r="H9" s="7" t="s">
        <v>717</v>
      </c>
      <c r="I9" s="7" t="s">
        <v>724</v>
      </c>
      <c r="J9" s="7" t="s">
        <v>718</v>
      </c>
      <c r="K9" s="13">
        <v>0</v>
      </c>
      <c r="L9" s="13">
        <f t="shared" si="0"/>
        <v>0</v>
      </c>
      <c r="M9" s="13">
        <v>1.8</v>
      </c>
      <c r="N9" s="13"/>
      <c r="O9" s="13">
        <v>300</v>
      </c>
      <c r="P9" s="13" t="s">
        <v>804</v>
      </c>
      <c r="Q9" s="13" t="s">
        <v>802</v>
      </c>
      <c r="R9" s="7">
        <v>4</v>
      </c>
      <c r="S9" s="7">
        <v>4</v>
      </c>
      <c r="T9" s="7">
        <v>1</v>
      </c>
      <c r="U9" s="13">
        <v>720</v>
      </c>
      <c r="V9" s="13">
        <v>720</v>
      </c>
      <c r="W9" s="13">
        <f>Tabla17[[#This Row],[CONSUMO TOTAL PRO VALO]]/52</f>
        <v>13.846153846153847</v>
      </c>
      <c r="X9" s="21">
        <v>0</v>
      </c>
      <c r="Y9" s="13">
        <v>0</v>
      </c>
      <c r="Z9" s="13">
        <f>Tabla17[[#This Row],[CONSUMO TOTAL TODAS]]/52</f>
        <v>0</v>
      </c>
      <c r="AA9" s="25">
        <f>Tabla17[[#This Row],[CONSUMO PROMEDIO PROPIO]]+Tabla17[[#This Row],[CONSUMO PROMEDIO TODAS]]</f>
        <v>13.846153846153847</v>
      </c>
      <c r="AB9" s="26">
        <f>Tabla17[[#This Row],[CONSUMO PROMEDIO TOTAL]]*(Tabla17[[#This Row],[FRECUENCIA]]+Tabla17[[#This Row],[TIEMPO REPOSICION ]])*1.7</f>
        <v>188.30769230769232</v>
      </c>
      <c r="AC9" s="26">
        <v>300</v>
      </c>
      <c r="AD9" s="26">
        <v>300</v>
      </c>
      <c r="AE9" s="3" t="e">
        <f>VLOOKUP(Tabla17[[#This Row],[CODIGO ]],#REF!,2,0)</f>
        <v>#REF!</v>
      </c>
      <c r="AF9" s="2">
        <f>IFERROR(VLOOKUP(Tabla17[[#This Row],[CODIGO ]],#REF!,2,0),0)</f>
        <v>0</v>
      </c>
      <c r="AG9" s="80" t="e">
        <f>Tabla17[[#This Row],[INVENTARIO FISICO ]]-Tabla17[[#This Row],[BUFFER REAL]]</f>
        <v>#REF!</v>
      </c>
      <c r="AH9" s="27"/>
      <c r="AI9" s="118">
        <v>300</v>
      </c>
      <c r="AJ9" s="118">
        <f>Tabla17[[#This Row],[SINOCHEM EN TRANSITO  ]]+Tabla17[[#This Row],[TRANSITO LOCAL]]</f>
        <v>300</v>
      </c>
      <c r="AK9" s="80">
        <v>300</v>
      </c>
      <c r="AL9" s="80"/>
      <c r="AM9" s="124" t="e">
        <f>Tabla17[[#This Row],[INVENTARIO FISICO ]]-Tabla17[[#This Row],[BUFFER REAL]]+Tabla17[[#This Row],[SINOCHEM EN TRANSITO  ]]+Tabla17[[#This Row],[TRANSITO LOCAL]]</f>
        <v>#REF!</v>
      </c>
      <c r="AN9" s="128">
        <f>Tabla17[[#This Row],[BUFFER REAL]]/((Tabla17[[#This Row],[TIEMPO REPOSICION ]]/Tabla17[[#This Row],[FRECUENCIA]])+1)</f>
        <v>150</v>
      </c>
      <c r="AO9" s="80">
        <v>335</v>
      </c>
      <c r="AP9" s="126">
        <v>0</v>
      </c>
      <c r="AQ9" s="77"/>
      <c r="AR9" s="27">
        <v>0</v>
      </c>
    </row>
    <row r="10" spans="1:44" s="83" customFormat="1">
      <c r="A10" s="18" t="s">
        <v>71</v>
      </c>
      <c r="B10" s="18" t="s">
        <v>72</v>
      </c>
      <c r="C10" s="7" t="s">
        <v>672</v>
      </c>
      <c r="D10" s="7" t="s">
        <v>707</v>
      </c>
      <c r="E10" s="7"/>
      <c r="F10" s="7"/>
      <c r="G10" s="7"/>
      <c r="H10" s="7" t="s">
        <v>717</v>
      </c>
      <c r="I10" s="7" t="s">
        <v>767</v>
      </c>
      <c r="J10" s="7" t="s">
        <v>718</v>
      </c>
      <c r="K10" s="13">
        <v>0</v>
      </c>
      <c r="L10" s="13">
        <f t="shared" si="0"/>
        <v>0</v>
      </c>
      <c r="M10" s="13">
        <v>2.86</v>
      </c>
      <c r="N10" s="13"/>
      <c r="O10" s="13">
        <v>300</v>
      </c>
      <c r="P10" s="13" t="s">
        <v>804</v>
      </c>
      <c r="Q10" s="13" t="s">
        <v>802</v>
      </c>
      <c r="R10" s="7">
        <v>4</v>
      </c>
      <c r="S10" s="7">
        <v>4</v>
      </c>
      <c r="T10" s="7">
        <v>1</v>
      </c>
      <c r="U10" s="13">
        <v>739</v>
      </c>
      <c r="V10" s="13">
        <v>739</v>
      </c>
      <c r="W10" s="13">
        <f>Tabla17[[#This Row],[CONSUMO TOTAL PRO VALO]]/52</f>
        <v>14.211538461538462</v>
      </c>
      <c r="X10" s="21">
        <v>0</v>
      </c>
      <c r="Y10" s="13">
        <v>0</v>
      </c>
      <c r="Z10" s="13">
        <f>Tabla17[[#This Row],[CONSUMO TOTAL TODAS]]/52</f>
        <v>0</v>
      </c>
      <c r="AA10" s="25">
        <f>Tabla17[[#This Row],[CONSUMO PROMEDIO PROPIO]]+Tabla17[[#This Row],[CONSUMO PROMEDIO TODAS]]</f>
        <v>14.211538461538462</v>
      </c>
      <c r="AB10" s="26">
        <f>Tabla17[[#This Row],[CONSUMO PROMEDIO TOTAL]]*(Tabla17[[#This Row],[FRECUENCIA]]+Tabla17[[#This Row],[TIEMPO REPOSICION ]])*1.7</f>
        <v>193.27692307692308</v>
      </c>
      <c r="AC10" s="26">
        <v>300</v>
      </c>
      <c r="AD10" s="26">
        <v>500</v>
      </c>
      <c r="AE10" s="3" t="e">
        <f>VLOOKUP(Tabla17[[#This Row],[CODIGO ]],#REF!,2,0)</f>
        <v>#REF!</v>
      </c>
      <c r="AF10" s="2">
        <f>IFERROR(VLOOKUP(Tabla17[[#This Row],[CODIGO ]],#REF!,2,0),0)</f>
        <v>0</v>
      </c>
      <c r="AG10" s="80" t="e">
        <f>Tabla17[[#This Row],[INVENTARIO FISICO ]]-Tabla17[[#This Row],[BUFFER REAL]]</f>
        <v>#REF!</v>
      </c>
      <c r="AH10" s="27"/>
      <c r="AI10" s="118">
        <v>150</v>
      </c>
      <c r="AJ10" s="118">
        <f>Tabla17[[#This Row],[SINOCHEM EN TRANSITO  ]]+Tabla17[[#This Row],[TRANSITO LOCAL]]</f>
        <v>150</v>
      </c>
      <c r="AK10" s="80">
        <v>300</v>
      </c>
      <c r="AL10" s="80"/>
      <c r="AM10" s="124" t="e">
        <f>Tabla17[[#This Row],[INVENTARIO FISICO ]]-Tabla17[[#This Row],[BUFFER REAL]]+Tabla17[[#This Row],[SINOCHEM EN TRANSITO  ]]+Tabla17[[#This Row],[TRANSITO LOCAL]]</f>
        <v>#REF!</v>
      </c>
      <c r="AN10" s="128">
        <f>Tabla17[[#This Row],[BUFFER REAL]]/((Tabla17[[#This Row],[TIEMPO REPOSICION ]]/Tabla17[[#This Row],[FRECUENCIA]])+1)</f>
        <v>250</v>
      </c>
      <c r="AO10" s="80">
        <v>526</v>
      </c>
      <c r="AP10" s="77">
        <v>150</v>
      </c>
      <c r="AQ10" s="126"/>
      <c r="AR10" s="88">
        <v>150</v>
      </c>
    </row>
    <row r="11" spans="1:44" s="7" customFormat="1">
      <c r="A11" s="18" t="s">
        <v>73</v>
      </c>
      <c r="B11" s="18" t="s">
        <v>74</v>
      </c>
      <c r="C11" s="7" t="s">
        <v>672</v>
      </c>
      <c r="D11" s="7" t="s">
        <v>707</v>
      </c>
      <c r="H11" s="7" t="s">
        <v>717</v>
      </c>
      <c r="I11" s="7" t="s">
        <v>724</v>
      </c>
      <c r="J11" s="7" t="s">
        <v>718</v>
      </c>
      <c r="K11" s="13">
        <v>0</v>
      </c>
      <c r="L11" s="13">
        <f t="shared" si="0"/>
        <v>0</v>
      </c>
      <c r="M11" s="13">
        <v>2.0053700000000001</v>
      </c>
      <c r="N11" s="13"/>
      <c r="O11" s="13">
        <v>300</v>
      </c>
      <c r="P11" s="13" t="s">
        <v>804</v>
      </c>
      <c r="Q11" s="13" t="s">
        <v>802</v>
      </c>
      <c r="R11" s="7">
        <v>4</v>
      </c>
      <c r="S11" s="7">
        <v>4</v>
      </c>
      <c r="T11" s="7">
        <v>1</v>
      </c>
      <c r="U11" s="13">
        <v>1260</v>
      </c>
      <c r="V11" s="13">
        <v>1260</v>
      </c>
      <c r="W11" s="13">
        <f>Tabla17[[#This Row],[CONSUMO TOTAL PRO VALO]]/52</f>
        <v>24.23076923076923</v>
      </c>
      <c r="X11" s="21">
        <v>0</v>
      </c>
      <c r="Y11" s="13">
        <v>0</v>
      </c>
      <c r="Z11" s="13">
        <f>Tabla17[[#This Row],[CONSUMO TOTAL TODAS]]/52</f>
        <v>0</v>
      </c>
      <c r="AA11" s="25">
        <f>Tabla17[[#This Row],[CONSUMO PROMEDIO PROPIO]]+Tabla17[[#This Row],[CONSUMO PROMEDIO TODAS]]</f>
        <v>24.23076923076923</v>
      </c>
      <c r="AB11" s="26">
        <f>Tabla17[[#This Row],[CONSUMO PROMEDIO TOTAL]]*(Tabla17[[#This Row],[FRECUENCIA]]+Tabla17[[#This Row],[TIEMPO REPOSICION ]])*1.7</f>
        <v>329.53846153846149</v>
      </c>
      <c r="AC11" s="26">
        <v>330</v>
      </c>
      <c r="AD11" s="26">
        <v>500</v>
      </c>
      <c r="AE11" s="3" t="e">
        <f>VLOOKUP(Tabla17[[#This Row],[CODIGO ]],#REF!,2,0)</f>
        <v>#REF!</v>
      </c>
      <c r="AF11" s="2">
        <f>IFERROR(VLOOKUP(Tabla17[[#This Row],[CODIGO ]],#REF!,2,0),0)</f>
        <v>0</v>
      </c>
      <c r="AG11" s="80" t="e">
        <f>Tabla17[[#This Row],[INVENTARIO FISICO ]]-Tabla17[[#This Row],[BUFFER REAL]]</f>
        <v>#REF!</v>
      </c>
      <c r="AH11" s="27"/>
      <c r="AI11" s="80">
        <v>300</v>
      </c>
      <c r="AJ11" s="80">
        <f>Tabla17[[#This Row],[SINOCHEM EN TRANSITO  ]]+Tabla17[[#This Row],[TRANSITO LOCAL]]</f>
        <v>300</v>
      </c>
      <c r="AK11" s="80">
        <v>300</v>
      </c>
      <c r="AL11" s="80"/>
      <c r="AM11" s="124" t="e">
        <f>Tabla17[[#This Row],[INVENTARIO FISICO ]]-Tabla17[[#This Row],[BUFFER REAL]]+Tabla17[[#This Row],[SINOCHEM EN TRANSITO  ]]+Tabla17[[#This Row],[TRANSITO LOCAL]]</f>
        <v>#REF!</v>
      </c>
      <c r="AN11" s="128">
        <f>Tabla17[[#This Row],[BUFFER REAL]]/((Tabla17[[#This Row],[TIEMPO REPOSICION ]]/Tabla17[[#This Row],[FRECUENCIA]])+1)</f>
        <v>250</v>
      </c>
      <c r="AO11" s="80">
        <v>153</v>
      </c>
      <c r="AP11" s="77">
        <v>25</v>
      </c>
      <c r="AQ11" s="126"/>
      <c r="AR11" s="88">
        <v>0</v>
      </c>
    </row>
    <row r="12" spans="1:44" s="7" customFormat="1">
      <c r="A12" s="18" t="s">
        <v>75</v>
      </c>
      <c r="B12" s="18" t="s">
        <v>76</v>
      </c>
      <c r="C12" s="83" t="s">
        <v>676</v>
      </c>
      <c r="D12" s="83" t="s">
        <v>709</v>
      </c>
      <c r="E12" s="83"/>
      <c r="F12" s="83"/>
      <c r="G12" s="83"/>
      <c r="H12" s="83" t="s">
        <v>717</v>
      </c>
      <c r="I12" s="83" t="s">
        <v>724</v>
      </c>
      <c r="J12" s="83" t="s">
        <v>718</v>
      </c>
      <c r="K12" s="13">
        <v>0</v>
      </c>
      <c r="L12" s="13">
        <f t="shared" si="0"/>
        <v>0</v>
      </c>
      <c r="M12" s="13">
        <v>16</v>
      </c>
      <c r="N12" s="13"/>
      <c r="O12" s="84"/>
      <c r="P12" s="84" t="s">
        <v>806</v>
      </c>
      <c r="Q12" s="84" t="s">
        <v>802</v>
      </c>
      <c r="R12" s="83">
        <v>26</v>
      </c>
      <c r="S12" s="83">
        <v>12</v>
      </c>
      <c r="T12" s="83">
        <v>3</v>
      </c>
      <c r="U12" s="84">
        <v>100</v>
      </c>
      <c r="V12" s="84">
        <v>100</v>
      </c>
      <c r="W12" s="84">
        <f>Tabla17[[#This Row],[CONSUMO TOTAL PRO VALO]]/52</f>
        <v>1.9230769230769231</v>
      </c>
      <c r="X12" s="21">
        <v>0</v>
      </c>
      <c r="Y12" s="13">
        <v>0</v>
      </c>
      <c r="Z12" s="13">
        <f>Tabla17[[#This Row],[CONSUMO TOTAL TODAS]]/52</f>
        <v>0</v>
      </c>
      <c r="AA12" s="85">
        <f>Tabla17[[#This Row],[CONSUMO PROMEDIO PROPIO]]+Tabla17[[#This Row],[CONSUMO PROMEDIO TODAS]]</f>
        <v>1.9230769230769231</v>
      </c>
      <c r="AB12" s="85">
        <f>Tabla17[[#This Row],[CONSUMO PROMEDIO TOTAL]]*(Tabla17[[#This Row],[FRECUENCIA]]+Tabla17[[#This Row],[TIEMPO REPOSICION ]])*1.7</f>
        <v>124.23076923076923</v>
      </c>
      <c r="AC12" s="86">
        <v>0</v>
      </c>
      <c r="AD12" s="86">
        <v>0</v>
      </c>
      <c r="AE12" s="3" t="e">
        <f>VLOOKUP(Tabla17[[#This Row],[CODIGO ]],#REF!,2,0)</f>
        <v>#REF!</v>
      </c>
      <c r="AF12" s="2">
        <f>IFERROR(VLOOKUP(Tabla17[[#This Row],[CODIGO ]],#REF!,2,0),0)</f>
        <v>0</v>
      </c>
      <c r="AG12" s="87" t="e">
        <f>Tabla17[[#This Row],[INVENTARIO FISICO ]]-Tabla17[[#This Row],[BUFFER REAL]]</f>
        <v>#REF!</v>
      </c>
      <c r="AH12" s="88"/>
      <c r="AI12" s="87"/>
      <c r="AJ12" s="87">
        <f>Tabla17[[#This Row],[SINOCHEM EN TRANSITO  ]]+Tabla17[[#This Row],[TRANSITO LOCAL]]</f>
        <v>0</v>
      </c>
      <c r="AK12" s="87"/>
      <c r="AL12" s="87"/>
      <c r="AM12" s="124" t="e">
        <f>Tabla17[[#This Row],[INVENTARIO FISICO ]]-Tabla17[[#This Row],[BUFFER REAL]]+Tabla17[[#This Row],[SINOCHEM EN TRANSITO  ]]+Tabla17[[#This Row],[TRANSITO LOCAL]]</f>
        <v>#REF!</v>
      </c>
      <c r="AN12" s="128">
        <f>Tabla17[[#This Row],[BUFFER REAL]]/((Tabla17[[#This Row],[TIEMPO REPOSICION ]]/Tabla17[[#This Row],[FRECUENCIA]])+1)</f>
        <v>0</v>
      </c>
      <c r="AO12" s="87">
        <v>0</v>
      </c>
      <c r="AP12" s="77">
        <v>0</v>
      </c>
      <c r="AQ12" s="77"/>
      <c r="AR12" s="27">
        <v>0</v>
      </c>
    </row>
    <row r="13" spans="1:44" s="7" customFormat="1">
      <c r="A13" s="18" t="s">
        <v>77</v>
      </c>
      <c r="B13" s="18" t="s">
        <v>78</v>
      </c>
      <c r="C13" s="83" t="s">
        <v>677</v>
      </c>
      <c r="D13" s="83" t="s">
        <v>709</v>
      </c>
      <c r="E13" s="83"/>
      <c r="F13" s="83"/>
      <c r="G13" s="83"/>
      <c r="H13" s="83" t="s">
        <v>717</v>
      </c>
      <c r="I13" s="83" t="s">
        <v>724</v>
      </c>
      <c r="J13" s="83" t="s">
        <v>718</v>
      </c>
      <c r="K13" s="13">
        <v>0</v>
      </c>
      <c r="L13" s="13">
        <f t="shared" si="0"/>
        <v>0</v>
      </c>
      <c r="M13" s="13">
        <v>1.6</v>
      </c>
      <c r="N13" s="13"/>
      <c r="O13" s="84"/>
      <c r="P13" s="84" t="s">
        <v>806</v>
      </c>
      <c r="Q13" s="84" t="s">
        <v>802</v>
      </c>
      <c r="R13" s="83">
        <v>26</v>
      </c>
      <c r="S13" s="83">
        <v>12</v>
      </c>
      <c r="T13" s="83">
        <v>3</v>
      </c>
      <c r="U13" s="84">
        <v>731</v>
      </c>
      <c r="V13" s="84">
        <v>731</v>
      </c>
      <c r="W13" s="84">
        <f>Tabla17[[#This Row],[CONSUMO TOTAL PRO VALO]]/52</f>
        <v>14.057692307692308</v>
      </c>
      <c r="X13" s="21">
        <v>0</v>
      </c>
      <c r="Y13" s="13">
        <v>0</v>
      </c>
      <c r="Z13" s="13">
        <f>Tabla17[[#This Row],[CONSUMO TOTAL TODAS]]/52</f>
        <v>0</v>
      </c>
      <c r="AA13" s="85">
        <f>Tabla17[[#This Row],[CONSUMO PROMEDIO PROPIO]]+Tabla17[[#This Row],[CONSUMO PROMEDIO TODAS]]</f>
        <v>14.057692307692308</v>
      </c>
      <c r="AB13" s="85">
        <f>Tabla17[[#This Row],[CONSUMO PROMEDIO TOTAL]]*(Tabla17[[#This Row],[FRECUENCIA]]+Tabla17[[#This Row],[TIEMPO REPOSICION ]])*1.7</f>
        <v>908.12692307692316</v>
      </c>
      <c r="AC13" s="86">
        <v>0</v>
      </c>
      <c r="AD13" s="86">
        <v>0</v>
      </c>
      <c r="AE13" s="3" t="e">
        <f>VLOOKUP(Tabla17[[#This Row],[CODIGO ]],#REF!,2,0)</f>
        <v>#REF!</v>
      </c>
      <c r="AF13" s="2">
        <f>IFERROR(VLOOKUP(Tabla17[[#This Row],[CODIGO ]],#REF!,2,0),0)</f>
        <v>0</v>
      </c>
      <c r="AG13" s="87" t="e">
        <f>Tabla17[[#This Row],[INVENTARIO FISICO ]]-Tabla17[[#This Row],[BUFFER REAL]]</f>
        <v>#REF!</v>
      </c>
      <c r="AH13" s="88"/>
      <c r="AI13" s="87"/>
      <c r="AJ13" s="87">
        <f>Tabla17[[#This Row],[SINOCHEM EN TRANSITO  ]]+Tabla17[[#This Row],[TRANSITO LOCAL]]</f>
        <v>0</v>
      </c>
      <c r="AK13" s="87"/>
      <c r="AL13" s="87"/>
      <c r="AM13" s="124" t="e">
        <f>Tabla17[[#This Row],[INVENTARIO FISICO ]]-Tabla17[[#This Row],[BUFFER REAL]]+Tabla17[[#This Row],[SINOCHEM EN TRANSITO  ]]+Tabla17[[#This Row],[TRANSITO LOCAL]]</f>
        <v>#REF!</v>
      </c>
      <c r="AN13" s="128">
        <f>Tabla17[[#This Row],[BUFFER REAL]]/((Tabla17[[#This Row],[TIEMPO REPOSICION ]]/Tabla17[[#This Row],[FRECUENCIA]])+1)</f>
        <v>0</v>
      </c>
      <c r="AO13" s="87">
        <v>0</v>
      </c>
      <c r="AP13" s="77">
        <v>0</v>
      </c>
      <c r="AQ13" s="77"/>
      <c r="AR13" s="27">
        <v>0</v>
      </c>
    </row>
    <row r="14" spans="1:44" s="7" customFormat="1">
      <c r="A14" s="18" t="s">
        <v>79</v>
      </c>
      <c r="B14" s="18" t="s">
        <v>80</v>
      </c>
      <c r="C14" s="7" t="s">
        <v>678</v>
      </c>
      <c r="D14" s="7" t="s">
        <v>709</v>
      </c>
      <c r="H14" s="7" t="s">
        <v>717</v>
      </c>
      <c r="I14" s="7" t="s">
        <v>724</v>
      </c>
      <c r="J14" s="7" t="s">
        <v>718</v>
      </c>
      <c r="K14" s="13">
        <v>0</v>
      </c>
      <c r="L14" s="13">
        <f t="shared" si="0"/>
        <v>0</v>
      </c>
      <c r="M14" s="13">
        <v>2180</v>
      </c>
      <c r="N14" s="13"/>
      <c r="O14" s="13">
        <v>1</v>
      </c>
      <c r="P14" s="84" t="s">
        <v>827</v>
      </c>
      <c r="Q14" s="13" t="s">
        <v>873</v>
      </c>
      <c r="R14" s="7">
        <v>24</v>
      </c>
      <c r="S14" s="7">
        <v>14</v>
      </c>
      <c r="T14" s="83">
        <v>3</v>
      </c>
      <c r="U14" s="13">
        <v>3.0729999999999995</v>
      </c>
      <c r="V14" s="13">
        <v>3.0729999999999995</v>
      </c>
      <c r="W14" s="13">
        <f>Tabla17[[#This Row],[CONSUMO TOTAL PRO VALO]]/52</f>
        <v>5.909615384615384E-2</v>
      </c>
      <c r="X14" s="21">
        <v>0</v>
      </c>
      <c r="Y14" s="13">
        <v>0</v>
      </c>
      <c r="Z14" s="13">
        <f>Tabla17[[#This Row],[CONSUMO TOTAL TODAS]]/52</f>
        <v>0</v>
      </c>
      <c r="AA14" s="25">
        <f>Tabla17[[#This Row],[CONSUMO PROMEDIO PROPIO]]+Tabla17[[#This Row],[CONSUMO PROMEDIO TODAS]]</f>
        <v>5.909615384615384E-2</v>
      </c>
      <c r="AB14" s="26">
        <f>Tabla17[[#This Row],[CONSUMO PROMEDIO TOTAL]]*(Tabla17[[#This Row],[FRECUENCIA]]+Tabla17[[#This Row],[TIEMPO REPOSICION ]])*1.7</f>
        <v>3.8176115384615379</v>
      </c>
      <c r="AC14" s="26">
        <v>4</v>
      </c>
      <c r="AD14" s="26">
        <v>4</v>
      </c>
      <c r="AE14" s="3" t="e">
        <f>VLOOKUP(Tabla17[[#This Row],[CODIGO ]],#REF!,2,0)</f>
        <v>#REF!</v>
      </c>
      <c r="AF14" s="2">
        <f>IFERROR(VLOOKUP(Tabla17[[#This Row],[CODIGO ]],#REF!,2,0),0)</f>
        <v>0</v>
      </c>
      <c r="AG14" s="80" t="e">
        <f>Tabla17[[#This Row],[INVENTARIO FISICO ]]-Tabla17[[#This Row],[BUFFER REAL]]</f>
        <v>#REF!</v>
      </c>
      <c r="AH14" s="27"/>
      <c r="AI14" s="80"/>
      <c r="AJ14" s="80">
        <f>Tabla17[[#This Row],[SINOCHEM EN TRANSITO  ]]+Tabla17[[#This Row],[TRANSITO LOCAL]]</f>
        <v>0</v>
      </c>
      <c r="AK14" s="80"/>
      <c r="AL14" s="80"/>
      <c r="AM14" s="124" t="e">
        <f>Tabla17[[#This Row],[INVENTARIO FISICO ]]-Tabla17[[#This Row],[BUFFER REAL]]+Tabla17[[#This Row],[SINOCHEM EN TRANSITO  ]]+Tabla17[[#This Row],[TRANSITO LOCAL]]</f>
        <v>#REF!</v>
      </c>
      <c r="AN14" s="80">
        <f>Tabla17[[#This Row],[BUFFER REAL]]/((Tabla17[[#This Row],[TIEMPO REPOSICION ]]/Tabla17[[#This Row],[FRECUENCIA]])+1)</f>
        <v>2.5263157894736841</v>
      </c>
      <c r="AO14" s="80">
        <v>0</v>
      </c>
      <c r="AP14" s="77"/>
      <c r="AQ14" s="77">
        <v>0</v>
      </c>
      <c r="AR14" s="27">
        <v>3</v>
      </c>
    </row>
    <row r="15" spans="1:44" s="7" customFormat="1">
      <c r="A15" s="18" t="s">
        <v>81</v>
      </c>
      <c r="B15" s="18" t="s">
        <v>82</v>
      </c>
      <c r="C15" s="7" t="s">
        <v>676</v>
      </c>
      <c r="D15" s="7" t="s">
        <v>707</v>
      </c>
      <c r="H15" s="7" t="s">
        <v>761</v>
      </c>
      <c r="I15" s="7" t="s">
        <v>724</v>
      </c>
      <c r="J15" s="7" t="s">
        <v>718</v>
      </c>
      <c r="K15" s="13">
        <v>0</v>
      </c>
      <c r="L15" s="13">
        <f t="shared" si="0"/>
        <v>0</v>
      </c>
      <c r="M15" s="13">
        <v>37.57</v>
      </c>
      <c r="N15" s="13"/>
      <c r="O15" s="13"/>
      <c r="P15" s="13" t="s">
        <v>805</v>
      </c>
      <c r="Q15" s="13" t="s">
        <v>802</v>
      </c>
      <c r="R15" s="7">
        <v>4</v>
      </c>
      <c r="S15" s="7">
        <v>4</v>
      </c>
      <c r="T15" s="7">
        <v>1</v>
      </c>
      <c r="U15" s="13">
        <v>0</v>
      </c>
      <c r="V15" s="13">
        <v>0</v>
      </c>
      <c r="W15" s="13">
        <f>Tabla17[[#This Row],[CONSUMO TOTAL PRO VALO]]/52</f>
        <v>0</v>
      </c>
      <c r="X15" s="21">
        <v>0</v>
      </c>
      <c r="Y15" s="13">
        <v>0</v>
      </c>
      <c r="Z15" s="13">
        <f>Tabla17[[#This Row],[CONSUMO TOTAL TODAS]]/52</f>
        <v>0</v>
      </c>
      <c r="AA15" s="25">
        <f>Tabla17[[#This Row],[CONSUMO PROMEDIO PROPIO]]+Tabla17[[#This Row],[CONSUMO PROMEDIO TODAS]]</f>
        <v>0</v>
      </c>
      <c r="AB15" s="26">
        <f>Tabla17[[#This Row],[CONSUMO PROMEDIO TOTAL]]*(Tabla17[[#This Row],[FRECUENCIA]]+Tabla17[[#This Row],[TIEMPO REPOSICION ]])*1.7</f>
        <v>0</v>
      </c>
      <c r="AC15" s="26">
        <v>30</v>
      </c>
      <c r="AD15" s="26">
        <v>30</v>
      </c>
      <c r="AE15" s="3" t="e">
        <f>VLOOKUP(Tabla17[[#This Row],[CODIGO ]],#REF!,2,0)</f>
        <v>#REF!</v>
      </c>
      <c r="AF15" s="2">
        <f>IFERROR(VLOOKUP(Tabla17[[#This Row],[CODIGO ]],#REF!,2,0),0)</f>
        <v>0</v>
      </c>
      <c r="AG15" s="80" t="e">
        <f>Tabla17[[#This Row],[INVENTARIO FISICO ]]-Tabla17[[#This Row],[BUFFER REAL]]</f>
        <v>#REF!</v>
      </c>
      <c r="AH15" s="27"/>
      <c r="AI15" s="80"/>
      <c r="AJ15" s="80">
        <f>Tabla17[[#This Row],[SINOCHEM EN TRANSITO  ]]+Tabla17[[#This Row],[TRANSITO LOCAL]]</f>
        <v>0</v>
      </c>
      <c r="AK15" s="80">
        <v>0</v>
      </c>
      <c r="AL15" s="80"/>
      <c r="AM15" s="124" t="e">
        <f>Tabla17[[#This Row],[INVENTARIO FISICO ]]-Tabla17[[#This Row],[BUFFER REAL]]+Tabla17[[#This Row],[SINOCHEM EN TRANSITO  ]]+Tabla17[[#This Row],[TRANSITO LOCAL]]</f>
        <v>#REF!</v>
      </c>
      <c r="AN15" s="128">
        <f>Tabla17[[#This Row],[BUFFER REAL]]/((Tabla17[[#This Row],[TIEMPO REPOSICION ]]/Tabla17[[#This Row],[FRECUENCIA]])+1)</f>
        <v>15</v>
      </c>
      <c r="AO15" s="80">
        <v>30</v>
      </c>
      <c r="AP15" s="77">
        <v>20</v>
      </c>
      <c r="AQ15" s="77"/>
      <c r="AR15" s="27">
        <v>10</v>
      </c>
    </row>
    <row r="16" spans="1:44" s="7" customFormat="1">
      <c r="A16" s="18" t="s">
        <v>83</v>
      </c>
      <c r="B16" s="18" t="s">
        <v>84</v>
      </c>
      <c r="C16" s="7" t="s">
        <v>675</v>
      </c>
      <c r="D16" s="7" t="s">
        <v>707</v>
      </c>
      <c r="H16" s="7" t="s">
        <v>717</v>
      </c>
      <c r="I16" s="7" t="s">
        <v>724</v>
      </c>
      <c r="J16" s="7" t="s">
        <v>718</v>
      </c>
      <c r="K16" s="13">
        <v>0</v>
      </c>
      <c r="L16" s="13">
        <f t="shared" si="0"/>
        <v>0</v>
      </c>
      <c r="M16" s="13">
        <v>640.16732000000002</v>
      </c>
      <c r="N16" s="13"/>
      <c r="O16" s="13">
        <v>1</v>
      </c>
      <c r="P16" s="13" t="s">
        <v>804</v>
      </c>
      <c r="Q16" s="13" t="s">
        <v>802</v>
      </c>
      <c r="R16" s="7">
        <v>4</v>
      </c>
      <c r="S16" s="7">
        <v>4</v>
      </c>
      <c r="T16" s="7">
        <v>1</v>
      </c>
      <c r="U16" s="13">
        <v>10.56175</v>
      </c>
      <c r="V16" s="13">
        <v>10.56175</v>
      </c>
      <c r="W16" s="13">
        <f>Tabla17[[#This Row],[CONSUMO TOTAL PRO VALO]]/52</f>
        <v>0.20311057692307694</v>
      </c>
      <c r="X16" s="21">
        <v>0</v>
      </c>
      <c r="Y16" s="13">
        <v>0</v>
      </c>
      <c r="Z16" s="13">
        <f>Tabla17[[#This Row],[CONSUMO TOTAL TODAS]]/52</f>
        <v>0</v>
      </c>
      <c r="AA16" s="25">
        <f>Tabla17[[#This Row],[CONSUMO PROMEDIO PROPIO]]+Tabla17[[#This Row],[CONSUMO PROMEDIO TODAS]]</f>
        <v>0.20311057692307694</v>
      </c>
      <c r="AB16" s="26">
        <f>Tabla17[[#This Row],[CONSUMO PROMEDIO TOTAL]]*(Tabla17[[#This Row],[FRECUENCIA]]+Tabla17[[#This Row],[TIEMPO REPOSICION ]])*1.7</f>
        <v>2.7623038461538463</v>
      </c>
      <c r="AC16" s="26">
        <v>2</v>
      </c>
      <c r="AD16" s="26">
        <v>3</v>
      </c>
      <c r="AE16" s="3" t="e">
        <f>VLOOKUP(Tabla17[[#This Row],[CODIGO ]],#REF!,2,0)</f>
        <v>#REF!</v>
      </c>
      <c r="AF16" s="2">
        <f>IFERROR(VLOOKUP(Tabla17[[#This Row],[CODIGO ]],#REF!,2,0),0)</f>
        <v>0</v>
      </c>
      <c r="AG16" s="80" t="e">
        <f>Tabla17[[#This Row],[INVENTARIO FISICO ]]-Tabla17[[#This Row],[BUFFER REAL]]</f>
        <v>#REF!</v>
      </c>
      <c r="AH16" s="27"/>
      <c r="AI16" s="80"/>
      <c r="AJ16" s="80">
        <f>Tabla17[[#This Row],[SINOCHEM EN TRANSITO  ]]+Tabla17[[#This Row],[TRANSITO LOCAL]]</f>
        <v>0</v>
      </c>
      <c r="AK16" s="80">
        <v>1</v>
      </c>
      <c r="AL16" s="80"/>
      <c r="AM16" s="124" t="e">
        <f>Tabla17[[#This Row],[INVENTARIO FISICO ]]-Tabla17[[#This Row],[BUFFER REAL]]+Tabla17[[#This Row],[SINOCHEM EN TRANSITO  ]]+Tabla17[[#This Row],[TRANSITO LOCAL]]</f>
        <v>#REF!</v>
      </c>
      <c r="AN16" s="128">
        <f>Tabla17[[#This Row],[BUFFER REAL]]/((Tabla17[[#This Row],[TIEMPO REPOSICION ]]/Tabla17[[#This Row],[FRECUENCIA]])+1)</f>
        <v>1.5</v>
      </c>
      <c r="AO16" s="80">
        <v>0</v>
      </c>
      <c r="AP16" s="77">
        <v>2</v>
      </c>
      <c r="AQ16" s="77"/>
      <c r="AR16" s="27">
        <v>1</v>
      </c>
    </row>
    <row r="17" spans="1:44" s="7" customFormat="1">
      <c r="A17" s="18" t="s">
        <v>136</v>
      </c>
      <c r="B17" s="18" t="s">
        <v>137</v>
      </c>
      <c r="C17" s="7" t="s">
        <v>676</v>
      </c>
      <c r="D17" s="7" t="s">
        <v>709</v>
      </c>
      <c r="H17" s="7" t="s">
        <v>761</v>
      </c>
      <c r="I17" s="7" t="s">
        <v>724</v>
      </c>
      <c r="J17" s="7" t="s">
        <v>718</v>
      </c>
      <c r="K17" s="13">
        <v>0</v>
      </c>
      <c r="L17" s="13">
        <f t="shared" si="0"/>
        <v>0</v>
      </c>
      <c r="M17" s="13">
        <v>62.27</v>
      </c>
      <c r="N17" s="13"/>
      <c r="O17" s="13"/>
      <c r="P17" s="13" t="s">
        <v>805</v>
      </c>
      <c r="Q17" s="13" t="s">
        <v>802</v>
      </c>
      <c r="R17" s="7">
        <v>8</v>
      </c>
      <c r="S17" s="7">
        <v>4</v>
      </c>
      <c r="T17" s="7">
        <v>1</v>
      </c>
      <c r="U17" s="13">
        <v>0</v>
      </c>
      <c r="V17" s="13">
        <v>0</v>
      </c>
      <c r="W17" s="13">
        <f>Tabla17[[#This Row],[CONSUMO TOTAL PRO VALO]]/52</f>
        <v>0</v>
      </c>
      <c r="X17" s="21">
        <v>0</v>
      </c>
      <c r="Y17" s="13">
        <v>0</v>
      </c>
      <c r="Z17" s="13">
        <f>Tabla17[[#This Row],[CONSUMO TOTAL TODAS]]/52</f>
        <v>0</v>
      </c>
      <c r="AA17" s="25">
        <f>Tabla17[[#This Row],[CONSUMO PROMEDIO PROPIO]]+Tabla17[[#This Row],[CONSUMO PROMEDIO TODAS]]</f>
        <v>0</v>
      </c>
      <c r="AB17" s="26">
        <f>Tabla17[[#This Row],[CONSUMO PROMEDIO TOTAL]]*(Tabla17[[#This Row],[FRECUENCIA]]+Tabla17[[#This Row],[TIEMPO REPOSICION ]])*1.7</f>
        <v>0</v>
      </c>
      <c r="AC17" s="26">
        <v>30</v>
      </c>
      <c r="AD17" s="26">
        <v>30</v>
      </c>
      <c r="AE17" s="3" t="e">
        <f>VLOOKUP(Tabla17[[#This Row],[CODIGO ]],#REF!,2,0)</f>
        <v>#REF!</v>
      </c>
      <c r="AF17" s="2">
        <f>IFERROR(VLOOKUP(Tabla17[[#This Row],[CODIGO ]],#REF!,2,0),0)</f>
        <v>0</v>
      </c>
      <c r="AG17" s="80" t="e">
        <f>Tabla17[[#This Row],[INVENTARIO FISICO ]]-Tabla17[[#This Row],[BUFFER REAL]]</f>
        <v>#REF!</v>
      </c>
      <c r="AH17" s="27"/>
      <c r="AI17" s="80"/>
      <c r="AJ17" s="80">
        <f>Tabla17[[#This Row],[SINOCHEM EN TRANSITO  ]]+Tabla17[[#This Row],[TRANSITO LOCAL]]</f>
        <v>0</v>
      </c>
      <c r="AK17" s="80">
        <v>0</v>
      </c>
      <c r="AL17" s="80"/>
      <c r="AM17" s="124" t="e">
        <f>Tabla17[[#This Row],[INVENTARIO FISICO ]]-Tabla17[[#This Row],[BUFFER REAL]]+Tabla17[[#This Row],[SINOCHEM EN TRANSITO  ]]+Tabla17[[#This Row],[TRANSITO LOCAL]]</f>
        <v>#REF!</v>
      </c>
      <c r="AN17" s="128">
        <f>Tabla17[[#This Row],[BUFFER REAL]]/((Tabla17[[#This Row],[TIEMPO REPOSICION ]]/Tabla17[[#This Row],[FRECUENCIA]])+1)</f>
        <v>20</v>
      </c>
      <c r="AO17" s="80">
        <v>184</v>
      </c>
      <c r="AP17" s="126">
        <v>3</v>
      </c>
      <c r="AQ17" s="77"/>
      <c r="AR17" s="27">
        <v>5</v>
      </c>
    </row>
    <row r="18" spans="1:44" s="83" customFormat="1">
      <c r="A18" s="18" t="s">
        <v>154</v>
      </c>
      <c r="B18" s="18" t="s">
        <v>155</v>
      </c>
      <c r="C18" s="7" t="s">
        <v>690</v>
      </c>
      <c r="D18" s="7" t="s">
        <v>712</v>
      </c>
      <c r="E18" s="7"/>
      <c r="F18" s="7"/>
      <c r="G18" s="7"/>
      <c r="H18" s="7" t="s">
        <v>720</v>
      </c>
      <c r="I18" s="103" t="s">
        <v>722</v>
      </c>
      <c r="J18" s="7" t="s">
        <v>718</v>
      </c>
      <c r="K18" s="13">
        <v>0</v>
      </c>
      <c r="L18" s="13">
        <f t="shared" si="0"/>
        <v>0</v>
      </c>
      <c r="M18" s="13">
        <v>2.4228499999999999</v>
      </c>
      <c r="N18" s="13"/>
      <c r="O18" s="13"/>
      <c r="P18" s="13" t="s">
        <v>814</v>
      </c>
      <c r="Q18" s="13" t="s">
        <v>873</v>
      </c>
      <c r="R18" s="7">
        <v>12</v>
      </c>
      <c r="S18" s="7">
        <v>14</v>
      </c>
      <c r="T18" s="83">
        <v>3</v>
      </c>
      <c r="U18" s="13">
        <v>2085</v>
      </c>
      <c r="V18" s="13">
        <v>2085</v>
      </c>
      <c r="W18" s="13">
        <f>Tabla17[[#This Row],[CONSUMO TOTAL PRO VALO]]/52</f>
        <v>40.096153846153847</v>
      </c>
      <c r="X18" s="21">
        <v>0</v>
      </c>
      <c r="Y18" s="13">
        <v>0</v>
      </c>
      <c r="Z18" s="13">
        <f>Tabla17[[#This Row],[CONSUMO TOTAL TODAS]]/52</f>
        <v>0</v>
      </c>
      <c r="AA18" s="25">
        <f>Tabla17[[#This Row],[CONSUMO PROMEDIO PROPIO]]+Tabla17[[#This Row],[CONSUMO PROMEDIO TODAS]]</f>
        <v>40.096153846153847</v>
      </c>
      <c r="AB18" s="26">
        <f>Tabla17[[#This Row],[CONSUMO PROMEDIO TOTAL]]*(Tabla17[[#This Row],[FRECUENCIA]]+Tabla17[[#This Row],[TIEMPO REPOSICION ]])*1.7</f>
        <v>1772.25</v>
      </c>
      <c r="AC18" s="26">
        <v>0</v>
      </c>
      <c r="AD18" s="26">
        <v>0</v>
      </c>
      <c r="AE18" s="3" t="e">
        <f>VLOOKUP(Tabla17[[#This Row],[CODIGO ]],#REF!,2,0)</f>
        <v>#REF!</v>
      </c>
      <c r="AF18" s="2">
        <f>IFERROR(VLOOKUP(Tabla17[[#This Row],[CODIGO ]],#REF!,2,0),0)</f>
        <v>0</v>
      </c>
      <c r="AG18" s="80" t="e">
        <f>Tabla17[[#This Row],[INVENTARIO FISICO ]]-Tabla17[[#This Row],[BUFFER REAL]]</f>
        <v>#REF!</v>
      </c>
      <c r="AH18" s="27"/>
      <c r="AI18" s="80"/>
      <c r="AJ18" s="80">
        <f>Tabla17[[#This Row],[SINOCHEM EN TRANSITO  ]]+Tabla17[[#This Row],[TRANSITO LOCAL]]</f>
        <v>0</v>
      </c>
      <c r="AK18" s="80"/>
      <c r="AL18" s="80"/>
      <c r="AM18" s="124" t="e">
        <f>Tabla17[[#This Row],[INVENTARIO FISICO ]]-Tabla17[[#This Row],[BUFFER REAL]]+Tabla17[[#This Row],[SINOCHEM EN TRANSITO  ]]+Tabla17[[#This Row],[TRANSITO LOCAL]]</f>
        <v>#REF!</v>
      </c>
      <c r="AN18" s="80">
        <f>Tabla17[[#This Row],[BUFFER REAL]]/((Tabla17[[#This Row],[TIEMPO REPOSICION ]]/Tabla17[[#This Row],[FRECUENCIA]])+1)</f>
        <v>0</v>
      </c>
      <c r="AO18" s="80"/>
      <c r="AP18" s="77"/>
      <c r="AQ18" s="77">
        <v>0</v>
      </c>
      <c r="AR18" s="27">
        <v>0</v>
      </c>
    </row>
    <row r="19" spans="1:44" s="7" customFormat="1">
      <c r="A19" s="18" t="s">
        <v>156</v>
      </c>
      <c r="B19" s="18" t="s">
        <v>157</v>
      </c>
      <c r="C19" s="7" t="s">
        <v>671</v>
      </c>
      <c r="D19" s="7" t="s">
        <v>712</v>
      </c>
      <c r="H19" s="7" t="s">
        <v>720</v>
      </c>
      <c r="I19" s="103" t="s">
        <v>722</v>
      </c>
      <c r="J19" s="7" t="s">
        <v>718</v>
      </c>
      <c r="K19" s="13">
        <v>0</v>
      </c>
      <c r="L19" s="13">
        <f t="shared" si="0"/>
        <v>0</v>
      </c>
      <c r="M19" s="13">
        <v>4.6859999999999999</v>
      </c>
      <c r="N19" s="13"/>
      <c r="O19" s="13"/>
      <c r="P19" s="13" t="s">
        <v>814</v>
      </c>
      <c r="Q19" s="13" t="s">
        <v>873</v>
      </c>
      <c r="R19" s="7">
        <v>12</v>
      </c>
      <c r="S19" s="7">
        <v>14</v>
      </c>
      <c r="T19" s="83">
        <v>3</v>
      </c>
      <c r="U19" s="13">
        <v>2460</v>
      </c>
      <c r="V19" s="13">
        <v>2460</v>
      </c>
      <c r="W19" s="13">
        <f>Tabla17[[#This Row],[CONSUMO TOTAL PRO VALO]]/52</f>
        <v>47.307692307692307</v>
      </c>
      <c r="X19" s="21">
        <v>0</v>
      </c>
      <c r="Y19" s="13">
        <v>0</v>
      </c>
      <c r="Z19" s="13">
        <f>Tabla17[[#This Row],[CONSUMO TOTAL TODAS]]/52</f>
        <v>0</v>
      </c>
      <c r="AA19" s="25">
        <f>Tabla17[[#This Row],[CONSUMO PROMEDIO PROPIO]]+Tabla17[[#This Row],[CONSUMO PROMEDIO TODAS]]</f>
        <v>47.307692307692307</v>
      </c>
      <c r="AB19" s="26">
        <f>Tabla17[[#This Row],[CONSUMO PROMEDIO TOTAL]]*(Tabla17[[#This Row],[FRECUENCIA]]+Tabla17[[#This Row],[TIEMPO REPOSICION ]])*1.7</f>
        <v>2091</v>
      </c>
      <c r="AC19" s="26">
        <v>0</v>
      </c>
      <c r="AD19" s="26">
        <v>0</v>
      </c>
      <c r="AE19" s="3" t="e">
        <f>VLOOKUP(Tabla17[[#This Row],[CODIGO ]],#REF!,2,0)</f>
        <v>#REF!</v>
      </c>
      <c r="AF19" s="2">
        <f>IFERROR(VLOOKUP(Tabla17[[#This Row],[CODIGO ]],#REF!,2,0),0)</f>
        <v>0</v>
      </c>
      <c r="AG19" s="80" t="e">
        <f>Tabla17[[#This Row],[INVENTARIO FISICO ]]-Tabla17[[#This Row],[BUFFER REAL]]</f>
        <v>#REF!</v>
      </c>
      <c r="AH19" s="27"/>
      <c r="AI19" s="80"/>
      <c r="AJ19" s="80">
        <f>Tabla17[[#This Row],[SINOCHEM EN TRANSITO  ]]+Tabla17[[#This Row],[TRANSITO LOCAL]]</f>
        <v>0</v>
      </c>
      <c r="AK19" s="80"/>
      <c r="AL19" s="80"/>
      <c r="AM19" s="124" t="e">
        <f>Tabla17[[#This Row],[INVENTARIO FISICO ]]-Tabla17[[#This Row],[BUFFER REAL]]+Tabla17[[#This Row],[SINOCHEM EN TRANSITO  ]]+Tabla17[[#This Row],[TRANSITO LOCAL]]</f>
        <v>#REF!</v>
      </c>
      <c r="AN19" s="80">
        <f>Tabla17[[#This Row],[BUFFER REAL]]/((Tabla17[[#This Row],[TIEMPO REPOSICION ]]/Tabla17[[#This Row],[FRECUENCIA]])+1)</f>
        <v>0</v>
      </c>
      <c r="AO19" s="80"/>
      <c r="AP19" s="77"/>
      <c r="AQ19" s="126">
        <v>0</v>
      </c>
      <c r="AR19" s="88">
        <v>0</v>
      </c>
    </row>
    <row r="20" spans="1:44" s="7" customFormat="1">
      <c r="A20" s="18" t="s">
        <v>158</v>
      </c>
      <c r="B20" s="18" t="s">
        <v>159</v>
      </c>
      <c r="C20" s="7" t="s">
        <v>691</v>
      </c>
      <c r="D20" s="7" t="s">
        <v>712</v>
      </c>
      <c r="H20" s="7" t="s">
        <v>720</v>
      </c>
      <c r="I20" s="7" t="s">
        <v>724</v>
      </c>
      <c r="J20" s="7" t="s">
        <v>718</v>
      </c>
      <c r="K20" s="13">
        <v>0</v>
      </c>
      <c r="L20" s="13">
        <f t="shared" si="0"/>
        <v>0</v>
      </c>
      <c r="M20" s="13">
        <v>209.62</v>
      </c>
      <c r="N20" s="13"/>
      <c r="O20" s="13"/>
      <c r="P20" s="13" t="s">
        <v>814</v>
      </c>
      <c r="Q20" s="13" t="s">
        <v>873</v>
      </c>
      <c r="R20" s="7">
        <v>12</v>
      </c>
      <c r="S20" s="7">
        <v>14</v>
      </c>
      <c r="T20" s="83">
        <v>3</v>
      </c>
      <c r="U20" s="13">
        <v>11.790000000000001</v>
      </c>
      <c r="V20" s="13">
        <v>11.790000000000001</v>
      </c>
      <c r="W20" s="13">
        <f>Tabla17[[#This Row],[CONSUMO TOTAL PRO VALO]]/52</f>
        <v>0.22673076923076924</v>
      </c>
      <c r="X20" s="21">
        <v>0</v>
      </c>
      <c r="Y20" s="13">
        <v>0</v>
      </c>
      <c r="Z20" s="13">
        <f>Tabla17[[#This Row],[CONSUMO TOTAL TODAS]]/52</f>
        <v>0</v>
      </c>
      <c r="AA20" s="25">
        <f>Tabla17[[#This Row],[CONSUMO PROMEDIO PROPIO]]+Tabla17[[#This Row],[CONSUMO PROMEDIO TODAS]]</f>
        <v>0.22673076923076924</v>
      </c>
      <c r="AB20" s="26">
        <f>Tabla17[[#This Row],[CONSUMO PROMEDIO TOTAL]]*(Tabla17[[#This Row],[FRECUENCIA]]+Tabla17[[#This Row],[TIEMPO REPOSICION ]])*1.7</f>
        <v>10.021500000000001</v>
      </c>
      <c r="AC20" s="26">
        <v>70</v>
      </c>
      <c r="AD20" s="26">
        <v>70</v>
      </c>
      <c r="AE20" s="133" t="e">
        <f>VLOOKUP(Tabla17[[#This Row],[CODIGO ]],#REF!,2,0)</f>
        <v>#REF!</v>
      </c>
      <c r="AF20" s="2">
        <f>IFERROR(VLOOKUP(Tabla17[[#This Row],[CODIGO ]],#REF!,2,0),0)</f>
        <v>0</v>
      </c>
      <c r="AG20" s="80" t="e">
        <f>Tabla17[[#This Row],[INVENTARIO FISICO ]]-Tabla17[[#This Row],[BUFFER REAL]]</f>
        <v>#REF!</v>
      </c>
      <c r="AH20" s="27"/>
      <c r="AI20" s="80"/>
      <c r="AJ20" s="80">
        <f>Tabla17[[#This Row],[SINOCHEM EN TRANSITO  ]]+Tabla17[[#This Row],[TRANSITO LOCAL]]</f>
        <v>0</v>
      </c>
      <c r="AK20" s="80"/>
      <c r="AL20" s="80"/>
      <c r="AM20" s="124" t="e">
        <f>Tabla17[[#This Row],[INVENTARIO FISICO ]]-Tabla17[[#This Row],[BUFFER REAL]]+Tabla17[[#This Row],[SINOCHEM EN TRANSITO  ]]+Tabla17[[#This Row],[TRANSITO LOCAL]]</f>
        <v>#REF!</v>
      </c>
      <c r="AN20" s="80">
        <f>Tabla17[[#This Row],[BUFFER REAL]]/((Tabla17[[#This Row],[TIEMPO REPOSICION ]]/Tabla17[[#This Row],[FRECUENCIA]])+1)</f>
        <v>32.307692307692307</v>
      </c>
      <c r="AO20" s="80">
        <v>0</v>
      </c>
      <c r="AP20" s="77"/>
      <c r="AQ20" s="77">
        <v>30</v>
      </c>
      <c r="AR20" s="27">
        <v>0</v>
      </c>
    </row>
    <row r="21" spans="1:44" s="7" customFormat="1">
      <c r="A21" s="130" t="s">
        <v>836</v>
      </c>
      <c r="B21" s="130" t="s">
        <v>842</v>
      </c>
      <c r="C21" s="20" t="s">
        <v>704</v>
      </c>
      <c r="D21" s="7" t="s">
        <v>712</v>
      </c>
      <c r="E21" s="20"/>
      <c r="F21" s="20"/>
      <c r="G21" s="20"/>
      <c r="H21" s="20" t="s">
        <v>720</v>
      </c>
      <c r="I21" s="7" t="s">
        <v>724</v>
      </c>
      <c r="J21" s="7" t="s">
        <v>718</v>
      </c>
      <c r="K21" s="21"/>
      <c r="L21" s="21">
        <f t="shared" si="0"/>
        <v>0</v>
      </c>
      <c r="M21" s="21"/>
      <c r="N21" s="21"/>
      <c r="O21" s="21"/>
      <c r="P21" s="13" t="s">
        <v>814</v>
      </c>
      <c r="Q21" s="13" t="s">
        <v>873</v>
      </c>
      <c r="R21" s="7">
        <v>12</v>
      </c>
      <c r="S21" s="7">
        <v>14</v>
      </c>
      <c r="T21" s="20">
        <v>3</v>
      </c>
      <c r="U21" s="21"/>
      <c r="V21" s="21"/>
      <c r="W21" s="21">
        <f>Tabla17[[#This Row],[CONSUMO TOTAL PRO VALO]]/52</f>
        <v>0</v>
      </c>
      <c r="X21" s="21" t="e">
        <f>Tabla2[[#This Row],[CONSUMO TOTAL ]]+Tabla3[[#This Row],[CONSUMO TOTAL]]+#REF!+#REF!</f>
        <v>#REF!</v>
      </c>
      <c r="Y21" s="21"/>
      <c r="Z21" s="21">
        <f>Tabla17[[#This Row],[CONSUMO TOTAL TODAS]]/52</f>
        <v>0</v>
      </c>
      <c r="AA21" s="28">
        <f>Tabla17[[#This Row],[CONSUMO PROMEDIO PROPIO]]+Tabla17[[#This Row],[CONSUMO PROMEDIO TODAS]]</f>
        <v>0</v>
      </c>
      <c r="AB21" s="33">
        <f>Tabla17[[#This Row],[CONSUMO PROMEDIO TOTAL]]*(Tabla17[[#This Row],[FRECUENCIA]]+Tabla17[[#This Row],[TIEMPO REPOSICION ]])*1.7</f>
        <v>0</v>
      </c>
      <c r="AC21" s="33">
        <v>60</v>
      </c>
      <c r="AD21" s="33">
        <v>60</v>
      </c>
      <c r="AE21" s="135" t="e">
        <f>VLOOKUP(Tabla17[[#This Row],[CODIGO ]],#REF!,2,0)</f>
        <v>#REF!</v>
      </c>
      <c r="AF21" s="116">
        <f>IFERROR(VLOOKUP(Tabla17[[#This Row],[CODIGO ]],#REF!,2,0),0)</f>
        <v>0</v>
      </c>
      <c r="AG21" s="117" t="e">
        <f>Tabla17[[#This Row],[INVENTARIO FISICO ]]-Tabla17[[#This Row],[BUFFER REAL]]</f>
        <v>#REF!</v>
      </c>
      <c r="AH21" s="110"/>
      <c r="AI21" s="110"/>
      <c r="AJ21" s="117">
        <f>Tabla17[[#This Row],[SINOCHEM EN TRANSITO  ]]+Tabla17[[#This Row],[TRANSITO LOCAL]]</f>
        <v>0</v>
      </c>
      <c r="AK21" s="117"/>
      <c r="AL21" s="117"/>
      <c r="AM21" s="124" t="e">
        <f>Tabla17[[#This Row],[INVENTARIO FISICO ]]-Tabla17[[#This Row],[BUFFER REAL]]+Tabla17[[#This Row],[SINOCHEM EN TRANSITO  ]]+Tabla17[[#This Row],[TRANSITO LOCAL]]</f>
        <v>#REF!</v>
      </c>
      <c r="AN21" s="117">
        <f>Tabla17[[#This Row],[BUFFER REAL]]/((Tabla17[[#This Row],[TIEMPO REPOSICION ]]/Tabla17[[#This Row],[FRECUENCIA]])+1)</f>
        <v>27.69230769230769</v>
      </c>
      <c r="AO21" s="117"/>
      <c r="AP21" s="77"/>
      <c r="AQ21" s="77">
        <v>28</v>
      </c>
      <c r="AR21" s="27">
        <v>0</v>
      </c>
    </row>
    <row r="22" spans="1:44" s="7" customFormat="1">
      <c r="A22" s="18" t="s">
        <v>160</v>
      </c>
      <c r="B22" s="18" t="s">
        <v>161</v>
      </c>
      <c r="C22" s="83" t="s">
        <v>675</v>
      </c>
      <c r="D22" s="83" t="s">
        <v>708</v>
      </c>
      <c r="E22" s="83"/>
      <c r="F22" s="83"/>
      <c r="G22" s="83"/>
      <c r="H22" s="83" t="s">
        <v>717</v>
      </c>
      <c r="I22" s="83" t="s">
        <v>724</v>
      </c>
      <c r="J22" s="83" t="s">
        <v>718</v>
      </c>
      <c r="K22" s="13">
        <v>0</v>
      </c>
      <c r="L22" s="13">
        <f t="shared" si="0"/>
        <v>0</v>
      </c>
      <c r="M22" s="13">
        <v>20067.632880000001</v>
      </c>
      <c r="N22" s="13"/>
      <c r="O22" s="84">
        <v>1</v>
      </c>
      <c r="P22" s="89" t="s">
        <v>806</v>
      </c>
      <c r="Q22" s="84" t="s">
        <v>802</v>
      </c>
      <c r="R22" s="83">
        <v>26</v>
      </c>
      <c r="S22" s="83">
        <v>12</v>
      </c>
      <c r="T22" s="83">
        <v>3</v>
      </c>
      <c r="U22" s="84">
        <v>2.8929999999999998</v>
      </c>
      <c r="V22" s="84">
        <v>2.8929999999999998</v>
      </c>
      <c r="W22" s="84">
        <f>Tabla17[[#This Row],[CONSUMO TOTAL PRO VALO]]/52</f>
        <v>5.563461538461538E-2</v>
      </c>
      <c r="X22" s="21">
        <v>0</v>
      </c>
      <c r="Y22" s="13">
        <v>0</v>
      </c>
      <c r="Z22" s="13">
        <f>Tabla17[[#This Row],[CONSUMO TOTAL TODAS]]/52</f>
        <v>0</v>
      </c>
      <c r="AA22" s="85">
        <f>Tabla17[[#This Row],[CONSUMO PROMEDIO PROPIO]]+Tabla17[[#This Row],[CONSUMO PROMEDIO TODAS]]</f>
        <v>5.563461538461538E-2</v>
      </c>
      <c r="AB22" s="86">
        <f>Tabla17[[#This Row],[CONSUMO PROMEDIO TOTAL]]*(Tabla17[[#This Row],[FRECUENCIA]]+Tabla17[[#This Row],[TIEMPO REPOSICION ]])*1.7</f>
        <v>3.5939961538461533</v>
      </c>
      <c r="AC22" s="86">
        <v>3</v>
      </c>
      <c r="AD22" s="86">
        <v>3</v>
      </c>
      <c r="AE22" s="3" t="e">
        <f>VLOOKUP(Tabla17[[#This Row],[CODIGO ]],#REF!,2,0)</f>
        <v>#REF!</v>
      </c>
      <c r="AF22" s="2">
        <f>IFERROR(VLOOKUP(Tabla17[[#This Row],[CODIGO ]],#REF!,2,0),0)</f>
        <v>0</v>
      </c>
      <c r="AG22" s="87" t="e">
        <f>Tabla17[[#This Row],[INVENTARIO FISICO ]]-Tabla17[[#This Row],[BUFFER REAL]]</f>
        <v>#REF!</v>
      </c>
      <c r="AH22" s="88"/>
      <c r="AI22" s="87"/>
      <c r="AJ22" s="87">
        <f>Tabla17[[#This Row],[SINOCHEM EN TRANSITO  ]]+Tabla17[[#This Row],[TRANSITO LOCAL]]</f>
        <v>0</v>
      </c>
      <c r="AK22" s="87"/>
      <c r="AL22" s="87"/>
      <c r="AM22" s="124" t="e">
        <f>Tabla17[[#This Row],[INVENTARIO FISICO ]]-Tabla17[[#This Row],[BUFFER REAL]]+Tabla17[[#This Row],[SINOCHEM EN TRANSITO  ]]+Tabla17[[#This Row],[TRANSITO LOCAL]]</f>
        <v>#REF!</v>
      </c>
      <c r="AN22" s="128">
        <f>Tabla17[[#This Row],[BUFFER REAL]]/((Tabla17[[#This Row],[TIEMPO REPOSICION ]]/Tabla17[[#This Row],[FRECUENCIA]])+1)</f>
        <v>2.0526315789473681</v>
      </c>
      <c r="AO22" s="87">
        <v>4</v>
      </c>
      <c r="AP22" s="77">
        <v>4</v>
      </c>
      <c r="AQ22" s="77"/>
      <c r="AR22" s="27">
        <v>2</v>
      </c>
    </row>
    <row r="23" spans="1:44" s="7" customFormat="1">
      <c r="A23" s="18" t="s">
        <v>766</v>
      </c>
      <c r="B23" s="18" t="s">
        <v>797</v>
      </c>
      <c r="C23" s="20" t="s">
        <v>699</v>
      </c>
      <c r="D23" s="20" t="s">
        <v>712</v>
      </c>
      <c r="E23" s="20"/>
      <c r="F23" s="20"/>
      <c r="G23" s="20"/>
      <c r="H23" s="20" t="s">
        <v>761</v>
      </c>
      <c r="I23" s="20" t="s">
        <v>767</v>
      </c>
      <c r="J23" s="20" t="s">
        <v>718</v>
      </c>
      <c r="K23" s="21">
        <v>0</v>
      </c>
      <c r="L23" s="21">
        <f t="shared" si="0"/>
        <v>0</v>
      </c>
      <c r="M23" s="21">
        <v>5100</v>
      </c>
      <c r="N23" s="21"/>
      <c r="O23" s="21">
        <v>1</v>
      </c>
      <c r="P23" s="21" t="s">
        <v>732</v>
      </c>
      <c r="Q23" s="13" t="s">
        <v>802</v>
      </c>
      <c r="R23" s="20">
        <v>12</v>
      </c>
      <c r="S23" s="20">
        <v>4</v>
      </c>
      <c r="T23" s="7">
        <v>1</v>
      </c>
      <c r="U23" s="21">
        <v>0</v>
      </c>
      <c r="V23" s="21">
        <v>0</v>
      </c>
      <c r="W23" s="13">
        <f>Tabla17[[#This Row],[CONSUMO TOTAL PRO VALO]]/52</f>
        <v>0</v>
      </c>
      <c r="X23" s="21">
        <v>0</v>
      </c>
      <c r="Y23" s="13">
        <v>0</v>
      </c>
      <c r="Z23" s="13">
        <f>Tabla17[[#This Row],[CONSUMO TOTAL TODAS]]/52</f>
        <v>0</v>
      </c>
      <c r="AA23" s="28">
        <f>Tabla17[[#This Row],[CONSUMO PROMEDIO PROPIO]]+Tabla17[[#This Row],[CONSUMO PROMEDIO TODAS]]</f>
        <v>0</v>
      </c>
      <c r="AB23" s="29">
        <f>Tabla17[[#This Row],[CONSUMO PROMEDIO TOTAL]]*(Tabla17[[#This Row],[FRECUENCIA]]+Tabla17[[#This Row],[TIEMPO REPOSICION ]])*1.7</f>
        <v>0</v>
      </c>
      <c r="AC23" s="33">
        <v>1</v>
      </c>
      <c r="AD23" s="33">
        <v>1</v>
      </c>
      <c r="AE23" s="3" t="e">
        <f>VLOOKUP(Tabla17[[#This Row],[CODIGO ]],#REF!,2,0)</f>
        <v>#REF!</v>
      </c>
      <c r="AF23" s="2">
        <f>IFERROR(VLOOKUP(Tabla17[[#This Row],[CODIGO ]],#REF!,2,0),0)</f>
        <v>0</v>
      </c>
      <c r="AG23" s="80" t="e">
        <f>Tabla17[[#This Row],[INVENTARIO FISICO ]]-Tabla17[[#This Row],[BUFFER REAL]]</f>
        <v>#REF!</v>
      </c>
      <c r="AH23" s="27"/>
      <c r="AI23" s="80"/>
      <c r="AJ23" s="80">
        <f>Tabla17[[#This Row],[SINOCHEM EN TRANSITO  ]]+Tabla17[[#This Row],[TRANSITO LOCAL]]</f>
        <v>0</v>
      </c>
      <c r="AK23" s="80">
        <v>1</v>
      </c>
      <c r="AL23" s="80"/>
      <c r="AM23" s="124" t="e">
        <f>Tabla17[[#This Row],[INVENTARIO FISICO ]]-Tabla17[[#This Row],[BUFFER REAL]]+Tabla17[[#This Row],[SINOCHEM EN TRANSITO  ]]+Tabla17[[#This Row],[TRANSITO LOCAL]]</f>
        <v>#REF!</v>
      </c>
      <c r="AN23" s="128">
        <f>Tabla17[[#This Row],[BUFFER REAL]]/((Tabla17[[#This Row],[TIEMPO REPOSICION ]]/Tabla17[[#This Row],[FRECUENCIA]])+1)</f>
        <v>0.75</v>
      </c>
      <c r="AO23" s="80">
        <v>0</v>
      </c>
      <c r="AP23" s="77">
        <v>0</v>
      </c>
      <c r="AQ23" s="77"/>
      <c r="AR23" s="27">
        <v>0</v>
      </c>
    </row>
    <row r="24" spans="1:44" s="7" customFormat="1">
      <c r="A24" s="18" t="s">
        <v>168</v>
      </c>
      <c r="B24" s="18" t="s">
        <v>169</v>
      </c>
      <c r="C24" s="7" t="s">
        <v>2</v>
      </c>
      <c r="D24" s="7" t="s">
        <v>174</v>
      </c>
      <c r="H24" s="7" t="s">
        <v>718</v>
      </c>
      <c r="I24" s="7" t="s">
        <v>724</v>
      </c>
      <c r="J24" s="7" t="s">
        <v>718</v>
      </c>
      <c r="K24" s="13">
        <v>0</v>
      </c>
      <c r="L24" s="13">
        <f t="shared" si="0"/>
        <v>0</v>
      </c>
      <c r="M24" s="13">
        <v>0.35</v>
      </c>
      <c r="N24" s="13"/>
      <c r="O24" s="13">
        <v>1000</v>
      </c>
      <c r="P24" s="13" t="s">
        <v>807</v>
      </c>
      <c r="Q24" s="13" t="s">
        <v>802</v>
      </c>
      <c r="R24" s="7">
        <v>24</v>
      </c>
      <c r="S24" s="7">
        <v>6</v>
      </c>
      <c r="T24" s="7">
        <v>1</v>
      </c>
      <c r="U24" s="13">
        <v>0</v>
      </c>
      <c r="V24" s="13">
        <v>0</v>
      </c>
      <c r="W24" s="13">
        <f>Tabla17[[#This Row],[CONSUMO TOTAL PRO VALO]]/52</f>
        <v>0</v>
      </c>
      <c r="X24" s="82">
        <v>0</v>
      </c>
      <c r="Y24" s="81">
        <v>0</v>
      </c>
      <c r="Z24" s="81">
        <f>Tabla17[[#This Row],[CONSUMO TOTAL TODAS]]/52</f>
        <v>0</v>
      </c>
      <c r="AA24" s="25">
        <f>Tabla17[[#This Row],[CONSUMO PROMEDIO PROPIO]]+Tabla17[[#This Row],[CONSUMO PROMEDIO TODAS]]</f>
        <v>0</v>
      </c>
      <c r="AB24" s="26">
        <f>Tabla17[[#This Row],[CONSUMO PROMEDIO TOTAL]]*(Tabla17[[#This Row],[FRECUENCIA]]+Tabla17[[#This Row],[TIEMPO REPOSICION ]])*1.7</f>
        <v>0</v>
      </c>
      <c r="AC24" s="26">
        <v>500</v>
      </c>
      <c r="AD24" s="26">
        <v>500</v>
      </c>
      <c r="AE24" s="3" t="e">
        <f>VLOOKUP(Tabla17[[#This Row],[CODIGO ]],#REF!,2,0)</f>
        <v>#REF!</v>
      </c>
      <c r="AF24" s="2">
        <f>IFERROR(VLOOKUP(Tabla17[[#This Row],[CODIGO ]],#REF!,2,0),0)</f>
        <v>0</v>
      </c>
      <c r="AG24" s="90" t="e">
        <f>Tabla17[[#This Row],[INVENTARIO FISICO ]]-Tabla17[[#This Row],[BUFFER REAL]]</f>
        <v>#REF!</v>
      </c>
      <c r="AH24" s="27"/>
      <c r="AI24" s="90"/>
      <c r="AJ24" s="90">
        <f>Tabla17[[#This Row],[SINOCHEM EN TRANSITO  ]]+Tabla17[[#This Row],[TRANSITO LOCAL]]</f>
        <v>0</v>
      </c>
      <c r="AK24" s="90">
        <v>1000</v>
      </c>
      <c r="AL24" s="90"/>
      <c r="AM24" s="124" t="e">
        <f>Tabla17[[#This Row],[INVENTARIO FISICO ]]-Tabla17[[#This Row],[BUFFER REAL]]+Tabla17[[#This Row],[SINOCHEM EN TRANSITO  ]]+Tabla17[[#This Row],[TRANSITO LOCAL]]</f>
        <v>#REF!</v>
      </c>
      <c r="AN24" s="128">
        <f>Tabla17[[#This Row],[BUFFER REAL]]/((Tabla17[[#This Row],[TIEMPO REPOSICION ]]/Tabla17[[#This Row],[FRECUENCIA]])+1)</f>
        <v>400</v>
      </c>
      <c r="AO24" s="90">
        <v>0</v>
      </c>
      <c r="AP24" s="77">
        <v>0</v>
      </c>
      <c r="AQ24" s="77"/>
      <c r="AR24" s="27">
        <v>0</v>
      </c>
    </row>
    <row r="25" spans="1:44" s="7" customFormat="1">
      <c r="A25" s="18" t="s">
        <v>170</v>
      </c>
      <c r="B25" s="18" t="s">
        <v>171</v>
      </c>
      <c r="C25" s="7" t="s">
        <v>2</v>
      </c>
      <c r="D25" s="7" t="s">
        <v>174</v>
      </c>
      <c r="H25" s="7" t="s">
        <v>718</v>
      </c>
      <c r="I25" s="7" t="s">
        <v>724</v>
      </c>
      <c r="J25" s="7" t="s">
        <v>718</v>
      </c>
      <c r="K25" s="13">
        <v>0</v>
      </c>
      <c r="L25" s="13">
        <f t="shared" si="0"/>
        <v>0</v>
      </c>
      <c r="M25" s="13">
        <v>0.69</v>
      </c>
      <c r="N25" s="13"/>
      <c r="O25" s="13">
        <v>1000</v>
      </c>
      <c r="P25" s="13" t="s">
        <v>807</v>
      </c>
      <c r="Q25" s="13" t="s">
        <v>802</v>
      </c>
      <c r="R25" s="7">
        <v>24</v>
      </c>
      <c r="S25" s="7">
        <v>6</v>
      </c>
      <c r="T25" s="7">
        <v>1</v>
      </c>
      <c r="U25" s="13">
        <v>0</v>
      </c>
      <c r="V25" s="13">
        <v>0</v>
      </c>
      <c r="W25" s="13">
        <f>Tabla17[[#This Row],[CONSUMO TOTAL PRO VALO]]/52</f>
        <v>0</v>
      </c>
      <c r="X25" s="82">
        <v>0</v>
      </c>
      <c r="Y25" s="81">
        <v>0</v>
      </c>
      <c r="Z25" s="81">
        <f>Tabla17[[#This Row],[CONSUMO TOTAL TODAS]]/52</f>
        <v>0</v>
      </c>
      <c r="AA25" s="25">
        <f>Tabla17[[#This Row],[CONSUMO PROMEDIO PROPIO]]+Tabla17[[#This Row],[CONSUMO PROMEDIO TODAS]]</f>
        <v>0</v>
      </c>
      <c r="AB25" s="26">
        <f>Tabla17[[#This Row],[CONSUMO PROMEDIO TOTAL]]*(Tabla17[[#This Row],[FRECUENCIA]]+Tabla17[[#This Row],[TIEMPO REPOSICION ]])*1.7</f>
        <v>0</v>
      </c>
      <c r="AC25" s="26">
        <v>500</v>
      </c>
      <c r="AD25" s="26">
        <v>500</v>
      </c>
      <c r="AE25" s="3" t="e">
        <f>VLOOKUP(Tabla17[[#This Row],[CODIGO ]],#REF!,2,0)</f>
        <v>#REF!</v>
      </c>
      <c r="AF25" s="2">
        <f>IFERROR(VLOOKUP(Tabla17[[#This Row],[CODIGO ]],#REF!,2,0),0)</f>
        <v>0</v>
      </c>
      <c r="AG25" s="90" t="e">
        <f>Tabla17[[#This Row],[INVENTARIO FISICO ]]-Tabla17[[#This Row],[BUFFER REAL]]</f>
        <v>#REF!</v>
      </c>
      <c r="AH25" s="27"/>
      <c r="AI25" s="90"/>
      <c r="AJ25" s="90">
        <f>Tabla17[[#This Row],[SINOCHEM EN TRANSITO  ]]+Tabla17[[#This Row],[TRANSITO LOCAL]]</f>
        <v>0</v>
      </c>
      <c r="AK25" s="90">
        <v>1000</v>
      </c>
      <c r="AL25" s="90"/>
      <c r="AM25" s="124" t="e">
        <f>Tabla17[[#This Row],[INVENTARIO FISICO ]]-Tabla17[[#This Row],[BUFFER REAL]]+Tabla17[[#This Row],[SINOCHEM EN TRANSITO  ]]+Tabla17[[#This Row],[TRANSITO LOCAL]]</f>
        <v>#REF!</v>
      </c>
      <c r="AN25" s="128">
        <f>Tabla17[[#This Row],[BUFFER REAL]]/((Tabla17[[#This Row],[TIEMPO REPOSICION ]]/Tabla17[[#This Row],[FRECUENCIA]])+1)</f>
        <v>400</v>
      </c>
      <c r="AO25" s="90">
        <v>0</v>
      </c>
      <c r="AP25" s="77">
        <v>0</v>
      </c>
      <c r="AQ25" s="77"/>
      <c r="AR25" s="27">
        <v>0</v>
      </c>
    </row>
    <row r="26" spans="1:44" s="7" customFormat="1">
      <c r="A26" s="18" t="s">
        <v>172</v>
      </c>
      <c r="B26" s="18" t="s">
        <v>173</v>
      </c>
      <c r="C26" s="7" t="s">
        <v>2</v>
      </c>
      <c r="D26" s="7" t="s">
        <v>174</v>
      </c>
      <c r="H26" s="7" t="s">
        <v>718</v>
      </c>
      <c r="I26" s="7" t="s">
        <v>724</v>
      </c>
      <c r="J26" s="7" t="s">
        <v>718</v>
      </c>
      <c r="K26" s="13">
        <v>0</v>
      </c>
      <c r="L26" s="13">
        <f t="shared" si="0"/>
        <v>0</v>
      </c>
      <c r="M26" s="13">
        <v>0.7</v>
      </c>
      <c r="N26" s="13"/>
      <c r="O26" s="13">
        <v>1000</v>
      </c>
      <c r="P26" s="13" t="s">
        <v>807</v>
      </c>
      <c r="Q26" s="13" t="s">
        <v>802</v>
      </c>
      <c r="R26" s="7">
        <v>24</v>
      </c>
      <c r="S26" s="7">
        <v>6</v>
      </c>
      <c r="T26" s="7">
        <v>1</v>
      </c>
      <c r="U26" s="13">
        <v>0</v>
      </c>
      <c r="V26" s="13">
        <v>0</v>
      </c>
      <c r="W26" s="13">
        <f>Tabla17[[#This Row],[CONSUMO TOTAL PRO VALO]]/52</f>
        <v>0</v>
      </c>
      <c r="X26" s="82">
        <v>0</v>
      </c>
      <c r="Y26" s="81">
        <v>0</v>
      </c>
      <c r="Z26" s="81">
        <f>Tabla17[[#This Row],[CONSUMO TOTAL TODAS]]/52</f>
        <v>0</v>
      </c>
      <c r="AA26" s="25">
        <f>Tabla17[[#This Row],[CONSUMO PROMEDIO PROPIO]]+Tabla17[[#This Row],[CONSUMO PROMEDIO TODAS]]</f>
        <v>0</v>
      </c>
      <c r="AB26" s="26">
        <f>Tabla17[[#This Row],[CONSUMO PROMEDIO TOTAL]]*(Tabla17[[#This Row],[FRECUENCIA]]+Tabla17[[#This Row],[TIEMPO REPOSICION ]])*1.7</f>
        <v>0</v>
      </c>
      <c r="AC26" s="26">
        <v>500</v>
      </c>
      <c r="AD26" s="26">
        <v>500</v>
      </c>
      <c r="AE26" s="3" t="e">
        <f>VLOOKUP(Tabla17[[#This Row],[CODIGO ]],#REF!,2,0)</f>
        <v>#REF!</v>
      </c>
      <c r="AF26" s="2">
        <f>IFERROR(VLOOKUP(Tabla17[[#This Row],[CODIGO ]],#REF!,2,0),0)</f>
        <v>0</v>
      </c>
      <c r="AG26" s="90" t="e">
        <f>Tabla17[[#This Row],[INVENTARIO FISICO ]]-Tabla17[[#This Row],[BUFFER REAL]]</f>
        <v>#REF!</v>
      </c>
      <c r="AH26" s="27"/>
      <c r="AI26" s="90"/>
      <c r="AJ26" s="90">
        <f>Tabla17[[#This Row],[SINOCHEM EN TRANSITO  ]]+Tabla17[[#This Row],[TRANSITO LOCAL]]</f>
        <v>0</v>
      </c>
      <c r="AK26" s="90">
        <v>1000</v>
      </c>
      <c r="AL26" s="90"/>
      <c r="AM26" s="124" t="e">
        <f>Tabla17[[#This Row],[INVENTARIO FISICO ]]-Tabla17[[#This Row],[BUFFER REAL]]+Tabla17[[#This Row],[SINOCHEM EN TRANSITO  ]]+Tabla17[[#This Row],[TRANSITO LOCAL]]</f>
        <v>#REF!</v>
      </c>
      <c r="AN26" s="128">
        <f>Tabla17[[#This Row],[BUFFER REAL]]/((Tabla17[[#This Row],[TIEMPO REPOSICION ]]/Tabla17[[#This Row],[FRECUENCIA]])+1)</f>
        <v>400</v>
      </c>
      <c r="AO26" s="90">
        <v>0</v>
      </c>
      <c r="AP26" s="77">
        <v>0</v>
      </c>
      <c r="AQ26" s="77"/>
      <c r="AR26" s="27">
        <v>0</v>
      </c>
    </row>
    <row r="27" spans="1:44" s="7" customFormat="1">
      <c r="A27" s="18" t="s">
        <v>175</v>
      </c>
      <c r="B27" s="18" t="s">
        <v>176</v>
      </c>
      <c r="C27" s="7" t="s">
        <v>2</v>
      </c>
      <c r="D27" s="7" t="s">
        <v>787</v>
      </c>
      <c r="H27" s="7" t="s">
        <v>718</v>
      </c>
      <c r="I27" s="7" t="s">
        <v>724</v>
      </c>
      <c r="J27" s="7" t="s">
        <v>718</v>
      </c>
      <c r="K27" s="13">
        <v>0</v>
      </c>
      <c r="L27" s="13">
        <f t="shared" si="0"/>
        <v>0</v>
      </c>
      <c r="M27" s="13">
        <v>0.34</v>
      </c>
      <c r="N27" s="13"/>
      <c r="O27" s="13">
        <v>500</v>
      </c>
      <c r="P27" s="13" t="s">
        <v>808</v>
      </c>
      <c r="Q27" s="13" t="s">
        <v>802</v>
      </c>
      <c r="R27" s="7">
        <v>12</v>
      </c>
      <c r="S27" s="7">
        <v>4</v>
      </c>
      <c r="T27" s="7">
        <v>1</v>
      </c>
      <c r="U27" s="13">
        <v>0</v>
      </c>
      <c r="V27" s="13">
        <v>0</v>
      </c>
      <c r="W27" s="13">
        <f>Tabla17[[#This Row],[CONSUMO TOTAL PRO VALO]]/52</f>
        <v>0</v>
      </c>
      <c r="X27" s="21">
        <v>0</v>
      </c>
      <c r="Y27" s="13">
        <v>0</v>
      </c>
      <c r="Z27" s="13">
        <f>Tabla17[[#This Row],[CONSUMO TOTAL TODAS]]/52</f>
        <v>0</v>
      </c>
      <c r="AA27" s="25">
        <f>Tabla17[[#This Row],[CONSUMO PROMEDIO PROPIO]]+Tabla17[[#This Row],[CONSUMO PROMEDIO TODAS]]</f>
        <v>0</v>
      </c>
      <c r="AB27" s="26">
        <f>Tabla17[[#This Row],[CONSUMO PROMEDIO TOTAL]]*(Tabla17[[#This Row],[FRECUENCIA]]+Tabla17[[#This Row],[TIEMPO REPOSICION ]])*1.7</f>
        <v>0</v>
      </c>
      <c r="AC27" s="26">
        <v>500</v>
      </c>
      <c r="AD27" s="26">
        <v>700</v>
      </c>
      <c r="AE27" s="3" t="e">
        <f>VLOOKUP(Tabla17[[#This Row],[CODIGO ]],#REF!,2,0)</f>
        <v>#REF!</v>
      </c>
      <c r="AF27" s="2">
        <f>IFERROR(VLOOKUP(Tabla17[[#This Row],[CODIGO ]],#REF!,2,0),0)</f>
        <v>0</v>
      </c>
      <c r="AG27" s="80">
        <v>300</v>
      </c>
      <c r="AH27" s="27"/>
      <c r="AI27" s="80"/>
      <c r="AJ27" s="80">
        <f>Tabla17[[#This Row],[SINOCHEM EN TRANSITO  ]]+Tabla17[[#This Row],[TRANSITO LOCAL]]</f>
        <v>0</v>
      </c>
      <c r="AK27" s="80">
        <v>500</v>
      </c>
      <c r="AL27" s="80"/>
      <c r="AM27" s="124" t="e">
        <f>Tabla17[[#This Row],[INVENTARIO FISICO ]]-Tabla17[[#This Row],[BUFFER REAL]]+Tabla17[[#This Row],[SINOCHEM EN TRANSITO  ]]+Tabla17[[#This Row],[TRANSITO LOCAL]]</f>
        <v>#REF!</v>
      </c>
      <c r="AN27" s="128">
        <f>Tabla17[[#This Row],[BUFFER REAL]]/((Tabla17[[#This Row],[TIEMPO REPOSICION ]]/Tabla17[[#This Row],[FRECUENCIA]])+1)</f>
        <v>525</v>
      </c>
      <c r="AO27" s="80">
        <v>0</v>
      </c>
      <c r="AP27" s="77">
        <v>0</v>
      </c>
      <c r="AQ27" s="77"/>
      <c r="AR27" s="27">
        <v>0</v>
      </c>
    </row>
    <row r="28" spans="1:44" s="7" customFormat="1">
      <c r="A28" s="18" t="s">
        <v>177</v>
      </c>
      <c r="B28" s="18" t="s">
        <v>178</v>
      </c>
      <c r="C28" s="7" t="s">
        <v>2</v>
      </c>
      <c r="D28" s="7" t="s">
        <v>787</v>
      </c>
      <c r="H28" s="7" t="s">
        <v>718</v>
      </c>
      <c r="I28" s="7" t="s">
        <v>724</v>
      </c>
      <c r="J28" s="7" t="s">
        <v>718</v>
      </c>
      <c r="K28" s="13">
        <v>0</v>
      </c>
      <c r="L28" s="13">
        <f t="shared" si="0"/>
        <v>0</v>
      </c>
      <c r="M28" s="13">
        <v>1.1499999999999999</v>
      </c>
      <c r="N28" s="13"/>
      <c r="O28" s="13">
        <v>500</v>
      </c>
      <c r="P28" s="13" t="s">
        <v>808</v>
      </c>
      <c r="Q28" s="13" t="s">
        <v>802</v>
      </c>
      <c r="R28" s="7">
        <v>12</v>
      </c>
      <c r="S28" s="7">
        <v>4</v>
      </c>
      <c r="T28" s="7">
        <v>1</v>
      </c>
      <c r="U28" s="13">
        <v>0</v>
      </c>
      <c r="V28" s="13">
        <v>0</v>
      </c>
      <c r="W28" s="13">
        <f>Tabla17[[#This Row],[CONSUMO TOTAL PRO VALO]]/52</f>
        <v>0</v>
      </c>
      <c r="X28" s="21">
        <v>0</v>
      </c>
      <c r="Y28" s="13">
        <v>0</v>
      </c>
      <c r="Z28" s="13">
        <f>Tabla17[[#This Row],[CONSUMO TOTAL TODAS]]/52</f>
        <v>0</v>
      </c>
      <c r="AA28" s="25">
        <f>Tabla17[[#This Row],[CONSUMO PROMEDIO PROPIO]]+Tabla17[[#This Row],[CONSUMO PROMEDIO TODAS]]</f>
        <v>0</v>
      </c>
      <c r="AB28" s="26">
        <f>Tabla17[[#This Row],[CONSUMO PROMEDIO TOTAL]]*(Tabla17[[#This Row],[FRECUENCIA]]+Tabla17[[#This Row],[TIEMPO REPOSICION ]])*1.7</f>
        <v>0</v>
      </c>
      <c r="AC28" s="26">
        <v>500</v>
      </c>
      <c r="AD28" s="26">
        <v>500</v>
      </c>
      <c r="AE28" s="3" t="e">
        <f>VLOOKUP(Tabla17[[#This Row],[CODIGO ]],#REF!,2,0)</f>
        <v>#REF!</v>
      </c>
      <c r="AF28" s="2">
        <f>IFERROR(VLOOKUP(Tabla17[[#This Row],[CODIGO ]],#REF!,2,0),0)</f>
        <v>0</v>
      </c>
      <c r="AG28" s="80">
        <v>300</v>
      </c>
      <c r="AH28" s="27"/>
      <c r="AI28" s="80"/>
      <c r="AJ28" s="80">
        <f>Tabla17[[#This Row],[SINOCHEM EN TRANSITO  ]]+Tabla17[[#This Row],[TRANSITO LOCAL]]</f>
        <v>0</v>
      </c>
      <c r="AK28" s="80">
        <v>500</v>
      </c>
      <c r="AL28" s="80"/>
      <c r="AM28" s="124" t="e">
        <f>Tabla17[[#This Row],[INVENTARIO FISICO ]]-Tabla17[[#This Row],[BUFFER REAL]]+Tabla17[[#This Row],[SINOCHEM EN TRANSITO  ]]+Tabla17[[#This Row],[TRANSITO LOCAL]]</f>
        <v>#REF!</v>
      </c>
      <c r="AN28" s="128">
        <f>Tabla17[[#This Row],[BUFFER REAL]]/((Tabla17[[#This Row],[TIEMPO REPOSICION ]]/Tabla17[[#This Row],[FRECUENCIA]])+1)</f>
        <v>375</v>
      </c>
      <c r="AO28" s="80">
        <v>0</v>
      </c>
      <c r="AP28" s="77">
        <v>0</v>
      </c>
      <c r="AQ28" s="77"/>
      <c r="AR28" s="27">
        <v>0</v>
      </c>
    </row>
    <row r="29" spans="1:44" s="7" customFormat="1">
      <c r="A29" s="18" t="s">
        <v>179</v>
      </c>
      <c r="B29" s="18" t="s">
        <v>180</v>
      </c>
      <c r="C29" s="7" t="s">
        <v>2</v>
      </c>
      <c r="D29" s="7" t="s">
        <v>787</v>
      </c>
      <c r="H29" s="7" t="s">
        <v>718</v>
      </c>
      <c r="I29" s="7" t="s">
        <v>724</v>
      </c>
      <c r="J29" s="7" t="s">
        <v>718</v>
      </c>
      <c r="K29" s="13">
        <v>0</v>
      </c>
      <c r="L29" s="13">
        <f t="shared" si="0"/>
        <v>0</v>
      </c>
      <c r="M29" s="13">
        <v>0.86</v>
      </c>
      <c r="N29" s="13"/>
      <c r="O29" s="13">
        <v>500</v>
      </c>
      <c r="P29" s="13" t="s">
        <v>808</v>
      </c>
      <c r="Q29" s="13" t="s">
        <v>802</v>
      </c>
      <c r="R29" s="7">
        <v>12</v>
      </c>
      <c r="S29" s="7">
        <v>4</v>
      </c>
      <c r="T29" s="7">
        <v>1</v>
      </c>
      <c r="U29" s="13">
        <v>0</v>
      </c>
      <c r="V29" s="13">
        <v>0</v>
      </c>
      <c r="W29" s="13">
        <f>Tabla17[[#This Row],[CONSUMO TOTAL PRO VALO]]/52</f>
        <v>0</v>
      </c>
      <c r="X29" s="21">
        <v>0</v>
      </c>
      <c r="Y29" s="13">
        <v>0</v>
      </c>
      <c r="Z29" s="13">
        <f>Tabla17[[#This Row],[CONSUMO TOTAL TODAS]]/52</f>
        <v>0</v>
      </c>
      <c r="AA29" s="25">
        <f>Tabla17[[#This Row],[CONSUMO PROMEDIO PROPIO]]+Tabla17[[#This Row],[CONSUMO PROMEDIO TODAS]]</f>
        <v>0</v>
      </c>
      <c r="AB29" s="26">
        <f>Tabla17[[#This Row],[CONSUMO PROMEDIO TOTAL]]*(Tabla17[[#This Row],[FRECUENCIA]]+Tabla17[[#This Row],[TIEMPO REPOSICION ]])*1.7</f>
        <v>0</v>
      </c>
      <c r="AC29" s="26">
        <v>500</v>
      </c>
      <c r="AD29" s="26">
        <v>600</v>
      </c>
      <c r="AE29" s="3" t="e">
        <f>VLOOKUP(Tabla17[[#This Row],[CODIGO ]],#REF!,2,0)</f>
        <v>#REF!</v>
      </c>
      <c r="AF29" s="2">
        <f>IFERROR(VLOOKUP(Tabla17[[#This Row],[CODIGO ]],#REF!,2,0),0)</f>
        <v>0</v>
      </c>
      <c r="AG29" s="80">
        <v>300</v>
      </c>
      <c r="AH29" s="27"/>
      <c r="AI29" s="118"/>
      <c r="AJ29" s="118">
        <f>Tabla17[[#This Row],[SINOCHEM EN TRANSITO  ]]+Tabla17[[#This Row],[TRANSITO LOCAL]]</f>
        <v>0</v>
      </c>
      <c r="AK29" s="80">
        <v>500</v>
      </c>
      <c r="AL29" s="80"/>
      <c r="AM29" s="124" t="e">
        <f>Tabla17[[#This Row],[INVENTARIO FISICO ]]-Tabla17[[#This Row],[BUFFER REAL]]+Tabla17[[#This Row],[SINOCHEM EN TRANSITO  ]]+Tabla17[[#This Row],[TRANSITO LOCAL]]</f>
        <v>#REF!</v>
      </c>
      <c r="AN29" s="128">
        <f>Tabla17[[#This Row],[BUFFER REAL]]/((Tabla17[[#This Row],[TIEMPO REPOSICION ]]/Tabla17[[#This Row],[FRECUENCIA]])+1)</f>
        <v>450</v>
      </c>
      <c r="AO29" s="80">
        <v>0</v>
      </c>
      <c r="AP29" s="77">
        <v>0</v>
      </c>
      <c r="AQ29" s="77"/>
      <c r="AR29" s="27">
        <v>0</v>
      </c>
    </row>
    <row r="30" spans="1:44" s="7" customFormat="1">
      <c r="A30" s="18" t="s">
        <v>181</v>
      </c>
      <c r="B30" s="18" t="s">
        <v>182</v>
      </c>
      <c r="C30" s="7" t="s">
        <v>2</v>
      </c>
      <c r="D30" s="7" t="s">
        <v>787</v>
      </c>
      <c r="H30" s="7" t="s">
        <v>718</v>
      </c>
      <c r="I30" s="7" t="s">
        <v>724</v>
      </c>
      <c r="J30" s="7" t="s">
        <v>718</v>
      </c>
      <c r="K30" s="13">
        <v>0</v>
      </c>
      <c r="L30" s="13">
        <f t="shared" si="0"/>
        <v>0</v>
      </c>
      <c r="M30" s="13">
        <v>0.86</v>
      </c>
      <c r="N30" s="13"/>
      <c r="O30" s="13">
        <v>500</v>
      </c>
      <c r="P30" s="13" t="s">
        <v>808</v>
      </c>
      <c r="Q30" s="13" t="s">
        <v>802</v>
      </c>
      <c r="R30" s="7">
        <v>12</v>
      </c>
      <c r="S30" s="7">
        <v>4</v>
      </c>
      <c r="T30" s="7">
        <v>1</v>
      </c>
      <c r="U30" s="13">
        <v>0</v>
      </c>
      <c r="V30" s="13">
        <v>0</v>
      </c>
      <c r="W30" s="13">
        <f>Tabla17[[#This Row],[CONSUMO TOTAL PRO VALO]]/52</f>
        <v>0</v>
      </c>
      <c r="X30" s="21">
        <v>0</v>
      </c>
      <c r="Y30" s="13">
        <v>0</v>
      </c>
      <c r="Z30" s="13">
        <f>Tabla17[[#This Row],[CONSUMO TOTAL TODAS]]/52</f>
        <v>0</v>
      </c>
      <c r="AA30" s="25">
        <f>Tabla17[[#This Row],[CONSUMO PROMEDIO PROPIO]]+Tabla17[[#This Row],[CONSUMO PROMEDIO TODAS]]</f>
        <v>0</v>
      </c>
      <c r="AB30" s="26">
        <f>Tabla17[[#This Row],[CONSUMO PROMEDIO TOTAL]]*(Tabla17[[#This Row],[FRECUENCIA]]+Tabla17[[#This Row],[TIEMPO REPOSICION ]])*1.7</f>
        <v>0</v>
      </c>
      <c r="AC30" s="26">
        <v>250</v>
      </c>
      <c r="AD30" s="26">
        <v>250</v>
      </c>
      <c r="AE30" s="3" t="e">
        <f>VLOOKUP(Tabla17[[#This Row],[CODIGO ]],#REF!,2,0)</f>
        <v>#REF!</v>
      </c>
      <c r="AF30" s="2">
        <f>IFERROR(VLOOKUP(Tabla17[[#This Row],[CODIGO ]],#REF!,2,0),0)</f>
        <v>0</v>
      </c>
      <c r="AG30" s="80">
        <v>300</v>
      </c>
      <c r="AH30" s="27"/>
      <c r="AI30" s="80"/>
      <c r="AJ30" s="80">
        <f>Tabla17[[#This Row],[SINOCHEM EN TRANSITO  ]]+Tabla17[[#This Row],[TRANSITO LOCAL]]</f>
        <v>0</v>
      </c>
      <c r="AK30" s="80">
        <v>500</v>
      </c>
      <c r="AL30" s="80"/>
      <c r="AM30" s="124" t="e">
        <f>Tabla17[[#This Row],[INVENTARIO FISICO ]]-Tabla17[[#This Row],[BUFFER REAL]]+Tabla17[[#This Row],[SINOCHEM EN TRANSITO  ]]+Tabla17[[#This Row],[TRANSITO LOCAL]]</f>
        <v>#REF!</v>
      </c>
      <c r="AN30" s="128">
        <f>Tabla17[[#This Row],[BUFFER REAL]]/((Tabla17[[#This Row],[TIEMPO REPOSICION ]]/Tabla17[[#This Row],[FRECUENCIA]])+1)</f>
        <v>187.5</v>
      </c>
      <c r="AO30" s="80">
        <v>0</v>
      </c>
      <c r="AP30" s="77">
        <v>0</v>
      </c>
      <c r="AQ30" s="77"/>
      <c r="AR30" s="27">
        <v>0</v>
      </c>
    </row>
    <row r="31" spans="1:44" s="7" customFormat="1">
      <c r="A31" s="18" t="s">
        <v>183</v>
      </c>
      <c r="B31" s="18" t="s">
        <v>184</v>
      </c>
      <c r="C31" s="7" t="s">
        <v>2</v>
      </c>
      <c r="D31" s="7" t="s">
        <v>787</v>
      </c>
      <c r="H31" s="7" t="s">
        <v>718</v>
      </c>
      <c r="I31" s="7" t="s">
        <v>724</v>
      </c>
      <c r="J31" s="7" t="s">
        <v>718</v>
      </c>
      <c r="K31" s="13">
        <v>0</v>
      </c>
      <c r="L31" s="13">
        <f t="shared" si="0"/>
        <v>0</v>
      </c>
      <c r="M31" s="13">
        <v>0.86</v>
      </c>
      <c r="N31" s="13"/>
      <c r="O31" s="13">
        <v>500</v>
      </c>
      <c r="P31" s="13" t="s">
        <v>808</v>
      </c>
      <c r="Q31" s="13" t="s">
        <v>802</v>
      </c>
      <c r="R31" s="7">
        <v>12</v>
      </c>
      <c r="S31" s="7">
        <v>4</v>
      </c>
      <c r="T31" s="7">
        <v>1</v>
      </c>
      <c r="U31" s="13">
        <v>0</v>
      </c>
      <c r="V31" s="13">
        <v>0</v>
      </c>
      <c r="W31" s="13">
        <f>Tabla17[[#This Row],[CONSUMO TOTAL PRO VALO]]/52</f>
        <v>0</v>
      </c>
      <c r="X31" s="21">
        <v>0</v>
      </c>
      <c r="Y31" s="13">
        <v>0</v>
      </c>
      <c r="Z31" s="13">
        <f>Tabla17[[#This Row],[CONSUMO TOTAL TODAS]]/52</f>
        <v>0</v>
      </c>
      <c r="AA31" s="25">
        <f>Tabla17[[#This Row],[CONSUMO PROMEDIO PROPIO]]+Tabla17[[#This Row],[CONSUMO PROMEDIO TODAS]]</f>
        <v>0</v>
      </c>
      <c r="AB31" s="26">
        <f>Tabla17[[#This Row],[CONSUMO PROMEDIO TOTAL]]*(Tabla17[[#This Row],[FRECUENCIA]]+Tabla17[[#This Row],[TIEMPO REPOSICION ]])*1.7</f>
        <v>0</v>
      </c>
      <c r="AC31" s="26">
        <v>250</v>
      </c>
      <c r="AD31" s="26">
        <v>250</v>
      </c>
      <c r="AE31" s="3" t="e">
        <f>VLOOKUP(Tabla17[[#This Row],[CODIGO ]],#REF!,2,0)</f>
        <v>#REF!</v>
      </c>
      <c r="AF31" s="2">
        <f>IFERROR(VLOOKUP(Tabla17[[#This Row],[CODIGO ]],#REF!,2,0),0)</f>
        <v>0</v>
      </c>
      <c r="AG31" s="80">
        <v>300</v>
      </c>
      <c r="AH31" s="27"/>
      <c r="AI31" s="80"/>
      <c r="AJ31" s="80">
        <f>Tabla17[[#This Row],[SINOCHEM EN TRANSITO  ]]+Tabla17[[#This Row],[TRANSITO LOCAL]]</f>
        <v>0</v>
      </c>
      <c r="AK31" s="80">
        <v>500</v>
      </c>
      <c r="AL31" s="80"/>
      <c r="AM31" s="124" t="e">
        <f>Tabla17[[#This Row],[INVENTARIO FISICO ]]-Tabla17[[#This Row],[BUFFER REAL]]+Tabla17[[#This Row],[SINOCHEM EN TRANSITO  ]]+Tabla17[[#This Row],[TRANSITO LOCAL]]</f>
        <v>#REF!</v>
      </c>
      <c r="AN31" s="128">
        <f>Tabla17[[#This Row],[BUFFER REAL]]/((Tabla17[[#This Row],[TIEMPO REPOSICION ]]/Tabla17[[#This Row],[FRECUENCIA]])+1)</f>
        <v>187.5</v>
      </c>
      <c r="AO31" s="80">
        <v>0</v>
      </c>
      <c r="AP31" s="77">
        <v>0</v>
      </c>
      <c r="AQ31" s="77"/>
      <c r="AR31" s="27">
        <v>0</v>
      </c>
    </row>
    <row r="32" spans="1:44" s="7" customFormat="1">
      <c r="A32" s="18" t="s">
        <v>185</v>
      </c>
      <c r="B32" s="18" t="s">
        <v>186</v>
      </c>
      <c r="C32" s="7" t="s">
        <v>2</v>
      </c>
      <c r="D32" s="7" t="s">
        <v>787</v>
      </c>
      <c r="H32" s="7" t="s">
        <v>718</v>
      </c>
      <c r="I32" s="7" t="s">
        <v>724</v>
      </c>
      <c r="J32" s="7" t="s">
        <v>718</v>
      </c>
      <c r="K32" s="13">
        <v>0</v>
      </c>
      <c r="L32" s="13">
        <f t="shared" si="0"/>
        <v>0</v>
      </c>
      <c r="M32" s="13">
        <v>1.1499999999999999</v>
      </c>
      <c r="N32" s="13"/>
      <c r="O32" s="13">
        <v>500</v>
      </c>
      <c r="P32" s="13" t="s">
        <v>808</v>
      </c>
      <c r="Q32" s="13" t="s">
        <v>802</v>
      </c>
      <c r="R32" s="7">
        <v>12</v>
      </c>
      <c r="S32" s="7">
        <v>4</v>
      </c>
      <c r="T32" s="7">
        <v>1</v>
      </c>
      <c r="U32" s="13">
        <v>0</v>
      </c>
      <c r="V32" s="13">
        <v>0</v>
      </c>
      <c r="W32" s="13">
        <f>Tabla17[[#This Row],[CONSUMO TOTAL PRO VALO]]/52</f>
        <v>0</v>
      </c>
      <c r="X32" s="21">
        <v>0</v>
      </c>
      <c r="Y32" s="13">
        <v>0</v>
      </c>
      <c r="Z32" s="13">
        <f>Tabla17[[#This Row],[CONSUMO TOTAL TODAS]]/52</f>
        <v>0</v>
      </c>
      <c r="AA32" s="25">
        <f>Tabla17[[#This Row],[CONSUMO PROMEDIO PROPIO]]+Tabla17[[#This Row],[CONSUMO PROMEDIO TODAS]]</f>
        <v>0</v>
      </c>
      <c r="AB32" s="26">
        <f>Tabla17[[#This Row],[CONSUMO PROMEDIO TOTAL]]*(Tabla17[[#This Row],[FRECUENCIA]]+Tabla17[[#This Row],[TIEMPO REPOSICION ]])*1.7</f>
        <v>0</v>
      </c>
      <c r="AC32" s="26">
        <v>250</v>
      </c>
      <c r="AD32" s="26">
        <v>250</v>
      </c>
      <c r="AE32" s="3" t="e">
        <f>VLOOKUP(Tabla17[[#This Row],[CODIGO ]],#REF!,2,0)</f>
        <v>#REF!</v>
      </c>
      <c r="AF32" s="2">
        <f>IFERROR(VLOOKUP(Tabla17[[#This Row],[CODIGO ]],#REF!,2,0),0)</f>
        <v>0</v>
      </c>
      <c r="AG32" s="80">
        <v>300</v>
      </c>
      <c r="AH32" s="27"/>
      <c r="AI32" s="80"/>
      <c r="AJ32" s="80">
        <f>Tabla17[[#This Row],[SINOCHEM EN TRANSITO  ]]+Tabla17[[#This Row],[TRANSITO LOCAL]]</f>
        <v>0</v>
      </c>
      <c r="AK32" s="80">
        <v>500</v>
      </c>
      <c r="AL32" s="80"/>
      <c r="AM32" s="124" t="e">
        <f>Tabla17[[#This Row],[INVENTARIO FISICO ]]-Tabla17[[#This Row],[BUFFER REAL]]+Tabla17[[#This Row],[SINOCHEM EN TRANSITO  ]]+Tabla17[[#This Row],[TRANSITO LOCAL]]</f>
        <v>#REF!</v>
      </c>
      <c r="AN32" s="128">
        <f>Tabla17[[#This Row],[BUFFER REAL]]/((Tabla17[[#This Row],[TIEMPO REPOSICION ]]/Tabla17[[#This Row],[FRECUENCIA]])+1)</f>
        <v>187.5</v>
      </c>
      <c r="AO32" s="80">
        <v>0</v>
      </c>
      <c r="AP32" s="77">
        <v>0</v>
      </c>
      <c r="AQ32" s="77"/>
      <c r="AR32" s="27">
        <v>0</v>
      </c>
    </row>
    <row r="33" spans="1:44" s="7" customFormat="1">
      <c r="A33" s="18" t="s">
        <v>187</v>
      </c>
      <c r="B33" s="18" t="s">
        <v>188</v>
      </c>
      <c r="C33" s="7" t="s">
        <v>2</v>
      </c>
      <c r="D33" s="7" t="s">
        <v>174</v>
      </c>
      <c r="H33" s="7" t="s">
        <v>718</v>
      </c>
      <c r="I33" s="7" t="s">
        <v>724</v>
      </c>
      <c r="J33" s="7" t="s">
        <v>718</v>
      </c>
      <c r="K33" s="13">
        <v>0</v>
      </c>
      <c r="L33" s="13">
        <f t="shared" si="0"/>
        <v>0</v>
      </c>
      <c r="M33" s="13">
        <v>0.85</v>
      </c>
      <c r="N33" s="13"/>
      <c r="O33" s="13">
        <v>1000</v>
      </c>
      <c r="P33" s="13" t="s">
        <v>807</v>
      </c>
      <c r="Q33" s="13" t="s">
        <v>802</v>
      </c>
      <c r="R33" s="7">
        <v>24</v>
      </c>
      <c r="S33" s="7">
        <v>6</v>
      </c>
      <c r="T33" s="7">
        <v>1</v>
      </c>
      <c r="U33" s="13">
        <v>0</v>
      </c>
      <c r="V33" s="13">
        <v>0</v>
      </c>
      <c r="W33" s="13">
        <f>Tabla17[[#This Row],[CONSUMO TOTAL PRO VALO]]/52</f>
        <v>0</v>
      </c>
      <c r="X33" s="21">
        <v>0</v>
      </c>
      <c r="Y33" s="13">
        <v>0</v>
      </c>
      <c r="Z33" s="13">
        <f>Tabla17[[#This Row],[CONSUMO TOTAL TODAS]]/52</f>
        <v>0</v>
      </c>
      <c r="AA33" s="25">
        <f>Tabla17[[#This Row],[CONSUMO PROMEDIO PROPIO]]+Tabla17[[#This Row],[CONSUMO PROMEDIO TODAS]]</f>
        <v>0</v>
      </c>
      <c r="AB33" s="26">
        <f>Tabla17[[#This Row],[CONSUMO PROMEDIO TOTAL]]*(Tabla17[[#This Row],[FRECUENCIA]]+Tabla17[[#This Row],[TIEMPO REPOSICION ]])*1.7</f>
        <v>0</v>
      </c>
      <c r="AC33" s="26">
        <v>500</v>
      </c>
      <c r="AD33" s="26">
        <v>500</v>
      </c>
      <c r="AE33" s="133" t="e">
        <f>VLOOKUP(Tabla17[[#This Row],[CODIGO ]],#REF!,2,0)</f>
        <v>#REF!</v>
      </c>
      <c r="AF33" s="2">
        <f>IFERROR(VLOOKUP(Tabla17[[#This Row],[CODIGO ]],#REF!,2,0),0)</f>
        <v>0</v>
      </c>
      <c r="AG33" s="80">
        <v>300</v>
      </c>
      <c r="AH33" s="27"/>
      <c r="AI33" s="80"/>
      <c r="AJ33" s="80">
        <f>Tabla17[[#This Row],[SINOCHEM EN TRANSITO  ]]+Tabla17[[#This Row],[TRANSITO LOCAL]]</f>
        <v>0</v>
      </c>
      <c r="AK33" s="80">
        <v>1000</v>
      </c>
      <c r="AL33" s="80"/>
      <c r="AM33" s="124" t="e">
        <f>Tabla17[[#This Row],[INVENTARIO FISICO ]]-Tabla17[[#This Row],[BUFFER REAL]]+Tabla17[[#This Row],[SINOCHEM EN TRANSITO  ]]+Tabla17[[#This Row],[TRANSITO LOCAL]]</f>
        <v>#REF!</v>
      </c>
      <c r="AN33" s="128">
        <f>Tabla17[[#This Row],[BUFFER REAL]]/((Tabla17[[#This Row],[TIEMPO REPOSICION ]]/Tabla17[[#This Row],[FRECUENCIA]])+1)</f>
        <v>400</v>
      </c>
      <c r="AO33" s="80">
        <v>0</v>
      </c>
      <c r="AP33" s="77">
        <v>0</v>
      </c>
      <c r="AQ33" s="77"/>
      <c r="AR33" s="27">
        <v>0</v>
      </c>
    </row>
    <row r="34" spans="1:44" s="7" customFormat="1">
      <c r="A34" s="18" t="s">
        <v>189</v>
      </c>
      <c r="B34" s="18" t="s">
        <v>190</v>
      </c>
      <c r="C34" s="133" t="s">
        <v>675</v>
      </c>
      <c r="D34" s="133" t="s">
        <v>707</v>
      </c>
      <c r="E34" s="133"/>
      <c r="F34" s="133"/>
      <c r="G34" s="133"/>
      <c r="H34" s="133" t="s">
        <v>717</v>
      </c>
      <c r="I34" s="7" t="s">
        <v>767</v>
      </c>
      <c r="J34" s="20" t="s">
        <v>718</v>
      </c>
      <c r="K34" s="13">
        <v>0</v>
      </c>
      <c r="L34" s="13">
        <f t="shared" si="0"/>
        <v>0</v>
      </c>
      <c r="M34" s="13">
        <v>400</v>
      </c>
      <c r="N34" s="13"/>
      <c r="O34" s="13"/>
      <c r="P34" s="21" t="s">
        <v>804</v>
      </c>
      <c r="Q34" s="13" t="s">
        <v>802</v>
      </c>
      <c r="R34" s="7">
        <v>4</v>
      </c>
      <c r="S34" s="7">
        <v>4</v>
      </c>
      <c r="T34" s="7">
        <v>1</v>
      </c>
      <c r="U34" s="13">
        <v>5</v>
      </c>
      <c r="V34" s="13">
        <v>5</v>
      </c>
      <c r="W34" s="13">
        <f>Tabla17[[#This Row],[CONSUMO TOTAL PRO VALO]]/52</f>
        <v>9.6153846153846159E-2</v>
      </c>
      <c r="X34" s="21" t="e">
        <f>Tabla2[[#This Row],[CONSUMO TOTAL ]]+Tabla3[[#This Row],[CONSUMO TOTAL]]+#REF!+#REF!</f>
        <v>#REF!</v>
      </c>
      <c r="Y34" s="13"/>
      <c r="Z34" s="13">
        <f>Tabla17[[#This Row],[CONSUMO TOTAL TODAS]]/52</f>
        <v>0</v>
      </c>
      <c r="AA34" s="40">
        <f>Tabla17[[#This Row],[CONSUMO PROMEDIO PROPIO]]+Tabla17[[#This Row],[CONSUMO PROMEDIO TODAS]]</f>
        <v>9.6153846153846159E-2</v>
      </c>
      <c r="AB34" s="26">
        <v>1</v>
      </c>
      <c r="AC34" s="26">
        <v>2</v>
      </c>
      <c r="AD34" s="26">
        <v>3</v>
      </c>
      <c r="AE34" s="3" t="e">
        <f>VLOOKUP(Tabla17[[#This Row],[CODIGO ]],#REF!,2,0)</f>
        <v>#REF!</v>
      </c>
      <c r="AF34" s="2">
        <f>IFERROR(VLOOKUP(Tabla17[[#This Row],[CODIGO ]],#REF!,2,0),0)</f>
        <v>0</v>
      </c>
      <c r="AG34" s="80" t="e">
        <f>Tabla17[[#This Row],[INVENTARIO FISICO ]]-Tabla17[[#This Row],[BUFFER REAL]]</f>
        <v>#REF!</v>
      </c>
      <c r="AH34" s="77"/>
      <c r="AI34" s="77">
        <v>1</v>
      </c>
      <c r="AJ34" s="77">
        <f>Tabla17[[#This Row],[SINOCHEM EN TRANSITO  ]]+Tabla17[[#This Row],[TRANSITO LOCAL]]</f>
        <v>1</v>
      </c>
      <c r="AK34" s="80"/>
      <c r="AL34" s="80"/>
      <c r="AM34" s="124" t="e">
        <f>Tabla17[[#This Row],[INVENTARIO FISICO ]]-Tabla17[[#This Row],[BUFFER REAL]]+Tabla17[[#This Row],[SINOCHEM EN TRANSITO  ]]+Tabla17[[#This Row],[TRANSITO LOCAL]]</f>
        <v>#REF!</v>
      </c>
      <c r="AN34" s="128">
        <f>Tabla17[[#This Row],[BUFFER REAL]]/((Tabla17[[#This Row],[TIEMPO REPOSICION ]]/Tabla17[[#This Row],[FRECUENCIA]])+1)</f>
        <v>1.5</v>
      </c>
      <c r="AO34" s="80">
        <v>1</v>
      </c>
      <c r="AP34" s="77">
        <v>1</v>
      </c>
      <c r="AQ34" s="77"/>
      <c r="AR34" s="27">
        <v>1</v>
      </c>
    </row>
    <row r="35" spans="1:44" s="7" customFormat="1">
      <c r="A35" s="18" t="s">
        <v>191</v>
      </c>
      <c r="B35" s="18" t="s">
        <v>192</v>
      </c>
      <c r="C35" s="7" t="s">
        <v>675</v>
      </c>
      <c r="D35" s="7" t="s">
        <v>712</v>
      </c>
      <c r="H35" s="7" t="s">
        <v>717</v>
      </c>
      <c r="I35" s="7" t="s">
        <v>724</v>
      </c>
      <c r="J35" s="7" t="s">
        <v>718</v>
      </c>
      <c r="K35" s="13">
        <v>0</v>
      </c>
      <c r="L35" s="13">
        <f t="shared" si="0"/>
        <v>0</v>
      </c>
      <c r="M35" s="13">
        <v>1320.2482299999999</v>
      </c>
      <c r="N35" s="13"/>
      <c r="O35" s="13">
        <v>1</v>
      </c>
      <c r="P35" s="13" t="s">
        <v>831</v>
      </c>
      <c r="Q35" s="13" t="s">
        <v>873</v>
      </c>
      <c r="R35" s="7">
        <v>24</v>
      </c>
      <c r="S35" s="7">
        <v>14</v>
      </c>
      <c r="T35" s="83">
        <v>3</v>
      </c>
      <c r="U35" s="13">
        <v>7.7849999999999993</v>
      </c>
      <c r="V35" s="13">
        <v>7.7849999999999993</v>
      </c>
      <c r="W35" s="13">
        <f>Tabla17[[#This Row],[CONSUMO TOTAL PRO VALO]]/52</f>
        <v>0.14971153846153845</v>
      </c>
      <c r="X35" s="21">
        <v>0</v>
      </c>
      <c r="Y35" s="13">
        <v>0</v>
      </c>
      <c r="Z35" s="13">
        <f>Tabla17[[#This Row],[CONSUMO TOTAL TODAS]]/52</f>
        <v>0</v>
      </c>
      <c r="AA35" s="25">
        <f>Tabla17[[#This Row],[CONSUMO PROMEDIO PROPIO]]+Tabla17[[#This Row],[CONSUMO PROMEDIO TODAS]]</f>
        <v>0.14971153846153845</v>
      </c>
      <c r="AB35" s="26">
        <f>Tabla17[[#This Row],[CONSUMO PROMEDIO TOTAL]]*(Tabla17[[#This Row],[FRECUENCIA]]+Tabla17[[#This Row],[TIEMPO REPOSICION ]])*1.7</f>
        <v>9.6713653846153829</v>
      </c>
      <c r="AC35" s="26">
        <v>10</v>
      </c>
      <c r="AD35" s="26">
        <v>10</v>
      </c>
      <c r="AE35" s="3" t="e">
        <f>VLOOKUP(Tabla17[[#This Row],[CODIGO ]],#REF!,2,0)</f>
        <v>#REF!</v>
      </c>
      <c r="AF35" s="2">
        <f>IFERROR(VLOOKUP(Tabla17[[#This Row],[CODIGO ]],#REF!,2,0),0)</f>
        <v>0</v>
      </c>
      <c r="AG35" s="80" t="e">
        <f>Tabla17[[#This Row],[INVENTARIO FISICO ]]-Tabla17[[#This Row],[BUFFER REAL]]</f>
        <v>#REF!</v>
      </c>
      <c r="AH35" s="27">
        <v>15</v>
      </c>
      <c r="AI35" s="80">
        <v>2</v>
      </c>
      <c r="AJ35" s="80">
        <f>Tabla17[[#This Row],[SINOCHEM EN TRANSITO  ]]+Tabla17[[#This Row],[TRANSITO LOCAL]]</f>
        <v>17</v>
      </c>
      <c r="AK35" s="80"/>
      <c r="AL35" s="80"/>
      <c r="AM35" s="124" t="e">
        <f>Tabla17[[#This Row],[INVENTARIO FISICO ]]-Tabla17[[#This Row],[BUFFER REAL]]+Tabla17[[#This Row],[SINOCHEM EN TRANSITO  ]]+Tabla17[[#This Row],[TRANSITO LOCAL]]</f>
        <v>#REF!</v>
      </c>
      <c r="AN35" s="80">
        <f>Tabla17[[#This Row],[BUFFER REAL]]/((Tabla17[[#This Row],[TIEMPO REPOSICION ]]/Tabla17[[#This Row],[FRECUENCIA]])+1)</f>
        <v>6.3157894736842097</v>
      </c>
      <c r="AO35" s="80">
        <v>0</v>
      </c>
      <c r="AP35" s="77"/>
      <c r="AQ35" s="77"/>
      <c r="AR35" s="27">
        <v>0</v>
      </c>
    </row>
    <row r="36" spans="1:44" s="7" customFormat="1">
      <c r="A36" s="18" t="s">
        <v>193</v>
      </c>
      <c r="B36" s="18" t="s">
        <v>194</v>
      </c>
      <c r="C36" s="7" t="s">
        <v>692</v>
      </c>
      <c r="D36" s="7" t="s">
        <v>712</v>
      </c>
      <c r="H36" s="7" t="s">
        <v>720</v>
      </c>
      <c r="I36" s="103" t="s">
        <v>722</v>
      </c>
      <c r="J36" s="7" t="s">
        <v>718</v>
      </c>
      <c r="K36" s="13">
        <v>0</v>
      </c>
      <c r="L36" s="13">
        <f t="shared" si="0"/>
        <v>0</v>
      </c>
      <c r="M36" s="13">
        <v>0.63919999999999999</v>
      </c>
      <c r="N36" s="13"/>
      <c r="O36" s="13"/>
      <c r="P36" s="13" t="s">
        <v>814</v>
      </c>
      <c r="Q36" s="13" t="s">
        <v>873</v>
      </c>
      <c r="R36" s="7">
        <v>12</v>
      </c>
      <c r="S36" s="7">
        <v>14</v>
      </c>
      <c r="T36" s="83">
        <v>3</v>
      </c>
      <c r="U36" s="13">
        <v>3523</v>
      </c>
      <c r="V36" s="13">
        <v>3523</v>
      </c>
      <c r="W36" s="13">
        <f>Tabla17[[#This Row],[CONSUMO TOTAL PRO VALO]]/52</f>
        <v>67.75</v>
      </c>
      <c r="X36" s="21">
        <v>0</v>
      </c>
      <c r="Y36" s="13">
        <v>0</v>
      </c>
      <c r="Z36" s="13">
        <f>Tabla17[[#This Row],[CONSUMO TOTAL TODAS]]/52</f>
        <v>0</v>
      </c>
      <c r="AA36" s="25">
        <f>Tabla17[[#This Row],[CONSUMO PROMEDIO PROPIO]]+Tabla17[[#This Row],[CONSUMO PROMEDIO TODAS]]</f>
        <v>67.75</v>
      </c>
      <c r="AB36" s="26">
        <f>Tabla17[[#This Row],[CONSUMO PROMEDIO TOTAL]]*(Tabla17[[#This Row],[FRECUENCIA]]+Tabla17[[#This Row],[TIEMPO REPOSICION ]])*1.7</f>
        <v>2994.5499999999997</v>
      </c>
      <c r="AC36" s="26">
        <v>0</v>
      </c>
      <c r="AD36" s="26">
        <v>0</v>
      </c>
      <c r="AE36" s="3" t="e">
        <f>VLOOKUP(Tabla17[[#This Row],[CODIGO ]],#REF!,2,0)</f>
        <v>#REF!</v>
      </c>
      <c r="AF36" s="2">
        <f>IFERROR(VLOOKUP(Tabla17[[#This Row],[CODIGO ]],#REF!,2,0),0)</f>
        <v>0</v>
      </c>
      <c r="AG36" s="80" t="e">
        <f>Tabla17[[#This Row],[INVENTARIO FISICO ]]-Tabla17[[#This Row],[BUFFER REAL]]</f>
        <v>#REF!</v>
      </c>
      <c r="AH36" s="27"/>
      <c r="AI36" s="80"/>
      <c r="AJ36" s="80">
        <f>Tabla17[[#This Row],[SINOCHEM EN TRANSITO  ]]+Tabla17[[#This Row],[TRANSITO LOCAL]]</f>
        <v>0</v>
      </c>
      <c r="AK36" s="80"/>
      <c r="AL36" s="80"/>
      <c r="AM36" s="124" t="e">
        <f>Tabla17[[#This Row],[INVENTARIO FISICO ]]-Tabla17[[#This Row],[BUFFER REAL]]+Tabla17[[#This Row],[SINOCHEM EN TRANSITO  ]]+Tabla17[[#This Row],[TRANSITO LOCAL]]</f>
        <v>#REF!</v>
      </c>
      <c r="AN36" s="80">
        <f>Tabla17[[#This Row],[BUFFER REAL]]/((Tabla17[[#This Row],[TIEMPO REPOSICION ]]/Tabla17[[#This Row],[FRECUENCIA]])+1)</f>
        <v>0</v>
      </c>
      <c r="AO36" s="80"/>
      <c r="AP36" s="77"/>
      <c r="AQ36" s="77">
        <v>0</v>
      </c>
      <c r="AR36" s="27">
        <v>0</v>
      </c>
    </row>
    <row r="37" spans="1:44" s="7" customFormat="1">
      <c r="A37" s="18" t="s">
        <v>195</v>
      </c>
      <c r="B37" s="18" t="s">
        <v>196</v>
      </c>
      <c r="C37" s="7" t="s">
        <v>691</v>
      </c>
      <c r="D37" s="7" t="s">
        <v>712</v>
      </c>
      <c r="E37" s="7" t="s">
        <v>711</v>
      </c>
      <c r="F37" s="7">
        <v>16</v>
      </c>
      <c r="G37" s="7">
        <v>16</v>
      </c>
      <c r="H37" s="7" t="s">
        <v>720</v>
      </c>
      <c r="I37" s="7" t="s">
        <v>724</v>
      </c>
      <c r="J37" s="7" t="s">
        <v>718</v>
      </c>
      <c r="K37" s="13">
        <v>169</v>
      </c>
      <c r="L37" s="13">
        <v>0</v>
      </c>
      <c r="M37" s="13">
        <v>144.63999999999999</v>
      </c>
      <c r="N37" s="13">
        <f>50/52</f>
        <v>0.96153846153846156</v>
      </c>
      <c r="O37" s="13"/>
      <c r="P37" s="13" t="s">
        <v>814</v>
      </c>
      <c r="Q37" s="13" t="s">
        <v>873</v>
      </c>
      <c r="R37" s="7">
        <v>12</v>
      </c>
      <c r="S37" s="7">
        <v>14</v>
      </c>
      <c r="T37" s="83">
        <v>3</v>
      </c>
      <c r="U37" s="13">
        <v>55.160000000000004</v>
      </c>
      <c r="V37" s="13">
        <v>55.160000000000004</v>
      </c>
      <c r="W37" s="13">
        <f>Tabla17[[#This Row],[CONSUMO TOTAL PRO VALO]]/52</f>
        <v>1.0607692307692309</v>
      </c>
      <c r="X37" s="21">
        <v>0</v>
      </c>
      <c r="Y37" s="13">
        <v>0</v>
      </c>
      <c r="Z37" s="13">
        <f>Tabla17[[#This Row],[CONSUMO TOTAL TODAS]]/52</f>
        <v>0</v>
      </c>
      <c r="AA37" s="25">
        <f>Tabla17[[#This Row],[CONSUMO PROMEDIO PROPIO]]+Tabla17[[#This Row],[CONSUMO PROMEDIO TODAS]]</f>
        <v>1.0607692307692309</v>
      </c>
      <c r="AB37" s="26">
        <f>Tabla17[[#This Row],[CONSUMO PROMEDIO TOTAL]]*(Tabla17[[#This Row],[FRECUENCIA]]+Tabla17[[#This Row],[TIEMPO REPOSICION ]])*1.7</f>
        <v>46.88600000000001</v>
      </c>
      <c r="AC37" s="26">
        <v>126</v>
      </c>
      <c r="AD37" s="26">
        <v>126</v>
      </c>
      <c r="AE37" s="3" t="e">
        <f>VLOOKUP(Tabla17[[#This Row],[CODIGO ]],#REF!,2,0)</f>
        <v>#REF!</v>
      </c>
      <c r="AF37" s="2">
        <f>IFERROR(VLOOKUP(Tabla17[[#This Row],[CODIGO ]],#REF!,2,0),0)</f>
        <v>0</v>
      </c>
      <c r="AG37" s="80" t="e">
        <f>Tabla17[[#This Row],[INVENTARIO FISICO ]]-Tabla17[[#This Row],[BUFFER REAL]]</f>
        <v>#REF!</v>
      </c>
      <c r="AH37" s="27">
        <f>1700/25</f>
        <v>68</v>
      </c>
      <c r="AI37" s="80"/>
      <c r="AJ37" s="80">
        <f>Tabla17[[#This Row],[SINOCHEM EN TRANSITO  ]]+Tabla17[[#This Row],[TRANSITO LOCAL]]</f>
        <v>68</v>
      </c>
      <c r="AK37" s="80"/>
      <c r="AL37" s="80">
        <v>40</v>
      </c>
      <c r="AM37" s="124" t="e">
        <f>Tabla17[[#This Row],[INVENTARIO FISICO ]]-Tabla17[[#This Row],[BUFFER REAL]]+Tabla17[[#This Row],[SINOCHEM EN TRANSITO  ]]+Tabla17[[#This Row],[TRANSITO LOCAL]]</f>
        <v>#REF!</v>
      </c>
      <c r="AN37" s="80">
        <f>Tabla17[[#This Row],[BUFFER REAL]]/((Tabla17[[#This Row],[TIEMPO REPOSICION ]]/Tabla17[[#This Row],[FRECUENCIA]])+1)</f>
        <v>58.153846153846146</v>
      </c>
      <c r="AO37" s="80">
        <v>58</v>
      </c>
      <c r="AP37" s="126"/>
      <c r="AQ37" s="77">
        <v>40</v>
      </c>
      <c r="AR37" s="27">
        <v>0</v>
      </c>
    </row>
    <row r="38" spans="1:44" s="7" customFormat="1">
      <c r="A38" s="18" t="s">
        <v>197</v>
      </c>
      <c r="B38" s="18" t="s">
        <v>198</v>
      </c>
      <c r="C38" s="7" t="s">
        <v>690</v>
      </c>
      <c r="D38" s="7" t="s">
        <v>712</v>
      </c>
      <c r="H38" s="7" t="s">
        <v>720</v>
      </c>
      <c r="I38" s="7" t="s">
        <v>722</v>
      </c>
      <c r="J38" s="7" t="s">
        <v>718</v>
      </c>
      <c r="K38" s="13">
        <v>0</v>
      </c>
      <c r="L38" s="13">
        <f t="shared" ref="L38:L69" si="1">+K38*75%</f>
        <v>0</v>
      </c>
      <c r="M38" s="13">
        <v>1.405</v>
      </c>
      <c r="N38" s="13"/>
      <c r="O38" s="13"/>
      <c r="P38" s="13" t="s">
        <v>814</v>
      </c>
      <c r="Q38" s="13" t="s">
        <v>873</v>
      </c>
      <c r="R38" s="7">
        <v>12</v>
      </c>
      <c r="S38" s="7">
        <v>14</v>
      </c>
      <c r="T38" s="83">
        <v>3</v>
      </c>
      <c r="U38" s="13">
        <v>169</v>
      </c>
      <c r="V38" s="13">
        <v>169</v>
      </c>
      <c r="W38" s="13">
        <f>Tabla17[[#This Row],[CONSUMO TOTAL PRO VALO]]/52</f>
        <v>3.25</v>
      </c>
      <c r="X38" s="21">
        <v>0</v>
      </c>
      <c r="Y38" s="13">
        <v>0</v>
      </c>
      <c r="Z38" s="13">
        <f>Tabla17[[#This Row],[CONSUMO TOTAL TODAS]]/52</f>
        <v>0</v>
      </c>
      <c r="AA38" s="25">
        <f>Tabla17[[#This Row],[CONSUMO PROMEDIO PROPIO]]+Tabla17[[#This Row],[CONSUMO PROMEDIO TODAS]]</f>
        <v>3.25</v>
      </c>
      <c r="AB38" s="26">
        <f>Tabla17[[#This Row],[CONSUMO PROMEDIO TOTAL]]*(Tabla17[[#This Row],[FRECUENCIA]]+Tabla17[[#This Row],[TIEMPO REPOSICION ]])*1.7</f>
        <v>143.65</v>
      </c>
      <c r="AC38" s="26">
        <v>0</v>
      </c>
      <c r="AD38" s="26">
        <v>0</v>
      </c>
      <c r="AE38" s="3" t="e">
        <f>VLOOKUP(Tabla17[[#This Row],[CODIGO ]],#REF!,2,0)</f>
        <v>#REF!</v>
      </c>
      <c r="AF38" s="2">
        <f>IFERROR(VLOOKUP(Tabla17[[#This Row],[CODIGO ]],#REF!,2,0),0)</f>
        <v>0</v>
      </c>
      <c r="AG38" s="80" t="e">
        <f>Tabla17[[#This Row],[INVENTARIO FISICO ]]-Tabla17[[#This Row],[BUFFER REAL]]</f>
        <v>#REF!</v>
      </c>
      <c r="AH38" s="27"/>
      <c r="AI38" s="80"/>
      <c r="AJ38" s="80">
        <f>Tabla17[[#This Row],[SINOCHEM EN TRANSITO  ]]+Tabla17[[#This Row],[TRANSITO LOCAL]]</f>
        <v>0</v>
      </c>
      <c r="AK38" s="80"/>
      <c r="AL38" s="80"/>
      <c r="AM38" s="124" t="e">
        <f>Tabla17[[#This Row],[INVENTARIO FISICO ]]-Tabla17[[#This Row],[BUFFER REAL]]+Tabla17[[#This Row],[SINOCHEM EN TRANSITO  ]]+Tabla17[[#This Row],[TRANSITO LOCAL]]</f>
        <v>#REF!</v>
      </c>
      <c r="AN38" s="80">
        <f>Tabla17[[#This Row],[BUFFER REAL]]/((Tabla17[[#This Row],[TIEMPO REPOSICION ]]/Tabla17[[#This Row],[FRECUENCIA]])+1)</f>
        <v>0</v>
      </c>
      <c r="AO38" s="80">
        <v>0</v>
      </c>
      <c r="AP38" s="77"/>
      <c r="AQ38" s="77"/>
      <c r="AR38" s="27">
        <v>0</v>
      </c>
    </row>
    <row r="39" spans="1:44" s="7" customFormat="1">
      <c r="A39" s="18" t="s">
        <v>199</v>
      </c>
      <c r="B39" s="18" t="s">
        <v>200</v>
      </c>
      <c r="C39" s="7" t="s">
        <v>672</v>
      </c>
      <c r="D39" s="7" t="s">
        <v>712</v>
      </c>
      <c r="H39" s="7" t="s">
        <v>720</v>
      </c>
      <c r="I39" s="7" t="s">
        <v>767</v>
      </c>
      <c r="J39" s="7" t="s">
        <v>718</v>
      </c>
      <c r="K39" s="13">
        <v>0</v>
      </c>
      <c r="L39" s="13">
        <f t="shared" si="1"/>
        <v>0</v>
      </c>
      <c r="M39" s="13">
        <v>6.1589999999999998</v>
      </c>
      <c r="N39" s="13"/>
      <c r="O39" s="13"/>
      <c r="P39" s="13" t="s">
        <v>814</v>
      </c>
      <c r="Q39" s="13" t="s">
        <v>873</v>
      </c>
      <c r="R39" s="7">
        <v>12</v>
      </c>
      <c r="S39" s="7">
        <v>14</v>
      </c>
      <c r="T39" s="83">
        <v>3</v>
      </c>
      <c r="U39" s="13">
        <v>1000</v>
      </c>
      <c r="V39" s="13">
        <v>1000</v>
      </c>
      <c r="W39" s="13">
        <f>Tabla17[[#This Row],[CONSUMO TOTAL PRO VALO]]/52</f>
        <v>19.23076923076923</v>
      </c>
      <c r="X39" s="21">
        <v>0</v>
      </c>
      <c r="Y39" s="13">
        <v>0</v>
      </c>
      <c r="Z39" s="13">
        <f>Tabla17[[#This Row],[CONSUMO TOTAL TODAS]]/52</f>
        <v>0</v>
      </c>
      <c r="AA39" s="25">
        <f>Tabla17[[#This Row],[CONSUMO PROMEDIO PROPIO]]+Tabla17[[#This Row],[CONSUMO PROMEDIO TODAS]]</f>
        <v>19.23076923076923</v>
      </c>
      <c r="AB39" s="26">
        <f>Tabla17[[#This Row],[CONSUMO PROMEDIO TOTAL]]*(Tabla17[[#This Row],[FRECUENCIA]]+Tabla17[[#This Row],[TIEMPO REPOSICION ]])*1.7</f>
        <v>850</v>
      </c>
      <c r="AC39" s="26">
        <v>0</v>
      </c>
      <c r="AD39" s="26">
        <v>0</v>
      </c>
      <c r="AE39" s="3" t="e">
        <f>VLOOKUP(Tabla17[[#This Row],[CODIGO ]],#REF!,2,0)</f>
        <v>#REF!</v>
      </c>
      <c r="AF39" s="2">
        <f>IFERROR(VLOOKUP(Tabla17[[#This Row],[CODIGO ]],#REF!,2,0),0)</f>
        <v>0</v>
      </c>
      <c r="AG39" s="80" t="e">
        <f>Tabla17[[#This Row],[INVENTARIO FISICO ]]-Tabla17[[#This Row],[BUFFER REAL]]</f>
        <v>#REF!</v>
      </c>
      <c r="AH39" s="27"/>
      <c r="AI39" s="80"/>
      <c r="AJ39" s="80">
        <f>Tabla17[[#This Row],[SINOCHEM EN TRANSITO  ]]+Tabla17[[#This Row],[TRANSITO LOCAL]]</f>
        <v>0</v>
      </c>
      <c r="AK39" s="80"/>
      <c r="AL39" s="80"/>
      <c r="AM39" s="124" t="e">
        <f>Tabla17[[#This Row],[INVENTARIO FISICO ]]-Tabla17[[#This Row],[BUFFER REAL]]+Tabla17[[#This Row],[SINOCHEM EN TRANSITO  ]]+Tabla17[[#This Row],[TRANSITO LOCAL]]</f>
        <v>#REF!</v>
      </c>
      <c r="AN39" s="80">
        <f>Tabla17[[#This Row],[BUFFER REAL]]/((Tabla17[[#This Row],[TIEMPO REPOSICION ]]/Tabla17[[#This Row],[FRECUENCIA]])+1)</f>
        <v>0</v>
      </c>
      <c r="AO39" s="80"/>
      <c r="AP39" s="77"/>
      <c r="AQ39" s="77">
        <v>2000</v>
      </c>
      <c r="AR39" s="27">
        <v>0</v>
      </c>
    </row>
    <row r="40" spans="1:44" s="7" customFormat="1">
      <c r="A40" s="18" t="s">
        <v>201</v>
      </c>
      <c r="B40" s="18" t="s">
        <v>202</v>
      </c>
      <c r="C40" s="7" t="s">
        <v>683</v>
      </c>
      <c r="D40" s="7" t="s">
        <v>712</v>
      </c>
      <c r="H40" s="7" t="s">
        <v>720</v>
      </c>
      <c r="I40" s="7" t="s">
        <v>767</v>
      </c>
      <c r="J40" s="7" t="s">
        <v>718</v>
      </c>
      <c r="K40" s="13">
        <v>0</v>
      </c>
      <c r="L40" s="13">
        <f t="shared" si="1"/>
        <v>0</v>
      </c>
      <c r="M40" s="13">
        <v>1.30498</v>
      </c>
      <c r="N40" s="13"/>
      <c r="O40" s="13"/>
      <c r="P40" s="13" t="s">
        <v>814</v>
      </c>
      <c r="Q40" s="13" t="s">
        <v>873</v>
      </c>
      <c r="R40" s="7">
        <v>12</v>
      </c>
      <c r="S40" s="7">
        <v>14</v>
      </c>
      <c r="T40" s="83">
        <v>3</v>
      </c>
      <c r="U40" s="13">
        <v>4996</v>
      </c>
      <c r="V40" s="13">
        <v>4996</v>
      </c>
      <c r="W40" s="13">
        <f>Tabla17[[#This Row],[CONSUMO TOTAL PRO VALO]]/52</f>
        <v>96.07692307692308</v>
      </c>
      <c r="X40" s="21">
        <v>0</v>
      </c>
      <c r="Y40" s="13">
        <v>0</v>
      </c>
      <c r="Z40" s="13">
        <f>Tabla17[[#This Row],[CONSUMO TOTAL TODAS]]/52</f>
        <v>0</v>
      </c>
      <c r="AA40" s="25">
        <f>Tabla17[[#This Row],[CONSUMO PROMEDIO PROPIO]]+Tabla17[[#This Row],[CONSUMO PROMEDIO TODAS]]</f>
        <v>96.07692307692308</v>
      </c>
      <c r="AB40" s="26">
        <f>Tabla17[[#This Row],[CONSUMO PROMEDIO TOTAL]]*(Tabla17[[#This Row],[FRECUENCIA]]+Tabla17[[#This Row],[TIEMPO REPOSICION ]])*1.7</f>
        <v>4246.5999999999995</v>
      </c>
      <c r="AC40" s="26">
        <v>4000</v>
      </c>
      <c r="AD40" s="26">
        <v>4000</v>
      </c>
      <c r="AE40" s="3" t="e">
        <f>VLOOKUP(Tabla17[[#This Row],[CODIGO ]],#REF!,2,0)</f>
        <v>#REF!</v>
      </c>
      <c r="AF40" s="2">
        <f>IFERROR(VLOOKUP(Tabla17[[#This Row],[CODIGO ]],#REF!,2,0),0)</f>
        <v>0</v>
      </c>
      <c r="AG40" s="80" t="e">
        <f>Tabla17[[#This Row],[INVENTARIO FISICO ]]-Tabla17[[#This Row],[BUFFER REAL]]</f>
        <v>#REF!</v>
      </c>
      <c r="AH40" s="27">
        <f>800/0.2</f>
        <v>4000</v>
      </c>
      <c r="AI40" s="80"/>
      <c r="AJ40" s="80">
        <f>Tabla17[[#This Row],[SINOCHEM EN TRANSITO  ]]+Tabla17[[#This Row],[TRANSITO LOCAL]]</f>
        <v>4000</v>
      </c>
      <c r="AK40" s="80"/>
      <c r="AL40" s="80"/>
      <c r="AM40" s="124" t="e">
        <f>Tabla17[[#This Row],[INVENTARIO FISICO ]]-Tabla17[[#This Row],[BUFFER REAL]]+Tabla17[[#This Row],[SINOCHEM EN TRANSITO  ]]+Tabla17[[#This Row],[TRANSITO LOCAL]]</f>
        <v>#REF!</v>
      </c>
      <c r="AN40" s="80">
        <f>Tabla17[[#This Row],[BUFFER REAL]]/((Tabla17[[#This Row],[TIEMPO REPOSICION ]]/Tabla17[[#This Row],[FRECUENCIA]])+1)</f>
        <v>1846.153846153846</v>
      </c>
      <c r="AO40" s="80"/>
      <c r="AP40" s="77"/>
      <c r="AQ40" s="77">
        <v>0</v>
      </c>
      <c r="AR40" s="27">
        <v>0</v>
      </c>
    </row>
    <row r="41" spans="1:44" s="7" customFormat="1">
      <c r="A41" s="18" t="s">
        <v>203</v>
      </c>
      <c r="B41" s="18" t="s">
        <v>204</v>
      </c>
      <c r="C41" s="7" t="s">
        <v>692</v>
      </c>
      <c r="D41" s="7" t="s">
        <v>709</v>
      </c>
      <c r="H41" s="7" t="s">
        <v>720</v>
      </c>
      <c r="I41" s="103" t="s">
        <v>722</v>
      </c>
      <c r="J41" s="7" t="s">
        <v>718</v>
      </c>
      <c r="K41" s="13">
        <v>0</v>
      </c>
      <c r="L41" s="13">
        <f t="shared" si="1"/>
        <v>0</v>
      </c>
      <c r="M41" s="13">
        <v>0.92400000000000004</v>
      </c>
      <c r="N41" s="13"/>
      <c r="O41" s="13"/>
      <c r="P41" s="13" t="s">
        <v>814</v>
      </c>
      <c r="Q41" s="13" t="s">
        <v>873</v>
      </c>
      <c r="R41" s="7">
        <v>12</v>
      </c>
      <c r="S41" s="7">
        <v>14</v>
      </c>
      <c r="T41" s="83">
        <v>3</v>
      </c>
      <c r="U41" s="13">
        <v>2363</v>
      </c>
      <c r="V41" s="13">
        <v>2363</v>
      </c>
      <c r="W41" s="13">
        <f>Tabla17[[#This Row],[CONSUMO TOTAL PRO VALO]]/52</f>
        <v>45.442307692307693</v>
      </c>
      <c r="X41" s="21">
        <v>0</v>
      </c>
      <c r="Y41" s="13">
        <v>0</v>
      </c>
      <c r="Z41" s="13">
        <f>Tabla17[[#This Row],[CONSUMO TOTAL TODAS]]/52</f>
        <v>0</v>
      </c>
      <c r="AA41" s="25">
        <f>Tabla17[[#This Row],[CONSUMO PROMEDIO PROPIO]]+Tabla17[[#This Row],[CONSUMO PROMEDIO TODAS]]</f>
        <v>45.442307692307693</v>
      </c>
      <c r="AB41" s="26">
        <f>Tabla17[[#This Row],[CONSUMO PROMEDIO TOTAL]]*(Tabla17[[#This Row],[FRECUENCIA]]+Tabla17[[#This Row],[TIEMPO REPOSICION ]])*1.7</f>
        <v>2008.55</v>
      </c>
      <c r="AC41" s="26">
        <v>0</v>
      </c>
      <c r="AD41" s="26">
        <v>0</v>
      </c>
      <c r="AE41" s="133" t="e">
        <f>VLOOKUP(Tabla17[[#This Row],[CODIGO ]],#REF!,2,0)</f>
        <v>#REF!</v>
      </c>
      <c r="AF41" s="2">
        <f>IFERROR(VLOOKUP(Tabla17[[#This Row],[CODIGO ]],#REF!,2,0),0)</f>
        <v>0</v>
      </c>
      <c r="AG41" s="80" t="e">
        <f>Tabla17[[#This Row],[INVENTARIO FISICO ]]-Tabla17[[#This Row],[BUFFER REAL]]</f>
        <v>#REF!</v>
      </c>
      <c r="AH41" s="27"/>
      <c r="AI41" s="80"/>
      <c r="AJ41" s="80">
        <f>Tabla17[[#This Row],[SINOCHEM EN TRANSITO  ]]+Tabla17[[#This Row],[TRANSITO LOCAL]]</f>
        <v>0</v>
      </c>
      <c r="AK41" s="80"/>
      <c r="AL41" s="80"/>
      <c r="AM41" s="124" t="e">
        <f>Tabla17[[#This Row],[INVENTARIO FISICO ]]-Tabla17[[#This Row],[BUFFER REAL]]+Tabla17[[#This Row],[SINOCHEM EN TRANSITO  ]]+Tabla17[[#This Row],[TRANSITO LOCAL]]</f>
        <v>#REF!</v>
      </c>
      <c r="AN41" s="80">
        <f>Tabla17[[#This Row],[BUFFER REAL]]/((Tabla17[[#This Row],[TIEMPO REPOSICION ]]/Tabla17[[#This Row],[FRECUENCIA]])+1)</f>
        <v>0</v>
      </c>
      <c r="AO41" s="80"/>
      <c r="AP41" s="77"/>
      <c r="AQ41" s="77">
        <v>0</v>
      </c>
      <c r="AR41" s="27">
        <v>0</v>
      </c>
    </row>
    <row r="42" spans="1:44" s="7" customFormat="1">
      <c r="A42" s="130" t="s">
        <v>837</v>
      </c>
      <c r="B42" s="130" t="s">
        <v>843</v>
      </c>
      <c r="C42" s="20" t="s">
        <v>704</v>
      </c>
      <c r="D42" s="7" t="s">
        <v>709</v>
      </c>
      <c r="E42" s="20"/>
      <c r="F42" s="20"/>
      <c r="G42" s="20"/>
      <c r="H42" s="20" t="s">
        <v>720</v>
      </c>
      <c r="I42" s="20" t="s">
        <v>767</v>
      </c>
      <c r="J42" s="7" t="s">
        <v>718</v>
      </c>
      <c r="K42" s="21"/>
      <c r="L42" s="21">
        <f t="shared" si="1"/>
        <v>0</v>
      </c>
      <c r="M42" s="21"/>
      <c r="N42" s="21"/>
      <c r="O42" s="21"/>
      <c r="P42" s="13" t="s">
        <v>814</v>
      </c>
      <c r="Q42" s="13" t="s">
        <v>873</v>
      </c>
      <c r="R42" s="7">
        <v>12</v>
      </c>
      <c r="S42" s="7">
        <v>14</v>
      </c>
      <c r="T42" s="83">
        <v>3</v>
      </c>
      <c r="U42" s="21"/>
      <c r="V42" s="21"/>
      <c r="W42" s="21">
        <f>Tabla17[[#This Row],[CONSUMO TOTAL PRO VALO]]/52</f>
        <v>0</v>
      </c>
      <c r="X42" s="21" t="e">
        <f>Tabla2[[#This Row],[CONSUMO TOTAL ]]+Tabla3[[#This Row],[CONSUMO TOTAL]]+#REF!+#REF!</f>
        <v>#REF!</v>
      </c>
      <c r="Y42" s="21"/>
      <c r="Z42" s="21">
        <f>Tabla17[[#This Row],[CONSUMO TOTAL TODAS]]/52</f>
        <v>0</v>
      </c>
      <c r="AA42" s="28">
        <f>Tabla17[[#This Row],[CONSUMO PROMEDIO PROPIO]]+Tabla17[[#This Row],[CONSUMO PROMEDIO TODAS]]</f>
        <v>0</v>
      </c>
      <c r="AB42" s="33">
        <f>Tabla17[[#This Row],[CONSUMO PROMEDIO TOTAL]]*(Tabla17[[#This Row],[FRECUENCIA]]+Tabla17[[#This Row],[TIEMPO REPOSICION ]])*1.7</f>
        <v>0</v>
      </c>
      <c r="AC42" s="33">
        <v>20</v>
      </c>
      <c r="AD42" s="33">
        <v>20</v>
      </c>
      <c r="AE42" s="135" t="e">
        <f>VLOOKUP(Tabla17[[#This Row],[CODIGO ]],#REF!,2,0)</f>
        <v>#REF!</v>
      </c>
      <c r="AF42" s="116">
        <f>IFERROR(VLOOKUP(Tabla17[[#This Row],[CODIGO ]],#REF!,2,0),0)</f>
        <v>0</v>
      </c>
      <c r="AG42" s="117" t="e">
        <f>Tabla17[[#This Row],[INVENTARIO FISICO ]]-Tabla17[[#This Row],[BUFFER REAL]]</f>
        <v>#REF!</v>
      </c>
      <c r="AH42" s="110"/>
      <c r="AI42" s="110"/>
      <c r="AJ42" s="117">
        <f>Tabla17[[#This Row],[SINOCHEM EN TRANSITO  ]]+Tabla17[[#This Row],[TRANSITO LOCAL]]</f>
        <v>0</v>
      </c>
      <c r="AK42" s="117"/>
      <c r="AL42" s="117"/>
      <c r="AM42" s="124" t="e">
        <f>Tabla17[[#This Row],[INVENTARIO FISICO ]]-Tabla17[[#This Row],[BUFFER REAL]]+Tabla17[[#This Row],[SINOCHEM EN TRANSITO  ]]+Tabla17[[#This Row],[TRANSITO LOCAL]]</f>
        <v>#REF!</v>
      </c>
      <c r="AN42" s="117">
        <f>Tabla17[[#This Row],[BUFFER REAL]]/((Tabla17[[#This Row],[TIEMPO REPOSICION ]]/Tabla17[[#This Row],[FRECUENCIA]])+1)</f>
        <v>9.2307692307692299</v>
      </c>
      <c r="AO42" s="117"/>
      <c r="AP42" s="77"/>
      <c r="AQ42" s="77">
        <v>9</v>
      </c>
      <c r="AR42" s="27">
        <v>0</v>
      </c>
    </row>
    <row r="43" spans="1:44" s="7" customFormat="1">
      <c r="A43" s="18" t="s">
        <v>205</v>
      </c>
      <c r="B43" s="18" t="s">
        <v>206</v>
      </c>
      <c r="C43" s="7" t="s">
        <v>693</v>
      </c>
      <c r="D43" s="7" t="s">
        <v>709</v>
      </c>
      <c r="H43" s="7" t="s">
        <v>720</v>
      </c>
      <c r="I43" s="7" t="s">
        <v>722</v>
      </c>
      <c r="J43" s="7" t="s">
        <v>718</v>
      </c>
      <c r="K43" s="13">
        <v>0</v>
      </c>
      <c r="L43" s="13">
        <f t="shared" si="1"/>
        <v>0</v>
      </c>
      <c r="M43" s="13">
        <v>2.6640000000000001</v>
      </c>
      <c r="N43" s="13"/>
      <c r="O43" s="13"/>
      <c r="P43" s="13" t="s">
        <v>814</v>
      </c>
      <c r="Q43" s="13" t="s">
        <v>873</v>
      </c>
      <c r="R43" s="7">
        <v>12</v>
      </c>
      <c r="S43" s="7">
        <v>14</v>
      </c>
      <c r="T43" s="83">
        <v>3</v>
      </c>
      <c r="U43" s="13">
        <v>1039</v>
      </c>
      <c r="V43" s="13">
        <v>1039</v>
      </c>
      <c r="W43" s="13">
        <f>Tabla17[[#This Row],[CONSUMO TOTAL PRO VALO]]/52</f>
        <v>19.98076923076923</v>
      </c>
      <c r="X43" s="21">
        <v>0</v>
      </c>
      <c r="Y43" s="13">
        <v>0</v>
      </c>
      <c r="Z43" s="13">
        <f>Tabla17[[#This Row],[CONSUMO TOTAL TODAS]]/52</f>
        <v>0</v>
      </c>
      <c r="AA43" s="25">
        <f>Tabla17[[#This Row],[CONSUMO PROMEDIO PROPIO]]+Tabla17[[#This Row],[CONSUMO PROMEDIO TODAS]]</f>
        <v>19.98076923076923</v>
      </c>
      <c r="AB43" s="26">
        <f>Tabla17[[#This Row],[CONSUMO PROMEDIO TOTAL]]*(Tabla17[[#This Row],[FRECUENCIA]]+Tabla17[[#This Row],[TIEMPO REPOSICION ]])*1.7</f>
        <v>883.15</v>
      </c>
      <c r="AC43" s="26">
        <v>0</v>
      </c>
      <c r="AD43" s="26">
        <v>0</v>
      </c>
      <c r="AE43" s="3" t="e">
        <f>VLOOKUP(Tabla17[[#This Row],[CODIGO ]],#REF!,2,0)</f>
        <v>#REF!</v>
      </c>
      <c r="AF43" s="2">
        <f>IFERROR(VLOOKUP(Tabla17[[#This Row],[CODIGO ]],#REF!,2,0),0)</f>
        <v>0</v>
      </c>
      <c r="AG43" s="80" t="e">
        <f>Tabla17[[#This Row],[INVENTARIO FISICO ]]-Tabla17[[#This Row],[BUFFER REAL]]</f>
        <v>#REF!</v>
      </c>
      <c r="AH43" s="27"/>
      <c r="AI43" s="80"/>
      <c r="AJ43" s="80">
        <f>Tabla17[[#This Row],[SINOCHEM EN TRANSITO  ]]+Tabla17[[#This Row],[TRANSITO LOCAL]]</f>
        <v>0</v>
      </c>
      <c r="AK43" s="80"/>
      <c r="AL43" s="80"/>
      <c r="AM43" s="124" t="e">
        <f>Tabla17[[#This Row],[INVENTARIO FISICO ]]-Tabla17[[#This Row],[BUFFER REAL]]+Tabla17[[#This Row],[SINOCHEM EN TRANSITO  ]]+Tabla17[[#This Row],[TRANSITO LOCAL]]</f>
        <v>#REF!</v>
      </c>
      <c r="AN43" s="80">
        <f>Tabla17[[#This Row],[BUFFER REAL]]/((Tabla17[[#This Row],[TIEMPO REPOSICION ]]/Tabla17[[#This Row],[FRECUENCIA]])+1)</f>
        <v>0</v>
      </c>
      <c r="AO43" s="80"/>
      <c r="AP43" s="77"/>
      <c r="AQ43" s="77">
        <v>0</v>
      </c>
      <c r="AR43" s="27">
        <v>0</v>
      </c>
    </row>
    <row r="44" spans="1:44" s="83" customFormat="1">
      <c r="A44" s="18" t="s">
        <v>207</v>
      </c>
      <c r="B44" s="18" t="s">
        <v>208</v>
      </c>
      <c r="C44" s="7" t="s">
        <v>2</v>
      </c>
      <c r="D44" s="7" t="s">
        <v>174</v>
      </c>
      <c r="E44" s="7"/>
      <c r="F44" s="7"/>
      <c r="G44" s="7"/>
      <c r="H44" s="7" t="s">
        <v>718</v>
      </c>
      <c r="I44" s="7" t="s">
        <v>724</v>
      </c>
      <c r="J44" s="7" t="s">
        <v>718</v>
      </c>
      <c r="K44" s="13">
        <v>0</v>
      </c>
      <c r="L44" s="13">
        <f t="shared" si="1"/>
        <v>0</v>
      </c>
      <c r="M44" s="13">
        <v>0.85</v>
      </c>
      <c r="N44" s="13"/>
      <c r="O44" s="13">
        <v>1000</v>
      </c>
      <c r="P44" s="13" t="s">
        <v>807</v>
      </c>
      <c r="Q44" s="13" t="s">
        <v>802</v>
      </c>
      <c r="R44" s="7">
        <v>24</v>
      </c>
      <c r="S44" s="7">
        <v>6</v>
      </c>
      <c r="T44" s="7">
        <v>1</v>
      </c>
      <c r="U44" s="13">
        <v>0</v>
      </c>
      <c r="V44" s="13">
        <v>0</v>
      </c>
      <c r="W44" s="13">
        <f>Tabla17[[#This Row],[CONSUMO TOTAL PRO VALO]]/52</f>
        <v>0</v>
      </c>
      <c r="X44" s="82">
        <v>0</v>
      </c>
      <c r="Y44" s="81">
        <v>0</v>
      </c>
      <c r="Z44" s="81">
        <f>Tabla17[[#This Row],[CONSUMO TOTAL TODAS]]/52</f>
        <v>0</v>
      </c>
      <c r="AA44" s="25">
        <f>Tabla17[[#This Row],[CONSUMO PROMEDIO PROPIO]]+Tabla17[[#This Row],[CONSUMO PROMEDIO TODAS]]</f>
        <v>0</v>
      </c>
      <c r="AB44" s="26">
        <f>Tabla17[[#This Row],[CONSUMO PROMEDIO TOTAL]]*(Tabla17[[#This Row],[FRECUENCIA]]+Tabla17[[#This Row],[TIEMPO REPOSICION ]])*1.7</f>
        <v>0</v>
      </c>
      <c r="AC44" s="26">
        <v>0</v>
      </c>
      <c r="AD44" s="26">
        <v>0</v>
      </c>
      <c r="AE44" s="3" t="e">
        <f>VLOOKUP(Tabla17[[#This Row],[CODIGO ]],#REF!,2,0)</f>
        <v>#REF!</v>
      </c>
      <c r="AF44" s="2">
        <f>IFERROR(VLOOKUP(Tabla17[[#This Row],[CODIGO ]],#REF!,2,0),0)</f>
        <v>0</v>
      </c>
      <c r="AG44" s="90" t="e">
        <f>Tabla17[[#This Row],[INVENTARIO FISICO ]]-Tabla17[[#This Row],[BUFFER REAL]]</f>
        <v>#REF!</v>
      </c>
      <c r="AH44" s="27"/>
      <c r="AI44" s="90"/>
      <c r="AJ44" s="90">
        <f>Tabla17[[#This Row],[SINOCHEM EN TRANSITO  ]]+Tabla17[[#This Row],[TRANSITO LOCAL]]</f>
        <v>0</v>
      </c>
      <c r="AK44" s="90">
        <v>1000</v>
      </c>
      <c r="AL44" s="90"/>
      <c r="AM44" s="124" t="e">
        <f>Tabla17[[#This Row],[INVENTARIO FISICO ]]-Tabla17[[#This Row],[BUFFER REAL]]+Tabla17[[#This Row],[SINOCHEM EN TRANSITO  ]]+Tabla17[[#This Row],[TRANSITO LOCAL]]</f>
        <v>#REF!</v>
      </c>
      <c r="AN44" s="128">
        <f>Tabla17[[#This Row],[BUFFER REAL]]/((Tabla17[[#This Row],[TIEMPO REPOSICION ]]/Tabla17[[#This Row],[FRECUENCIA]])+1)</f>
        <v>0</v>
      </c>
      <c r="AO44" s="90">
        <v>1000</v>
      </c>
      <c r="AP44" s="126">
        <v>0</v>
      </c>
      <c r="AQ44" s="77"/>
      <c r="AR44" s="27">
        <v>0</v>
      </c>
    </row>
    <row r="45" spans="1:44" s="7" customFormat="1">
      <c r="A45" s="18" t="s">
        <v>213</v>
      </c>
      <c r="B45" s="18" t="s">
        <v>214</v>
      </c>
      <c r="C45" s="7" t="s">
        <v>695</v>
      </c>
      <c r="D45" s="7" t="s">
        <v>709</v>
      </c>
      <c r="H45" s="7" t="s">
        <v>720</v>
      </c>
      <c r="I45" s="7" t="s">
        <v>724</v>
      </c>
      <c r="J45" s="7" t="s">
        <v>718</v>
      </c>
      <c r="K45" s="13">
        <v>0</v>
      </c>
      <c r="L45" s="13">
        <f t="shared" si="1"/>
        <v>0</v>
      </c>
      <c r="M45" s="13">
        <v>2.3220999999999998</v>
      </c>
      <c r="N45" s="13"/>
      <c r="O45" s="13"/>
      <c r="P45" s="13" t="s">
        <v>814</v>
      </c>
      <c r="Q45" s="13" t="s">
        <v>873</v>
      </c>
      <c r="R45" s="7">
        <v>12</v>
      </c>
      <c r="S45" s="7">
        <v>14</v>
      </c>
      <c r="T45" s="83">
        <v>3</v>
      </c>
      <c r="U45" s="13">
        <v>8500</v>
      </c>
      <c r="V45" s="13">
        <v>8500</v>
      </c>
      <c r="W45" s="13">
        <f>Tabla17[[#This Row],[CONSUMO TOTAL PRO VALO]]/52</f>
        <v>163.46153846153845</v>
      </c>
      <c r="X45" s="21">
        <v>0</v>
      </c>
      <c r="Y45" s="13">
        <v>0</v>
      </c>
      <c r="Z45" s="13">
        <f>Tabla17[[#This Row],[CONSUMO TOTAL TODAS]]/52</f>
        <v>0</v>
      </c>
      <c r="AA45" s="25">
        <f>Tabla17[[#This Row],[CONSUMO PROMEDIO PROPIO]]+Tabla17[[#This Row],[CONSUMO PROMEDIO TODAS]]</f>
        <v>163.46153846153845</v>
      </c>
      <c r="AB45" s="26">
        <f>Tabla17[[#This Row],[CONSUMO PROMEDIO TOTAL]]*(Tabla17[[#This Row],[FRECUENCIA]]+Tabla17[[#This Row],[TIEMPO REPOSICION ]])*1.7</f>
        <v>7225</v>
      </c>
      <c r="AC45" s="26">
        <v>7500</v>
      </c>
      <c r="AD45" s="26">
        <v>7500</v>
      </c>
      <c r="AE45" s="3" t="e">
        <f>VLOOKUP(Tabla17[[#This Row],[CODIGO ]],#REF!,2,0)</f>
        <v>#REF!</v>
      </c>
      <c r="AF45" s="2">
        <f>IFERROR(VLOOKUP(Tabla17[[#This Row],[CODIGO ]],#REF!,2,0),0)</f>
        <v>0</v>
      </c>
      <c r="AG45" s="80" t="e">
        <f>Tabla17[[#This Row],[INVENTARIO FISICO ]]-Tabla17[[#This Row],[BUFFER REAL]]</f>
        <v>#REF!</v>
      </c>
      <c r="AH45" s="27"/>
      <c r="AI45" s="80"/>
      <c r="AJ45" s="80">
        <f>Tabla17[[#This Row],[SINOCHEM EN TRANSITO  ]]+Tabla17[[#This Row],[TRANSITO LOCAL]]</f>
        <v>0</v>
      </c>
      <c r="AK45" s="80"/>
      <c r="AL45" s="80"/>
      <c r="AM45" s="124" t="e">
        <f>Tabla17[[#This Row],[INVENTARIO FISICO ]]-Tabla17[[#This Row],[BUFFER REAL]]+Tabla17[[#This Row],[SINOCHEM EN TRANSITO  ]]+Tabla17[[#This Row],[TRANSITO LOCAL]]</f>
        <v>#REF!</v>
      </c>
      <c r="AN45" s="80">
        <f>Tabla17[[#This Row],[BUFFER REAL]]/((Tabla17[[#This Row],[TIEMPO REPOSICION ]]/Tabla17[[#This Row],[FRECUENCIA]])+1)</f>
        <v>3461.538461538461</v>
      </c>
      <c r="AO45" s="80">
        <v>3178</v>
      </c>
      <c r="AP45" s="77"/>
      <c r="AQ45" s="143">
        <v>3500</v>
      </c>
      <c r="AR45" s="88">
        <v>0</v>
      </c>
    </row>
    <row r="46" spans="1:44" s="7" customFormat="1">
      <c r="A46" s="18" t="s">
        <v>221</v>
      </c>
      <c r="B46" s="18" t="s">
        <v>222</v>
      </c>
      <c r="C46" s="7" t="s">
        <v>676</v>
      </c>
      <c r="D46" s="7" t="s">
        <v>709</v>
      </c>
      <c r="H46" s="7" t="s">
        <v>720</v>
      </c>
      <c r="I46" s="7" t="s">
        <v>724</v>
      </c>
      <c r="J46" s="7" t="s">
        <v>718</v>
      </c>
      <c r="K46" s="13">
        <v>0</v>
      </c>
      <c r="L46" s="13">
        <f t="shared" si="1"/>
        <v>0</v>
      </c>
      <c r="M46" s="13">
        <v>29.181000000000001</v>
      </c>
      <c r="N46" s="13"/>
      <c r="O46" s="13"/>
      <c r="P46" s="13" t="s">
        <v>814</v>
      </c>
      <c r="Q46" s="13" t="s">
        <v>873</v>
      </c>
      <c r="R46" s="7">
        <v>12</v>
      </c>
      <c r="S46" s="7">
        <v>14</v>
      </c>
      <c r="T46" s="83">
        <v>3</v>
      </c>
      <c r="U46" s="13">
        <v>48</v>
      </c>
      <c r="V46" s="13">
        <v>48</v>
      </c>
      <c r="W46" s="13">
        <f>Tabla17[[#This Row],[CONSUMO TOTAL PRO VALO]]/52</f>
        <v>0.92307692307692313</v>
      </c>
      <c r="X46" s="21">
        <v>0</v>
      </c>
      <c r="Y46" s="13">
        <v>0</v>
      </c>
      <c r="Z46" s="13">
        <f>Tabla17[[#This Row],[CONSUMO TOTAL TODAS]]/52</f>
        <v>0</v>
      </c>
      <c r="AA46" s="25">
        <f>Tabla17[[#This Row],[CONSUMO PROMEDIO PROPIO]]+Tabla17[[#This Row],[CONSUMO PROMEDIO TODAS]]</f>
        <v>0.92307692307692313</v>
      </c>
      <c r="AB46" s="26">
        <f>Tabla17[[#This Row],[CONSUMO PROMEDIO TOTAL]]*(Tabla17[[#This Row],[FRECUENCIA]]+Tabla17[[#This Row],[TIEMPO REPOSICION ]])*1.7</f>
        <v>40.799999999999997</v>
      </c>
      <c r="AC46" s="26">
        <v>600</v>
      </c>
      <c r="AD46" s="26">
        <v>600</v>
      </c>
      <c r="AE46" s="3" t="e">
        <f>VLOOKUP(Tabla17[[#This Row],[CODIGO ]],#REF!,2,0)</f>
        <v>#REF!</v>
      </c>
      <c r="AF46" s="2">
        <f>IFERROR(VLOOKUP(Tabla17[[#This Row],[CODIGO ]],#REF!,2,0),0)</f>
        <v>0</v>
      </c>
      <c r="AG46" s="80" t="e">
        <f>Tabla17[[#This Row],[INVENTARIO FISICO ]]-Tabla17[[#This Row],[BUFFER REAL]]</f>
        <v>#REF!</v>
      </c>
      <c r="AH46" s="27"/>
      <c r="AI46" s="80"/>
      <c r="AJ46" s="80">
        <f>Tabla17[[#This Row],[SINOCHEM EN TRANSITO  ]]+Tabla17[[#This Row],[TRANSITO LOCAL]]</f>
        <v>0</v>
      </c>
      <c r="AK46" s="80"/>
      <c r="AL46" s="80"/>
      <c r="AM46" s="124" t="e">
        <f>Tabla17[[#This Row],[INVENTARIO FISICO ]]-Tabla17[[#This Row],[BUFFER REAL]]+Tabla17[[#This Row],[SINOCHEM EN TRANSITO  ]]+Tabla17[[#This Row],[TRANSITO LOCAL]]</f>
        <v>#REF!</v>
      </c>
      <c r="AN46" s="80">
        <f>Tabla17[[#This Row],[BUFFER REAL]]/((Tabla17[[#This Row],[TIEMPO REPOSICION ]]/Tabla17[[#This Row],[FRECUENCIA]])+1)</f>
        <v>276.92307692307691</v>
      </c>
      <c r="AO46" s="80">
        <v>0</v>
      </c>
      <c r="AP46" s="77"/>
      <c r="AQ46" s="77">
        <v>0</v>
      </c>
      <c r="AR46" s="27">
        <v>0</v>
      </c>
    </row>
    <row r="47" spans="1:44" s="7" customFormat="1">
      <c r="A47" s="141" t="s">
        <v>223</v>
      </c>
      <c r="B47" s="130" t="s">
        <v>224</v>
      </c>
      <c r="C47" s="141" t="s">
        <v>706</v>
      </c>
      <c r="D47" s="141" t="s">
        <v>867</v>
      </c>
      <c r="E47" s="20"/>
      <c r="F47" s="20"/>
      <c r="G47" s="20"/>
      <c r="H47" s="20" t="s">
        <v>717</v>
      </c>
      <c r="I47" s="7" t="s">
        <v>724</v>
      </c>
      <c r="J47" s="7" t="s">
        <v>718</v>
      </c>
      <c r="K47" s="21">
        <v>0</v>
      </c>
      <c r="L47" s="21">
        <f t="shared" si="1"/>
        <v>0</v>
      </c>
      <c r="M47" s="21">
        <v>1200</v>
      </c>
      <c r="N47" s="21"/>
      <c r="O47" s="21"/>
      <c r="P47" s="13" t="s">
        <v>816</v>
      </c>
      <c r="Q47" s="21" t="s">
        <v>802</v>
      </c>
      <c r="R47" s="20">
        <v>4</v>
      </c>
      <c r="S47" s="20">
        <v>4</v>
      </c>
      <c r="T47" s="20">
        <v>1</v>
      </c>
      <c r="U47" s="21"/>
      <c r="V47" s="21"/>
      <c r="W47" s="21">
        <f>Tabla17[[#This Row],[CONSUMO TOTAL PRO VALO]]/52</f>
        <v>0</v>
      </c>
      <c r="X47" s="21" t="e">
        <f>Tabla2[[#This Row],[CONSUMO TOTAL ]]+Tabla3[[#This Row],[CONSUMO TOTAL]]+#REF!+#REF!</f>
        <v>#REF!</v>
      </c>
      <c r="Y47" s="21"/>
      <c r="Z47" s="21">
        <f>Tabla17[[#This Row],[CONSUMO TOTAL TODAS]]/52</f>
        <v>0</v>
      </c>
      <c r="AA47" s="28">
        <f>Tabla17[[#This Row],[CONSUMO PROMEDIO PROPIO]]+Tabla17[[#This Row],[CONSUMO PROMEDIO TODAS]]</f>
        <v>0</v>
      </c>
      <c r="AB47" s="33">
        <f>Tabla17[[#This Row],[CONSUMO PROMEDIO TOTAL]]*(Tabla17[[#This Row],[FRECUENCIA]]+Tabla17[[#This Row],[TIEMPO REPOSICION ]])*1.7</f>
        <v>0</v>
      </c>
      <c r="AC47" s="33">
        <v>0.5</v>
      </c>
      <c r="AD47" s="33">
        <v>2</v>
      </c>
      <c r="AE47" s="135" t="e">
        <f>VLOOKUP(Tabla17[[#This Row],[CODIGO ]],#REF!,2,0)</f>
        <v>#REF!</v>
      </c>
      <c r="AF47" s="116">
        <f>IFERROR(VLOOKUP(Tabla17[[#This Row],[CODIGO ]],#REF!,2,0),0)</f>
        <v>0</v>
      </c>
      <c r="AG47" s="117" t="e">
        <f>Tabla17[[#This Row],[INVENTARIO FISICO ]]-Tabla17[[#This Row],[BUFFER REAL]]</f>
        <v>#REF!</v>
      </c>
      <c r="AH47" s="110"/>
      <c r="AI47" s="110"/>
      <c r="AJ47" s="117">
        <f>Tabla17[[#This Row],[SINOCHEM EN TRANSITO  ]]+Tabla17[[#This Row],[TRANSITO LOCAL]]</f>
        <v>0</v>
      </c>
      <c r="AK47" s="117"/>
      <c r="AL47" s="117"/>
      <c r="AM47" s="142" t="e">
        <f>Tabla17[[#This Row],[INVENTARIO FISICO ]]-Tabla17[[#This Row],[BUFFER REAL]]+Tabla17[[#This Row],[SINOCHEM EN TRANSITO  ]]+Tabla17[[#This Row],[TRANSITO LOCAL]]</f>
        <v>#REF!</v>
      </c>
      <c r="AN47" s="128">
        <f>Tabla17[[#This Row],[BUFFER REAL]]/((Tabla17[[#This Row],[TIEMPO REPOSICION ]]/Tabla17[[#This Row],[FRECUENCIA]])+1)</f>
        <v>1</v>
      </c>
      <c r="AO47" s="117"/>
      <c r="AP47" s="110"/>
      <c r="AQ47" s="110"/>
      <c r="AR47" s="27">
        <v>0</v>
      </c>
    </row>
    <row r="48" spans="1:44" s="7" customFormat="1">
      <c r="A48" s="18" t="s">
        <v>225</v>
      </c>
      <c r="B48" s="18" t="s">
        <v>226</v>
      </c>
      <c r="C48" s="7" t="s">
        <v>675</v>
      </c>
      <c r="D48" s="7" t="s">
        <v>709</v>
      </c>
      <c r="H48" s="7" t="s">
        <v>720</v>
      </c>
      <c r="I48" s="7" t="s">
        <v>724</v>
      </c>
      <c r="J48" s="7" t="s">
        <v>718</v>
      </c>
      <c r="K48" s="13">
        <v>0</v>
      </c>
      <c r="L48" s="13">
        <f t="shared" si="1"/>
        <v>0</v>
      </c>
      <c r="M48" s="13">
        <v>1556.5997500000001</v>
      </c>
      <c r="N48" s="13"/>
      <c r="O48" s="13"/>
      <c r="P48" s="13" t="s">
        <v>814</v>
      </c>
      <c r="Q48" s="13" t="s">
        <v>873</v>
      </c>
      <c r="R48" s="7">
        <v>12</v>
      </c>
      <c r="S48" s="7">
        <v>14</v>
      </c>
      <c r="T48" s="83">
        <v>3</v>
      </c>
      <c r="U48" s="13">
        <v>2.1924999999999999</v>
      </c>
      <c r="V48" s="13">
        <v>2.1924999999999999</v>
      </c>
      <c r="W48" s="13">
        <f>Tabla17[[#This Row],[CONSUMO TOTAL PRO VALO]]/52</f>
        <v>4.2163461538461539E-2</v>
      </c>
      <c r="X48" s="21">
        <v>0</v>
      </c>
      <c r="Y48" s="13">
        <v>0</v>
      </c>
      <c r="Z48" s="13">
        <f>Tabla17[[#This Row],[CONSUMO TOTAL TODAS]]/52</f>
        <v>0</v>
      </c>
      <c r="AA48" s="25">
        <f>Tabla17[[#This Row],[CONSUMO PROMEDIO PROPIO]]+Tabla17[[#This Row],[CONSUMO PROMEDIO TODAS]]</f>
        <v>4.2163461538461539E-2</v>
      </c>
      <c r="AB48" s="26">
        <f>Tabla17[[#This Row],[CONSUMO PROMEDIO TOTAL]]*(Tabla17[[#This Row],[FRECUENCIA]]+Tabla17[[#This Row],[TIEMPO REPOSICION ]])*1.7</f>
        <v>1.8636249999999999</v>
      </c>
      <c r="AC48" s="26">
        <v>4</v>
      </c>
      <c r="AD48" s="26">
        <v>4</v>
      </c>
      <c r="AE48" s="3" t="e">
        <f>VLOOKUP(Tabla17[[#This Row],[CODIGO ]],#REF!,2,0)</f>
        <v>#REF!</v>
      </c>
      <c r="AF48" s="2">
        <f>IFERROR(VLOOKUP(Tabla17[[#This Row],[CODIGO ]],#REF!,2,0),0)</f>
        <v>0</v>
      </c>
      <c r="AG48" s="80" t="e">
        <f>Tabla17[[#This Row],[INVENTARIO FISICO ]]-Tabla17[[#This Row],[BUFFER REAL]]</f>
        <v>#REF!</v>
      </c>
      <c r="AH48" s="27">
        <v>4</v>
      </c>
      <c r="AI48" s="80"/>
      <c r="AJ48" s="80">
        <f>Tabla17[[#This Row],[SINOCHEM EN TRANSITO  ]]+Tabla17[[#This Row],[TRANSITO LOCAL]]</f>
        <v>4</v>
      </c>
      <c r="AK48" s="80"/>
      <c r="AL48" s="80"/>
      <c r="AM48" s="124" t="e">
        <f>Tabla17[[#This Row],[INVENTARIO FISICO ]]-Tabla17[[#This Row],[BUFFER REAL]]+Tabla17[[#This Row],[SINOCHEM EN TRANSITO  ]]+Tabla17[[#This Row],[TRANSITO LOCAL]]</f>
        <v>#REF!</v>
      </c>
      <c r="AN48" s="80">
        <f>Tabla17[[#This Row],[BUFFER REAL]]/((Tabla17[[#This Row],[TIEMPO REPOSICION ]]/Tabla17[[#This Row],[FRECUENCIA]])+1)</f>
        <v>1.8461538461538458</v>
      </c>
      <c r="AO48" s="80">
        <v>0</v>
      </c>
      <c r="AP48" s="77"/>
      <c r="AQ48" s="77">
        <v>2</v>
      </c>
      <c r="AR48" s="27">
        <v>0</v>
      </c>
    </row>
    <row r="49" spans="1:44" s="7" customFormat="1">
      <c r="A49" s="18" t="s">
        <v>231</v>
      </c>
      <c r="B49" s="18" t="s">
        <v>232</v>
      </c>
      <c r="C49" s="7" t="s">
        <v>675</v>
      </c>
      <c r="D49" s="7" t="s">
        <v>712</v>
      </c>
      <c r="H49" s="7" t="s">
        <v>717</v>
      </c>
      <c r="I49" s="7" t="s">
        <v>724</v>
      </c>
      <c r="J49" s="7" t="s">
        <v>718</v>
      </c>
      <c r="K49" s="13">
        <v>0</v>
      </c>
      <c r="L49" s="13">
        <f t="shared" si="1"/>
        <v>0</v>
      </c>
      <c r="M49" s="13">
        <v>4082.7584999999999</v>
      </c>
      <c r="N49" s="13"/>
      <c r="O49" s="13">
        <v>1</v>
      </c>
      <c r="P49" s="13" t="s">
        <v>713</v>
      </c>
      <c r="Q49" s="13" t="s">
        <v>802</v>
      </c>
      <c r="R49" s="7">
        <v>4</v>
      </c>
      <c r="S49" s="7">
        <v>4</v>
      </c>
      <c r="T49" s="7">
        <v>1</v>
      </c>
      <c r="U49" s="13">
        <v>17.47325</v>
      </c>
      <c r="V49" s="13">
        <v>17.47325</v>
      </c>
      <c r="W49" s="13">
        <f>Tabla17[[#This Row],[CONSUMO TOTAL PRO VALO]]/52</f>
        <v>0.33602403846153844</v>
      </c>
      <c r="X49" s="21">
        <v>0</v>
      </c>
      <c r="Y49" s="13">
        <v>0</v>
      </c>
      <c r="Z49" s="13">
        <f>Tabla17[[#This Row],[CONSUMO TOTAL TODAS]]/52</f>
        <v>0</v>
      </c>
      <c r="AA49" s="25">
        <f>Tabla17[[#This Row],[CONSUMO PROMEDIO PROPIO]]+Tabla17[[#This Row],[CONSUMO PROMEDIO TODAS]]</f>
        <v>0.33602403846153844</v>
      </c>
      <c r="AB49" s="26">
        <f>Tabla17[[#This Row],[CONSUMO PROMEDIO TOTAL]]*(Tabla17[[#This Row],[FRECUENCIA]]+Tabla17[[#This Row],[TIEMPO REPOSICION ]])*1.7</f>
        <v>4.5699269230769231</v>
      </c>
      <c r="AC49" s="26">
        <v>4</v>
      </c>
      <c r="AD49" s="26">
        <v>8</v>
      </c>
      <c r="AE49" s="3" t="e">
        <f>VLOOKUP(Tabla17[[#This Row],[CODIGO ]],#REF!,2,0)</f>
        <v>#REF!</v>
      </c>
      <c r="AF49" s="2">
        <f>IFERROR(VLOOKUP(Tabla17[[#This Row],[CODIGO ]],#REF!,2,0),0)</f>
        <v>0</v>
      </c>
      <c r="AG49" s="80" t="e">
        <f>Tabla17[[#This Row],[INVENTARIO FISICO ]]-Tabla17[[#This Row],[BUFFER REAL]]</f>
        <v>#REF!</v>
      </c>
      <c r="AH49" s="27">
        <v>3</v>
      </c>
      <c r="AI49" s="80"/>
      <c r="AJ49" s="80">
        <f>Tabla17[[#This Row],[SINOCHEM EN TRANSITO  ]]+Tabla17[[#This Row],[TRANSITO LOCAL]]</f>
        <v>3</v>
      </c>
      <c r="AK49" s="80"/>
      <c r="AL49" s="80"/>
      <c r="AM49" s="124" t="e">
        <f>Tabla17[[#This Row],[INVENTARIO FISICO ]]-Tabla17[[#This Row],[BUFFER REAL]]+Tabla17[[#This Row],[SINOCHEM EN TRANSITO  ]]+Tabla17[[#This Row],[TRANSITO LOCAL]]</f>
        <v>#REF!</v>
      </c>
      <c r="AN49" s="128">
        <f>Tabla17[[#This Row],[BUFFER REAL]]/((Tabla17[[#This Row],[TIEMPO REPOSICION ]]/Tabla17[[#This Row],[FRECUENCIA]])+1)</f>
        <v>4</v>
      </c>
      <c r="AO49" s="80">
        <v>3</v>
      </c>
      <c r="AP49" s="77">
        <v>2</v>
      </c>
      <c r="AQ49" s="77"/>
      <c r="AR49" s="27">
        <v>0</v>
      </c>
    </row>
    <row r="50" spans="1:44" s="7" customFormat="1">
      <c r="A50" s="18" t="s">
        <v>233</v>
      </c>
      <c r="B50" s="18" t="s">
        <v>234</v>
      </c>
      <c r="C50" s="83" t="s">
        <v>674</v>
      </c>
      <c r="D50" s="83" t="s">
        <v>712</v>
      </c>
      <c r="E50" s="83"/>
      <c r="F50" s="83"/>
      <c r="G50" s="83"/>
      <c r="H50" s="83" t="s">
        <v>717</v>
      </c>
      <c r="I50" s="83" t="s">
        <v>724</v>
      </c>
      <c r="J50" s="83" t="s">
        <v>718</v>
      </c>
      <c r="K50" s="13">
        <v>0</v>
      </c>
      <c r="L50" s="13">
        <f t="shared" si="1"/>
        <v>0</v>
      </c>
      <c r="M50" s="13">
        <v>470</v>
      </c>
      <c r="N50" s="13"/>
      <c r="O50" s="84"/>
      <c r="P50" s="13" t="s">
        <v>713</v>
      </c>
      <c r="Q50" s="84" t="s">
        <v>802</v>
      </c>
      <c r="R50" s="83">
        <v>4</v>
      </c>
      <c r="S50" s="83">
        <v>4</v>
      </c>
      <c r="T50" s="7">
        <v>1</v>
      </c>
      <c r="U50" s="84">
        <v>1.9966999999999999</v>
      </c>
      <c r="V50" s="84">
        <v>1.9966999999999999</v>
      </c>
      <c r="W50" s="84">
        <f>Tabla17[[#This Row],[CONSUMO TOTAL PRO VALO]]/52</f>
        <v>3.8398076923076924E-2</v>
      </c>
      <c r="X50" s="21">
        <v>0</v>
      </c>
      <c r="Y50" s="13">
        <v>0</v>
      </c>
      <c r="Z50" s="13">
        <f>Tabla17[[#This Row],[CONSUMO TOTAL TODAS]]/52</f>
        <v>0</v>
      </c>
      <c r="AA50" s="85">
        <f>Tabla17[[#This Row],[CONSUMO PROMEDIO PROPIO]]+Tabla17[[#This Row],[CONSUMO PROMEDIO TODAS]]</f>
        <v>3.8398076923076924E-2</v>
      </c>
      <c r="AB50" s="86">
        <f>Tabla17[[#This Row],[CONSUMO PROMEDIO TOTAL]]*(Tabla17[[#This Row],[FRECUENCIA]]+Tabla17[[#This Row],[TIEMPO REPOSICION ]])*1.7</f>
        <v>0.52221384615384614</v>
      </c>
      <c r="AC50" s="86">
        <v>0</v>
      </c>
      <c r="AD50" s="86">
        <v>0</v>
      </c>
      <c r="AE50" s="3" t="e">
        <f>VLOOKUP(Tabla17[[#This Row],[CODIGO ]],#REF!,2,0)</f>
        <v>#REF!</v>
      </c>
      <c r="AF50" s="2">
        <f>IFERROR(VLOOKUP(Tabla17[[#This Row],[CODIGO ]],#REF!,2,0),0)</f>
        <v>0</v>
      </c>
      <c r="AG50" s="87" t="e">
        <f>Tabla17[[#This Row],[INVENTARIO FISICO ]]-Tabla17[[#This Row],[BUFFER REAL]]</f>
        <v>#REF!</v>
      </c>
      <c r="AH50" s="88"/>
      <c r="AI50" s="87"/>
      <c r="AJ50" s="87">
        <f>Tabla17[[#This Row],[SINOCHEM EN TRANSITO  ]]+Tabla17[[#This Row],[TRANSITO LOCAL]]</f>
        <v>0</v>
      </c>
      <c r="AK50" s="87"/>
      <c r="AL50" s="87"/>
      <c r="AM50" s="124" t="e">
        <f>Tabla17[[#This Row],[INVENTARIO FISICO ]]-Tabla17[[#This Row],[BUFFER REAL]]+Tabla17[[#This Row],[SINOCHEM EN TRANSITO  ]]+Tabla17[[#This Row],[TRANSITO LOCAL]]</f>
        <v>#REF!</v>
      </c>
      <c r="AN50" s="128">
        <f>Tabla17[[#This Row],[BUFFER REAL]]/((Tabla17[[#This Row],[TIEMPO REPOSICION ]]/Tabla17[[#This Row],[FRECUENCIA]])+1)</f>
        <v>0</v>
      </c>
      <c r="AO50" s="87">
        <v>0</v>
      </c>
      <c r="AP50" s="77">
        <v>0</v>
      </c>
      <c r="AQ50" s="77"/>
      <c r="AR50" s="27">
        <v>0</v>
      </c>
    </row>
    <row r="51" spans="1:44" s="7" customFormat="1">
      <c r="A51" s="18" t="s">
        <v>235</v>
      </c>
      <c r="B51" s="18" t="s">
        <v>236</v>
      </c>
      <c r="C51" s="7" t="s">
        <v>676</v>
      </c>
      <c r="D51" s="7" t="s">
        <v>712</v>
      </c>
      <c r="H51" s="7" t="s">
        <v>717</v>
      </c>
      <c r="I51" s="83" t="s">
        <v>724</v>
      </c>
      <c r="J51" s="7" t="s">
        <v>718</v>
      </c>
      <c r="K51" s="13">
        <v>0</v>
      </c>
      <c r="L51" s="13">
        <f t="shared" si="1"/>
        <v>0</v>
      </c>
      <c r="M51" s="13">
        <v>20.5</v>
      </c>
      <c r="N51" s="13"/>
      <c r="O51" s="13"/>
      <c r="P51" s="13" t="s">
        <v>816</v>
      </c>
      <c r="Q51" s="13" t="s">
        <v>802</v>
      </c>
      <c r="R51" s="7">
        <v>4</v>
      </c>
      <c r="S51" s="7">
        <v>4</v>
      </c>
      <c r="T51" s="7">
        <v>1</v>
      </c>
      <c r="U51" s="13">
        <v>600</v>
      </c>
      <c r="V51" s="13">
        <v>600</v>
      </c>
      <c r="W51" s="13">
        <f>Tabla17[[#This Row],[CONSUMO TOTAL PRO VALO]]/52</f>
        <v>11.538461538461538</v>
      </c>
      <c r="X51" s="21">
        <v>0</v>
      </c>
      <c r="Y51" s="13">
        <v>0</v>
      </c>
      <c r="Z51" s="13">
        <f>Tabla17[[#This Row],[CONSUMO TOTAL TODAS]]/52</f>
        <v>0</v>
      </c>
      <c r="AA51" s="25">
        <f>Tabla17[[#This Row],[CONSUMO PROMEDIO PROPIO]]+Tabla17[[#This Row],[CONSUMO PROMEDIO TODAS]]</f>
        <v>11.538461538461538</v>
      </c>
      <c r="AB51" s="26">
        <f>Tabla17[[#This Row],[CONSUMO PROMEDIO TOTAL]]*(Tabla17[[#This Row],[FRECUENCIA]]+Tabla17[[#This Row],[TIEMPO REPOSICION ]])*1.7</f>
        <v>156.92307692307691</v>
      </c>
      <c r="AC51" s="26">
        <v>400</v>
      </c>
      <c r="AD51" s="26">
        <v>200</v>
      </c>
      <c r="AE51" s="3">
        <v>0</v>
      </c>
      <c r="AF51" s="2">
        <f>IFERROR(VLOOKUP(Tabla17[[#This Row],[CODIGO ]],#REF!,2,0),0)</f>
        <v>0</v>
      </c>
      <c r="AG51" s="80">
        <f>Tabla17[[#This Row],[INVENTARIO FISICO ]]-Tabla17[[#This Row],[BUFFER REAL]]</f>
        <v>-200</v>
      </c>
      <c r="AH51" s="27"/>
      <c r="AI51" s="118">
        <v>160</v>
      </c>
      <c r="AJ51" s="118">
        <f>Tabla17[[#This Row],[SINOCHEM EN TRANSITO  ]]+Tabla17[[#This Row],[TRANSITO LOCAL]]</f>
        <v>160</v>
      </c>
      <c r="AK51" s="80"/>
      <c r="AL51" s="80"/>
      <c r="AM51" s="124">
        <f>Tabla17[[#This Row],[INVENTARIO FISICO ]]-Tabla17[[#This Row],[BUFFER REAL]]+Tabla17[[#This Row],[SINOCHEM EN TRANSITO  ]]+Tabla17[[#This Row],[TRANSITO LOCAL]]</f>
        <v>-40</v>
      </c>
      <c r="AN51" s="128">
        <f>Tabla17[[#This Row],[BUFFER REAL]]/((Tabla17[[#This Row],[TIEMPO REPOSICION ]]/Tabla17[[#This Row],[FRECUENCIA]])+1)</f>
        <v>100</v>
      </c>
      <c r="AO51" s="80"/>
      <c r="AP51" s="77">
        <v>100</v>
      </c>
      <c r="AQ51" s="77"/>
      <c r="AR51" s="27">
        <v>200</v>
      </c>
    </row>
    <row r="52" spans="1:44" s="7" customFormat="1">
      <c r="A52" s="18" t="s">
        <v>237</v>
      </c>
      <c r="B52" s="18" t="s">
        <v>238</v>
      </c>
      <c r="C52" s="7" t="s">
        <v>697</v>
      </c>
      <c r="D52" s="7" t="s">
        <v>710</v>
      </c>
      <c r="H52" s="7" t="s">
        <v>718</v>
      </c>
      <c r="I52" s="7" t="s">
        <v>724</v>
      </c>
      <c r="J52" s="7" t="s">
        <v>718</v>
      </c>
      <c r="K52" s="13">
        <v>0</v>
      </c>
      <c r="L52" s="13">
        <f t="shared" si="1"/>
        <v>0</v>
      </c>
      <c r="M52" s="13">
        <v>0.30651</v>
      </c>
      <c r="N52" s="13"/>
      <c r="O52" s="13"/>
      <c r="P52" s="13" t="s">
        <v>810</v>
      </c>
      <c r="Q52" s="13" t="s">
        <v>802</v>
      </c>
      <c r="R52" s="7">
        <v>4</v>
      </c>
      <c r="S52" s="7">
        <v>4</v>
      </c>
      <c r="T52" s="7">
        <v>1</v>
      </c>
      <c r="U52" s="13">
        <v>5574</v>
      </c>
      <c r="V52" s="13">
        <v>5574</v>
      </c>
      <c r="W52" s="13">
        <f>Tabla17[[#This Row],[CONSUMO TOTAL PRO VALO]]/52</f>
        <v>107.19230769230769</v>
      </c>
      <c r="X52" s="21">
        <v>0</v>
      </c>
      <c r="Y52" s="13">
        <v>0</v>
      </c>
      <c r="Z52" s="13">
        <f>Tabla17[[#This Row],[CONSUMO TOTAL TODAS]]/52</f>
        <v>0</v>
      </c>
      <c r="AA52" s="25">
        <f>Tabla17[[#This Row],[CONSUMO PROMEDIO PROPIO]]+Tabla17[[#This Row],[CONSUMO PROMEDIO TODAS]]</f>
        <v>107.19230769230769</v>
      </c>
      <c r="AB52" s="26">
        <f>Tabla17[[#This Row],[CONSUMO PROMEDIO TOTAL]]*(Tabla17[[#This Row],[FRECUENCIA]]+Tabla17[[#This Row],[TIEMPO REPOSICION ]])*1.7</f>
        <v>1457.8153846153846</v>
      </c>
      <c r="AC52" s="26">
        <v>1458</v>
      </c>
      <c r="AD52" s="26">
        <v>3000</v>
      </c>
      <c r="AE52" s="3" t="e">
        <f>VLOOKUP(Tabla17[[#This Row],[CODIGO ]],#REF!,2,0)</f>
        <v>#REF!</v>
      </c>
      <c r="AF52" s="2">
        <f>IFERROR(VLOOKUP(Tabla17[[#This Row],[CODIGO ]],#REF!,2,0),0)</f>
        <v>0</v>
      </c>
      <c r="AG52" s="80" t="e">
        <f>Tabla17[[#This Row],[INVENTARIO FISICO ]]-Tabla17[[#This Row],[BUFFER REAL]]</f>
        <v>#REF!</v>
      </c>
      <c r="AH52" s="27"/>
      <c r="AI52" s="80"/>
      <c r="AJ52" s="80">
        <f>Tabla17[[#This Row],[SINOCHEM EN TRANSITO  ]]+Tabla17[[#This Row],[TRANSITO LOCAL]]</f>
        <v>0</v>
      </c>
      <c r="AK52" s="80"/>
      <c r="AL52" s="80"/>
      <c r="AM52" s="124" t="e">
        <f>Tabla17[[#This Row],[INVENTARIO FISICO ]]-Tabla17[[#This Row],[BUFFER REAL]]+Tabla17[[#This Row],[SINOCHEM EN TRANSITO  ]]+Tabla17[[#This Row],[TRANSITO LOCAL]]</f>
        <v>#REF!</v>
      </c>
      <c r="AN52" s="128">
        <f>Tabla17[[#This Row],[BUFFER REAL]]/((Tabla17[[#This Row],[TIEMPO REPOSICION ]]/Tabla17[[#This Row],[FRECUENCIA]])+1)</f>
        <v>1500</v>
      </c>
      <c r="AO52" s="80">
        <v>1000</v>
      </c>
      <c r="AP52" s="77">
        <v>0</v>
      </c>
      <c r="AQ52" s="77"/>
      <c r="AR52" s="27">
        <v>0</v>
      </c>
    </row>
    <row r="53" spans="1:44" s="7" customFormat="1">
      <c r="A53" s="18" t="s">
        <v>239</v>
      </c>
      <c r="B53" s="18" t="s">
        <v>240</v>
      </c>
      <c r="C53" s="7" t="s">
        <v>697</v>
      </c>
      <c r="D53" s="7" t="s">
        <v>710</v>
      </c>
      <c r="H53" s="7" t="s">
        <v>718</v>
      </c>
      <c r="I53" s="7" t="s">
        <v>724</v>
      </c>
      <c r="J53" s="7" t="s">
        <v>718</v>
      </c>
      <c r="K53" s="13">
        <v>0</v>
      </c>
      <c r="L53" s="13">
        <f t="shared" si="1"/>
        <v>0</v>
      </c>
      <c r="M53" s="13">
        <v>0.23</v>
      </c>
      <c r="N53" s="13"/>
      <c r="O53" s="13"/>
      <c r="P53" s="13" t="s">
        <v>810</v>
      </c>
      <c r="Q53" s="13" t="s">
        <v>802</v>
      </c>
      <c r="R53" s="7">
        <v>4</v>
      </c>
      <c r="S53" s="7">
        <v>4</v>
      </c>
      <c r="T53" s="7">
        <v>1</v>
      </c>
      <c r="U53" s="13">
        <v>3483</v>
      </c>
      <c r="V53" s="13">
        <v>3483</v>
      </c>
      <c r="W53" s="13">
        <f>Tabla17[[#This Row],[CONSUMO TOTAL PRO VALO]]/52</f>
        <v>66.980769230769226</v>
      </c>
      <c r="X53" s="21">
        <v>0</v>
      </c>
      <c r="Y53" s="13">
        <v>0</v>
      </c>
      <c r="Z53" s="13">
        <f>Tabla17[[#This Row],[CONSUMO TOTAL TODAS]]/52</f>
        <v>0</v>
      </c>
      <c r="AA53" s="25">
        <f>Tabla17[[#This Row],[CONSUMO PROMEDIO PROPIO]]+Tabla17[[#This Row],[CONSUMO PROMEDIO TODAS]]</f>
        <v>66.980769230769226</v>
      </c>
      <c r="AB53" s="26">
        <f>Tabla17[[#This Row],[CONSUMO PROMEDIO TOTAL]]*(Tabla17[[#This Row],[FRECUENCIA]]+Tabla17[[#This Row],[TIEMPO REPOSICION ]])*1.7</f>
        <v>910.93846153846141</v>
      </c>
      <c r="AC53" s="26">
        <v>911</v>
      </c>
      <c r="AD53" s="26">
        <v>1500</v>
      </c>
      <c r="AE53" s="3" t="e">
        <f>VLOOKUP(Tabla17[[#This Row],[CODIGO ]],#REF!,2,0)</f>
        <v>#REF!</v>
      </c>
      <c r="AF53" s="2">
        <f>IFERROR(VLOOKUP(Tabla17[[#This Row],[CODIGO ]],#REF!,2,0),0)</f>
        <v>0</v>
      </c>
      <c r="AG53" s="80" t="e">
        <f>Tabla17[[#This Row],[INVENTARIO FISICO ]]-Tabla17[[#This Row],[BUFFER REAL]]</f>
        <v>#REF!</v>
      </c>
      <c r="AH53" s="27"/>
      <c r="AI53" s="80">
        <v>960</v>
      </c>
      <c r="AJ53" s="80">
        <f>Tabla17[[#This Row],[SINOCHEM EN TRANSITO  ]]+Tabla17[[#This Row],[TRANSITO LOCAL]]</f>
        <v>960</v>
      </c>
      <c r="AK53" s="80"/>
      <c r="AL53" s="80"/>
      <c r="AM53" s="124" t="e">
        <f>Tabla17[[#This Row],[INVENTARIO FISICO ]]-Tabla17[[#This Row],[BUFFER REAL]]+Tabla17[[#This Row],[SINOCHEM EN TRANSITO  ]]+Tabla17[[#This Row],[TRANSITO LOCAL]]</f>
        <v>#REF!</v>
      </c>
      <c r="AN53" s="128">
        <f>Tabla17[[#This Row],[BUFFER REAL]]/((Tabla17[[#This Row],[TIEMPO REPOSICION ]]/Tabla17[[#This Row],[FRECUENCIA]])+1)</f>
        <v>750</v>
      </c>
      <c r="AO53" s="80">
        <v>0</v>
      </c>
      <c r="AP53" s="77">
        <v>0</v>
      </c>
      <c r="AQ53" s="77"/>
      <c r="AR53" s="27">
        <v>0</v>
      </c>
    </row>
    <row r="54" spans="1:44" s="7" customFormat="1">
      <c r="A54" s="18" t="s">
        <v>241</v>
      </c>
      <c r="B54" s="18" t="s">
        <v>242</v>
      </c>
      <c r="C54" s="7" t="s">
        <v>697</v>
      </c>
      <c r="D54" s="7" t="s">
        <v>710</v>
      </c>
      <c r="H54" s="7" t="s">
        <v>718</v>
      </c>
      <c r="I54" s="7" t="s">
        <v>724</v>
      </c>
      <c r="J54" s="7" t="s">
        <v>718</v>
      </c>
      <c r="K54" s="13">
        <v>0</v>
      </c>
      <c r="L54" s="13">
        <f t="shared" si="1"/>
        <v>0</v>
      </c>
      <c r="M54" s="13">
        <v>0.35</v>
      </c>
      <c r="N54" s="13"/>
      <c r="O54" s="13"/>
      <c r="P54" s="13" t="s">
        <v>810</v>
      </c>
      <c r="Q54" s="13" t="s">
        <v>802</v>
      </c>
      <c r="R54" s="7">
        <v>4</v>
      </c>
      <c r="S54" s="7">
        <v>4</v>
      </c>
      <c r="T54" s="7">
        <v>1</v>
      </c>
      <c r="U54" s="13">
        <v>2950</v>
      </c>
      <c r="V54" s="13">
        <v>2950</v>
      </c>
      <c r="W54" s="13">
        <f>Tabla17[[#This Row],[CONSUMO TOTAL PRO VALO]]/52</f>
        <v>56.730769230769234</v>
      </c>
      <c r="X54" s="21">
        <v>0</v>
      </c>
      <c r="Y54" s="13">
        <v>0</v>
      </c>
      <c r="Z54" s="13">
        <f>Tabla17[[#This Row],[CONSUMO TOTAL TODAS]]/52</f>
        <v>0</v>
      </c>
      <c r="AA54" s="25">
        <f>Tabla17[[#This Row],[CONSUMO PROMEDIO PROPIO]]+Tabla17[[#This Row],[CONSUMO PROMEDIO TODAS]]</f>
        <v>56.730769230769234</v>
      </c>
      <c r="AB54" s="26">
        <f>Tabla17[[#This Row],[CONSUMO PROMEDIO TOTAL]]*(Tabla17[[#This Row],[FRECUENCIA]]+Tabla17[[#This Row],[TIEMPO REPOSICION ]])*1.7</f>
        <v>771.53846153846155</v>
      </c>
      <c r="AC54" s="26">
        <v>772</v>
      </c>
      <c r="AD54" s="26">
        <v>1000</v>
      </c>
      <c r="AE54" s="3" t="e">
        <f>VLOOKUP(Tabla17[[#This Row],[CODIGO ]],#REF!,2,0)</f>
        <v>#REF!</v>
      </c>
      <c r="AF54" s="2">
        <f>IFERROR(VLOOKUP(Tabla17[[#This Row],[CODIGO ]],#REF!,2,0),0)</f>
        <v>0</v>
      </c>
      <c r="AG54" s="80" t="e">
        <f>Tabla17[[#This Row],[INVENTARIO FISICO ]]-Tabla17[[#This Row],[BUFFER REAL]]</f>
        <v>#REF!</v>
      </c>
      <c r="AH54" s="27"/>
      <c r="AI54" s="80">
        <v>945</v>
      </c>
      <c r="AJ54" s="80">
        <f>Tabla17[[#This Row],[SINOCHEM EN TRANSITO  ]]+Tabla17[[#This Row],[TRANSITO LOCAL]]</f>
        <v>945</v>
      </c>
      <c r="AK54" s="80"/>
      <c r="AL54" s="80"/>
      <c r="AM54" s="124" t="e">
        <f>Tabla17[[#This Row],[INVENTARIO FISICO ]]-Tabla17[[#This Row],[BUFFER REAL]]+Tabla17[[#This Row],[SINOCHEM EN TRANSITO  ]]+Tabla17[[#This Row],[TRANSITO LOCAL]]</f>
        <v>#REF!</v>
      </c>
      <c r="AN54" s="128">
        <f>Tabla17[[#This Row],[BUFFER REAL]]/((Tabla17[[#This Row],[TIEMPO REPOSICION ]]/Tabla17[[#This Row],[FRECUENCIA]])+1)</f>
        <v>500</v>
      </c>
      <c r="AO54" s="80">
        <v>0</v>
      </c>
      <c r="AP54" s="77">
        <v>0</v>
      </c>
      <c r="AQ54" s="77"/>
      <c r="AR54" s="27">
        <v>0</v>
      </c>
    </row>
    <row r="55" spans="1:44" s="7" customFormat="1">
      <c r="A55" s="18" t="s">
        <v>243</v>
      </c>
      <c r="B55" s="18" t="s">
        <v>244</v>
      </c>
      <c r="C55" s="7" t="s">
        <v>2</v>
      </c>
      <c r="D55" s="7" t="s">
        <v>710</v>
      </c>
      <c r="H55" s="7" t="s">
        <v>718</v>
      </c>
      <c r="I55" s="7" t="s">
        <v>724</v>
      </c>
      <c r="J55" s="7" t="s">
        <v>718</v>
      </c>
      <c r="K55" s="13">
        <v>0</v>
      </c>
      <c r="L55" s="13">
        <f t="shared" si="1"/>
        <v>0</v>
      </c>
      <c r="M55" s="13">
        <v>0.307</v>
      </c>
      <c r="N55" s="13"/>
      <c r="O55" s="13"/>
      <c r="P55" s="13" t="s">
        <v>810</v>
      </c>
      <c r="Q55" s="13" t="s">
        <v>802</v>
      </c>
      <c r="R55" s="7">
        <v>4</v>
      </c>
      <c r="S55" s="7">
        <v>4</v>
      </c>
      <c r="T55" s="7">
        <v>1</v>
      </c>
      <c r="U55" s="13">
        <v>0</v>
      </c>
      <c r="V55" s="13">
        <v>0</v>
      </c>
      <c r="W55" s="13">
        <f>Tabla17[[#This Row],[CONSUMO TOTAL PRO VALO]]/52</f>
        <v>0</v>
      </c>
      <c r="X55" s="82">
        <v>0</v>
      </c>
      <c r="Y55" s="81">
        <v>0</v>
      </c>
      <c r="Z55" s="81">
        <f>Tabla17[[#This Row],[CONSUMO TOTAL TODAS]]/52</f>
        <v>0</v>
      </c>
      <c r="AA55" s="25">
        <f>Tabla17[[#This Row],[CONSUMO PROMEDIO PROPIO]]+Tabla17[[#This Row],[CONSUMO PROMEDIO TODAS]]</f>
        <v>0</v>
      </c>
      <c r="AB55" s="26">
        <f>Tabla17[[#This Row],[CONSUMO PROMEDIO TOTAL]]*(Tabla17[[#This Row],[FRECUENCIA]]+Tabla17[[#This Row],[TIEMPO REPOSICION ]])*1.7</f>
        <v>0</v>
      </c>
      <c r="AC55" s="26">
        <v>500</v>
      </c>
      <c r="AD55" s="26">
        <v>500</v>
      </c>
      <c r="AE55" s="3" t="e">
        <f>VLOOKUP(Tabla17[[#This Row],[CODIGO ]],#REF!,2,0)</f>
        <v>#REF!</v>
      </c>
      <c r="AF55" s="2">
        <f>IFERROR(VLOOKUP(Tabla17[[#This Row],[CODIGO ]],#REF!,2,0),0)</f>
        <v>0</v>
      </c>
      <c r="AG55" s="90" t="e">
        <f>Tabla17[[#This Row],[INVENTARIO FISICO ]]-Tabla17[[#This Row],[BUFFER REAL]]</f>
        <v>#REF!</v>
      </c>
      <c r="AH55" s="27"/>
      <c r="AI55" s="90"/>
      <c r="AJ55" s="90">
        <f>Tabla17[[#This Row],[SINOCHEM EN TRANSITO  ]]+Tabla17[[#This Row],[TRANSITO LOCAL]]</f>
        <v>0</v>
      </c>
      <c r="AK55" s="90">
        <v>2000</v>
      </c>
      <c r="AL55" s="90"/>
      <c r="AM55" s="124" t="e">
        <f>Tabla17[[#This Row],[INVENTARIO FISICO ]]-Tabla17[[#This Row],[BUFFER REAL]]+Tabla17[[#This Row],[SINOCHEM EN TRANSITO  ]]+Tabla17[[#This Row],[TRANSITO LOCAL]]</f>
        <v>#REF!</v>
      </c>
      <c r="AN55" s="128">
        <f>Tabla17[[#This Row],[BUFFER REAL]]/((Tabla17[[#This Row],[TIEMPO REPOSICION ]]/Tabla17[[#This Row],[FRECUENCIA]])+1)</f>
        <v>250</v>
      </c>
      <c r="AO55" s="90">
        <v>0</v>
      </c>
      <c r="AP55" s="77">
        <v>0</v>
      </c>
      <c r="AQ55" s="77"/>
      <c r="AR55" s="27">
        <v>0</v>
      </c>
    </row>
    <row r="56" spans="1:44" s="7" customFormat="1">
      <c r="A56" s="18" t="s">
        <v>245</v>
      </c>
      <c r="B56" s="18" t="s">
        <v>246</v>
      </c>
      <c r="C56" s="7" t="s">
        <v>697</v>
      </c>
      <c r="D56" s="7" t="s">
        <v>710</v>
      </c>
      <c r="H56" s="7" t="s">
        <v>718</v>
      </c>
      <c r="I56" s="7" t="s">
        <v>724</v>
      </c>
      <c r="J56" s="7" t="s">
        <v>718</v>
      </c>
      <c r="K56" s="13">
        <v>0</v>
      </c>
      <c r="L56" s="13">
        <f t="shared" si="1"/>
        <v>0</v>
      </c>
      <c r="M56" s="13">
        <v>1.1120000000000001</v>
      </c>
      <c r="N56" s="13"/>
      <c r="O56" s="13"/>
      <c r="P56" s="13" t="s">
        <v>810</v>
      </c>
      <c r="Q56" s="13" t="s">
        <v>802</v>
      </c>
      <c r="R56" s="7">
        <v>4</v>
      </c>
      <c r="S56" s="7">
        <v>4</v>
      </c>
      <c r="T56" s="7">
        <v>1</v>
      </c>
      <c r="U56" s="13">
        <v>532</v>
      </c>
      <c r="V56" s="13">
        <v>532</v>
      </c>
      <c r="W56" s="13">
        <f>Tabla17[[#This Row],[CONSUMO TOTAL PRO VALO]]/52</f>
        <v>10.23076923076923</v>
      </c>
      <c r="X56" s="21">
        <v>0</v>
      </c>
      <c r="Y56" s="13">
        <v>0</v>
      </c>
      <c r="Z56" s="13">
        <f>Tabla17[[#This Row],[CONSUMO TOTAL TODAS]]/52</f>
        <v>0</v>
      </c>
      <c r="AA56" s="25">
        <f>Tabla17[[#This Row],[CONSUMO PROMEDIO PROPIO]]+Tabla17[[#This Row],[CONSUMO PROMEDIO TODAS]]</f>
        <v>10.23076923076923</v>
      </c>
      <c r="AB56" s="26">
        <f>Tabla17[[#This Row],[CONSUMO PROMEDIO TOTAL]]*(Tabla17[[#This Row],[FRECUENCIA]]+Tabla17[[#This Row],[TIEMPO REPOSICION ]])*1.7</f>
        <v>139.13846153846151</v>
      </c>
      <c r="AC56" s="26">
        <v>250</v>
      </c>
      <c r="AD56" s="26">
        <v>400</v>
      </c>
      <c r="AE56" s="3" t="e">
        <f>VLOOKUP(Tabla17[[#This Row],[CODIGO ]],#REF!,2,0)</f>
        <v>#REF!</v>
      </c>
      <c r="AF56" s="2">
        <f>IFERROR(VLOOKUP(Tabla17[[#This Row],[CODIGO ]],#REF!,2,0),0)</f>
        <v>0</v>
      </c>
      <c r="AG56" s="80" t="e">
        <f>Tabla17[[#This Row],[INVENTARIO FISICO ]]-Tabla17[[#This Row],[BUFFER REAL]]</f>
        <v>#REF!</v>
      </c>
      <c r="AH56" s="27"/>
      <c r="AI56" s="80"/>
      <c r="AJ56" s="80">
        <f>Tabla17[[#This Row],[SINOCHEM EN TRANSITO  ]]+Tabla17[[#This Row],[TRANSITO LOCAL]]</f>
        <v>0</v>
      </c>
      <c r="AK56" s="80"/>
      <c r="AL56" s="80"/>
      <c r="AM56" s="124" t="e">
        <f>Tabla17[[#This Row],[INVENTARIO FISICO ]]-Tabla17[[#This Row],[BUFFER REAL]]+Tabla17[[#This Row],[SINOCHEM EN TRANSITO  ]]+Tabla17[[#This Row],[TRANSITO LOCAL]]</f>
        <v>#REF!</v>
      </c>
      <c r="AN56" s="128">
        <f>Tabla17[[#This Row],[BUFFER REAL]]/((Tabla17[[#This Row],[TIEMPO REPOSICION ]]/Tabla17[[#This Row],[FRECUENCIA]])+1)</f>
        <v>200</v>
      </c>
      <c r="AO56" s="80">
        <v>110</v>
      </c>
      <c r="AP56" s="77">
        <v>238</v>
      </c>
      <c r="AQ56" s="77"/>
      <c r="AR56" s="27">
        <v>125</v>
      </c>
    </row>
    <row r="57" spans="1:44" s="7" customFormat="1">
      <c r="A57" s="18" t="s">
        <v>247</v>
      </c>
      <c r="B57" s="18" t="s">
        <v>248</v>
      </c>
      <c r="C57" s="7" t="s">
        <v>2</v>
      </c>
      <c r="D57" s="7" t="s">
        <v>788</v>
      </c>
      <c r="H57" s="7" t="s">
        <v>718</v>
      </c>
      <c r="I57" s="7" t="s">
        <v>724</v>
      </c>
      <c r="J57" s="7" t="s">
        <v>718</v>
      </c>
      <c r="K57" s="13">
        <v>0</v>
      </c>
      <c r="L57" s="13">
        <f t="shared" si="1"/>
        <v>0</v>
      </c>
      <c r="M57" s="13">
        <v>0.19675999999999999</v>
      </c>
      <c r="N57" s="13"/>
      <c r="O57" s="13">
        <v>17000</v>
      </c>
      <c r="P57" s="13" t="s">
        <v>812</v>
      </c>
      <c r="Q57" s="13" t="s">
        <v>873</v>
      </c>
      <c r="R57" s="7">
        <v>4</v>
      </c>
      <c r="S57" s="7">
        <v>12</v>
      </c>
      <c r="T57" s="83">
        <v>3</v>
      </c>
      <c r="U57" s="13">
        <v>739</v>
      </c>
      <c r="V57" s="13">
        <v>739</v>
      </c>
      <c r="W57" s="13">
        <f>Tabla17[[#This Row],[CONSUMO TOTAL PRO VALO]]/52</f>
        <v>14.211538461538462</v>
      </c>
      <c r="X57" s="21">
        <v>0</v>
      </c>
      <c r="Y57" s="13">
        <v>0</v>
      </c>
      <c r="Z57" s="13">
        <f>Tabla17[[#This Row],[CONSUMO TOTAL TODAS]]/52</f>
        <v>0</v>
      </c>
      <c r="AA57" s="25">
        <f>Tabla17[[#This Row],[CONSUMO PROMEDIO PROPIO]]+Tabla17[[#This Row],[CONSUMO PROMEDIO TODAS]]</f>
        <v>14.211538461538462</v>
      </c>
      <c r="AB57" s="26">
        <f>Tabla17[[#This Row],[CONSUMO PROMEDIO TOTAL]]*(Tabla17[[#This Row],[FRECUENCIA]]+Tabla17[[#This Row],[TIEMPO REPOSICION ]])*1.7</f>
        <v>386.55384615384617</v>
      </c>
      <c r="AC57" s="26">
        <v>5000</v>
      </c>
      <c r="AD57" s="26">
        <v>5000</v>
      </c>
      <c r="AE57" s="3" t="e">
        <f>VLOOKUP(Tabla17[[#This Row],[CODIGO ]],#REF!,2,0)</f>
        <v>#REF!</v>
      </c>
      <c r="AF57" s="2">
        <f>IFERROR(VLOOKUP(Tabla17[[#This Row],[CODIGO ]],#REF!,2,0),0)</f>
        <v>0</v>
      </c>
      <c r="AG57" s="80" t="e">
        <f>Tabla17[[#This Row],[INVENTARIO FISICO ]]-Tabla17[[#This Row],[BUFFER REAL]]</f>
        <v>#REF!</v>
      </c>
      <c r="AH57" s="27"/>
      <c r="AI57" s="80"/>
      <c r="AJ57" s="80">
        <f>Tabla17[[#This Row],[SINOCHEM EN TRANSITO  ]]+Tabla17[[#This Row],[TRANSITO LOCAL]]</f>
        <v>0</v>
      </c>
      <c r="AK57" s="80">
        <v>17000</v>
      </c>
      <c r="AL57" s="80"/>
      <c r="AM57" s="124" t="e">
        <f>Tabla17[[#This Row],[INVENTARIO FISICO ]]-Tabla17[[#This Row],[BUFFER REAL]]+Tabla17[[#This Row],[SINOCHEM EN TRANSITO  ]]+Tabla17[[#This Row],[TRANSITO LOCAL]]</f>
        <v>#REF!</v>
      </c>
      <c r="AN57" s="80">
        <f>Tabla17[[#This Row],[BUFFER REAL]]/((Tabla17[[#This Row],[TIEMPO REPOSICION ]]/Tabla17[[#This Row],[FRECUENCIA]])+1)</f>
        <v>1250</v>
      </c>
      <c r="AO57" s="80">
        <v>0</v>
      </c>
      <c r="AP57" s="77"/>
      <c r="AQ57" s="77"/>
      <c r="AR57" s="27">
        <v>0</v>
      </c>
    </row>
    <row r="58" spans="1:44" s="7" customFormat="1">
      <c r="A58" s="18" t="s">
        <v>249</v>
      </c>
      <c r="B58" s="18" t="s">
        <v>250</v>
      </c>
      <c r="C58" s="7" t="s">
        <v>2</v>
      </c>
      <c r="D58" s="7" t="s">
        <v>788</v>
      </c>
      <c r="H58" s="7" t="s">
        <v>718</v>
      </c>
      <c r="I58" s="7" t="s">
        <v>724</v>
      </c>
      <c r="J58" s="7" t="s">
        <v>718</v>
      </c>
      <c r="K58" s="13">
        <v>0</v>
      </c>
      <c r="L58" s="13">
        <f t="shared" si="1"/>
        <v>0</v>
      </c>
      <c r="M58" s="13">
        <v>0.18654999999999999</v>
      </c>
      <c r="N58" s="13"/>
      <c r="O58" s="13">
        <v>17000</v>
      </c>
      <c r="P58" s="13" t="s">
        <v>812</v>
      </c>
      <c r="Q58" s="13" t="s">
        <v>873</v>
      </c>
      <c r="R58" s="7">
        <v>4</v>
      </c>
      <c r="S58" s="7">
        <v>12</v>
      </c>
      <c r="T58" s="83">
        <v>3</v>
      </c>
      <c r="U58" s="13">
        <v>1100</v>
      </c>
      <c r="V58" s="13">
        <v>1100</v>
      </c>
      <c r="W58" s="13">
        <f>Tabla17[[#This Row],[CONSUMO TOTAL PRO VALO]]/52</f>
        <v>21.153846153846153</v>
      </c>
      <c r="X58" s="21">
        <v>0</v>
      </c>
      <c r="Y58" s="13">
        <v>0</v>
      </c>
      <c r="Z58" s="13">
        <f>Tabla17[[#This Row],[CONSUMO TOTAL TODAS]]/52</f>
        <v>0</v>
      </c>
      <c r="AA58" s="25">
        <f>Tabla17[[#This Row],[CONSUMO PROMEDIO PROPIO]]+Tabla17[[#This Row],[CONSUMO PROMEDIO TODAS]]</f>
        <v>21.153846153846153</v>
      </c>
      <c r="AB58" s="26">
        <f>Tabla17[[#This Row],[CONSUMO PROMEDIO TOTAL]]*(Tabla17[[#This Row],[FRECUENCIA]]+Tabla17[[#This Row],[TIEMPO REPOSICION ]])*1.7</f>
        <v>575.38461538461536</v>
      </c>
      <c r="AC58" s="26">
        <v>5000</v>
      </c>
      <c r="AD58" s="26">
        <v>5000</v>
      </c>
      <c r="AE58" s="3" t="e">
        <f>VLOOKUP(Tabla17[[#This Row],[CODIGO ]],#REF!,2,0)</f>
        <v>#REF!</v>
      </c>
      <c r="AF58" s="2">
        <f>IFERROR(VLOOKUP(Tabla17[[#This Row],[CODIGO ]],#REF!,2,0),0)</f>
        <v>0</v>
      </c>
      <c r="AG58" s="80" t="e">
        <f>Tabla17[[#This Row],[INVENTARIO FISICO ]]-Tabla17[[#This Row],[BUFFER REAL]]</f>
        <v>#REF!</v>
      </c>
      <c r="AH58" s="27"/>
      <c r="AI58" s="80"/>
      <c r="AJ58" s="80">
        <f>Tabla17[[#This Row],[SINOCHEM EN TRANSITO  ]]+Tabla17[[#This Row],[TRANSITO LOCAL]]</f>
        <v>0</v>
      </c>
      <c r="AK58" s="80">
        <v>17000</v>
      </c>
      <c r="AL58" s="80"/>
      <c r="AM58" s="124" t="e">
        <f>Tabla17[[#This Row],[INVENTARIO FISICO ]]-Tabla17[[#This Row],[BUFFER REAL]]+Tabla17[[#This Row],[SINOCHEM EN TRANSITO  ]]+Tabla17[[#This Row],[TRANSITO LOCAL]]</f>
        <v>#REF!</v>
      </c>
      <c r="AN58" s="80">
        <f>Tabla17[[#This Row],[BUFFER REAL]]/((Tabla17[[#This Row],[TIEMPO REPOSICION ]]/Tabla17[[#This Row],[FRECUENCIA]])+1)</f>
        <v>1250</v>
      </c>
      <c r="AO58" s="80">
        <v>0</v>
      </c>
      <c r="AP58" s="77"/>
      <c r="AQ58" s="77"/>
      <c r="AR58" s="27">
        <v>0</v>
      </c>
    </row>
    <row r="59" spans="1:44" s="7" customFormat="1">
      <c r="A59" s="18" t="s">
        <v>251</v>
      </c>
      <c r="B59" s="18" t="s">
        <v>252</v>
      </c>
      <c r="C59" s="7" t="s">
        <v>2</v>
      </c>
      <c r="D59" s="7" t="s">
        <v>710</v>
      </c>
      <c r="H59" s="7" t="s">
        <v>718</v>
      </c>
      <c r="I59" s="7" t="s">
        <v>724</v>
      </c>
      <c r="J59" s="7" t="s">
        <v>718</v>
      </c>
      <c r="K59" s="13">
        <v>0</v>
      </c>
      <c r="L59" s="13">
        <f t="shared" si="1"/>
        <v>0</v>
      </c>
      <c r="M59" s="13">
        <v>0.97909999999999997</v>
      </c>
      <c r="N59" s="13"/>
      <c r="O59" s="13">
        <v>5000</v>
      </c>
      <c r="P59" s="13" t="s">
        <v>813</v>
      </c>
      <c r="Q59" s="13" t="s">
        <v>873</v>
      </c>
      <c r="R59" s="7">
        <v>4</v>
      </c>
      <c r="S59" s="7">
        <v>12</v>
      </c>
      <c r="T59" s="83">
        <v>3</v>
      </c>
      <c r="U59" s="13">
        <v>4721</v>
      </c>
      <c r="V59" s="13">
        <v>4721</v>
      </c>
      <c r="W59" s="13">
        <f>Tabla17[[#This Row],[CONSUMO TOTAL PRO VALO]]/52</f>
        <v>90.788461538461533</v>
      </c>
      <c r="X59" s="21">
        <v>0</v>
      </c>
      <c r="Y59" s="13">
        <v>0</v>
      </c>
      <c r="Z59" s="13">
        <f>Tabla17[[#This Row],[CONSUMO TOTAL TODAS]]/52</f>
        <v>0</v>
      </c>
      <c r="AA59" s="25">
        <f>Tabla17[[#This Row],[CONSUMO PROMEDIO PROPIO]]+Tabla17[[#This Row],[CONSUMO PROMEDIO TODAS]]</f>
        <v>90.788461538461533</v>
      </c>
      <c r="AB59" s="26">
        <f>Tabla17[[#This Row],[CONSUMO PROMEDIO TOTAL]]*(Tabla17[[#This Row],[FRECUENCIA]]+Tabla17[[#This Row],[TIEMPO REPOSICION ]])*1.7</f>
        <v>2469.4461538461537</v>
      </c>
      <c r="AC59" s="26">
        <v>4000</v>
      </c>
      <c r="AD59" s="26">
        <v>4000</v>
      </c>
      <c r="AE59" s="3" t="e">
        <f>VLOOKUP(Tabla17[[#This Row],[CODIGO ]],#REF!,2,0)</f>
        <v>#REF!</v>
      </c>
      <c r="AF59" s="2">
        <f>IFERROR(VLOOKUP(Tabla17[[#This Row],[CODIGO ]],#REF!,2,0),0)</f>
        <v>0</v>
      </c>
      <c r="AG59" s="80" t="e">
        <f>Tabla17[[#This Row],[INVENTARIO FISICO ]]-Tabla17[[#This Row],[BUFFER REAL]]</f>
        <v>#REF!</v>
      </c>
      <c r="AH59" s="27"/>
      <c r="AI59" s="27">
        <v>7000</v>
      </c>
      <c r="AJ59" s="80">
        <f>Tabla17[[#This Row],[SINOCHEM EN TRANSITO  ]]+Tabla17[[#This Row],[TRANSITO LOCAL]]</f>
        <v>7000</v>
      </c>
      <c r="AK59" s="80">
        <v>5000</v>
      </c>
      <c r="AL59" s="80"/>
      <c r="AM59" s="124" t="e">
        <f>Tabla17[[#This Row],[INVENTARIO FISICO ]]-Tabla17[[#This Row],[BUFFER REAL]]+Tabla17[[#This Row],[SINOCHEM EN TRANSITO  ]]+Tabla17[[#This Row],[TRANSITO LOCAL]]</f>
        <v>#REF!</v>
      </c>
      <c r="AN59" s="80">
        <f>Tabla17[[#This Row],[BUFFER REAL]]/((Tabla17[[#This Row],[TIEMPO REPOSICION ]]/Tabla17[[#This Row],[FRECUENCIA]])+1)</f>
        <v>1000</v>
      </c>
      <c r="AO59" s="80">
        <v>0</v>
      </c>
      <c r="AP59" s="77"/>
      <c r="AQ59" s="77"/>
      <c r="AR59" s="27">
        <v>0</v>
      </c>
    </row>
    <row r="60" spans="1:44" s="7" customFormat="1">
      <c r="A60" s="18" t="s">
        <v>253</v>
      </c>
      <c r="B60" s="18" t="s">
        <v>254</v>
      </c>
      <c r="C60" s="7" t="s">
        <v>697</v>
      </c>
      <c r="D60" s="7" t="s">
        <v>710</v>
      </c>
      <c r="H60" s="7" t="s">
        <v>718</v>
      </c>
      <c r="I60" s="7" t="s">
        <v>724</v>
      </c>
      <c r="J60" s="7" t="s">
        <v>718</v>
      </c>
      <c r="K60" s="13">
        <v>0</v>
      </c>
      <c r="L60" s="13">
        <f t="shared" si="1"/>
        <v>0</v>
      </c>
      <c r="M60" s="13">
        <v>0.14985999999999999</v>
      </c>
      <c r="N60" s="13"/>
      <c r="O60" s="13"/>
      <c r="P60" s="13" t="s">
        <v>809</v>
      </c>
      <c r="Q60" s="13" t="s">
        <v>802</v>
      </c>
      <c r="R60" s="7">
        <v>4</v>
      </c>
      <c r="S60" s="7">
        <v>4</v>
      </c>
      <c r="T60" s="7">
        <v>1</v>
      </c>
      <c r="U60" s="13">
        <v>15550</v>
      </c>
      <c r="V60" s="13">
        <v>15550</v>
      </c>
      <c r="W60" s="13">
        <f>Tabla17[[#This Row],[CONSUMO TOTAL PRO VALO]]/52</f>
        <v>299.03846153846155</v>
      </c>
      <c r="X60" s="21">
        <v>0</v>
      </c>
      <c r="Y60" s="13">
        <v>0</v>
      </c>
      <c r="Z60" s="13">
        <f>Tabla17[[#This Row],[CONSUMO TOTAL TODAS]]/52</f>
        <v>0</v>
      </c>
      <c r="AA60" s="25">
        <f>Tabla17[[#This Row],[CONSUMO PROMEDIO PROPIO]]+Tabla17[[#This Row],[CONSUMO PROMEDIO TODAS]]</f>
        <v>299.03846153846155</v>
      </c>
      <c r="AB60" s="26">
        <f>Tabla17[[#This Row],[CONSUMO PROMEDIO TOTAL]]*(Tabla17[[#This Row],[FRECUENCIA]]+Tabla17[[#This Row],[TIEMPO REPOSICION ]])*1.7</f>
        <v>4066.9230769230771</v>
      </c>
      <c r="AC60" s="26">
        <v>4067</v>
      </c>
      <c r="AD60" s="26">
        <v>4067</v>
      </c>
      <c r="AE60" s="3" t="e">
        <f>VLOOKUP(Tabla17[[#This Row],[CODIGO ]],#REF!,2,0)</f>
        <v>#REF!</v>
      </c>
      <c r="AF60" s="2">
        <f>IFERROR(VLOOKUP(Tabla17[[#This Row],[CODIGO ]],#REF!,2,0),0)</f>
        <v>0</v>
      </c>
      <c r="AG60" s="80" t="e">
        <f>Tabla17[[#This Row],[INVENTARIO FISICO ]]-Tabla17[[#This Row],[BUFFER REAL]]</f>
        <v>#REF!</v>
      </c>
      <c r="AH60" s="27"/>
      <c r="AI60" s="80"/>
      <c r="AJ60" s="80">
        <f>Tabla17[[#This Row],[SINOCHEM EN TRANSITO  ]]+Tabla17[[#This Row],[TRANSITO LOCAL]]</f>
        <v>0</v>
      </c>
      <c r="AK60" s="80"/>
      <c r="AL60" s="80"/>
      <c r="AM60" s="124" t="e">
        <f>Tabla17[[#This Row],[INVENTARIO FISICO ]]-Tabla17[[#This Row],[BUFFER REAL]]+Tabla17[[#This Row],[SINOCHEM EN TRANSITO  ]]+Tabla17[[#This Row],[TRANSITO LOCAL]]</f>
        <v>#REF!</v>
      </c>
      <c r="AN60" s="128">
        <f>Tabla17[[#This Row],[BUFFER REAL]]/((Tabla17[[#This Row],[TIEMPO REPOSICION ]]/Tabla17[[#This Row],[FRECUENCIA]])+1)</f>
        <v>2033.5</v>
      </c>
      <c r="AO60" s="80">
        <v>0</v>
      </c>
      <c r="AP60" s="77">
        <v>0</v>
      </c>
      <c r="AQ60" s="77"/>
      <c r="AR60" s="27">
        <v>0</v>
      </c>
    </row>
    <row r="61" spans="1:44" s="7" customFormat="1">
      <c r="A61" s="18" t="s">
        <v>257</v>
      </c>
      <c r="B61" s="18" t="s">
        <v>258</v>
      </c>
      <c r="C61" s="7" t="s">
        <v>697</v>
      </c>
      <c r="D61" s="7" t="s">
        <v>788</v>
      </c>
      <c r="H61" s="7" t="s">
        <v>718</v>
      </c>
      <c r="I61" s="7" t="s">
        <v>724</v>
      </c>
      <c r="J61" s="7" t="s">
        <v>718</v>
      </c>
      <c r="K61" s="13">
        <v>0</v>
      </c>
      <c r="L61" s="13">
        <f t="shared" si="1"/>
        <v>0</v>
      </c>
      <c r="M61" s="13">
        <v>0.18</v>
      </c>
      <c r="N61" s="13"/>
      <c r="O61" s="13">
        <v>17000</v>
      </c>
      <c r="P61" s="13" t="s">
        <v>812</v>
      </c>
      <c r="Q61" s="13" t="s">
        <v>873</v>
      </c>
      <c r="R61" s="7">
        <v>4</v>
      </c>
      <c r="S61" s="7">
        <v>12</v>
      </c>
      <c r="T61" s="83">
        <v>3</v>
      </c>
      <c r="U61" s="13">
        <v>1716</v>
      </c>
      <c r="V61" s="13">
        <v>1716</v>
      </c>
      <c r="W61" s="13">
        <f>Tabla17[[#This Row],[CONSUMO TOTAL PRO VALO]]/52</f>
        <v>33</v>
      </c>
      <c r="X61" s="21">
        <v>0</v>
      </c>
      <c r="Y61" s="13">
        <v>0</v>
      </c>
      <c r="Z61" s="13">
        <f>Tabla17[[#This Row],[CONSUMO TOTAL TODAS]]/52</f>
        <v>0</v>
      </c>
      <c r="AA61" s="25">
        <f>Tabla17[[#This Row],[CONSUMO PROMEDIO PROPIO]]+Tabla17[[#This Row],[CONSUMO PROMEDIO TODAS]]</f>
        <v>33</v>
      </c>
      <c r="AB61" s="26">
        <f>Tabla17[[#This Row],[CONSUMO PROMEDIO TOTAL]]*(Tabla17[[#This Row],[FRECUENCIA]]+Tabla17[[#This Row],[TIEMPO REPOSICION ]])*1.7</f>
        <v>897.6</v>
      </c>
      <c r="AC61" s="26">
        <v>5000</v>
      </c>
      <c r="AD61" s="26">
        <v>5000</v>
      </c>
      <c r="AE61" s="3" t="e">
        <f>VLOOKUP(Tabla17[[#This Row],[CODIGO ]],#REF!,2,0)</f>
        <v>#REF!</v>
      </c>
      <c r="AF61" s="2">
        <f>IFERROR(VLOOKUP(Tabla17[[#This Row],[CODIGO ]],#REF!,2,0),0)</f>
        <v>0</v>
      </c>
      <c r="AG61" s="80" t="e">
        <f>Tabla17[[#This Row],[INVENTARIO FISICO ]]-Tabla17[[#This Row],[BUFFER REAL]]</f>
        <v>#REF!</v>
      </c>
      <c r="AH61" s="27"/>
      <c r="AI61" s="80"/>
      <c r="AJ61" s="80">
        <f>Tabla17[[#This Row],[SINOCHEM EN TRANSITO  ]]+Tabla17[[#This Row],[TRANSITO LOCAL]]</f>
        <v>0</v>
      </c>
      <c r="AK61" s="80">
        <v>17000</v>
      </c>
      <c r="AL61" s="80"/>
      <c r="AM61" s="124" t="e">
        <f>Tabla17[[#This Row],[INVENTARIO FISICO ]]-Tabla17[[#This Row],[BUFFER REAL]]+Tabla17[[#This Row],[SINOCHEM EN TRANSITO  ]]+Tabla17[[#This Row],[TRANSITO LOCAL]]</f>
        <v>#REF!</v>
      </c>
      <c r="AN61" s="80">
        <f>Tabla17[[#This Row],[BUFFER REAL]]/((Tabla17[[#This Row],[TIEMPO REPOSICION ]]/Tabla17[[#This Row],[FRECUENCIA]])+1)</f>
        <v>1250</v>
      </c>
      <c r="AO61" s="80">
        <v>0</v>
      </c>
      <c r="AP61" s="77"/>
      <c r="AQ61" s="77"/>
      <c r="AR61" s="27">
        <v>0</v>
      </c>
    </row>
    <row r="62" spans="1:44" s="7" customFormat="1">
      <c r="A62" s="18" t="s">
        <v>259</v>
      </c>
      <c r="B62" s="18" t="s">
        <v>260</v>
      </c>
      <c r="C62" s="7" t="s">
        <v>697</v>
      </c>
      <c r="D62" s="7" t="s">
        <v>710</v>
      </c>
      <c r="H62" s="7" t="s">
        <v>718</v>
      </c>
      <c r="I62" s="7" t="s">
        <v>724</v>
      </c>
      <c r="J62" s="7" t="s">
        <v>718</v>
      </c>
      <c r="K62" s="13">
        <v>0</v>
      </c>
      <c r="L62" s="13">
        <f t="shared" si="1"/>
        <v>0</v>
      </c>
      <c r="M62" s="13">
        <v>0.193</v>
      </c>
      <c r="N62" s="13"/>
      <c r="O62" s="13"/>
      <c r="P62" s="13" t="s">
        <v>810</v>
      </c>
      <c r="Q62" s="13" t="s">
        <v>802</v>
      </c>
      <c r="R62" s="7">
        <v>4</v>
      </c>
      <c r="S62" s="7">
        <v>4</v>
      </c>
      <c r="T62" s="7">
        <v>1</v>
      </c>
      <c r="U62" s="13">
        <v>12930</v>
      </c>
      <c r="V62" s="13">
        <v>12930</v>
      </c>
      <c r="W62" s="13">
        <f>Tabla17[[#This Row],[CONSUMO TOTAL PRO VALO]]/52</f>
        <v>248.65384615384616</v>
      </c>
      <c r="X62" s="21">
        <v>0</v>
      </c>
      <c r="Y62" s="13">
        <v>0</v>
      </c>
      <c r="Z62" s="13">
        <f>Tabla17[[#This Row],[CONSUMO TOTAL TODAS]]/52</f>
        <v>0</v>
      </c>
      <c r="AA62" s="25">
        <f>Tabla17[[#This Row],[CONSUMO PROMEDIO PROPIO]]+Tabla17[[#This Row],[CONSUMO PROMEDIO TODAS]]</f>
        <v>248.65384615384616</v>
      </c>
      <c r="AB62" s="26">
        <f>Tabla17[[#This Row],[CONSUMO PROMEDIO TOTAL]]*(Tabla17[[#This Row],[FRECUENCIA]]+Tabla17[[#This Row],[TIEMPO REPOSICION ]])*1.7</f>
        <v>3381.6923076923076</v>
      </c>
      <c r="AC62" s="26">
        <v>3382</v>
      </c>
      <c r="AD62" s="26">
        <v>6000</v>
      </c>
      <c r="AE62" s="3" t="e">
        <f>VLOOKUP(Tabla17[[#This Row],[CODIGO ]],#REF!,2,0)</f>
        <v>#REF!</v>
      </c>
      <c r="AF62" s="2">
        <f>IFERROR(VLOOKUP(Tabla17[[#This Row],[CODIGO ]],#REF!,2,0),0)</f>
        <v>0</v>
      </c>
      <c r="AG62" s="80" t="e">
        <f>Tabla17[[#This Row],[INVENTARIO FISICO ]]-Tabla17[[#This Row],[BUFFER REAL]]</f>
        <v>#REF!</v>
      </c>
      <c r="AH62" s="27"/>
      <c r="AI62" s="80">
        <v>5106</v>
      </c>
      <c r="AJ62" s="80">
        <f>Tabla17[[#This Row],[SINOCHEM EN TRANSITO  ]]+Tabla17[[#This Row],[TRANSITO LOCAL]]</f>
        <v>5106</v>
      </c>
      <c r="AK62" s="80"/>
      <c r="AL62" s="80"/>
      <c r="AM62" s="124" t="e">
        <f>Tabla17[[#This Row],[INVENTARIO FISICO ]]-Tabla17[[#This Row],[BUFFER REAL]]+Tabla17[[#This Row],[SINOCHEM EN TRANSITO  ]]+Tabla17[[#This Row],[TRANSITO LOCAL]]</f>
        <v>#REF!</v>
      </c>
      <c r="AN62" s="128">
        <f>Tabla17[[#This Row],[BUFFER REAL]]/((Tabla17[[#This Row],[TIEMPO REPOSICION ]]/Tabla17[[#This Row],[FRECUENCIA]])+1)</f>
        <v>3000</v>
      </c>
      <c r="AO62" s="80">
        <v>0</v>
      </c>
      <c r="AP62" s="77">
        <v>0</v>
      </c>
      <c r="AQ62" s="77"/>
      <c r="AR62" s="27">
        <v>0</v>
      </c>
    </row>
    <row r="63" spans="1:44" s="7" customFormat="1">
      <c r="A63" s="18" t="s">
        <v>261</v>
      </c>
      <c r="B63" s="18" t="s">
        <v>262</v>
      </c>
      <c r="C63" s="7" t="s">
        <v>697</v>
      </c>
      <c r="D63" s="7" t="s">
        <v>710</v>
      </c>
      <c r="H63" s="7" t="s">
        <v>718</v>
      </c>
      <c r="I63" s="7" t="s">
        <v>724</v>
      </c>
      <c r="J63" s="7" t="s">
        <v>718</v>
      </c>
      <c r="K63" s="13">
        <v>0</v>
      </c>
      <c r="L63" s="13">
        <f t="shared" si="1"/>
        <v>0</v>
      </c>
      <c r="M63" s="13">
        <v>0.23100000000000001</v>
      </c>
      <c r="N63" s="13"/>
      <c r="O63" s="13"/>
      <c r="P63" s="13" t="s">
        <v>810</v>
      </c>
      <c r="Q63" s="13" t="s">
        <v>802</v>
      </c>
      <c r="R63" s="7">
        <v>4</v>
      </c>
      <c r="S63" s="7">
        <v>4</v>
      </c>
      <c r="T63" s="7">
        <v>1</v>
      </c>
      <c r="U63" s="13">
        <v>4453</v>
      </c>
      <c r="V63" s="13">
        <v>4453</v>
      </c>
      <c r="W63" s="13">
        <f>Tabla17[[#This Row],[CONSUMO TOTAL PRO VALO]]/52</f>
        <v>85.634615384615387</v>
      </c>
      <c r="X63" s="21">
        <v>0</v>
      </c>
      <c r="Y63" s="13">
        <v>0</v>
      </c>
      <c r="Z63" s="13">
        <f>Tabla17[[#This Row],[CONSUMO TOTAL TODAS]]/52</f>
        <v>0</v>
      </c>
      <c r="AA63" s="25">
        <f>Tabla17[[#This Row],[CONSUMO PROMEDIO PROPIO]]+Tabla17[[#This Row],[CONSUMO PROMEDIO TODAS]]</f>
        <v>85.634615384615387</v>
      </c>
      <c r="AB63" s="26">
        <f>Tabla17[[#This Row],[CONSUMO PROMEDIO TOTAL]]*(Tabla17[[#This Row],[FRECUENCIA]]+Tabla17[[#This Row],[TIEMPO REPOSICION ]])*1.7</f>
        <v>1164.6307692307691</v>
      </c>
      <c r="AC63" s="26">
        <v>1300</v>
      </c>
      <c r="AD63" s="26">
        <v>3000</v>
      </c>
      <c r="AE63" s="3" t="e">
        <f>VLOOKUP(Tabla17[[#This Row],[CODIGO ]],#REF!,2,0)</f>
        <v>#REF!</v>
      </c>
      <c r="AF63" s="2">
        <f>IFERROR(VLOOKUP(Tabla17[[#This Row],[CODIGO ]],#REF!,2,0),0)</f>
        <v>0</v>
      </c>
      <c r="AG63" s="80" t="e">
        <f>Tabla17[[#This Row],[INVENTARIO FISICO ]]-Tabla17[[#This Row],[BUFFER REAL]]</f>
        <v>#REF!</v>
      </c>
      <c r="AH63" s="27"/>
      <c r="AI63" s="80">
        <v>3080</v>
      </c>
      <c r="AJ63" s="80">
        <f>Tabla17[[#This Row],[SINOCHEM EN TRANSITO  ]]+Tabla17[[#This Row],[TRANSITO LOCAL]]</f>
        <v>3080</v>
      </c>
      <c r="AK63" s="80"/>
      <c r="AL63" s="80"/>
      <c r="AM63" s="124" t="e">
        <f>Tabla17[[#This Row],[INVENTARIO FISICO ]]-Tabla17[[#This Row],[BUFFER REAL]]+Tabla17[[#This Row],[SINOCHEM EN TRANSITO  ]]+Tabla17[[#This Row],[TRANSITO LOCAL]]</f>
        <v>#REF!</v>
      </c>
      <c r="AN63" s="128">
        <f>Tabla17[[#This Row],[BUFFER REAL]]/((Tabla17[[#This Row],[TIEMPO REPOSICION ]]/Tabla17[[#This Row],[FRECUENCIA]])+1)</f>
        <v>1500</v>
      </c>
      <c r="AO63" s="80">
        <v>192</v>
      </c>
      <c r="AP63" s="77">
        <v>129</v>
      </c>
      <c r="AQ63" s="77"/>
      <c r="AR63" s="27">
        <v>0</v>
      </c>
    </row>
    <row r="64" spans="1:44" s="7" customFormat="1">
      <c r="A64" s="18" t="s">
        <v>263</v>
      </c>
      <c r="B64" s="18" t="s">
        <v>264</v>
      </c>
      <c r="C64" s="7" t="s">
        <v>697</v>
      </c>
      <c r="D64" s="7" t="s">
        <v>710</v>
      </c>
      <c r="H64" s="7" t="s">
        <v>718</v>
      </c>
      <c r="I64" s="7" t="s">
        <v>724</v>
      </c>
      <c r="J64" s="7" t="s">
        <v>718</v>
      </c>
      <c r="K64" s="13">
        <v>0</v>
      </c>
      <c r="L64" s="13">
        <f t="shared" si="1"/>
        <v>0</v>
      </c>
      <c r="M64" s="13">
        <v>0.33700000000000002</v>
      </c>
      <c r="N64" s="13"/>
      <c r="O64" s="13"/>
      <c r="P64" s="13" t="s">
        <v>810</v>
      </c>
      <c r="Q64" s="13" t="s">
        <v>802</v>
      </c>
      <c r="R64" s="7">
        <v>4</v>
      </c>
      <c r="S64" s="7">
        <v>4</v>
      </c>
      <c r="T64" s="7">
        <v>1</v>
      </c>
      <c r="U64" s="13">
        <v>11491</v>
      </c>
      <c r="V64" s="13">
        <v>11491</v>
      </c>
      <c r="W64" s="13">
        <f>Tabla17[[#This Row],[CONSUMO TOTAL PRO VALO]]/52</f>
        <v>220.98076923076923</v>
      </c>
      <c r="X64" s="21">
        <v>0</v>
      </c>
      <c r="Y64" s="13">
        <v>0</v>
      </c>
      <c r="Z64" s="13">
        <f>Tabla17[[#This Row],[CONSUMO TOTAL TODAS]]/52</f>
        <v>0</v>
      </c>
      <c r="AA64" s="25">
        <f>Tabla17[[#This Row],[CONSUMO PROMEDIO PROPIO]]+Tabla17[[#This Row],[CONSUMO PROMEDIO TODAS]]</f>
        <v>220.98076923076923</v>
      </c>
      <c r="AB64" s="26">
        <f>Tabla17[[#This Row],[CONSUMO PROMEDIO TOTAL]]*(Tabla17[[#This Row],[FRECUENCIA]]+Tabla17[[#This Row],[TIEMPO REPOSICION ]])*1.7</f>
        <v>3005.3384615384616</v>
      </c>
      <c r="AC64" s="26">
        <v>3000</v>
      </c>
      <c r="AD64" s="26">
        <v>5000</v>
      </c>
      <c r="AE64" s="3" t="e">
        <f>VLOOKUP(Tabla17[[#This Row],[CODIGO ]],#REF!,2,0)</f>
        <v>#REF!</v>
      </c>
      <c r="AF64" s="2">
        <f>IFERROR(VLOOKUP(Tabla17[[#This Row],[CODIGO ]],#REF!,2,0),0)</f>
        <v>0</v>
      </c>
      <c r="AG64" s="80" t="e">
        <f>Tabla17[[#This Row],[INVENTARIO FISICO ]]-Tabla17[[#This Row],[BUFFER REAL]]</f>
        <v>#REF!</v>
      </c>
      <c r="AH64" s="27"/>
      <c r="AI64" s="80"/>
      <c r="AJ64" s="80">
        <f>Tabla17[[#This Row],[SINOCHEM EN TRANSITO  ]]+Tabla17[[#This Row],[TRANSITO LOCAL]]</f>
        <v>0</v>
      </c>
      <c r="AK64" s="80"/>
      <c r="AL64" s="80"/>
      <c r="AM64" s="124" t="e">
        <f>Tabla17[[#This Row],[INVENTARIO FISICO ]]-Tabla17[[#This Row],[BUFFER REAL]]+Tabla17[[#This Row],[SINOCHEM EN TRANSITO  ]]+Tabla17[[#This Row],[TRANSITO LOCAL]]</f>
        <v>#REF!</v>
      </c>
      <c r="AN64" s="128">
        <f>Tabla17[[#This Row],[BUFFER REAL]]/((Tabla17[[#This Row],[TIEMPO REPOSICION ]]/Tabla17[[#This Row],[FRECUENCIA]])+1)</f>
        <v>2500</v>
      </c>
      <c r="AO64" s="80">
        <v>0</v>
      </c>
      <c r="AP64" s="77">
        <v>0</v>
      </c>
      <c r="AQ64" s="77"/>
      <c r="AR64" s="27">
        <v>1500</v>
      </c>
    </row>
    <row r="65" spans="1:44" s="7" customFormat="1">
      <c r="A65" s="18" t="s">
        <v>265</v>
      </c>
      <c r="B65" s="18" t="s">
        <v>266</v>
      </c>
      <c r="C65" s="7" t="s">
        <v>2</v>
      </c>
      <c r="D65" s="7" t="s">
        <v>788</v>
      </c>
      <c r="H65" s="7" t="s">
        <v>718</v>
      </c>
      <c r="I65" s="7" t="s">
        <v>724</v>
      </c>
      <c r="J65" s="7" t="s">
        <v>718</v>
      </c>
      <c r="K65" s="13">
        <v>0</v>
      </c>
      <c r="L65" s="13">
        <f t="shared" si="1"/>
        <v>0</v>
      </c>
      <c r="M65" s="13">
        <v>0.10587000000000001</v>
      </c>
      <c r="N65" s="13"/>
      <c r="O65" s="13">
        <v>17000</v>
      </c>
      <c r="P65" s="13" t="s">
        <v>812</v>
      </c>
      <c r="Q65" s="13" t="s">
        <v>873</v>
      </c>
      <c r="R65" s="7">
        <v>4</v>
      </c>
      <c r="S65" s="7">
        <v>12</v>
      </c>
      <c r="T65" s="83">
        <v>3</v>
      </c>
      <c r="U65" s="13">
        <v>4317</v>
      </c>
      <c r="V65" s="13">
        <v>4317</v>
      </c>
      <c r="W65" s="13">
        <f>Tabla17[[#This Row],[CONSUMO TOTAL PRO VALO]]/52</f>
        <v>83.019230769230774</v>
      </c>
      <c r="X65" s="21">
        <v>0</v>
      </c>
      <c r="Y65" s="13">
        <v>0</v>
      </c>
      <c r="Z65" s="13">
        <f>Tabla17[[#This Row],[CONSUMO TOTAL TODAS]]/52</f>
        <v>0</v>
      </c>
      <c r="AA65" s="25">
        <f>Tabla17[[#This Row],[CONSUMO PROMEDIO PROPIO]]+Tabla17[[#This Row],[CONSUMO PROMEDIO TODAS]]</f>
        <v>83.019230769230774</v>
      </c>
      <c r="AB65" s="26">
        <f>Tabla17[[#This Row],[CONSUMO PROMEDIO TOTAL]]*(Tabla17[[#This Row],[FRECUENCIA]]+Tabla17[[#This Row],[TIEMPO REPOSICION ]])*1.7</f>
        <v>2258.123076923077</v>
      </c>
      <c r="AC65" s="26">
        <v>5000</v>
      </c>
      <c r="AD65" s="26">
        <v>5000</v>
      </c>
      <c r="AE65" s="3" t="e">
        <f>VLOOKUP(Tabla17[[#This Row],[CODIGO ]],#REF!,2,0)</f>
        <v>#REF!</v>
      </c>
      <c r="AF65" s="2">
        <f>IFERROR(VLOOKUP(Tabla17[[#This Row],[CODIGO ]],#REF!,2,0),0)</f>
        <v>0</v>
      </c>
      <c r="AG65" s="80" t="e">
        <f>Tabla17[[#This Row],[INVENTARIO FISICO ]]-Tabla17[[#This Row],[BUFFER REAL]]</f>
        <v>#REF!</v>
      </c>
      <c r="AH65" s="27"/>
      <c r="AI65" s="80"/>
      <c r="AJ65" s="80">
        <f>Tabla17[[#This Row],[SINOCHEM EN TRANSITO  ]]+Tabla17[[#This Row],[TRANSITO LOCAL]]</f>
        <v>0</v>
      </c>
      <c r="AK65" s="80">
        <v>17000</v>
      </c>
      <c r="AL65" s="80"/>
      <c r="AM65" s="124" t="e">
        <f>Tabla17[[#This Row],[INVENTARIO FISICO ]]-Tabla17[[#This Row],[BUFFER REAL]]+Tabla17[[#This Row],[SINOCHEM EN TRANSITO  ]]+Tabla17[[#This Row],[TRANSITO LOCAL]]</f>
        <v>#REF!</v>
      </c>
      <c r="AN65" s="80">
        <f>Tabla17[[#This Row],[BUFFER REAL]]/((Tabla17[[#This Row],[TIEMPO REPOSICION ]]/Tabla17[[#This Row],[FRECUENCIA]])+1)</f>
        <v>1250</v>
      </c>
      <c r="AO65" s="80">
        <v>0</v>
      </c>
      <c r="AP65" s="77"/>
      <c r="AQ65" s="77"/>
      <c r="AR65" s="27">
        <v>0</v>
      </c>
    </row>
    <row r="66" spans="1:44" s="7" customFormat="1">
      <c r="A66" s="18" t="s">
        <v>267</v>
      </c>
      <c r="B66" s="18" t="s">
        <v>268</v>
      </c>
      <c r="C66" s="7" t="s">
        <v>2</v>
      </c>
      <c r="D66" s="7" t="s">
        <v>788</v>
      </c>
      <c r="H66" s="7" t="s">
        <v>718</v>
      </c>
      <c r="I66" s="7" t="s">
        <v>724</v>
      </c>
      <c r="J66" s="7" t="s">
        <v>718</v>
      </c>
      <c r="K66" s="13">
        <v>0</v>
      </c>
      <c r="L66" s="13">
        <f t="shared" si="1"/>
        <v>0</v>
      </c>
      <c r="M66" s="13">
        <v>0.215</v>
      </c>
      <c r="N66" s="13"/>
      <c r="O66" s="13">
        <v>17000</v>
      </c>
      <c r="P66" s="13" t="s">
        <v>812</v>
      </c>
      <c r="Q66" s="13" t="s">
        <v>873</v>
      </c>
      <c r="R66" s="7">
        <v>4</v>
      </c>
      <c r="S66" s="7">
        <v>12</v>
      </c>
      <c r="T66" s="83">
        <v>3</v>
      </c>
      <c r="U66" s="13">
        <v>1889</v>
      </c>
      <c r="V66" s="13">
        <v>1889</v>
      </c>
      <c r="W66" s="13">
        <f>Tabla17[[#This Row],[CONSUMO TOTAL PRO VALO]]/52</f>
        <v>36.32692307692308</v>
      </c>
      <c r="X66" s="21">
        <v>0</v>
      </c>
      <c r="Y66" s="13">
        <v>0</v>
      </c>
      <c r="Z66" s="13">
        <f>Tabla17[[#This Row],[CONSUMO TOTAL TODAS]]/52</f>
        <v>0</v>
      </c>
      <c r="AA66" s="25">
        <f>Tabla17[[#This Row],[CONSUMO PROMEDIO PROPIO]]+Tabla17[[#This Row],[CONSUMO PROMEDIO TODAS]]</f>
        <v>36.32692307692308</v>
      </c>
      <c r="AB66" s="26">
        <f>Tabla17[[#This Row],[CONSUMO PROMEDIO TOTAL]]*(Tabla17[[#This Row],[FRECUENCIA]]+Tabla17[[#This Row],[TIEMPO REPOSICION ]])*1.7</f>
        <v>988.09230769230771</v>
      </c>
      <c r="AC66" s="26">
        <v>5000</v>
      </c>
      <c r="AD66" s="26">
        <v>5000</v>
      </c>
      <c r="AE66" s="3" t="e">
        <f>VLOOKUP(Tabla17[[#This Row],[CODIGO ]],#REF!,2,0)</f>
        <v>#REF!</v>
      </c>
      <c r="AF66" s="2">
        <f>IFERROR(VLOOKUP(Tabla17[[#This Row],[CODIGO ]],#REF!,2,0),0)</f>
        <v>0</v>
      </c>
      <c r="AG66" s="80" t="e">
        <f>Tabla17[[#This Row],[INVENTARIO FISICO ]]-Tabla17[[#This Row],[BUFFER REAL]]</f>
        <v>#REF!</v>
      </c>
      <c r="AH66" s="27"/>
      <c r="AI66" s="80"/>
      <c r="AJ66" s="80">
        <f>Tabla17[[#This Row],[SINOCHEM EN TRANSITO  ]]+Tabla17[[#This Row],[TRANSITO LOCAL]]</f>
        <v>0</v>
      </c>
      <c r="AK66" s="80">
        <v>17000</v>
      </c>
      <c r="AL66" s="80"/>
      <c r="AM66" s="124" t="e">
        <f>Tabla17[[#This Row],[INVENTARIO FISICO ]]-Tabla17[[#This Row],[BUFFER REAL]]+Tabla17[[#This Row],[SINOCHEM EN TRANSITO  ]]+Tabla17[[#This Row],[TRANSITO LOCAL]]</f>
        <v>#REF!</v>
      </c>
      <c r="AN66" s="80">
        <f>Tabla17[[#This Row],[BUFFER REAL]]/((Tabla17[[#This Row],[TIEMPO REPOSICION ]]/Tabla17[[#This Row],[FRECUENCIA]])+1)</f>
        <v>1250</v>
      </c>
      <c r="AO66" s="80">
        <v>0</v>
      </c>
      <c r="AP66" s="77"/>
      <c r="AQ66" s="77"/>
      <c r="AR66" s="27">
        <v>0</v>
      </c>
    </row>
    <row r="67" spans="1:44" s="7" customFormat="1">
      <c r="A67" s="18" t="s">
        <v>269</v>
      </c>
      <c r="B67" s="18" t="s">
        <v>270</v>
      </c>
      <c r="C67" s="7" t="s">
        <v>2</v>
      </c>
      <c r="D67" s="7" t="s">
        <v>788</v>
      </c>
      <c r="H67" s="7" t="s">
        <v>718</v>
      </c>
      <c r="I67" s="7" t="s">
        <v>724</v>
      </c>
      <c r="J67" s="7" t="s">
        <v>718</v>
      </c>
      <c r="K67" s="13">
        <v>0</v>
      </c>
      <c r="L67" s="13">
        <f t="shared" si="1"/>
        <v>0</v>
      </c>
      <c r="M67" s="13">
        <v>0.11701</v>
      </c>
      <c r="N67" s="13"/>
      <c r="O67" s="13">
        <v>17000</v>
      </c>
      <c r="P67" s="13" t="s">
        <v>812</v>
      </c>
      <c r="Q67" s="13" t="s">
        <v>873</v>
      </c>
      <c r="R67" s="7">
        <v>4</v>
      </c>
      <c r="S67" s="7">
        <v>12</v>
      </c>
      <c r="T67" s="83">
        <v>3</v>
      </c>
      <c r="U67" s="13">
        <v>3523</v>
      </c>
      <c r="V67" s="13">
        <v>3523</v>
      </c>
      <c r="W67" s="13">
        <f>Tabla17[[#This Row],[CONSUMO TOTAL PRO VALO]]/52</f>
        <v>67.75</v>
      </c>
      <c r="X67" s="21">
        <v>0</v>
      </c>
      <c r="Y67" s="13">
        <v>0</v>
      </c>
      <c r="Z67" s="13">
        <f>Tabla17[[#This Row],[CONSUMO TOTAL TODAS]]/52</f>
        <v>0</v>
      </c>
      <c r="AA67" s="25">
        <f>Tabla17[[#This Row],[CONSUMO PROMEDIO PROPIO]]+Tabla17[[#This Row],[CONSUMO PROMEDIO TODAS]]</f>
        <v>67.75</v>
      </c>
      <c r="AB67" s="26">
        <f>Tabla17[[#This Row],[CONSUMO PROMEDIO TOTAL]]*(Tabla17[[#This Row],[FRECUENCIA]]+Tabla17[[#This Row],[TIEMPO REPOSICION ]])*1.7</f>
        <v>1842.8</v>
      </c>
      <c r="AC67" s="26">
        <v>0</v>
      </c>
      <c r="AD67" s="26">
        <v>0</v>
      </c>
      <c r="AE67" s="3" t="e">
        <f>VLOOKUP(Tabla17[[#This Row],[CODIGO ]],#REF!,2,0)</f>
        <v>#REF!</v>
      </c>
      <c r="AF67" s="2">
        <f>IFERROR(VLOOKUP(Tabla17[[#This Row],[CODIGO ]],#REF!,2,0),0)</f>
        <v>0</v>
      </c>
      <c r="AG67" s="80" t="e">
        <f>Tabla17[[#This Row],[INVENTARIO FISICO ]]-Tabla17[[#This Row],[BUFFER REAL]]</f>
        <v>#REF!</v>
      </c>
      <c r="AH67" s="27"/>
      <c r="AI67" s="80"/>
      <c r="AJ67" s="80">
        <f>Tabla17[[#This Row],[SINOCHEM EN TRANSITO  ]]+Tabla17[[#This Row],[TRANSITO LOCAL]]</f>
        <v>0</v>
      </c>
      <c r="AK67" s="80">
        <v>17000</v>
      </c>
      <c r="AL67" s="80"/>
      <c r="AM67" s="124" t="e">
        <f>Tabla17[[#This Row],[INVENTARIO FISICO ]]-Tabla17[[#This Row],[BUFFER REAL]]+Tabla17[[#This Row],[SINOCHEM EN TRANSITO  ]]+Tabla17[[#This Row],[TRANSITO LOCAL]]</f>
        <v>#REF!</v>
      </c>
      <c r="AN67" s="80">
        <f>Tabla17[[#This Row],[BUFFER REAL]]/((Tabla17[[#This Row],[TIEMPO REPOSICION ]]/Tabla17[[#This Row],[FRECUENCIA]])+1)</f>
        <v>0</v>
      </c>
      <c r="AO67" s="80">
        <v>0</v>
      </c>
      <c r="AP67" s="77"/>
      <c r="AQ67" s="77"/>
      <c r="AR67" s="27">
        <v>0</v>
      </c>
    </row>
    <row r="68" spans="1:44" s="7" customFormat="1">
      <c r="A68" s="18" t="s">
        <v>271</v>
      </c>
      <c r="B68" s="18" t="s">
        <v>272</v>
      </c>
      <c r="C68" s="7" t="s">
        <v>2</v>
      </c>
      <c r="D68" s="7" t="s">
        <v>788</v>
      </c>
      <c r="H68" s="7" t="s">
        <v>718</v>
      </c>
      <c r="I68" s="7" t="s">
        <v>724</v>
      </c>
      <c r="J68" s="7" t="s">
        <v>718</v>
      </c>
      <c r="K68" s="13">
        <v>0</v>
      </c>
      <c r="L68" s="13">
        <f t="shared" si="1"/>
        <v>0</v>
      </c>
      <c r="M68" s="13">
        <v>0.13882</v>
      </c>
      <c r="N68" s="13"/>
      <c r="O68" s="13">
        <v>17000</v>
      </c>
      <c r="P68" s="13" t="s">
        <v>812</v>
      </c>
      <c r="Q68" s="13" t="s">
        <v>873</v>
      </c>
      <c r="R68" s="7">
        <v>4</v>
      </c>
      <c r="S68" s="7">
        <v>12</v>
      </c>
      <c r="T68" s="83">
        <v>3</v>
      </c>
      <c r="U68" s="13">
        <v>3174</v>
      </c>
      <c r="V68" s="13">
        <v>3174</v>
      </c>
      <c r="W68" s="13">
        <f>Tabla17[[#This Row],[CONSUMO TOTAL PRO VALO]]/52</f>
        <v>61.03846153846154</v>
      </c>
      <c r="X68" s="21">
        <v>0</v>
      </c>
      <c r="Y68" s="13">
        <v>0</v>
      </c>
      <c r="Z68" s="13">
        <f>Tabla17[[#This Row],[CONSUMO TOTAL TODAS]]/52</f>
        <v>0</v>
      </c>
      <c r="AA68" s="25">
        <f>Tabla17[[#This Row],[CONSUMO PROMEDIO PROPIO]]+Tabla17[[#This Row],[CONSUMO PROMEDIO TODAS]]</f>
        <v>61.03846153846154</v>
      </c>
      <c r="AB68" s="26">
        <f>Tabla17[[#This Row],[CONSUMO PROMEDIO TOTAL]]*(Tabla17[[#This Row],[FRECUENCIA]]+Tabla17[[#This Row],[TIEMPO REPOSICION ]])*1.7</f>
        <v>1660.2461538461539</v>
      </c>
      <c r="AC68" s="26">
        <v>0</v>
      </c>
      <c r="AD68" s="26">
        <v>0</v>
      </c>
      <c r="AE68" s="3" t="e">
        <f>VLOOKUP(Tabla17[[#This Row],[CODIGO ]],#REF!,2,0)</f>
        <v>#REF!</v>
      </c>
      <c r="AF68" s="2">
        <f>IFERROR(VLOOKUP(Tabla17[[#This Row],[CODIGO ]],#REF!,2,0),0)</f>
        <v>0</v>
      </c>
      <c r="AG68" s="80" t="e">
        <f>Tabla17[[#This Row],[INVENTARIO FISICO ]]-Tabla17[[#This Row],[BUFFER REAL]]</f>
        <v>#REF!</v>
      </c>
      <c r="AH68" s="27"/>
      <c r="AI68" s="80"/>
      <c r="AJ68" s="80">
        <f>Tabla17[[#This Row],[SINOCHEM EN TRANSITO  ]]+Tabla17[[#This Row],[TRANSITO LOCAL]]</f>
        <v>0</v>
      </c>
      <c r="AK68" s="80">
        <v>17000</v>
      </c>
      <c r="AL68" s="80"/>
      <c r="AM68" s="124" t="e">
        <f>Tabla17[[#This Row],[INVENTARIO FISICO ]]-Tabla17[[#This Row],[BUFFER REAL]]+Tabla17[[#This Row],[SINOCHEM EN TRANSITO  ]]+Tabla17[[#This Row],[TRANSITO LOCAL]]</f>
        <v>#REF!</v>
      </c>
      <c r="AN68" s="80">
        <f>Tabla17[[#This Row],[BUFFER REAL]]/((Tabla17[[#This Row],[TIEMPO REPOSICION ]]/Tabla17[[#This Row],[FRECUENCIA]])+1)</f>
        <v>0</v>
      </c>
      <c r="AO68" s="80">
        <v>0</v>
      </c>
      <c r="AP68" s="77"/>
      <c r="AQ68" s="77"/>
      <c r="AR68" s="27">
        <v>0</v>
      </c>
    </row>
    <row r="69" spans="1:44" s="7" customFormat="1">
      <c r="A69" s="18" t="s">
        <v>273</v>
      </c>
      <c r="B69" s="18" t="s">
        <v>274</v>
      </c>
      <c r="C69" s="7" t="s">
        <v>2</v>
      </c>
      <c r="D69" s="7" t="s">
        <v>788</v>
      </c>
      <c r="H69" s="7" t="s">
        <v>718</v>
      </c>
      <c r="I69" s="7" t="s">
        <v>724</v>
      </c>
      <c r="J69" s="7" t="s">
        <v>718</v>
      </c>
      <c r="K69" s="13">
        <v>0</v>
      </c>
      <c r="L69" s="13">
        <f t="shared" si="1"/>
        <v>0</v>
      </c>
      <c r="M69" s="13">
        <v>0.13669000000000001</v>
      </c>
      <c r="N69" s="13"/>
      <c r="O69" s="13">
        <v>17000</v>
      </c>
      <c r="P69" s="13" t="s">
        <v>812</v>
      </c>
      <c r="Q69" s="13" t="s">
        <v>873</v>
      </c>
      <c r="R69" s="7">
        <v>4</v>
      </c>
      <c r="S69" s="7">
        <v>12</v>
      </c>
      <c r="T69" s="83">
        <v>3</v>
      </c>
      <c r="U69" s="13">
        <v>1200</v>
      </c>
      <c r="V69" s="13">
        <v>1200</v>
      </c>
      <c r="W69" s="13">
        <f>Tabla17[[#This Row],[CONSUMO TOTAL PRO VALO]]/52</f>
        <v>23.076923076923077</v>
      </c>
      <c r="X69" s="21">
        <v>0</v>
      </c>
      <c r="Y69" s="13">
        <v>0</v>
      </c>
      <c r="Z69" s="13">
        <f>Tabla17[[#This Row],[CONSUMO TOTAL TODAS]]/52</f>
        <v>0</v>
      </c>
      <c r="AA69" s="25">
        <f>Tabla17[[#This Row],[CONSUMO PROMEDIO PROPIO]]+Tabla17[[#This Row],[CONSUMO PROMEDIO TODAS]]</f>
        <v>23.076923076923077</v>
      </c>
      <c r="AB69" s="26">
        <f>Tabla17[[#This Row],[CONSUMO PROMEDIO TOTAL]]*(Tabla17[[#This Row],[FRECUENCIA]]+Tabla17[[#This Row],[TIEMPO REPOSICION ]])*1.7</f>
        <v>627.69230769230762</v>
      </c>
      <c r="AC69" s="26">
        <v>5000</v>
      </c>
      <c r="AD69" s="26">
        <v>5000</v>
      </c>
      <c r="AE69" s="133" t="e">
        <f>VLOOKUP(Tabla17[[#This Row],[CODIGO ]],#REF!,2,0)</f>
        <v>#REF!</v>
      </c>
      <c r="AF69" s="2">
        <f>IFERROR(VLOOKUP(Tabla17[[#This Row],[CODIGO ]],#REF!,2,0),0)</f>
        <v>0</v>
      </c>
      <c r="AG69" s="80" t="e">
        <f>Tabla17[[#This Row],[INVENTARIO FISICO ]]-Tabla17[[#This Row],[BUFFER REAL]]</f>
        <v>#REF!</v>
      </c>
      <c r="AH69" s="27"/>
      <c r="AI69" s="80"/>
      <c r="AJ69" s="80">
        <f>Tabla17[[#This Row],[SINOCHEM EN TRANSITO  ]]+Tabla17[[#This Row],[TRANSITO LOCAL]]</f>
        <v>0</v>
      </c>
      <c r="AK69" s="80">
        <v>17000</v>
      </c>
      <c r="AL69" s="80"/>
      <c r="AM69" s="124" t="e">
        <f>Tabla17[[#This Row],[INVENTARIO FISICO ]]-Tabla17[[#This Row],[BUFFER REAL]]+Tabla17[[#This Row],[SINOCHEM EN TRANSITO  ]]+Tabla17[[#This Row],[TRANSITO LOCAL]]</f>
        <v>#REF!</v>
      </c>
      <c r="AN69" s="80">
        <f>Tabla17[[#This Row],[BUFFER REAL]]/((Tabla17[[#This Row],[TIEMPO REPOSICION ]]/Tabla17[[#This Row],[FRECUENCIA]])+1)</f>
        <v>1250</v>
      </c>
      <c r="AO69" s="80">
        <v>0</v>
      </c>
      <c r="AP69" s="77"/>
      <c r="AQ69" s="77"/>
      <c r="AR69" s="27">
        <v>0</v>
      </c>
    </row>
    <row r="70" spans="1:44" s="7" customFormat="1">
      <c r="A70" s="18" t="s">
        <v>275</v>
      </c>
      <c r="B70" s="18" t="s">
        <v>276</v>
      </c>
      <c r="C70" s="7" t="s">
        <v>2</v>
      </c>
      <c r="D70" s="7" t="s">
        <v>710</v>
      </c>
      <c r="H70" s="7" t="s">
        <v>718</v>
      </c>
      <c r="I70" s="7" t="s">
        <v>724</v>
      </c>
      <c r="J70" s="7" t="s">
        <v>718</v>
      </c>
      <c r="K70" s="13">
        <v>0</v>
      </c>
      <c r="L70" s="13">
        <f t="shared" ref="L70:L101" si="2">+K70*75%</f>
        <v>0</v>
      </c>
      <c r="M70" s="13">
        <v>8.20885</v>
      </c>
      <c r="N70" s="13"/>
      <c r="O70" s="13"/>
      <c r="P70" s="13" t="s">
        <v>810</v>
      </c>
      <c r="Q70" s="13" t="s">
        <v>802</v>
      </c>
      <c r="R70" s="7">
        <v>4</v>
      </c>
      <c r="S70" s="7">
        <v>4</v>
      </c>
      <c r="T70" s="7">
        <v>1</v>
      </c>
      <c r="U70" s="13">
        <v>88</v>
      </c>
      <c r="V70" s="13">
        <v>88</v>
      </c>
      <c r="W70" s="13">
        <f>Tabla17[[#This Row],[CONSUMO TOTAL PRO VALO]]/52</f>
        <v>1.6923076923076923</v>
      </c>
      <c r="X70" s="21">
        <v>0</v>
      </c>
      <c r="Y70" s="13">
        <v>0</v>
      </c>
      <c r="Z70" s="13">
        <f>Tabla17[[#This Row],[CONSUMO TOTAL TODAS]]/52</f>
        <v>0</v>
      </c>
      <c r="AA70" s="25">
        <f>Tabla17[[#This Row],[CONSUMO PROMEDIO PROPIO]]+Tabla17[[#This Row],[CONSUMO PROMEDIO TODAS]]</f>
        <v>1.6923076923076923</v>
      </c>
      <c r="AB70" s="26">
        <f>Tabla17[[#This Row],[CONSUMO PROMEDIO TOTAL]]*(Tabla17[[#This Row],[FRECUENCIA]]+Tabla17[[#This Row],[TIEMPO REPOSICION ]])*1.7</f>
        <v>23.015384615384615</v>
      </c>
      <c r="AC70" s="26">
        <v>40</v>
      </c>
      <c r="AD70" s="26">
        <v>60</v>
      </c>
      <c r="AE70" s="133" t="e">
        <f>VLOOKUP(Tabla17[[#This Row],[CODIGO ]],#REF!,2,0)</f>
        <v>#REF!</v>
      </c>
      <c r="AF70" s="2">
        <f>IFERROR(VLOOKUP(Tabla17[[#This Row],[CODIGO ]],#REF!,2,0),0)</f>
        <v>0</v>
      </c>
      <c r="AG70" s="80" t="e">
        <f>Tabla17[[#This Row],[INVENTARIO FISICO ]]-Tabla17[[#This Row],[BUFFER REAL]]</f>
        <v>#REF!</v>
      </c>
      <c r="AH70" s="27"/>
      <c r="AI70" s="80"/>
      <c r="AJ70" s="80">
        <f>Tabla17[[#This Row],[SINOCHEM EN TRANSITO  ]]+Tabla17[[#This Row],[TRANSITO LOCAL]]</f>
        <v>0</v>
      </c>
      <c r="AK70" s="80"/>
      <c r="AL70" s="80"/>
      <c r="AM70" s="124" t="e">
        <f>Tabla17[[#This Row],[INVENTARIO FISICO ]]-Tabla17[[#This Row],[BUFFER REAL]]+Tabla17[[#This Row],[SINOCHEM EN TRANSITO  ]]+Tabla17[[#This Row],[TRANSITO LOCAL]]</f>
        <v>#REF!</v>
      </c>
      <c r="AN70" s="128">
        <f>Tabla17[[#This Row],[BUFFER REAL]]/((Tabla17[[#This Row],[TIEMPO REPOSICION ]]/Tabla17[[#This Row],[FRECUENCIA]])+1)</f>
        <v>30</v>
      </c>
      <c r="AO70" s="80">
        <v>26</v>
      </c>
      <c r="AP70" s="77">
        <v>0</v>
      </c>
      <c r="AQ70" s="77"/>
      <c r="AR70" s="27">
        <v>0</v>
      </c>
    </row>
    <row r="71" spans="1:44" s="7" customFormat="1">
      <c r="A71" s="18" t="s">
        <v>277</v>
      </c>
      <c r="B71" s="18" t="s">
        <v>278</v>
      </c>
      <c r="C71" s="133" t="s">
        <v>2</v>
      </c>
      <c r="D71" s="20" t="s">
        <v>716</v>
      </c>
      <c r="E71" s="20"/>
      <c r="F71" s="20"/>
      <c r="G71" s="20"/>
      <c r="H71" s="20" t="s">
        <v>726</v>
      </c>
      <c r="I71" s="20" t="s">
        <v>767</v>
      </c>
      <c r="J71" s="20" t="s">
        <v>718</v>
      </c>
      <c r="K71" s="21"/>
      <c r="L71" s="21">
        <f t="shared" si="2"/>
        <v>0</v>
      </c>
      <c r="M71" s="21">
        <v>6.3320000000000001E-2</v>
      </c>
      <c r="N71" s="21"/>
      <c r="O71" s="21"/>
      <c r="P71" s="21" t="s">
        <v>808</v>
      </c>
      <c r="Q71" s="21" t="s">
        <v>802</v>
      </c>
      <c r="R71" s="20">
        <v>12</v>
      </c>
      <c r="S71" s="20">
        <v>4</v>
      </c>
      <c r="T71" s="20">
        <v>1</v>
      </c>
      <c r="U71" s="133">
        <v>2007</v>
      </c>
      <c r="V71" s="133">
        <v>2007</v>
      </c>
      <c r="W71" s="21">
        <f>Tabla17[[#This Row],[CONSUMO TOTAL PRO VALO]]/52</f>
        <v>38.596153846153847</v>
      </c>
      <c r="X71" s="21" t="e">
        <f>Tabla2[[#This Row],[CONSUMO TOTAL ]]+Tabla3[[#This Row],[CONSUMO TOTAL]]+#REF!+#REF!</f>
        <v>#REF!</v>
      </c>
      <c r="Y71" s="21"/>
      <c r="Z71" s="21">
        <f>Tabla17[[#This Row],[CONSUMO TOTAL TODAS]]/52</f>
        <v>0</v>
      </c>
      <c r="AA71" s="28">
        <f>Tabla17[[#This Row],[CONSUMO PROMEDIO PROPIO]]+Tabla17[[#This Row],[CONSUMO PROMEDIO TODAS]]</f>
        <v>38.596153846153847</v>
      </c>
      <c r="AB71" s="33">
        <f>Tabla17[[#This Row],[CONSUMO PROMEDIO TOTAL]]*(Tabla17[[#This Row],[FRECUENCIA]]+Tabla17[[#This Row],[TIEMPO REPOSICION ]])*1.7</f>
        <v>1049.8153846153846</v>
      </c>
      <c r="AC71" s="33">
        <v>1000</v>
      </c>
      <c r="AD71" s="33">
        <v>1000</v>
      </c>
      <c r="AE71" s="135" t="e">
        <f>VLOOKUP(Tabla17[[#This Row],[CODIGO ]],#REF!,2,0)</f>
        <v>#REF!</v>
      </c>
      <c r="AF71" s="116">
        <f>IFERROR(VLOOKUP(Tabla17[[#This Row],[CODIGO ]],#REF!,2,0),0)</f>
        <v>0</v>
      </c>
      <c r="AG71" s="117" t="e">
        <f>Tabla17[[#This Row],[INVENTARIO FISICO ]]-Tabla17[[#This Row],[BUFFER REAL]]</f>
        <v>#REF!</v>
      </c>
      <c r="AH71" s="110"/>
      <c r="AI71" s="110"/>
      <c r="AJ71" s="110">
        <f>Tabla17[[#This Row],[SINOCHEM EN TRANSITO  ]]+Tabla17[[#This Row],[TRANSITO LOCAL]]</f>
        <v>0</v>
      </c>
      <c r="AK71" s="117">
        <v>500</v>
      </c>
      <c r="AL71" s="117"/>
      <c r="AM71" s="124" t="e">
        <f>Tabla17[[#This Row],[INVENTARIO FISICO ]]-Tabla17[[#This Row],[BUFFER REAL]]+Tabla17[[#This Row],[SINOCHEM EN TRANSITO  ]]+Tabla17[[#This Row],[TRANSITO LOCAL]]</f>
        <v>#REF!</v>
      </c>
      <c r="AN71" s="128">
        <f>Tabla17[[#This Row],[BUFFER REAL]]/((Tabla17[[#This Row],[TIEMPO REPOSICION ]]/Tabla17[[#This Row],[FRECUENCIA]])+1)</f>
        <v>750</v>
      </c>
      <c r="AO71" s="117">
        <v>1000</v>
      </c>
      <c r="AP71" s="77">
        <v>1000</v>
      </c>
      <c r="AQ71" s="77"/>
      <c r="AR71" s="27">
        <v>750</v>
      </c>
    </row>
    <row r="72" spans="1:44" s="7" customFormat="1">
      <c r="A72" s="18" t="s">
        <v>279</v>
      </c>
      <c r="B72" s="18" t="s">
        <v>280</v>
      </c>
      <c r="C72" s="133" t="s">
        <v>697</v>
      </c>
      <c r="D72" s="20" t="s">
        <v>716</v>
      </c>
      <c r="E72" s="20"/>
      <c r="F72" s="20"/>
      <c r="G72" s="20"/>
      <c r="H72" s="20" t="s">
        <v>718</v>
      </c>
      <c r="I72" s="20" t="s">
        <v>767</v>
      </c>
      <c r="J72" s="20" t="s">
        <v>718</v>
      </c>
      <c r="K72" s="21"/>
      <c r="L72" s="21">
        <f t="shared" si="2"/>
        <v>0</v>
      </c>
      <c r="M72" s="21">
        <v>5.7450000000000001E-2</v>
      </c>
      <c r="N72" s="21"/>
      <c r="O72" s="21"/>
      <c r="P72" s="21" t="s">
        <v>808</v>
      </c>
      <c r="Q72" s="21" t="s">
        <v>802</v>
      </c>
      <c r="R72" s="20">
        <v>12</v>
      </c>
      <c r="S72" s="20">
        <v>4</v>
      </c>
      <c r="T72" s="20">
        <v>1</v>
      </c>
      <c r="U72" s="133">
        <v>3722</v>
      </c>
      <c r="V72" s="133">
        <v>3722</v>
      </c>
      <c r="W72" s="21">
        <f>Tabla17[[#This Row],[CONSUMO TOTAL PRO VALO]]/52</f>
        <v>71.57692307692308</v>
      </c>
      <c r="X72" s="21" t="e">
        <f>Tabla2[[#This Row],[CONSUMO TOTAL ]]+Tabla3[[#This Row],[CONSUMO TOTAL]]+#REF!+#REF!</f>
        <v>#REF!</v>
      </c>
      <c r="Y72" s="21"/>
      <c r="Z72" s="21">
        <f>Tabla17[[#This Row],[CONSUMO TOTAL TODAS]]/52</f>
        <v>0</v>
      </c>
      <c r="AA72" s="28">
        <f>Tabla17[[#This Row],[CONSUMO PROMEDIO PROPIO]]+Tabla17[[#This Row],[CONSUMO PROMEDIO TODAS]]</f>
        <v>71.57692307692308</v>
      </c>
      <c r="AB72" s="33">
        <f>Tabla17[[#This Row],[CONSUMO PROMEDIO TOTAL]]*(Tabla17[[#This Row],[FRECUENCIA]]+Tabla17[[#This Row],[TIEMPO REPOSICION ]])*1.7</f>
        <v>1946.8923076923077</v>
      </c>
      <c r="AC72" s="33">
        <v>1000</v>
      </c>
      <c r="AD72" s="33">
        <v>1000</v>
      </c>
      <c r="AE72" s="135" t="e">
        <f>VLOOKUP(Tabla17[[#This Row],[CODIGO ]],#REF!,2,0)</f>
        <v>#REF!</v>
      </c>
      <c r="AF72" s="116">
        <f>IFERROR(VLOOKUP(Tabla17[[#This Row],[CODIGO ]],#REF!,2,0),0)</f>
        <v>0</v>
      </c>
      <c r="AG72" s="117" t="e">
        <f>Tabla17[[#This Row],[INVENTARIO FISICO ]]-Tabla17[[#This Row],[BUFFER REAL]]</f>
        <v>#REF!</v>
      </c>
      <c r="AH72" s="110"/>
      <c r="AI72" s="110"/>
      <c r="AJ72" s="110">
        <f>Tabla17[[#This Row],[SINOCHEM EN TRANSITO  ]]+Tabla17[[#This Row],[TRANSITO LOCAL]]</f>
        <v>0</v>
      </c>
      <c r="AK72" s="117">
        <v>500</v>
      </c>
      <c r="AL72" s="117"/>
      <c r="AM72" s="124" t="e">
        <f>Tabla17[[#This Row],[INVENTARIO FISICO ]]-Tabla17[[#This Row],[BUFFER REAL]]+Tabla17[[#This Row],[SINOCHEM EN TRANSITO  ]]+Tabla17[[#This Row],[TRANSITO LOCAL]]</f>
        <v>#REF!</v>
      </c>
      <c r="AN72" s="128">
        <f>Tabla17[[#This Row],[BUFFER REAL]]/((Tabla17[[#This Row],[TIEMPO REPOSICION ]]/Tabla17[[#This Row],[FRECUENCIA]])+1)</f>
        <v>750</v>
      </c>
      <c r="AO72" s="117">
        <v>0</v>
      </c>
      <c r="AP72" s="77">
        <v>0</v>
      </c>
      <c r="AQ72" s="77"/>
      <c r="AR72" s="27">
        <v>99</v>
      </c>
    </row>
    <row r="73" spans="1:44" s="7" customFormat="1">
      <c r="A73" s="18" t="s">
        <v>281</v>
      </c>
      <c r="B73" s="18" t="s">
        <v>282</v>
      </c>
      <c r="C73" s="7" t="s">
        <v>697</v>
      </c>
      <c r="D73" s="7" t="s">
        <v>716</v>
      </c>
      <c r="H73" s="7" t="s">
        <v>718</v>
      </c>
      <c r="I73" s="7" t="s">
        <v>724</v>
      </c>
      <c r="J73" s="7" t="s">
        <v>718</v>
      </c>
      <c r="K73" s="13">
        <v>0</v>
      </c>
      <c r="L73" s="13">
        <f t="shared" si="2"/>
        <v>0</v>
      </c>
      <c r="M73" s="13">
        <v>0.21049999999999999</v>
      </c>
      <c r="N73" s="13"/>
      <c r="O73" s="13">
        <v>500</v>
      </c>
      <c r="P73" s="13" t="s">
        <v>808</v>
      </c>
      <c r="Q73" s="13" t="s">
        <v>802</v>
      </c>
      <c r="R73" s="7">
        <v>4</v>
      </c>
      <c r="S73" s="7">
        <v>6</v>
      </c>
      <c r="T73" s="7">
        <v>1</v>
      </c>
      <c r="U73" s="13">
        <v>282</v>
      </c>
      <c r="V73" s="13">
        <v>282</v>
      </c>
      <c r="W73" s="13">
        <f>Tabla17[[#This Row],[CONSUMO TOTAL PRO VALO]]/52</f>
        <v>5.4230769230769234</v>
      </c>
      <c r="X73" s="21">
        <v>0</v>
      </c>
      <c r="Y73" s="13">
        <v>0</v>
      </c>
      <c r="Z73" s="13">
        <f>Tabla17[[#This Row],[CONSUMO TOTAL TODAS]]/52</f>
        <v>0</v>
      </c>
      <c r="AA73" s="25">
        <f>Tabla17[[#This Row],[CONSUMO PROMEDIO PROPIO]]+Tabla17[[#This Row],[CONSUMO PROMEDIO TODAS]]</f>
        <v>5.4230769230769234</v>
      </c>
      <c r="AB73" s="26">
        <f>Tabla17[[#This Row],[CONSUMO PROMEDIO TOTAL]]*(Tabla17[[#This Row],[FRECUENCIA]]+Tabla17[[#This Row],[TIEMPO REPOSICION ]])*1.7</f>
        <v>92.192307692307693</v>
      </c>
      <c r="AC73" s="26">
        <v>300</v>
      </c>
      <c r="AD73" s="26">
        <v>300</v>
      </c>
      <c r="AE73" s="3" t="e">
        <f>VLOOKUP(Tabla17[[#This Row],[CODIGO ]],#REF!,2,0)</f>
        <v>#REF!</v>
      </c>
      <c r="AF73" s="2">
        <f>IFERROR(VLOOKUP(Tabla17[[#This Row],[CODIGO ]],#REF!,2,0),0)</f>
        <v>0</v>
      </c>
      <c r="AG73" s="80" t="e">
        <f>Tabla17[[#This Row],[INVENTARIO FISICO ]]-Tabla17[[#This Row],[BUFFER REAL]]</f>
        <v>#REF!</v>
      </c>
      <c r="AH73" s="27"/>
      <c r="AI73" s="80"/>
      <c r="AJ73" s="80">
        <f>Tabla17[[#This Row],[SINOCHEM EN TRANSITO  ]]+Tabla17[[#This Row],[TRANSITO LOCAL]]</f>
        <v>0</v>
      </c>
      <c r="AK73" s="80">
        <v>500</v>
      </c>
      <c r="AL73" s="80"/>
      <c r="AM73" s="124" t="e">
        <f>Tabla17[[#This Row],[INVENTARIO FISICO ]]-Tabla17[[#This Row],[BUFFER REAL]]+Tabla17[[#This Row],[SINOCHEM EN TRANSITO  ]]+Tabla17[[#This Row],[TRANSITO LOCAL]]</f>
        <v>#REF!</v>
      </c>
      <c r="AN73" s="128">
        <f>Tabla17[[#This Row],[BUFFER REAL]]/((Tabla17[[#This Row],[TIEMPO REPOSICION ]]/Tabla17[[#This Row],[FRECUENCIA]])+1)</f>
        <v>120</v>
      </c>
      <c r="AO73" s="80">
        <v>0</v>
      </c>
      <c r="AP73" s="77">
        <v>0</v>
      </c>
      <c r="AQ73" s="77"/>
      <c r="AR73" s="27">
        <v>0</v>
      </c>
    </row>
    <row r="74" spans="1:44" s="7" customFormat="1">
      <c r="A74" s="18" t="s">
        <v>283</v>
      </c>
      <c r="B74" s="18" t="s">
        <v>284</v>
      </c>
      <c r="C74" s="7" t="s">
        <v>697</v>
      </c>
      <c r="D74" s="7" t="s">
        <v>716</v>
      </c>
      <c r="H74" s="7" t="s">
        <v>718</v>
      </c>
      <c r="I74" s="7" t="s">
        <v>724</v>
      </c>
      <c r="J74" s="7" t="s">
        <v>718</v>
      </c>
      <c r="K74" s="13">
        <v>0</v>
      </c>
      <c r="L74" s="13">
        <f t="shared" si="2"/>
        <v>0</v>
      </c>
      <c r="M74" s="13">
        <v>7.3660000000000003E-2</v>
      </c>
      <c r="N74" s="13"/>
      <c r="O74" s="13">
        <v>500</v>
      </c>
      <c r="P74" s="13" t="s">
        <v>808</v>
      </c>
      <c r="Q74" s="13" t="s">
        <v>802</v>
      </c>
      <c r="R74" s="7">
        <v>4</v>
      </c>
      <c r="S74" s="7">
        <v>6</v>
      </c>
      <c r="T74" s="7">
        <v>1</v>
      </c>
      <c r="U74" s="13">
        <v>866</v>
      </c>
      <c r="V74" s="13">
        <v>866</v>
      </c>
      <c r="W74" s="13">
        <f>Tabla17[[#This Row],[CONSUMO TOTAL PRO VALO]]/52</f>
        <v>16.653846153846153</v>
      </c>
      <c r="X74" s="21">
        <v>0</v>
      </c>
      <c r="Y74" s="13">
        <v>0</v>
      </c>
      <c r="Z74" s="13">
        <f>Tabla17[[#This Row],[CONSUMO TOTAL TODAS]]/52</f>
        <v>0</v>
      </c>
      <c r="AA74" s="25">
        <f>Tabla17[[#This Row],[CONSUMO PROMEDIO PROPIO]]+Tabla17[[#This Row],[CONSUMO PROMEDIO TODAS]]</f>
        <v>16.653846153846153</v>
      </c>
      <c r="AB74" s="26">
        <f>Tabla17[[#This Row],[CONSUMO PROMEDIO TOTAL]]*(Tabla17[[#This Row],[FRECUENCIA]]+Tabla17[[#This Row],[TIEMPO REPOSICION ]])*1.7</f>
        <v>283.11538461538464</v>
      </c>
      <c r="AC74" s="26">
        <v>300</v>
      </c>
      <c r="AD74" s="26">
        <v>300</v>
      </c>
      <c r="AE74" s="3" t="e">
        <f>VLOOKUP(Tabla17[[#This Row],[CODIGO ]],#REF!,2,0)</f>
        <v>#REF!</v>
      </c>
      <c r="AF74" s="2">
        <f>IFERROR(VLOOKUP(Tabla17[[#This Row],[CODIGO ]],#REF!,2,0),0)</f>
        <v>0</v>
      </c>
      <c r="AG74" s="80" t="e">
        <f>Tabla17[[#This Row],[INVENTARIO FISICO ]]-Tabla17[[#This Row],[BUFFER REAL]]</f>
        <v>#REF!</v>
      </c>
      <c r="AH74" s="27"/>
      <c r="AI74" s="80"/>
      <c r="AJ74" s="80">
        <f>Tabla17[[#This Row],[SINOCHEM EN TRANSITO  ]]+Tabla17[[#This Row],[TRANSITO LOCAL]]</f>
        <v>0</v>
      </c>
      <c r="AK74" s="80">
        <v>500</v>
      </c>
      <c r="AL74" s="80"/>
      <c r="AM74" s="124" t="e">
        <f>Tabla17[[#This Row],[INVENTARIO FISICO ]]-Tabla17[[#This Row],[BUFFER REAL]]+Tabla17[[#This Row],[SINOCHEM EN TRANSITO  ]]+Tabla17[[#This Row],[TRANSITO LOCAL]]</f>
        <v>#REF!</v>
      </c>
      <c r="AN74" s="128">
        <f>Tabla17[[#This Row],[BUFFER REAL]]/((Tabla17[[#This Row],[TIEMPO REPOSICION ]]/Tabla17[[#This Row],[FRECUENCIA]])+1)</f>
        <v>120</v>
      </c>
      <c r="AO74" s="80">
        <v>0</v>
      </c>
      <c r="AP74" s="77">
        <v>0</v>
      </c>
      <c r="AQ74" s="77"/>
      <c r="AR74" s="27">
        <v>0</v>
      </c>
    </row>
    <row r="75" spans="1:44" s="7" customFormat="1">
      <c r="A75" s="18" t="s">
        <v>285</v>
      </c>
      <c r="B75" s="18" t="s">
        <v>286</v>
      </c>
      <c r="C75" s="7" t="s">
        <v>697</v>
      </c>
      <c r="D75" s="7" t="s">
        <v>716</v>
      </c>
      <c r="H75" s="7" t="s">
        <v>718</v>
      </c>
      <c r="I75" s="7" t="s">
        <v>724</v>
      </c>
      <c r="J75" s="7" t="s">
        <v>718</v>
      </c>
      <c r="K75" s="13">
        <v>0</v>
      </c>
      <c r="L75" s="13">
        <f t="shared" si="2"/>
        <v>0</v>
      </c>
      <c r="M75" s="13">
        <v>7.177E-2</v>
      </c>
      <c r="N75" s="13"/>
      <c r="O75" s="13">
        <v>500</v>
      </c>
      <c r="P75" s="13" t="s">
        <v>808</v>
      </c>
      <c r="Q75" s="13" t="s">
        <v>802</v>
      </c>
      <c r="R75" s="7">
        <v>4</v>
      </c>
      <c r="S75" s="7">
        <v>6</v>
      </c>
      <c r="T75" s="7">
        <v>1</v>
      </c>
      <c r="U75" s="13">
        <v>568</v>
      </c>
      <c r="V75" s="13">
        <v>568</v>
      </c>
      <c r="W75" s="13">
        <f>Tabla17[[#This Row],[CONSUMO TOTAL PRO VALO]]/52</f>
        <v>10.923076923076923</v>
      </c>
      <c r="X75" s="21">
        <v>0</v>
      </c>
      <c r="Y75" s="13">
        <v>0</v>
      </c>
      <c r="Z75" s="13">
        <f>Tabla17[[#This Row],[CONSUMO TOTAL TODAS]]/52</f>
        <v>0</v>
      </c>
      <c r="AA75" s="25">
        <f>Tabla17[[#This Row],[CONSUMO PROMEDIO PROPIO]]+Tabla17[[#This Row],[CONSUMO PROMEDIO TODAS]]</f>
        <v>10.923076923076923</v>
      </c>
      <c r="AB75" s="26">
        <f>Tabla17[[#This Row],[CONSUMO PROMEDIO TOTAL]]*(Tabla17[[#This Row],[FRECUENCIA]]+Tabla17[[#This Row],[TIEMPO REPOSICION ]])*1.7</f>
        <v>185.69230769230768</v>
      </c>
      <c r="AC75" s="26">
        <v>300</v>
      </c>
      <c r="AD75" s="26">
        <v>300</v>
      </c>
      <c r="AE75" s="3" t="e">
        <f>VLOOKUP(Tabla17[[#This Row],[CODIGO ]],#REF!,2,0)</f>
        <v>#REF!</v>
      </c>
      <c r="AF75" s="2">
        <f>IFERROR(VLOOKUP(Tabla17[[#This Row],[CODIGO ]],#REF!,2,0),0)</f>
        <v>0</v>
      </c>
      <c r="AG75" s="80" t="e">
        <f>Tabla17[[#This Row],[INVENTARIO FISICO ]]-Tabla17[[#This Row],[BUFFER REAL]]</f>
        <v>#REF!</v>
      </c>
      <c r="AH75" s="27"/>
      <c r="AI75" s="80"/>
      <c r="AJ75" s="80">
        <f>Tabla17[[#This Row],[SINOCHEM EN TRANSITO  ]]+Tabla17[[#This Row],[TRANSITO LOCAL]]</f>
        <v>0</v>
      </c>
      <c r="AK75" s="80">
        <v>500</v>
      </c>
      <c r="AL75" s="80"/>
      <c r="AM75" s="124" t="e">
        <f>Tabla17[[#This Row],[INVENTARIO FISICO ]]-Tabla17[[#This Row],[BUFFER REAL]]+Tabla17[[#This Row],[SINOCHEM EN TRANSITO  ]]+Tabla17[[#This Row],[TRANSITO LOCAL]]</f>
        <v>#REF!</v>
      </c>
      <c r="AN75" s="128">
        <f>Tabla17[[#This Row],[BUFFER REAL]]/((Tabla17[[#This Row],[TIEMPO REPOSICION ]]/Tabla17[[#This Row],[FRECUENCIA]])+1)</f>
        <v>120</v>
      </c>
      <c r="AO75" s="80">
        <v>0</v>
      </c>
      <c r="AP75" s="77">
        <v>0</v>
      </c>
      <c r="AQ75" s="77"/>
      <c r="AR75" s="27">
        <v>0</v>
      </c>
    </row>
    <row r="76" spans="1:44" s="7" customFormat="1">
      <c r="A76" s="18" t="s">
        <v>287</v>
      </c>
      <c r="B76" s="18" t="s">
        <v>288</v>
      </c>
      <c r="C76" s="7" t="s">
        <v>697</v>
      </c>
      <c r="D76" s="7" t="s">
        <v>716</v>
      </c>
      <c r="H76" s="7" t="s">
        <v>718</v>
      </c>
      <c r="I76" s="7" t="s">
        <v>724</v>
      </c>
      <c r="J76" s="7" t="s">
        <v>718</v>
      </c>
      <c r="K76" s="13">
        <v>0</v>
      </c>
      <c r="L76" s="13">
        <f t="shared" si="2"/>
        <v>0</v>
      </c>
      <c r="M76" s="13">
        <v>0.25907000000000002</v>
      </c>
      <c r="N76" s="13"/>
      <c r="O76" s="13">
        <v>500</v>
      </c>
      <c r="P76" s="13" t="s">
        <v>808</v>
      </c>
      <c r="Q76" s="13" t="s">
        <v>802</v>
      </c>
      <c r="R76" s="7">
        <v>4</v>
      </c>
      <c r="S76" s="7">
        <v>6</v>
      </c>
      <c r="T76" s="7">
        <v>1</v>
      </c>
      <c r="U76" s="13">
        <v>0</v>
      </c>
      <c r="V76" s="13">
        <v>0</v>
      </c>
      <c r="W76" s="13">
        <f>Tabla17[[#This Row],[CONSUMO TOTAL PRO VALO]]/52</f>
        <v>0</v>
      </c>
      <c r="X76" s="21">
        <v>0</v>
      </c>
      <c r="Y76" s="13">
        <v>0</v>
      </c>
      <c r="Z76" s="13">
        <f>Tabla17[[#This Row],[CONSUMO TOTAL TODAS]]/52</f>
        <v>0</v>
      </c>
      <c r="AA76" s="25">
        <f>Tabla17[[#This Row],[CONSUMO PROMEDIO PROPIO]]+Tabla17[[#This Row],[CONSUMO PROMEDIO TODAS]]</f>
        <v>0</v>
      </c>
      <c r="AB76" s="26">
        <f>Tabla17[[#This Row],[CONSUMO PROMEDIO TOTAL]]*(Tabla17[[#This Row],[FRECUENCIA]]+Tabla17[[#This Row],[TIEMPO REPOSICION ]])*1.7</f>
        <v>0</v>
      </c>
      <c r="AC76" s="26">
        <v>0</v>
      </c>
      <c r="AD76" s="26">
        <v>0</v>
      </c>
      <c r="AE76" s="3" t="e">
        <f>VLOOKUP(Tabla17[[#This Row],[CODIGO ]],#REF!,2,0)</f>
        <v>#REF!</v>
      </c>
      <c r="AF76" s="2">
        <f>IFERROR(VLOOKUP(Tabla17[[#This Row],[CODIGO ]],#REF!,2,0),0)</f>
        <v>0</v>
      </c>
      <c r="AG76" s="80" t="e">
        <f>Tabla17[[#This Row],[INVENTARIO FISICO ]]-Tabla17[[#This Row],[BUFFER REAL]]</f>
        <v>#REF!</v>
      </c>
      <c r="AH76" s="27"/>
      <c r="AI76" s="80"/>
      <c r="AJ76" s="80">
        <f>Tabla17[[#This Row],[SINOCHEM EN TRANSITO  ]]+Tabla17[[#This Row],[TRANSITO LOCAL]]</f>
        <v>0</v>
      </c>
      <c r="AK76" s="80">
        <v>500</v>
      </c>
      <c r="AL76" s="80"/>
      <c r="AM76" s="124" t="e">
        <f>Tabla17[[#This Row],[INVENTARIO FISICO ]]-Tabla17[[#This Row],[BUFFER REAL]]+Tabla17[[#This Row],[SINOCHEM EN TRANSITO  ]]+Tabla17[[#This Row],[TRANSITO LOCAL]]</f>
        <v>#REF!</v>
      </c>
      <c r="AN76" s="128">
        <f>Tabla17[[#This Row],[BUFFER REAL]]/((Tabla17[[#This Row],[TIEMPO REPOSICION ]]/Tabla17[[#This Row],[FRECUENCIA]])+1)</f>
        <v>0</v>
      </c>
      <c r="AO76" s="80">
        <v>500</v>
      </c>
      <c r="AP76" s="77">
        <v>0</v>
      </c>
      <c r="AQ76" s="77"/>
      <c r="AR76" s="27">
        <v>0</v>
      </c>
    </row>
    <row r="77" spans="1:44" s="7" customFormat="1">
      <c r="A77" s="18" t="s">
        <v>289</v>
      </c>
      <c r="B77" s="18" t="s">
        <v>290</v>
      </c>
      <c r="C77" s="7" t="s">
        <v>697</v>
      </c>
      <c r="D77" s="7" t="s">
        <v>716</v>
      </c>
      <c r="H77" s="7" t="s">
        <v>718</v>
      </c>
      <c r="I77" s="7" t="s">
        <v>724</v>
      </c>
      <c r="J77" s="7" t="s">
        <v>718</v>
      </c>
      <c r="K77" s="13">
        <v>0</v>
      </c>
      <c r="L77" s="13">
        <f t="shared" si="2"/>
        <v>0</v>
      </c>
      <c r="M77" s="13">
        <v>0.14784</v>
      </c>
      <c r="N77" s="13"/>
      <c r="O77" s="13">
        <v>500</v>
      </c>
      <c r="P77" s="13" t="s">
        <v>808</v>
      </c>
      <c r="Q77" s="13" t="s">
        <v>802</v>
      </c>
      <c r="R77" s="7">
        <v>4</v>
      </c>
      <c r="S77" s="7">
        <v>6</v>
      </c>
      <c r="T77" s="7">
        <v>1</v>
      </c>
      <c r="U77" s="13">
        <v>317</v>
      </c>
      <c r="V77" s="13">
        <v>317</v>
      </c>
      <c r="W77" s="13">
        <f>Tabla17[[#This Row],[CONSUMO TOTAL PRO VALO]]/52</f>
        <v>6.0961538461538458</v>
      </c>
      <c r="X77" s="21">
        <v>0</v>
      </c>
      <c r="Y77" s="13">
        <v>0</v>
      </c>
      <c r="Z77" s="13">
        <f>Tabla17[[#This Row],[CONSUMO TOTAL TODAS]]/52</f>
        <v>0</v>
      </c>
      <c r="AA77" s="25">
        <f>Tabla17[[#This Row],[CONSUMO PROMEDIO PROPIO]]+Tabla17[[#This Row],[CONSUMO PROMEDIO TODAS]]</f>
        <v>6.0961538461538458</v>
      </c>
      <c r="AB77" s="26">
        <f>Tabla17[[#This Row],[CONSUMO PROMEDIO TOTAL]]*(Tabla17[[#This Row],[FRECUENCIA]]+Tabla17[[#This Row],[TIEMPO REPOSICION ]])*1.7</f>
        <v>103.63461538461537</v>
      </c>
      <c r="AC77" s="26">
        <v>300</v>
      </c>
      <c r="AD77" s="26">
        <v>300</v>
      </c>
      <c r="AE77" s="3" t="e">
        <f>VLOOKUP(Tabla17[[#This Row],[CODIGO ]],#REF!,2,0)</f>
        <v>#REF!</v>
      </c>
      <c r="AF77" s="2">
        <f>IFERROR(VLOOKUP(Tabla17[[#This Row],[CODIGO ]],#REF!,2,0),0)</f>
        <v>0</v>
      </c>
      <c r="AG77" s="80" t="e">
        <f>Tabla17[[#This Row],[INVENTARIO FISICO ]]-Tabla17[[#This Row],[BUFFER REAL]]</f>
        <v>#REF!</v>
      </c>
      <c r="AH77" s="27"/>
      <c r="AI77" s="80"/>
      <c r="AJ77" s="80">
        <f>Tabla17[[#This Row],[SINOCHEM EN TRANSITO  ]]+Tabla17[[#This Row],[TRANSITO LOCAL]]</f>
        <v>0</v>
      </c>
      <c r="AK77" s="80">
        <v>500</v>
      </c>
      <c r="AL77" s="80"/>
      <c r="AM77" s="124" t="e">
        <f>Tabla17[[#This Row],[INVENTARIO FISICO ]]-Tabla17[[#This Row],[BUFFER REAL]]+Tabla17[[#This Row],[SINOCHEM EN TRANSITO  ]]+Tabla17[[#This Row],[TRANSITO LOCAL]]</f>
        <v>#REF!</v>
      </c>
      <c r="AN77" s="128">
        <f>Tabla17[[#This Row],[BUFFER REAL]]/((Tabla17[[#This Row],[TIEMPO REPOSICION ]]/Tabla17[[#This Row],[FRECUENCIA]])+1)</f>
        <v>120</v>
      </c>
      <c r="AO77" s="80">
        <v>0</v>
      </c>
      <c r="AP77" s="77">
        <v>0</v>
      </c>
      <c r="AQ77" s="77"/>
      <c r="AR77" s="27">
        <v>0</v>
      </c>
    </row>
    <row r="78" spans="1:44" s="7" customFormat="1">
      <c r="A78" s="18" t="s">
        <v>291</v>
      </c>
      <c r="B78" s="18" t="s">
        <v>292</v>
      </c>
      <c r="C78" s="7" t="s">
        <v>697</v>
      </c>
      <c r="D78" s="7" t="s">
        <v>716</v>
      </c>
      <c r="H78" s="7" t="s">
        <v>718</v>
      </c>
      <c r="I78" s="7" t="s">
        <v>724</v>
      </c>
      <c r="J78" s="7" t="s">
        <v>718</v>
      </c>
      <c r="K78" s="13">
        <v>0</v>
      </c>
      <c r="L78" s="13">
        <f t="shared" si="2"/>
        <v>0</v>
      </c>
      <c r="M78" s="13">
        <v>0.10602</v>
      </c>
      <c r="N78" s="13"/>
      <c r="O78" s="13">
        <v>500</v>
      </c>
      <c r="P78" s="13" t="s">
        <v>808</v>
      </c>
      <c r="Q78" s="13" t="s">
        <v>802</v>
      </c>
      <c r="R78" s="7">
        <v>4</v>
      </c>
      <c r="S78" s="7">
        <v>6</v>
      </c>
      <c r="T78" s="7">
        <v>1</v>
      </c>
      <c r="U78" s="13">
        <v>720</v>
      </c>
      <c r="V78" s="13">
        <v>720</v>
      </c>
      <c r="W78" s="13">
        <f>Tabla17[[#This Row],[CONSUMO TOTAL PRO VALO]]/52</f>
        <v>13.846153846153847</v>
      </c>
      <c r="X78" s="21">
        <v>0</v>
      </c>
      <c r="Y78" s="13">
        <v>0</v>
      </c>
      <c r="Z78" s="13">
        <f>Tabla17[[#This Row],[CONSUMO TOTAL TODAS]]/52</f>
        <v>0</v>
      </c>
      <c r="AA78" s="25">
        <f>Tabla17[[#This Row],[CONSUMO PROMEDIO PROPIO]]+Tabla17[[#This Row],[CONSUMO PROMEDIO TODAS]]</f>
        <v>13.846153846153847</v>
      </c>
      <c r="AB78" s="26">
        <f>Tabla17[[#This Row],[CONSUMO PROMEDIO TOTAL]]*(Tabla17[[#This Row],[FRECUENCIA]]+Tabla17[[#This Row],[TIEMPO REPOSICION ]])*1.7</f>
        <v>235.38461538461536</v>
      </c>
      <c r="AC78" s="26">
        <v>300</v>
      </c>
      <c r="AD78" s="26">
        <v>300</v>
      </c>
      <c r="AE78" s="3" t="e">
        <f>VLOOKUP(Tabla17[[#This Row],[CODIGO ]],#REF!,2,0)</f>
        <v>#REF!</v>
      </c>
      <c r="AF78" s="2">
        <f>IFERROR(VLOOKUP(Tabla17[[#This Row],[CODIGO ]],#REF!,2,0),0)</f>
        <v>0</v>
      </c>
      <c r="AG78" s="80" t="e">
        <f>Tabla17[[#This Row],[INVENTARIO FISICO ]]-Tabla17[[#This Row],[BUFFER REAL]]</f>
        <v>#REF!</v>
      </c>
      <c r="AH78" s="27"/>
      <c r="AI78" s="118"/>
      <c r="AJ78" s="118">
        <f>Tabla17[[#This Row],[SINOCHEM EN TRANSITO  ]]+Tabla17[[#This Row],[TRANSITO LOCAL]]</f>
        <v>0</v>
      </c>
      <c r="AK78" s="80">
        <v>500</v>
      </c>
      <c r="AL78" s="80"/>
      <c r="AM78" s="124" t="e">
        <f>Tabla17[[#This Row],[INVENTARIO FISICO ]]-Tabla17[[#This Row],[BUFFER REAL]]+Tabla17[[#This Row],[SINOCHEM EN TRANSITO  ]]+Tabla17[[#This Row],[TRANSITO LOCAL]]</f>
        <v>#REF!</v>
      </c>
      <c r="AN78" s="128">
        <f>Tabla17[[#This Row],[BUFFER REAL]]/((Tabla17[[#This Row],[TIEMPO REPOSICION ]]/Tabla17[[#This Row],[FRECUENCIA]])+1)</f>
        <v>120</v>
      </c>
      <c r="AO78" s="80">
        <v>0</v>
      </c>
      <c r="AP78" s="77">
        <v>0</v>
      </c>
      <c r="AQ78" s="77"/>
      <c r="AR78" s="27">
        <v>0</v>
      </c>
    </row>
    <row r="79" spans="1:44" s="7" customFormat="1">
      <c r="A79" s="18" t="s">
        <v>293</v>
      </c>
      <c r="B79" s="18" t="s">
        <v>294</v>
      </c>
      <c r="C79" s="7" t="s">
        <v>697</v>
      </c>
      <c r="D79" s="7" t="s">
        <v>716</v>
      </c>
      <c r="H79" s="7" t="s">
        <v>718</v>
      </c>
      <c r="I79" s="7" t="s">
        <v>724</v>
      </c>
      <c r="J79" s="7" t="s">
        <v>718</v>
      </c>
      <c r="K79" s="13">
        <v>0</v>
      </c>
      <c r="L79" s="13">
        <f t="shared" si="2"/>
        <v>0</v>
      </c>
      <c r="M79" s="13">
        <v>0.1426</v>
      </c>
      <c r="N79" s="13"/>
      <c r="O79" s="13">
        <v>500</v>
      </c>
      <c r="P79" s="13" t="s">
        <v>808</v>
      </c>
      <c r="Q79" s="13" t="s">
        <v>802</v>
      </c>
      <c r="R79" s="7">
        <v>4</v>
      </c>
      <c r="S79" s="7">
        <v>6</v>
      </c>
      <c r="T79" s="7">
        <v>1</v>
      </c>
      <c r="U79" s="13">
        <v>2692</v>
      </c>
      <c r="V79" s="13">
        <v>2692</v>
      </c>
      <c r="W79" s="13">
        <f>Tabla17[[#This Row],[CONSUMO TOTAL PRO VALO]]/52</f>
        <v>51.769230769230766</v>
      </c>
      <c r="X79" s="21">
        <v>0</v>
      </c>
      <c r="Y79" s="13">
        <v>0</v>
      </c>
      <c r="Z79" s="13">
        <f>Tabla17[[#This Row],[CONSUMO TOTAL TODAS]]/52</f>
        <v>0</v>
      </c>
      <c r="AA79" s="25">
        <f>Tabla17[[#This Row],[CONSUMO PROMEDIO PROPIO]]+Tabla17[[#This Row],[CONSUMO PROMEDIO TODAS]]</f>
        <v>51.769230769230766</v>
      </c>
      <c r="AB79" s="26">
        <f>Tabla17[[#This Row],[CONSUMO PROMEDIO TOTAL]]*(Tabla17[[#This Row],[FRECUENCIA]]+Tabla17[[#This Row],[TIEMPO REPOSICION ]])*1.7</f>
        <v>880.07692307692298</v>
      </c>
      <c r="AC79" s="26">
        <v>500</v>
      </c>
      <c r="AD79" s="26">
        <v>500</v>
      </c>
      <c r="AE79" s="3" t="e">
        <f>VLOOKUP(Tabla17[[#This Row],[CODIGO ]],#REF!,2,0)</f>
        <v>#REF!</v>
      </c>
      <c r="AF79" s="2">
        <f>IFERROR(VLOOKUP(Tabla17[[#This Row],[CODIGO ]],#REF!,2,0),0)</f>
        <v>0</v>
      </c>
      <c r="AG79" s="80" t="e">
        <f>Tabla17[[#This Row],[INVENTARIO FISICO ]]-Tabla17[[#This Row],[BUFFER REAL]]</f>
        <v>#REF!</v>
      </c>
      <c r="AH79" s="27"/>
      <c r="AI79" s="80">
        <v>1000</v>
      </c>
      <c r="AJ79" s="80">
        <f>Tabla17[[#This Row],[SINOCHEM EN TRANSITO  ]]+Tabla17[[#This Row],[TRANSITO LOCAL]]</f>
        <v>1000</v>
      </c>
      <c r="AK79" s="80">
        <v>500</v>
      </c>
      <c r="AL79" s="80"/>
      <c r="AM79" s="124" t="e">
        <f>Tabla17[[#This Row],[INVENTARIO FISICO ]]-Tabla17[[#This Row],[BUFFER REAL]]+Tabla17[[#This Row],[SINOCHEM EN TRANSITO  ]]+Tabla17[[#This Row],[TRANSITO LOCAL]]</f>
        <v>#REF!</v>
      </c>
      <c r="AN79" s="128">
        <f>Tabla17[[#This Row],[BUFFER REAL]]/((Tabla17[[#This Row],[TIEMPO REPOSICION ]]/Tabla17[[#This Row],[FRECUENCIA]])+1)</f>
        <v>200</v>
      </c>
      <c r="AO79" s="80">
        <v>0</v>
      </c>
      <c r="AP79" s="77">
        <v>230</v>
      </c>
      <c r="AQ79" s="77"/>
      <c r="AR79" s="27">
        <v>0</v>
      </c>
    </row>
    <row r="80" spans="1:44" s="7" customFormat="1">
      <c r="A80" s="18" t="s">
        <v>295</v>
      </c>
      <c r="B80" s="18" t="s">
        <v>296</v>
      </c>
      <c r="C80" s="7" t="s">
        <v>697</v>
      </c>
      <c r="D80" s="7" t="s">
        <v>716</v>
      </c>
      <c r="H80" s="7" t="s">
        <v>718</v>
      </c>
      <c r="I80" s="7" t="s">
        <v>724</v>
      </c>
      <c r="J80" s="7" t="s">
        <v>718</v>
      </c>
      <c r="K80" s="13">
        <v>0</v>
      </c>
      <c r="L80" s="13">
        <f t="shared" si="2"/>
        <v>0</v>
      </c>
      <c r="M80" s="13">
        <v>0.13818</v>
      </c>
      <c r="N80" s="13"/>
      <c r="O80" s="13">
        <v>500</v>
      </c>
      <c r="P80" s="13" t="s">
        <v>808</v>
      </c>
      <c r="Q80" s="13" t="s">
        <v>802</v>
      </c>
      <c r="R80" s="7">
        <v>4</v>
      </c>
      <c r="S80" s="7">
        <v>6</v>
      </c>
      <c r="T80" s="7">
        <v>1</v>
      </c>
      <c r="U80" s="13">
        <v>249</v>
      </c>
      <c r="V80" s="13">
        <v>249</v>
      </c>
      <c r="W80" s="13">
        <f>Tabla17[[#This Row],[CONSUMO TOTAL PRO VALO]]/52</f>
        <v>4.7884615384615383</v>
      </c>
      <c r="X80" s="21">
        <v>0</v>
      </c>
      <c r="Y80" s="13">
        <v>0</v>
      </c>
      <c r="Z80" s="13">
        <f>Tabla17[[#This Row],[CONSUMO TOTAL TODAS]]/52</f>
        <v>0</v>
      </c>
      <c r="AA80" s="25">
        <f>Tabla17[[#This Row],[CONSUMO PROMEDIO PROPIO]]+Tabla17[[#This Row],[CONSUMO PROMEDIO TODAS]]</f>
        <v>4.7884615384615383</v>
      </c>
      <c r="AB80" s="26">
        <f>Tabla17[[#This Row],[CONSUMO PROMEDIO TOTAL]]*(Tabla17[[#This Row],[FRECUENCIA]]+Tabla17[[#This Row],[TIEMPO REPOSICION ]])*1.7</f>
        <v>81.40384615384616</v>
      </c>
      <c r="AC80" s="26">
        <v>500</v>
      </c>
      <c r="AD80" s="26">
        <v>500</v>
      </c>
      <c r="AE80" s="3" t="e">
        <f>VLOOKUP(Tabla17[[#This Row],[CODIGO ]],#REF!,2,0)</f>
        <v>#REF!</v>
      </c>
      <c r="AF80" s="2">
        <f>IFERROR(VLOOKUP(Tabla17[[#This Row],[CODIGO ]],#REF!,2,0),0)</f>
        <v>0</v>
      </c>
      <c r="AG80" s="80" t="e">
        <f>Tabla17[[#This Row],[INVENTARIO FISICO ]]-Tabla17[[#This Row],[BUFFER REAL]]</f>
        <v>#REF!</v>
      </c>
      <c r="AH80" s="27"/>
      <c r="AI80" s="80"/>
      <c r="AJ80" s="80">
        <f>Tabla17[[#This Row],[SINOCHEM EN TRANSITO  ]]+Tabla17[[#This Row],[TRANSITO LOCAL]]</f>
        <v>0</v>
      </c>
      <c r="AK80" s="80">
        <v>500</v>
      </c>
      <c r="AL80" s="80"/>
      <c r="AM80" s="124" t="e">
        <f>Tabla17[[#This Row],[INVENTARIO FISICO ]]-Tabla17[[#This Row],[BUFFER REAL]]+Tabla17[[#This Row],[SINOCHEM EN TRANSITO  ]]+Tabla17[[#This Row],[TRANSITO LOCAL]]</f>
        <v>#REF!</v>
      </c>
      <c r="AN80" s="128">
        <f>Tabla17[[#This Row],[BUFFER REAL]]/((Tabla17[[#This Row],[TIEMPO REPOSICION ]]/Tabla17[[#This Row],[FRECUENCIA]])+1)</f>
        <v>200</v>
      </c>
      <c r="AO80" s="80">
        <v>500</v>
      </c>
      <c r="AP80" s="77">
        <v>277</v>
      </c>
      <c r="AQ80" s="77"/>
      <c r="AR80" s="27">
        <v>200</v>
      </c>
    </row>
    <row r="81" spans="1:44" s="7" customFormat="1">
      <c r="A81" s="18" t="s">
        <v>297</v>
      </c>
      <c r="B81" s="18" t="s">
        <v>298</v>
      </c>
      <c r="C81" s="7" t="s">
        <v>697</v>
      </c>
      <c r="D81" s="7" t="s">
        <v>716</v>
      </c>
      <c r="H81" s="7" t="s">
        <v>718</v>
      </c>
      <c r="I81" s="7" t="s">
        <v>724</v>
      </c>
      <c r="J81" s="7" t="s">
        <v>718</v>
      </c>
      <c r="K81" s="13">
        <v>0</v>
      </c>
      <c r="L81" s="13">
        <f t="shared" si="2"/>
        <v>0</v>
      </c>
      <c r="M81" s="13">
        <v>0.10363</v>
      </c>
      <c r="N81" s="13"/>
      <c r="O81" s="13">
        <v>500</v>
      </c>
      <c r="P81" s="13" t="s">
        <v>808</v>
      </c>
      <c r="Q81" s="13" t="s">
        <v>802</v>
      </c>
      <c r="R81" s="7">
        <v>4</v>
      </c>
      <c r="S81" s="7">
        <v>6</v>
      </c>
      <c r="T81" s="7">
        <v>1</v>
      </c>
      <c r="U81" s="13">
        <v>487</v>
      </c>
      <c r="V81" s="13">
        <v>487</v>
      </c>
      <c r="W81" s="13">
        <f>Tabla17[[#This Row],[CONSUMO TOTAL PRO VALO]]/52</f>
        <v>9.365384615384615</v>
      </c>
      <c r="X81" s="21">
        <v>0</v>
      </c>
      <c r="Y81" s="13">
        <v>0</v>
      </c>
      <c r="Z81" s="13">
        <f>Tabla17[[#This Row],[CONSUMO TOTAL TODAS]]/52</f>
        <v>0</v>
      </c>
      <c r="AA81" s="25">
        <f>Tabla17[[#This Row],[CONSUMO PROMEDIO PROPIO]]+Tabla17[[#This Row],[CONSUMO PROMEDIO TODAS]]</f>
        <v>9.365384615384615</v>
      </c>
      <c r="AB81" s="26">
        <f>Tabla17[[#This Row],[CONSUMO PROMEDIO TOTAL]]*(Tabla17[[#This Row],[FRECUENCIA]]+Tabla17[[#This Row],[TIEMPO REPOSICION ]])*1.7</f>
        <v>159.21153846153845</v>
      </c>
      <c r="AC81" s="26">
        <v>300</v>
      </c>
      <c r="AD81" s="26">
        <v>300</v>
      </c>
      <c r="AE81" s="3" t="e">
        <f>VLOOKUP(Tabla17[[#This Row],[CODIGO ]],#REF!,2,0)</f>
        <v>#REF!</v>
      </c>
      <c r="AF81" s="2">
        <f>IFERROR(VLOOKUP(Tabla17[[#This Row],[CODIGO ]],#REF!,2,0),0)</f>
        <v>0</v>
      </c>
      <c r="AG81" s="80" t="e">
        <f>Tabla17[[#This Row],[INVENTARIO FISICO ]]-Tabla17[[#This Row],[BUFFER REAL]]</f>
        <v>#REF!</v>
      </c>
      <c r="AH81" s="27"/>
      <c r="AI81" s="80"/>
      <c r="AJ81" s="80">
        <f>Tabla17[[#This Row],[SINOCHEM EN TRANSITO  ]]+Tabla17[[#This Row],[TRANSITO LOCAL]]</f>
        <v>0</v>
      </c>
      <c r="AK81" s="80">
        <v>500</v>
      </c>
      <c r="AL81" s="80"/>
      <c r="AM81" s="124" t="e">
        <f>Tabla17[[#This Row],[INVENTARIO FISICO ]]-Tabla17[[#This Row],[BUFFER REAL]]+Tabla17[[#This Row],[SINOCHEM EN TRANSITO  ]]+Tabla17[[#This Row],[TRANSITO LOCAL]]</f>
        <v>#REF!</v>
      </c>
      <c r="AN81" s="128">
        <f>Tabla17[[#This Row],[BUFFER REAL]]/((Tabla17[[#This Row],[TIEMPO REPOSICION ]]/Tabla17[[#This Row],[FRECUENCIA]])+1)</f>
        <v>120</v>
      </c>
      <c r="AO81" s="80">
        <v>0</v>
      </c>
      <c r="AP81" s="77">
        <v>0</v>
      </c>
      <c r="AQ81" s="77"/>
      <c r="AR81" s="27">
        <v>63</v>
      </c>
    </row>
    <row r="82" spans="1:44" s="7" customFormat="1">
      <c r="A82" s="18" t="s">
        <v>299</v>
      </c>
      <c r="B82" s="18" t="s">
        <v>300</v>
      </c>
      <c r="C82" s="7" t="s">
        <v>697</v>
      </c>
      <c r="D82" s="7" t="s">
        <v>716</v>
      </c>
      <c r="H82" s="7" t="s">
        <v>718</v>
      </c>
      <c r="I82" s="7" t="s">
        <v>724</v>
      </c>
      <c r="J82" s="7" t="s">
        <v>718</v>
      </c>
      <c r="K82" s="13">
        <v>0</v>
      </c>
      <c r="L82" s="13">
        <f t="shared" si="2"/>
        <v>0</v>
      </c>
      <c r="M82" s="13">
        <v>0.15426999999999999</v>
      </c>
      <c r="N82" s="13"/>
      <c r="O82" s="13">
        <v>500</v>
      </c>
      <c r="P82" s="13" t="s">
        <v>808</v>
      </c>
      <c r="Q82" s="13" t="s">
        <v>802</v>
      </c>
      <c r="R82" s="7">
        <v>4</v>
      </c>
      <c r="S82" s="7">
        <v>6</v>
      </c>
      <c r="T82" s="7">
        <v>1</v>
      </c>
      <c r="U82" s="13">
        <v>319</v>
      </c>
      <c r="V82" s="13">
        <v>319</v>
      </c>
      <c r="W82" s="13">
        <f>Tabla17[[#This Row],[CONSUMO TOTAL PRO VALO]]/52</f>
        <v>6.134615384615385</v>
      </c>
      <c r="X82" s="21">
        <v>0</v>
      </c>
      <c r="Y82" s="13">
        <v>0</v>
      </c>
      <c r="Z82" s="13">
        <f>Tabla17[[#This Row],[CONSUMO TOTAL TODAS]]/52</f>
        <v>0</v>
      </c>
      <c r="AA82" s="25">
        <f>Tabla17[[#This Row],[CONSUMO PROMEDIO PROPIO]]+Tabla17[[#This Row],[CONSUMO PROMEDIO TODAS]]</f>
        <v>6.134615384615385</v>
      </c>
      <c r="AB82" s="26">
        <f>Tabla17[[#This Row],[CONSUMO PROMEDIO TOTAL]]*(Tabla17[[#This Row],[FRECUENCIA]]+Tabla17[[#This Row],[TIEMPO REPOSICION ]])*1.7</f>
        <v>104.28846153846155</v>
      </c>
      <c r="AC82" s="26">
        <v>300</v>
      </c>
      <c r="AD82" s="26">
        <v>300</v>
      </c>
      <c r="AE82" s="3" t="e">
        <f>VLOOKUP(Tabla17[[#This Row],[CODIGO ]],#REF!,2,0)</f>
        <v>#REF!</v>
      </c>
      <c r="AF82" s="2">
        <f>IFERROR(VLOOKUP(Tabla17[[#This Row],[CODIGO ]],#REF!,2,0),0)</f>
        <v>0</v>
      </c>
      <c r="AG82" s="80" t="e">
        <f>Tabla17[[#This Row],[INVENTARIO FISICO ]]-Tabla17[[#This Row],[BUFFER REAL]]</f>
        <v>#REF!</v>
      </c>
      <c r="AH82" s="27"/>
      <c r="AI82" s="80"/>
      <c r="AJ82" s="80">
        <f>Tabla17[[#This Row],[SINOCHEM EN TRANSITO  ]]+Tabla17[[#This Row],[TRANSITO LOCAL]]</f>
        <v>0</v>
      </c>
      <c r="AK82" s="80">
        <v>500</v>
      </c>
      <c r="AL82" s="80"/>
      <c r="AM82" s="124" t="e">
        <f>Tabla17[[#This Row],[INVENTARIO FISICO ]]-Tabla17[[#This Row],[BUFFER REAL]]+Tabla17[[#This Row],[SINOCHEM EN TRANSITO  ]]+Tabla17[[#This Row],[TRANSITO LOCAL]]</f>
        <v>#REF!</v>
      </c>
      <c r="AN82" s="128">
        <f>Tabla17[[#This Row],[BUFFER REAL]]/((Tabla17[[#This Row],[TIEMPO REPOSICION ]]/Tabla17[[#This Row],[FRECUENCIA]])+1)</f>
        <v>120</v>
      </c>
      <c r="AO82" s="80">
        <v>0</v>
      </c>
      <c r="AP82" s="77">
        <v>0</v>
      </c>
      <c r="AQ82" s="77"/>
      <c r="AR82" s="27">
        <v>0</v>
      </c>
    </row>
    <row r="83" spans="1:44" s="7" customFormat="1">
      <c r="A83" s="18" t="s">
        <v>301</v>
      </c>
      <c r="B83" s="18" t="s">
        <v>302</v>
      </c>
      <c r="C83" s="7" t="s">
        <v>697</v>
      </c>
      <c r="D83" s="7" t="s">
        <v>716</v>
      </c>
      <c r="H83" s="7" t="s">
        <v>718</v>
      </c>
      <c r="I83" s="7" t="s">
        <v>724</v>
      </c>
      <c r="J83" s="7" t="s">
        <v>718</v>
      </c>
      <c r="K83" s="13">
        <v>0</v>
      </c>
      <c r="L83" s="13">
        <f t="shared" si="2"/>
        <v>0</v>
      </c>
      <c r="M83" s="13">
        <v>0.18895999999999999</v>
      </c>
      <c r="N83" s="13"/>
      <c r="O83" s="13">
        <v>500</v>
      </c>
      <c r="P83" s="13" t="s">
        <v>808</v>
      </c>
      <c r="Q83" s="13" t="s">
        <v>802</v>
      </c>
      <c r="R83" s="7">
        <v>4</v>
      </c>
      <c r="S83" s="7">
        <v>6</v>
      </c>
      <c r="T83" s="7">
        <v>1</v>
      </c>
      <c r="U83" s="13">
        <v>1260</v>
      </c>
      <c r="V83" s="13">
        <v>1260</v>
      </c>
      <c r="W83" s="13">
        <f>Tabla17[[#This Row],[CONSUMO TOTAL PRO VALO]]/52</f>
        <v>24.23076923076923</v>
      </c>
      <c r="X83" s="21">
        <v>0</v>
      </c>
      <c r="Y83" s="13">
        <v>0</v>
      </c>
      <c r="Z83" s="13">
        <f>Tabla17[[#This Row],[CONSUMO TOTAL TODAS]]/52</f>
        <v>0</v>
      </c>
      <c r="AA83" s="25">
        <f>Tabla17[[#This Row],[CONSUMO PROMEDIO PROPIO]]+Tabla17[[#This Row],[CONSUMO PROMEDIO TODAS]]</f>
        <v>24.23076923076923</v>
      </c>
      <c r="AB83" s="26">
        <f>Tabla17[[#This Row],[CONSUMO PROMEDIO TOTAL]]*(Tabla17[[#This Row],[FRECUENCIA]]+Tabla17[[#This Row],[TIEMPO REPOSICION ]])*1.7</f>
        <v>411.92307692307691</v>
      </c>
      <c r="AC83" s="26">
        <v>300</v>
      </c>
      <c r="AD83" s="26">
        <v>300</v>
      </c>
      <c r="AE83" s="3" t="e">
        <f>VLOOKUP(Tabla17[[#This Row],[CODIGO ]],#REF!,2,0)</f>
        <v>#REF!</v>
      </c>
      <c r="AF83" s="2">
        <f>IFERROR(VLOOKUP(Tabla17[[#This Row],[CODIGO ]],#REF!,2,0),0)</f>
        <v>0</v>
      </c>
      <c r="AG83" s="80" t="e">
        <f>Tabla17[[#This Row],[INVENTARIO FISICO ]]-Tabla17[[#This Row],[BUFFER REAL]]</f>
        <v>#REF!</v>
      </c>
      <c r="AH83" s="27"/>
      <c r="AI83" s="80"/>
      <c r="AJ83" s="80">
        <f>Tabla17[[#This Row],[SINOCHEM EN TRANSITO  ]]+Tabla17[[#This Row],[TRANSITO LOCAL]]</f>
        <v>0</v>
      </c>
      <c r="AK83" s="80">
        <v>500</v>
      </c>
      <c r="AL83" s="80"/>
      <c r="AM83" s="124" t="e">
        <f>Tabla17[[#This Row],[INVENTARIO FISICO ]]-Tabla17[[#This Row],[BUFFER REAL]]+Tabla17[[#This Row],[SINOCHEM EN TRANSITO  ]]+Tabla17[[#This Row],[TRANSITO LOCAL]]</f>
        <v>#REF!</v>
      </c>
      <c r="AN83" s="128">
        <f>Tabla17[[#This Row],[BUFFER REAL]]/((Tabla17[[#This Row],[TIEMPO REPOSICION ]]/Tabla17[[#This Row],[FRECUENCIA]])+1)</f>
        <v>120</v>
      </c>
      <c r="AO83" s="80">
        <v>0</v>
      </c>
      <c r="AP83" s="77">
        <v>0</v>
      </c>
      <c r="AQ83" s="77"/>
      <c r="AR83" s="27">
        <v>0</v>
      </c>
    </row>
    <row r="84" spans="1:44" s="7" customFormat="1">
      <c r="A84" s="18" t="s">
        <v>303</v>
      </c>
      <c r="B84" s="18" t="s">
        <v>304</v>
      </c>
      <c r="C84" s="7" t="s">
        <v>697</v>
      </c>
      <c r="D84" s="7" t="s">
        <v>716</v>
      </c>
      <c r="H84" s="7" t="s">
        <v>718</v>
      </c>
      <c r="I84" s="7" t="s">
        <v>724</v>
      </c>
      <c r="J84" s="7" t="s">
        <v>718</v>
      </c>
      <c r="K84" s="13">
        <v>0</v>
      </c>
      <c r="L84" s="13">
        <f t="shared" si="2"/>
        <v>0</v>
      </c>
      <c r="M84" s="13">
        <v>0.20699999999999999</v>
      </c>
      <c r="N84" s="13"/>
      <c r="O84" s="13">
        <v>500</v>
      </c>
      <c r="P84" s="13" t="s">
        <v>808</v>
      </c>
      <c r="Q84" s="13" t="s">
        <v>802</v>
      </c>
      <c r="R84" s="7">
        <v>4</v>
      </c>
      <c r="S84" s="7">
        <v>6</v>
      </c>
      <c r="T84" s="7">
        <v>1</v>
      </c>
      <c r="U84" s="13">
        <v>150</v>
      </c>
      <c r="V84" s="13">
        <v>150</v>
      </c>
      <c r="W84" s="13">
        <f>Tabla17[[#This Row],[CONSUMO TOTAL PRO VALO]]/52</f>
        <v>2.8846153846153846</v>
      </c>
      <c r="X84" s="21">
        <v>0</v>
      </c>
      <c r="Y84" s="13">
        <v>0</v>
      </c>
      <c r="Z84" s="13">
        <f>Tabla17[[#This Row],[CONSUMO TOTAL TODAS]]/52</f>
        <v>0</v>
      </c>
      <c r="AA84" s="25">
        <f>Tabla17[[#This Row],[CONSUMO PROMEDIO PROPIO]]+Tabla17[[#This Row],[CONSUMO PROMEDIO TODAS]]</f>
        <v>2.8846153846153846</v>
      </c>
      <c r="AB84" s="26">
        <f>Tabla17[[#This Row],[CONSUMO PROMEDIO TOTAL]]*(Tabla17[[#This Row],[FRECUENCIA]]+Tabla17[[#This Row],[TIEMPO REPOSICION ]])*1.7</f>
        <v>49.03846153846154</v>
      </c>
      <c r="AC84" s="26">
        <v>300</v>
      </c>
      <c r="AD84" s="26">
        <v>300</v>
      </c>
      <c r="AE84" s="3" t="e">
        <f>VLOOKUP(Tabla17[[#This Row],[CODIGO ]],#REF!,2,0)</f>
        <v>#REF!</v>
      </c>
      <c r="AF84" s="2">
        <f>IFERROR(VLOOKUP(Tabla17[[#This Row],[CODIGO ]],#REF!,2,0),0)</f>
        <v>0</v>
      </c>
      <c r="AG84" s="80" t="e">
        <f>Tabla17[[#This Row],[INVENTARIO FISICO ]]-Tabla17[[#This Row],[BUFFER REAL]]</f>
        <v>#REF!</v>
      </c>
      <c r="AH84" s="27"/>
      <c r="AI84" s="80"/>
      <c r="AJ84" s="80">
        <f>Tabla17[[#This Row],[SINOCHEM EN TRANSITO  ]]+Tabla17[[#This Row],[TRANSITO LOCAL]]</f>
        <v>0</v>
      </c>
      <c r="AK84" s="80">
        <v>500</v>
      </c>
      <c r="AL84" s="80"/>
      <c r="AM84" s="124" t="e">
        <f>Tabla17[[#This Row],[INVENTARIO FISICO ]]-Tabla17[[#This Row],[BUFFER REAL]]+Tabla17[[#This Row],[SINOCHEM EN TRANSITO  ]]+Tabla17[[#This Row],[TRANSITO LOCAL]]</f>
        <v>#REF!</v>
      </c>
      <c r="AN84" s="128">
        <f>Tabla17[[#This Row],[BUFFER REAL]]/((Tabla17[[#This Row],[TIEMPO REPOSICION ]]/Tabla17[[#This Row],[FRECUENCIA]])+1)</f>
        <v>120</v>
      </c>
      <c r="AO84" s="80">
        <v>0</v>
      </c>
      <c r="AP84" s="77">
        <v>0</v>
      </c>
      <c r="AQ84" s="77"/>
      <c r="AR84" s="27">
        <v>0</v>
      </c>
    </row>
    <row r="85" spans="1:44" s="7" customFormat="1">
      <c r="A85" s="18" t="s">
        <v>305</v>
      </c>
      <c r="B85" s="18" t="s">
        <v>306</v>
      </c>
      <c r="C85" s="7" t="s">
        <v>697</v>
      </c>
      <c r="D85" s="7" t="s">
        <v>716</v>
      </c>
      <c r="H85" s="7" t="s">
        <v>718</v>
      </c>
      <c r="I85" s="7" t="s">
        <v>724</v>
      </c>
      <c r="J85" s="7" t="s">
        <v>718</v>
      </c>
      <c r="K85" s="13">
        <v>0</v>
      </c>
      <c r="L85" s="13">
        <f t="shared" si="2"/>
        <v>0</v>
      </c>
      <c r="M85" s="13">
        <v>0.25</v>
      </c>
      <c r="N85" s="13"/>
      <c r="O85" s="13">
        <v>500</v>
      </c>
      <c r="P85" s="13" t="s">
        <v>808</v>
      </c>
      <c r="Q85" s="13" t="s">
        <v>802</v>
      </c>
      <c r="R85" s="7">
        <v>4</v>
      </c>
      <c r="S85" s="7">
        <v>6</v>
      </c>
      <c r="T85" s="7">
        <v>1</v>
      </c>
      <c r="U85" s="13">
        <v>40</v>
      </c>
      <c r="V85" s="13">
        <v>40</v>
      </c>
      <c r="W85" s="13">
        <f>Tabla17[[#This Row],[CONSUMO TOTAL PRO VALO]]/52</f>
        <v>0.76923076923076927</v>
      </c>
      <c r="X85" s="21">
        <v>0</v>
      </c>
      <c r="Y85" s="13">
        <v>0</v>
      </c>
      <c r="Z85" s="13">
        <f>Tabla17[[#This Row],[CONSUMO TOTAL TODAS]]/52</f>
        <v>0</v>
      </c>
      <c r="AA85" s="25">
        <f>Tabla17[[#This Row],[CONSUMO PROMEDIO PROPIO]]+Tabla17[[#This Row],[CONSUMO PROMEDIO TODAS]]</f>
        <v>0.76923076923076927</v>
      </c>
      <c r="AB85" s="26">
        <f>Tabla17[[#This Row],[CONSUMO PROMEDIO TOTAL]]*(Tabla17[[#This Row],[FRECUENCIA]]+Tabla17[[#This Row],[TIEMPO REPOSICION ]])*1.7</f>
        <v>13.076923076923077</v>
      </c>
      <c r="AC85" s="26">
        <v>0</v>
      </c>
      <c r="AD85" s="26">
        <v>0</v>
      </c>
      <c r="AE85" s="3" t="e">
        <f>VLOOKUP(Tabla17[[#This Row],[CODIGO ]],#REF!,2,0)</f>
        <v>#REF!</v>
      </c>
      <c r="AF85" s="2">
        <f>IFERROR(VLOOKUP(Tabla17[[#This Row],[CODIGO ]],#REF!,2,0),0)</f>
        <v>0</v>
      </c>
      <c r="AG85" s="80" t="e">
        <f>Tabla17[[#This Row],[INVENTARIO FISICO ]]-Tabla17[[#This Row],[BUFFER REAL]]</f>
        <v>#REF!</v>
      </c>
      <c r="AH85" s="27"/>
      <c r="AI85" s="80"/>
      <c r="AJ85" s="80">
        <f>Tabla17[[#This Row],[SINOCHEM EN TRANSITO  ]]+Tabla17[[#This Row],[TRANSITO LOCAL]]</f>
        <v>0</v>
      </c>
      <c r="AK85" s="80">
        <v>500</v>
      </c>
      <c r="AL85" s="80"/>
      <c r="AM85" s="124" t="e">
        <f>Tabla17[[#This Row],[INVENTARIO FISICO ]]-Tabla17[[#This Row],[BUFFER REAL]]+Tabla17[[#This Row],[SINOCHEM EN TRANSITO  ]]+Tabla17[[#This Row],[TRANSITO LOCAL]]</f>
        <v>#REF!</v>
      </c>
      <c r="AN85" s="128">
        <f>Tabla17[[#This Row],[BUFFER REAL]]/((Tabla17[[#This Row],[TIEMPO REPOSICION ]]/Tabla17[[#This Row],[FRECUENCIA]])+1)</f>
        <v>0</v>
      </c>
      <c r="AO85" s="80">
        <v>0</v>
      </c>
      <c r="AP85" s="77">
        <v>0</v>
      </c>
      <c r="AQ85" s="77"/>
      <c r="AR85" s="27">
        <v>0</v>
      </c>
    </row>
    <row r="86" spans="1:44" s="7" customFormat="1">
      <c r="A86" s="18" t="s">
        <v>307</v>
      </c>
      <c r="B86" s="18" t="s">
        <v>308</v>
      </c>
      <c r="C86" s="7" t="s">
        <v>697</v>
      </c>
      <c r="D86" s="7" t="s">
        <v>716</v>
      </c>
      <c r="H86" s="7" t="s">
        <v>718</v>
      </c>
      <c r="I86" s="7" t="s">
        <v>724</v>
      </c>
      <c r="J86" s="7" t="s">
        <v>718</v>
      </c>
      <c r="K86" s="13">
        <v>0</v>
      </c>
      <c r="L86" s="13">
        <f t="shared" si="2"/>
        <v>0</v>
      </c>
      <c r="M86" s="13">
        <v>0.13328000000000001</v>
      </c>
      <c r="N86" s="13"/>
      <c r="O86" s="13">
        <v>500</v>
      </c>
      <c r="P86" s="13" t="s">
        <v>808</v>
      </c>
      <c r="Q86" s="13" t="s">
        <v>802</v>
      </c>
      <c r="R86" s="7">
        <v>4</v>
      </c>
      <c r="S86" s="7">
        <v>6</v>
      </c>
      <c r="T86" s="7">
        <v>1</v>
      </c>
      <c r="U86" s="13">
        <v>1268</v>
      </c>
      <c r="V86" s="13">
        <v>1268</v>
      </c>
      <c r="W86" s="13">
        <f>Tabla17[[#This Row],[CONSUMO TOTAL PRO VALO]]/52</f>
        <v>24.384615384615383</v>
      </c>
      <c r="X86" s="21">
        <v>0</v>
      </c>
      <c r="Y86" s="13">
        <v>0</v>
      </c>
      <c r="Z86" s="13">
        <f>Tabla17[[#This Row],[CONSUMO TOTAL TODAS]]/52</f>
        <v>0</v>
      </c>
      <c r="AA86" s="25">
        <f>Tabla17[[#This Row],[CONSUMO PROMEDIO PROPIO]]+Tabla17[[#This Row],[CONSUMO PROMEDIO TODAS]]</f>
        <v>24.384615384615383</v>
      </c>
      <c r="AB86" s="26">
        <f>Tabla17[[#This Row],[CONSUMO PROMEDIO TOTAL]]*(Tabla17[[#This Row],[FRECUENCIA]]+Tabla17[[#This Row],[TIEMPO REPOSICION ]])*1.7</f>
        <v>414.53846153846149</v>
      </c>
      <c r="AC86" s="26">
        <v>400</v>
      </c>
      <c r="AD86" s="26">
        <v>400</v>
      </c>
      <c r="AE86" s="3" t="e">
        <f>VLOOKUP(Tabla17[[#This Row],[CODIGO ]],#REF!,2,0)</f>
        <v>#REF!</v>
      </c>
      <c r="AF86" s="2">
        <f>IFERROR(VLOOKUP(Tabla17[[#This Row],[CODIGO ]],#REF!,2,0),0)</f>
        <v>0</v>
      </c>
      <c r="AG86" s="80" t="e">
        <f>Tabla17[[#This Row],[INVENTARIO FISICO ]]-Tabla17[[#This Row],[BUFFER REAL]]</f>
        <v>#REF!</v>
      </c>
      <c r="AH86" s="27"/>
      <c r="AI86" s="80"/>
      <c r="AJ86" s="80">
        <f>Tabla17[[#This Row],[SINOCHEM EN TRANSITO  ]]+Tabla17[[#This Row],[TRANSITO LOCAL]]</f>
        <v>0</v>
      </c>
      <c r="AK86" s="80">
        <v>500</v>
      </c>
      <c r="AL86" s="80"/>
      <c r="AM86" s="124" t="e">
        <f>Tabla17[[#This Row],[INVENTARIO FISICO ]]-Tabla17[[#This Row],[BUFFER REAL]]+Tabla17[[#This Row],[SINOCHEM EN TRANSITO  ]]+Tabla17[[#This Row],[TRANSITO LOCAL]]</f>
        <v>#REF!</v>
      </c>
      <c r="AN86" s="128">
        <f>Tabla17[[#This Row],[BUFFER REAL]]/((Tabla17[[#This Row],[TIEMPO REPOSICION ]]/Tabla17[[#This Row],[FRECUENCIA]])+1)</f>
        <v>160</v>
      </c>
      <c r="AO86" s="80">
        <v>0</v>
      </c>
      <c r="AP86" s="77">
        <v>0</v>
      </c>
      <c r="AQ86" s="77"/>
      <c r="AR86" s="27">
        <v>0</v>
      </c>
    </row>
    <row r="87" spans="1:44" s="7" customFormat="1">
      <c r="A87" s="18" t="s">
        <v>312</v>
      </c>
      <c r="B87" s="18" t="s">
        <v>313</v>
      </c>
      <c r="C87" s="7" t="s">
        <v>689</v>
      </c>
      <c r="D87" s="7" t="s">
        <v>716</v>
      </c>
      <c r="H87" s="7" t="s">
        <v>718</v>
      </c>
      <c r="I87" s="7" t="s">
        <v>724</v>
      </c>
      <c r="J87" s="7" t="s">
        <v>718</v>
      </c>
      <c r="K87" s="13">
        <v>0</v>
      </c>
      <c r="L87" s="13">
        <f t="shared" si="2"/>
        <v>0</v>
      </c>
      <c r="M87" s="13">
        <v>0.13830999999999999</v>
      </c>
      <c r="N87" s="13"/>
      <c r="O87" s="13">
        <v>500</v>
      </c>
      <c r="P87" s="13" t="s">
        <v>808</v>
      </c>
      <c r="Q87" s="13" t="s">
        <v>802</v>
      </c>
      <c r="R87" s="7">
        <v>4</v>
      </c>
      <c r="S87" s="7">
        <v>6</v>
      </c>
      <c r="T87" s="7">
        <v>1</v>
      </c>
      <c r="U87" s="13">
        <v>2421</v>
      </c>
      <c r="V87" s="13">
        <v>2421</v>
      </c>
      <c r="W87" s="13">
        <f>Tabla17[[#This Row],[CONSUMO TOTAL PRO VALO]]/52</f>
        <v>46.557692307692307</v>
      </c>
      <c r="X87" s="21">
        <v>0</v>
      </c>
      <c r="Y87" s="13">
        <v>0</v>
      </c>
      <c r="Z87" s="13">
        <f>Tabla17[[#This Row],[CONSUMO TOTAL TODAS]]/52</f>
        <v>0</v>
      </c>
      <c r="AA87" s="25">
        <f>Tabla17[[#This Row],[CONSUMO PROMEDIO PROPIO]]+Tabla17[[#This Row],[CONSUMO PROMEDIO TODAS]]</f>
        <v>46.557692307692307</v>
      </c>
      <c r="AB87" s="26">
        <f>Tabla17[[#This Row],[CONSUMO PROMEDIO TOTAL]]*(Tabla17[[#This Row],[FRECUENCIA]]+Tabla17[[#This Row],[TIEMPO REPOSICION ]])*1.7</f>
        <v>791.48076923076928</v>
      </c>
      <c r="AC87" s="26">
        <v>1000</v>
      </c>
      <c r="AD87" s="26">
        <v>1000</v>
      </c>
      <c r="AE87" s="3" t="e">
        <f>VLOOKUP(Tabla17[[#This Row],[CODIGO ]],#REF!,2,0)</f>
        <v>#REF!</v>
      </c>
      <c r="AF87" s="2">
        <f>IFERROR(VLOOKUP(Tabla17[[#This Row],[CODIGO ]],#REF!,2,0),0)</f>
        <v>0</v>
      </c>
      <c r="AG87" s="80" t="e">
        <f>Tabla17[[#This Row],[INVENTARIO FISICO ]]-Tabla17[[#This Row],[BUFFER REAL]]</f>
        <v>#REF!</v>
      </c>
      <c r="AH87" s="27"/>
      <c r="AI87" s="80"/>
      <c r="AJ87" s="80">
        <f>Tabla17[[#This Row],[SINOCHEM EN TRANSITO  ]]+Tabla17[[#This Row],[TRANSITO LOCAL]]</f>
        <v>0</v>
      </c>
      <c r="AK87" s="80">
        <v>500</v>
      </c>
      <c r="AL87" s="80"/>
      <c r="AM87" s="124" t="e">
        <f>Tabla17[[#This Row],[INVENTARIO FISICO ]]-Tabla17[[#This Row],[BUFFER REAL]]+Tabla17[[#This Row],[SINOCHEM EN TRANSITO  ]]+Tabla17[[#This Row],[TRANSITO LOCAL]]</f>
        <v>#REF!</v>
      </c>
      <c r="AN87" s="128">
        <f>Tabla17[[#This Row],[BUFFER REAL]]/((Tabla17[[#This Row],[TIEMPO REPOSICION ]]/Tabla17[[#This Row],[FRECUENCIA]])+1)</f>
        <v>400</v>
      </c>
      <c r="AO87" s="80">
        <v>0</v>
      </c>
      <c r="AP87" s="77">
        <v>0</v>
      </c>
      <c r="AQ87" s="77"/>
      <c r="AR87" s="27">
        <v>0</v>
      </c>
    </row>
    <row r="88" spans="1:44" s="7" customFormat="1">
      <c r="A88" s="18" t="s">
        <v>314</v>
      </c>
      <c r="B88" s="18" t="s">
        <v>315</v>
      </c>
      <c r="C88" s="7" t="s">
        <v>2</v>
      </c>
      <c r="D88" s="7" t="s">
        <v>716</v>
      </c>
      <c r="H88" s="7" t="s">
        <v>718</v>
      </c>
      <c r="I88" s="7" t="s">
        <v>724</v>
      </c>
      <c r="J88" s="7" t="s">
        <v>718</v>
      </c>
      <c r="K88" s="13">
        <v>0</v>
      </c>
      <c r="L88" s="13">
        <f t="shared" si="2"/>
        <v>0</v>
      </c>
      <c r="M88" s="13">
        <v>0.16785</v>
      </c>
      <c r="N88" s="13"/>
      <c r="O88" s="13">
        <v>500</v>
      </c>
      <c r="P88" s="13" t="s">
        <v>808</v>
      </c>
      <c r="Q88" s="13" t="s">
        <v>802</v>
      </c>
      <c r="R88" s="7">
        <v>4</v>
      </c>
      <c r="S88" s="7">
        <v>6</v>
      </c>
      <c r="T88" s="7">
        <v>1</v>
      </c>
      <c r="U88" s="13">
        <v>1039</v>
      </c>
      <c r="V88" s="13">
        <v>1039</v>
      </c>
      <c r="W88" s="13">
        <f>Tabla17[[#This Row],[CONSUMO TOTAL PRO VALO]]/52</f>
        <v>19.98076923076923</v>
      </c>
      <c r="X88" s="21">
        <v>0</v>
      </c>
      <c r="Y88" s="13">
        <v>0</v>
      </c>
      <c r="Z88" s="13">
        <f>Tabla17[[#This Row],[CONSUMO TOTAL TODAS]]/52</f>
        <v>0</v>
      </c>
      <c r="AA88" s="25">
        <f>Tabla17[[#This Row],[CONSUMO PROMEDIO PROPIO]]+Tabla17[[#This Row],[CONSUMO PROMEDIO TODAS]]</f>
        <v>19.98076923076923</v>
      </c>
      <c r="AB88" s="26">
        <f>Tabla17[[#This Row],[CONSUMO PROMEDIO TOTAL]]*(Tabla17[[#This Row],[FRECUENCIA]]+Tabla17[[#This Row],[TIEMPO REPOSICION ]])*1.7</f>
        <v>339.67307692307691</v>
      </c>
      <c r="AC88" s="26">
        <v>500</v>
      </c>
      <c r="AD88" s="26">
        <v>500</v>
      </c>
      <c r="AE88" s="3" t="e">
        <f>VLOOKUP(Tabla17[[#This Row],[CODIGO ]],#REF!,2,0)</f>
        <v>#REF!</v>
      </c>
      <c r="AF88" s="2">
        <f>IFERROR(VLOOKUP(Tabla17[[#This Row],[CODIGO ]],#REF!,2,0),0)</f>
        <v>0</v>
      </c>
      <c r="AG88" s="80" t="e">
        <f>Tabla17[[#This Row],[INVENTARIO FISICO ]]-Tabla17[[#This Row],[BUFFER REAL]]</f>
        <v>#REF!</v>
      </c>
      <c r="AH88" s="27"/>
      <c r="AI88" s="80"/>
      <c r="AJ88" s="80">
        <f>Tabla17[[#This Row],[SINOCHEM EN TRANSITO  ]]+Tabla17[[#This Row],[TRANSITO LOCAL]]</f>
        <v>0</v>
      </c>
      <c r="AK88" s="80">
        <v>500</v>
      </c>
      <c r="AL88" s="80"/>
      <c r="AM88" s="124" t="e">
        <f>Tabla17[[#This Row],[INVENTARIO FISICO ]]-Tabla17[[#This Row],[BUFFER REAL]]+Tabla17[[#This Row],[SINOCHEM EN TRANSITO  ]]+Tabla17[[#This Row],[TRANSITO LOCAL]]</f>
        <v>#REF!</v>
      </c>
      <c r="AN88" s="128">
        <f>Tabla17[[#This Row],[BUFFER REAL]]/((Tabla17[[#This Row],[TIEMPO REPOSICION ]]/Tabla17[[#This Row],[FRECUENCIA]])+1)</f>
        <v>200</v>
      </c>
      <c r="AO88" s="80">
        <v>0</v>
      </c>
      <c r="AP88" s="77">
        <v>0</v>
      </c>
      <c r="AQ88" s="77"/>
      <c r="AR88" s="27">
        <v>0</v>
      </c>
    </row>
    <row r="89" spans="1:44" s="7" customFormat="1">
      <c r="A89" s="18" t="s">
        <v>316</v>
      </c>
      <c r="B89" s="18" t="s">
        <v>317</v>
      </c>
      <c r="C89" s="7" t="s">
        <v>697</v>
      </c>
      <c r="D89" s="7" t="s">
        <v>716</v>
      </c>
      <c r="H89" s="7" t="s">
        <v>718</v>
      </c>
      <c r="I89" s="7" t="s">
        <v>724</v>
      </c>
      <c r="J89" s="7" t="s">
        <v>718</v>
      </c>
      <c r="K89" s="13">
        <v>0</v>
      </c>
      <c r="L89" s="13">
        <f t="shared" si="2"/>
        <v>0</v>
      </c>
      <c r="M89" s="13">
        <v>7.7590000000000006E-2</v>
      </c>
      <c r="N89" s="13"/>
      <c r="O89" s="13">
        <v>500</v>
      </c>
      <c r="P89" s="13" t="s">
        <v>808</v>
      </c>
      <c r="Q89" s="13" t="s">
        <v>802</v>
      </c>
      <c r="R89" s="7">
        <v>4</v>
      </c>
      <c r="S89" s="7">
        <v>6</v>
      </c>
      <c r="T89" s="7">
        <v>1</v>
      </c>
      <c r="U89" s="13">
        <v>300</v>
      </c>
      <c r="V89" s="13">
        <v>300</v>
      </c>
      <c r="W89" s="13">
        <f>Tabla17[[#This Row],[CONSUMO TOTAL PRO VALO]]/52</f>
        <v>5.7692307692307692</v>
      </c>
      <c r="X89" s="21">
        <v>0</v>
      </c>
      <c r="Y89" s="13">
        <v>0</v>
      </c>
      <c r="Z89" s="13">
        <f>Tabla17[[#This Row],[CONSUMO TOTAL TODAS]]/52</f>
        <v>0</v>
      </c>
      <c r="AA89" s="25">
        <f>Tabla17[[#This Row],[CONSUMO PROMEDIO PROPIO]]+Tabla17[[#This Row],[CONSUMO PROMEDIO TODAS]]</f>
        <v>5.7692307692307692</v>
      </c>
      <c r="AB89" s="26">
        <f>Tabla17[[#This Row],[CONSUMO PROMEDIO TOTAL]]*(Tabla17[[#This Row],[FRECUENCIA]]+Tabla17[[#This Row],[TIEMPO REPOSICION ]])*1.7</f>
        <v>98.07692307692308</v>
      </c>
      <c r="AC89" s="26">
        <v>300</v>
      </c>
      <c r="AD89" s="26">
        <v>300</v>
      </c>
      <c r="AE89" s="3" t="e">
        <f>VLOOKUP(Tabla17[[#This Row],[CODIGO ]],#REF!,2,0)</f>
        <v>#REF!</v>
      </c>
      <c r="AF89" s="2">
        <f>IFERROR(VLOOKUP(Tabla17[[#This Row],[CODIGO ]],#REF!,2,0),0)</f>
        <v>0</v>
      </c>
      <c r="AG89" s="80" t="e">
        <f>Tabla17[[#This Row],[INVENTARIO FISICO ]]-Tabla17[[#This Row],[BUFFER REAL]]</f>
        <v>#REF!</v>
      </c>
      <c r="AH89" s="27"/>
      <c r="AI89" s="80"/>
      <c r="AJ89" s="80">
        <f>Tabla17[[#This Row],[SINOCHEM EN TRANSITO  ]]+Tabla17[[#This Row],[TRANSITO LOCAL]]</f>
        <v>0</v>
      </c>
      <c r="AK89" s="80">
        <v>500</v>
      </c>
      <c r="AL89" s="80"/>
      <c r="AM89" s="124" t="e">
        <f>Tabla17[[#This Row],[INVENTARIO FISICO ]]-Tabla17[[#This Row],[BUFFER REAL]]+Tabla17[[#This Row],[SINOCHEM EN TRANSITO  ]]+Tabla17[[#This Row],[TRANSITO LOCAL]]</f>
        <v>#REF!</v>
      </c>
      <c r="AN89" s="128">
        <f>Tabla17[[#This Row],[BUFFER REAL]]/((Tabla17[[#This Row],[TIEMPO REPOSICION ]]/Tabla17[[#This Row],[FRECUENCIA]])+1)</f>
        <v>120</v>
      </c>
      <c r="AO89" s="80">
        <v>0</v>
      </c>
      <c r="AP89" s="77">
        <v>0</v>
      </c>
      <c r="AQ89" s="77"/>
      <c r="AR89" s="27">
        <v>0</v>
      </c>
    </row>
    <row r="90" spans="1:44" s="7" customFormat="1">
      <c r="A90" s="18" t="s">
        <v>318</v>
      </c>
      <c r="B90" s="18" t="s">
        <v>319</v>
      </c>
      <c r="C90" s="7" t="s">
        <v>689</v>
      </c>
      <c r="D90" s="7" t="s">
        <v>716</v>
      </c>
      <c r="H90" s="7" t="s">
        <v>718</v>
      </c>
      <c r="I90" s="7" t="s">
        <v>724</v>
      </c>
      <c r="J90" s="7" t="s">
        <v>718</v>
      </c>
      <c r="K90" s="13">
        <v>0</v>
      </c>
      <c r="L90" s="13">
        <f t="shared" si="2"/>
        <v>0</v>
      </c>
      <c r="M90" s="13">
        <v>8.4930000000000005E-2</v>
      </c>
      <c r="N90" s="13"/>
      <c r="O90" s="13">
        <v>500</v>
      </c>
      <c r="P90" s="13" t="s">
        <v>808</v>
      </c>
      <c r="Q90" s="13" t="s">
        <v>802</v>
      </c>
      <c r="R90" s="7">
        <v>4</v>
      </c>
      <c r="S90" s="7">
        <v>6</v>
      </c>
      <c r="T90" s="7">
        <v>1</v>
      </c>
      <c r="U90" s="13">
        <v>258</v>
      </c>
      <c r="V90" s="13">
        <v>258</v>
      </c>
      <c r="W90" s="13">
        <f>Tabla17[[#This Row],[CONSUMO TOTAL PRO VALO]]/52</f>
        <v>4.9615384615384617</v>
      </c>
      <c r="X90" s="21">
        <v>0</v>
      </c>
      <c r="Y90" s="13">
        <v>0</v>
      </c>
      <c r="Z90" s="13">
        <f>Tabla17[[#This Row],[CONSUMO TOTAL TODAS]]/52</f>
        <v>0</v>
      </c>
      <c r="AA90" s="25">
        <f>Tabla17[[#This Row],[CONSUMO PROMEDIO PROPIO]]+Tabla17[[#This Row],[CONSUMO PROMEDIO TODAS]]</f>
        <v>4.9615384615384617</v>
      </c>
      <c r="AB90" s="26">
        <f>Tabla17[[#This Row],[CONSUMO PROMEDIO TOTAL]]*(Tabla17[[#This Row],[FRECUENCIA]]+Tabla17[[#This Row],[TIEMPO REPOSICION ]])*1.7</f>
        <v>84.34615384615384</v>
      </c>
      <c r="AC90" s="26">
        <v>300</v>
      </c>
      <c r="AD90" s="26">
        <v>300</v>
      </c>
      <c r="AE90" s="3" t="e">
        <f>VLOOKUP(Tabla17[[#This Row],[CODIGO ]],#REF!,2,0)</f>
        <v>#REF!</v>
      </c>
      <c r="AF90" s="2">
        <f>IFERROR(VLOOKUP(Tabla17[[#This Row],[CODIGO ]],#REF!,2,0),0)</f>
        <v>0</v>
      </c>
      <c r="AG90" s="80" t="e">
        <f>Tabla17[[#This Row],[INVENTARIO FISICO ]]-Tabla17[[#This Row],[BUFFER REAL]]</f>
        <v>#REF!</v>
      </c>
      <c r="AH90" s="27"/>
      <c r="AI90" s="80"/>
      <c r="AJ90" s="80">
        <f>Tabla17[[#This Row],[SINOCHEM EN TRANSITO  ]]+Tabla17[[#This Row],[TRANSITO LOCAL]]</f>
        <v>0</v>
      </c>
      <c r="AK90" s="80">
        <v>500</v>
      </c>
      <c r="AL90" s="80"/>
      <c r="AM90" s="124" t="e">
        <f>Tabla17[[#This Row],[INVENTARIO FISICO ]]-Tabla17[[#This Row],[BUFFER REAL]]+Tabla17[[#This Row],[SINOCHEM EN TRANSITO  ]]+Tabla17[[#This Row],[TRANSITO LOCAL]]</f>
        <v>#REF!</v>
      </c>
      <c r="AN90" s="128">
        <f>Tabla17[[#This Row],[BUFFER REAL]]/((Tabla17[[#This Row],[TIEMPO REPOSICION ]]/Tabla17[[#This Row],[FRECUENCIA]])+1)</f>
        <v>120</v>
      </c>
      <c r="AO90" s="80">
        <v>0</v>
      </c>
      <c r="AP90" s="77">
        <v>0</v>
      </c>
      <c r="AQ90" s="77"/>
      <c r="AR90" s="27">
        <v>0</v>
      </c>
    </row>
    <row r="91" spans="1:44" s="7" customFormat="1">
      <c r="A91" s="18" t="s">
        <v>320</v>
      </c>
      <c r="B91" s="18" t="s">
        <v>321</v>
      </c>
      <c r="C91" s="7" t="s">
        <v>689</v>
      </c>
      <c r="D91" s="7" t="s">
        <v>716</v>
      </c>
      <c r="H91" s="7" t="s">
        <v>718</v>
      </c>
      <c r="I91" s="7" t="s">
        <v>724</v>
      </c>
      <c r="J91" s="7" t="s">
        <v>718</v>
      </c>
      <c r="K91" s="13">
        <v>0</v>
      </c>
      <c r="L91" s="13">
        <f t="shared" si="2"/>
        <v>0</v>
      </c>
      <c r="M91" s="13">
        <v>0.23400000000000001</v>
      </c>
      <c r="N91" s="13"/>
      <c r="O91" s="13">
        <v>500</v>
      </c>
      <c r="P91" s="13" t="s">
        <v>808</v>
      </c>
      <c r="Q91" s="13" t="s">
        <v>802</v>
      </c>
      <c r="R91" s="7">
        <v>4</v>
      </c>
      <c r="S91" s="7">
        <v>6</v>
      </c>
      <c r="T91" s="7">
        <v>1</v>
      </c>
      <c r="U91" s="13">
        <v>80</v>
      </c>
      <c r="V91" s="13">
        <v>80</v>
      </c>
      <c r="W91" s="13">
        <f>Tabla17[[#This Row],[CONSUMO TOTAL PRO VALO]]/52</f>
        <v>1.5384615384615385</v>
      </c>
      <c r="X91" s="21">
        <v>0</v>
      </c>
      <c r="Y91" s="13">
        <v>0</v>
      </c>
      <c r="Z91" s="13">
        <f>Tabla17[[#This Row],[CONSUMO TOTAL TODAS]]/52</f>
        <v>0</v>
      </c>
      <c r="AA91" s="25">
        <f>Tabla17[[#This Row],[CONSUMO PROMEDIO PROPIO]]+Tabla17[[#This Row],[CONSUMO PROMEDIO TODAS]]</f>
        <v>1.5384615384615385</v>
      </c>
      <c r="AB91" s="26">
        <f>Tabla17[[#This Row],[CONSUMO PROMEDIO TOTAL]]*(Tabla17[[#This Row],[FRECUENCIA]]+Tabla17[[#This Row],[TIEMPO REPOSICION ]])*1.7</f>
        <v>26.153846153846153</v>
      </c>
      <c r="AC91" s="26">
        <v>300</v>
      </c>
      <c r="AD91" s="26">
        <v>300</v>
      </c>
      <c r="AE91" s="3" t="e">
        <f>VLOOKUP(Tabla17[[#This Row],[CODIGO ]],#REF!,2,0)</f>
        <v>#REF!</v>
      </c>
      <c r="AF91" s="2">
        <f>IFERROR(VLOOKUP(Tabla17[[#This Row],[CODIGO ]],#REF!,2,0),0)</f>
        <v>0</v>
      </c>
      <c r="AG91" s="80" t="e">
        <f>Tabla17[[#This Row],[INVENTARIO FISICO ]]-Tabla17[[#This Row],[BUFFER REAL]]</f>
        <v>#REF!</v>
      </c>
      <c r="AH91" s="27"/>
      <c r="AI91" s="80"/>
      <c r="AJ91" s="80">
        <f>Tabla17[[#This Row],[SINOCHEM EN TRANSITO  ]]+Tabla17[[#This Row],[TRANSITO LOCAL]]</f>
        <v>0</v>
      </c>
      <c r="AK91" s="80">
        <v>500</v>
      </c>
      <c r="AL91" s="80"/>
      <c r="AM91" s="124" t="e">
        <f>Tabla17[[#This Row],[INVENTARIO FISICO ]]-Tabla17[[#This Row],[BUFFER REAL]]+Tabla17[[#This Row],[SINOCHEM EN TRANSITO  ]]+Tabla17[[#This Row],[TRANSITO LOCAL]]</f>
        <v>#REF!</v>
      </c>
      <c r="AN91" s="128">
        <f>Tabla17[[#This Row],[BUFFER REAL]]/((Tabla17[[#This Row],[TIEMPO REPOSICION ]]/Tabla17[[#This Row],[FRECUENCIA]])+1)</f>
        <v>120</v>
      </c>
      <c r="AO91" s="80">
        <v>0</v>
      </c>
      <c r="AP91" s="77">
        <v>0</v>
      </c>
      <c r="AQ91" s="77"/>
      <c r="AR91" s="27">
        <v>0</v>
      </c>
    </row>
    <row r="92" spans="1:44" s="7" customFormat="1">
      <c r="A92" s="18" t="s">
        <v>322</v>
      </c>
      <c r="B92" s="18" t="s">
        <v>323</v>
      </c>
      <c r="C92" s="7" t="s">
        <v>697</v>
      </c>
      <c r="D92" s="7" t="s">
        <v>716</v>
      </c>
      <c r="H92" s="7" t="s">
        <v>718</v>
      </c>
      <c r="I92" s="7" t="s">
        <v>724</v>
      </c>
      <c r="J92" s="7" t="s">
        <v>718</v>
      </c>
      <c r="K92" s="13">
        <v>0</v>
      </c>
      <c r="L92" s="13">
        <f t="shared" si="2"/>
        <v>0</v>
      </c>
      <c r="M92" s="13">
        <v>0.14867</v>
      </c>
      <c r="N92" s="13"/>
      <c r="O92" s="13">
        <v>500</v>
      </c>
      <c r="P92" s="13" t="s">
        <v>808</v>
      </c>
      <c r="Q92" s="13" t="s">
        <v>802</v>
      </c>
      <c r="R92" s="7">
        <v>4</v>
      </c>
      <c r="S92" s="7">
        <v>6</v>
      </c>
      <c r="T92" s="7">
        <v>1</v>
      </c>
      <c r="U92" s="13">
        <v>204</v>
      </c>
      <c r="V92" s="13">
        <v>204</v>
      </c>
      <c r="W92" s="13">
        <f>Tabla17[[#This Row],[CONSUMO TOTAL PRO VALO]]/52</f>
        <v>3.9230769230769229</v>
      </c>
      <c r="X92" s="21">
        <v>0</v>
      </c>
      <c r="Y92" s="13">
        <v>0</v>
      </c>
      <c r="Z92" s="13">
        <f>Tabla17[[#This Row],[CONSUMO TOTAL TODAS]]/52</f>
        <v>0</v>
      </c>
      <c r="AA92" s="25">
        <f>Tabla17[[#This Row],[CONSUMO PROMEDIO PROPIO]]+Tabla17[[#This Row],[CONSUMO PROMEDIO TODAS]]</f>
        <v>3.9230769230769229</v>
      </c>
      <c r="AB92" s="26">
        <f>Tabla17[[#This Row],[CONSUMO PROMEDIO TOTAL]]*(Tabla17[[#This Row],[FRECUENCIA]]+Tabla17[[#This Row],[TIEMPO REPOSICION ]])*1.7</f>
        <v>66.692307692307679</v>
      </c>
      <c r="AC92" s="26">
        <v>300</v>
      </c>
      <c r="AD92" s="26">
        <v>300</v>
      </c>
      <c r="AE92" s="3" t="e">
        <f>VLOOKUP(Tabla17[[#This Row],[CODIGO ]],#REF!,2,0)</f>
        <v>#REF!</v>
      </c>
      <c r="AF92" s="2">
        <f>IFERROR(VLOOKUP(Tabla17[[#This Row],[CODIGO ]],#REF!,2,0),0)</f>
        <v>0</v>
      </c>
      <c r="AG92" s="80" t="e">
        <f>Tabla17[[#This Row],[INVENTARIO FISICO ]]-Tabla17[[#This Row],[BUFFER REAL]]</f>
        <v>#REF!</v>
      </c>
      <c r="AH92" s="27"/>
      <c r="AI92" s="80"/>
      <c r="AJ92" s="80">
        <f>Tabla17[[#This Row],[SINOCHEM EN TRANSITO  ]]+Tabla17[[#This Row],[TRANSITO LOCAL]]</f>
        <v>0</v>
      </c>
      <c r="AK92" s="80">
        <v>500</v>
      </c>
      <c r="AL92" s="80"/>
      <c r="AM92" s="124" t="e">
        <f>Tabla17[[#This Row],[INVENTARIO FISICO ]]-Tabla17[[#This Row],[BUFFER REAL]]+Tabla17[[#This Row],[SINOCHEM EN TRANSITO  ]]+Tabla17[[#This Row],[TRANSITO LOCAL]]</f>
        <v>#REF!</v>
      </c>
      <c r="AN92" s="128">
        <f>Tabla17[[#This Row],[BUFFER REAL]]/((Tabla17[[#This Row],[TIEMPO REPOSICION ]]/Tabla17[[#This Row],[FRECUENCIA]])+1)</f>
        <v>120</v>
      </c>
      <c r="AO92" s="80">
        <v>0</v>
      </c>
      <c r="AP92" s="77">
        <v>0</v>
      </c>
      <c r="AQ92" s="77"/>
      <c r="AR92" s="27">
        <v>0</v>
      </c>
    </row>
    <row r="93" spans="1:44" s="7" customFormat="1">
      <c r="A93" s="18" t="s">
        <v>324</v>
      </c>
      <c r="B93" s="18" t="s">
        <v>325</v>
      </c>
      <c r="C93" s="7" t="s">
        <v>2</v>
      </c>
      <c r="D93" s="7" t="s">
        <v>716</v>
      </c>
      <c r="H93" s="7" t="s">
        <v>718</v>
      </c>
      <c r="I93" s="7" t="s">
        <v>724</v>
      </c>
      <c r="J93" s="7" t="s">
        <v>718</v>
      </c>
      <c r="K93" s="13">
        <v>0</v>
      </c>
      <c r="L93" s="13">
        <f t="shared" si="2"/>
        <v>0</v>
      </c>
      <c r="M93" s="13">
        <v>0.14000000000000001</v>
      </c>
      <c r="N93" s="13"/>
      <c r="O93" s="13">
        <v>500</v>
      </c>
      <c r="P93" s="13" t="s">
        <v>808</v>
      </c>
      <c r="Q93" s="13" t="s">
        <v>802</v>
      </c>
      <c r="R93" s="7">
        <v>4</v>
      </c>
      <c r="S93" s="7">
        <v>6</v>
      </c>
      <c r="T93" s="7">
        <v>1</v>
      </c>
      <c r="U93" s="13">
        <v>0</v>
      </c>
      <c r="V93" s="13">
        <v>0</v>
      </c>
      <c r="W93" s="13">
        <f>Tabla17[[#This Row],[CONSUMO TOTAL PRO VALO]]/52</f>
        <v>0</v>
      </c>
      <c r="X93" s="21">
        <v>0</v>
      </c>
      <c r="Y93" s="13">
        <v>0</v>
      </c>
      <c r="Z93" s="13">
        <f>Tabla17[[#This Row],[CONSUMO TOTAL TODAS]]/52</f>
        <v>0</v>
      </c>
      <c r="AA93" s="25">
        <f>Tabla17[[#This Row],[CONSUMO PROMEDIO PROPIO]]+Tabla17[[#This Row],[CONSUMO PROMEDIO TODAS]]</f>
        <v>0</v>
      </c>
      <c r="AB93" s="26">
        <f>Tabla17[[#This Row],[CONSUMO PROMEDIO TOTAL]]*(Tabla17[[#This Row],[FRECUENCIA]]+Tabla17[[#This Row],[TIEMPO REPOSICION ]])*1.7</f>
        <v>0</v>
      </c>
      <c r="AC93" s="26">
        <v>300</v>
      </c>
      <c r="AD93" s="26">
        <v>300</v>
      </c>
      <c r="AE93" s="3" t="e">
        <f>VLOOKUP(Tabla17[[#This Row],[CODIGO ]],#REF!,2,0)</f>
        <v>#REF!</v>
      </c>
      <c r="AF93" s="2">
        <f>IFERROR(VLOOKUP(Tabla17[[#This Row],[CODIGO ]],#REF!,2,0),0)</f>
        <v>0</v>
      </c>
      <c r="AG93" s="80" t="e">
        <f>Tabla17[[#This Row],[INVENTARIO FISICO ]]-Tabla17[[#This Row],[BUFFER REAL]]</f>
        <v>#REF!</v>
      </c>
      <c r="AH93" s="27"/>
      <c r="AI93" s="80"/>
      <c r="AJ93" s="80">
        <f>Tabla17[[#This Row],[SINOCHEM EN TRANSITO  ]]+Tabla17[[#This Row],[TRANSITO LOCAL]]</f>
        <v>0</v>
      </c>
      <c r="AK93" s="80">
        <v>500</v>
      </c>
      <c r="AL93" s="80"/>
      <c r="AM93" s="124" t="e">
        <f>Tabla17[[#This Row],[INVENTARIO FISICO ]]-Tabla17[[#This Row],[BUFFER REAL]]+Tabla17[[#This Row],[SINOCHEM EN TRANSITO  ]]+Tabla17[[#This Row],[TRANSITO LOCAL]]</f>
        <v>#REF!</v>
      </c>
      <c r="AN93" s="128">
        <f>Tabla17[[#This Row],[BUFFER REAL]]/((Tabla17[[#This Row],[TIEMPO REPOSICION ]]/Tabla17[[#This Row],[FRECUENCIA]])+1)</f>
        <v>120</v>
      </c>
      <c r="AO93" s="80">
        <v>0</v>
      </c>
      <c r="AP93" s="77">
        <v>7</v>
      </c>
      <c r="AQ93" s="77"/>
      <c r="AR93" s="27">
        <v>14</v>
      </c>
    </row>
    <row r="94" spans="1:44" s="7" customFormat="1">
      <c r="A94" s="18" t="s">
        <v>326</v>
      </c>
      <c r="B94" s="18" t="s">
        <v>327</v>
      </c>
      <c r="C94" s="7" t="s">
        <v>697</v>
      </c>
      <c r="D94" s="7" t="s">
        <v>716</v>
      </c>
      <c r="H94" s="7" t="s">
        <v>718</v>
      </c>
      <c r="I94" s="7" t="s">
        <v>724</v>
      </c>
      <c r="J94" s="7" t="s">
        <v>718</v>
      </c>
      <c r="K94" s="13">
        <v>0</v>
      </c>
      <c r="L94" s="13">
        <f t="shared" si="2"/>
        <v>0</v>
      </c>
      <c r="M94" s="13">
        <v>0.11112</v>
      </c>
      <c r="N94" s="13"/>
      <c r="O94" s="13">
        <v>500</v>
      </c>
      <c r="P94" s="13" t="s">
        <v>808</v>
      </c>
      <c r="Q94" s="13" t="s">
        <v>802</v>
      </c>
      <c r="R94" s="7">
        <v>4</v>
      </c>
      <c r="S94" s="7">
        <v>6</v>
      </c>
      <c r="T94" s="7">
        <v>1</v>
      </c>
      <c r="U94" s="13">
        <v>1032</v>
      </c>
      <c r="V94" s="13">
        <v>1032</v>
      </c>
      <c r="W94" s="13">
        <f>Tabla17[[#This Row],[CONSUMO TOTAL PRO VALO]]/52</f>
        <v>19.846153846153847</v>
      </c>
      <c r="X94" s="21">
        <v>0</v>
      </c>
      <c r="Y94" s="13">
        <v>0</v>
      </c>
      <c r="Z94" s="13">
        <f>Tabla17[[#This Row],[CONSUMO TOTAL TODAS]]/52</f>
        <v>0</v>
      </c>
      <c r="AA94" s="25">
        <f>Tabla17[[#This Row],[CONSUMO PROMEDIO PROPIO]]+Tabla17[[#This Row],[CONSUMO PROMEDIO TODAS]]</f>
        <v>19.846153846153847</v>
      </c>
      <c r="AB94" s="26">
        <f>Tabla17[[#This Row],[CONSUMO PROMEDIO TOTAL]]*(Tabla17[[#This Row],[FRECUENCIA]]+Tabla17[[#This Row],[TIEMPO REPOSICION ]])*1.7</f>
        <v>337.38461538461536</v>
      </c>
      <c r="AC94" s="26">
        <v>500</v>
      </c>
      <c r="AD94" s="26">
        <v>500</v>
      </c>
      <c r="AE94" s="3" t="e">
        <f>VLOOKUP(Tabla17[[#This Row],[CODIGO ]],#REF!,2,0)</f>
        <v>#REF!</v>
      </c>
      <c r="AF94" s="2">
        <f>IFERROR(VLOOKUP(Tabla17[[#This Row],[CODIGO ]],#REF!,2,0),0)</f>
        <v>0</v>
      </c>
      <c r="AG94" s="80" t="e">
        <f>Tabla17[[#This Row],[INVENTARIO FISICO ]]-Tabla17[[#This Row],[BUFFER REAL]]</f>
        <v>#REF!</v>
      </c>
      <c r="AH94" s="27"/>
      <c r="AI94" s="80"/>
      <c r="AJ94" s="80">
        <f>Tabla17[[#This Row],[SINOCHEM EN TRANSITO  ]]+Tabla17[[#This Row],[TRANSITO LOCAL]]</f>
        <v>0</v>
      </c>
      <c r="AK94" s="80">
        <v>500</v>
      </c>
      <c r="AL94" s="80"/>
      <c r="AM94" s="124" t="e">
        <f>Tabla17[[#This Row],[INVENTARIO FISICO ]]-Tabla17[[#This Row],[BUFFER REAL]]+Tabla17[[#This Row],[SINOCHEM EN TRANSITO  ]]+Tabla17[[#This Row],[TRANSITO LOCAL]]</f>
        <v>#REF!</v>
      </c>
      <c r="AN94" s="128">
        <f>Tabla17[[#This Row],[BUFFER REAL]]/((Tabla17[[#This Row],[TIEMPO REPOSICION ]]/Tabla17[[#This Row],[FRECUENCIA]])+1)</f>
        <v>200</v>
      </c>
      <c r="AO94" s="80">
        <v>0</v>
      </c>
      <c r="AP94" s="77">
        <v>0</v>
      </c>
      <c r="AQ94" s="77"/>
      <c r="AR94" s="27">
        <v>154</v>
      </c>
    </row>
    <row r="95" spans="1:44" s="7" customFormat="1">
      <c r="A95" s="18" t="s">
        <v>328</v>
      </c>
      <c r="B95" s="18" t="s">
        <v>329</v>
      </c>
      <c r="C95" s="7" t="s">
        <v>697</v>
      </c>
      <c r="D95" s="7" t="s">
        <v>716</v>
      </c>
      <c r="H95" s="7" t="s">
        <v>718</v>
      </c>
      <c r="I95" s="7" t="s">
        <v>724</v>
      </c>
      <c r="J95" s="7" t="s">
        <v>718</v>
      </c>
      <c r="K95" s="13">
        <v>0</v>
      </c>
      <c r="L95" s="13">
        <f t="shared" si="2"/>
        <v>0</v>
      </c>
      <c r="M95" s="13">
        <v>0.13097</v>
      </c>
      <c r="N95" s="13"/>
      <c r="O95" s="13">
        <v>500</v>
      </c>
      <c r="P95" s="13" t="s">
        <v>808</v>
      </c>
      <c r="Q95" s="13" t="s">
        <v>802</v>
      </c>
      <c r="R95" s="7">
        <v>4</v>
      </c>
      <c r="S95" s="7">
        <v>6</v>
      </c>
      <c r="T95" s="7">
        <v>1</v>
      </c>
      <c r="U95" s="13">
        <v>80</v>
      </c>
      <c r="V95" s="13">
        <v>80</v>
      </c>
      <c r="W95" s="13">
        <f>Tabla17[[#This Row],[CONSUMO TOTAL PRO VALO]]/52</f>
        <v>1.5384615384615385</v>
      </c>
      <c r="X95" s="21">
        <v>0</v>
      </c>
      <c r="Y95" s="13">
        <v>0</v>
      </c>
      <c r="Z95" s="13">
        <f>Tabla17[[#This Row],[CONSUMO TOTAL TODAS]]/52</f>
        <v>0</v>
      </c>
      <c r="AA95" s="25">
        <f>Tabla17[[#This Row],[CONSUMO PROMEDIO PROPIO]]+Tabla17[[#This Row],[CONSUMO PROMEDIO TODAS]]</f>
        <v>1.5384615384615385</v>
      </c>
      <c r="AB95" s="26">
        <f>Tabla17[[#This Row],[CONSUMO PROMEDIO TOTAL]]*(Tabla17[[#This Row],[FRECUENCIA]]+Tabla17[[#This Row],[TIEMPO REPOSICION ]])*1.7</f>
        <v>26.153846153846153</v>
      </c>
      <c r="AC95" s="26">
        <v>500</v>
      </c>
      <c r="AD95" s="26">
        <v>500</v>
      </c>
      <c r="AE95" s="3" t="e">
        <f>VLOOKUP(Tabla17[[#This Row],[CODIGO ]],#REF!,2,0)</f>
        <v>#REF!</v>
      </c>
      <c r="AF95" s="2">
        <f>IFERROR(VLOOKUP(Tabla17[[#This Row],[CODIGO ]],#REF!,2,0),0)</f>
        <v>0</v>
      </c>
      <c r="AG95" s="80" t="e">
        <f>Tabla17[[#This Row],[INVENTARIO FISICO ]]-Tabla17[[#This Row],[BUFFER REAL]]</f>
        <v>#REF!</v>
      </c>
      <c r="AH95" s="27"/>
      <c r="AI95" s="80"/>
      <c r="AJ95" s="80">
        <f>Tabla17[[#This Row],[SINOCHEM EN TRANSITO  ]]+Tabla17[[#This Row],[TRANSITO LOCAL]]</f>
        <v>0</v>
      </c>
      <c r="AK95" s="80">
        <v>500</v>
      </c>
      <c r="AL95" s="80"/>
      <c r="AM95" s="124" t="e">
        <f>Tabla17[[#This Row],[INVENTARIO FISICO ]]-Tabla17[[#This Row],[BUFFER REAL]]+Tabla17[[#This Row],[SINOCHEM EN TRANSITO  ]]+Tabla17[[#This Row],[TRANSITO LOCAL]]</f>
        <v>#REF!</v>
      </c>
      <c r="AN95" s="128">
        <f>Tabla17[[#This Row],[BUFFER REAL]]/((Tabla17[[#This Row],[TIEMPO REPOSICION ]]/Tabla17[[#This Row],[FRECUENCIA]])+1)</f>
        <v>200</v>
      </c>
      <c r="AO95" s="80">
        <v>0</v>
      </c>
      <c r="AP95" s="77">
        <v>0</v>
      </c>
      <c r="AQ95" s="77"/>
      <c r="AR95" s="27">
        <v>0</v>
      </c>
    </row>
    <row r="96" spans="1:44" s="7" customFormat="1">
      <c r="A96" s="18" t="s">
        <v>330</v>
      </c>
      <c r="B96" s="18" t="s">
        <v>331</v>
      </c>
      <c r="C96" s="7" t="s">
        <v>697</v>
      </c>
      <c r="D96" s="7" t="s">
        <v>716</v>
      </c>
      <c r="H96" s="7" t="s">
        <v>718</v>
      </c>
      <c r="I96" s="7" t="s">
        <v>724</v>
      </c>
      <c r="J96" s="7" t="s">
        <v>718</v>
      </c>
      <c r="K96" s="13">
        <v>0</v>
      </c>
      <c r="L96" s="13">
        <f t="shared" si="2"/>
        <v>0</v>
      </c>
      <c r="M96" s="13">
        <v>0.20268</v>
      </c>
      <c r="N96" s="13"/>
      <c r="O96" s="13">
        <v>500</v>
      </c>
      <c r="P96" s="13" t="s">
        <v>808</v>
      </c>
      <c r="Q96" s="13" t="s">
        <v>802</v>
      </c>
      <c r="R96" s="7">
        <v>4</v>
      </c>
      <c r="S96" s="7">
        <v>6</v>
      </c>
      <c r="T96" s="7">
        <v>1</v>
      </c>
      <c r="U96" s="13">
        <v>629</v>
      </c>
      <c r="V96" s="13">
        <v>629</v>
      </c>
      <c r="W96" s="13">
        <f>Tabla17[[#This Row],[CONSUMO TOTAL PRO VALO]]/52</f>
        <v>12.096153846153847</v>
      </c>
      <c r="X96" s="21">
        <v>0</v>
      </c>
      <c r="Y96" s="13">
        <v>0</v>
      </c>
      <c r="Z96" s="13">
        <f>Tabla17[[#This Row],[CONSUMO TOTAL TODAS]]/52</f>
        <v>0</v>
      </c>
      <c r="AA96" s="25">
        <f>Tabla17[[#This Row],[CONSUMO PROMEDIO PROPIO]]+Tabla17[[#This Row],[CONSUMO PROMEDIO TODAS]]</f>
        <v>12.096153846153847</v>
      </c>
      <c r="AB96" s="26">
        <f>Tabla17[[#This Row],[CONSUMO PROMEDIO TOTAL]]*(Tabla17[[#This Row],[FRECUENCIA]]+Tabla17[[#This Row],[TIEMPO REPOSICION ]])*1.7</f>
        <v>205.63461538461539</v>
      </c>
      <c r="AC96" s="26">
        <v>500</v>
      </c>
      <c r="AD96" s="26">
        <v>500</v>
      </c>
      <c r="AE96" s="3" t="e">
        <f>VLOOKUP(Tabla17[[#This Row],[CODIGO ]],#REF!,2,0)</f>
        <v>#REF!</v>
      </c>
      <c r="AF96" s="2">
        <f>IFERROR(VLOOKUP(Tabla17[[#This Row],[CODIGO ]],#REF!,2,0),0)</f>
        <v>0</v>
      </c>
      <c r="AG96" s="80" t="e">
        <f>Tabla17[[#This Row],[INVENTARIO FISICO ]]-Tabla17[[#This Row],[BUFFER REAL]]</f>
        <v>#REF!</v>
      </c>
      <c r="AH96" s="27"/>
      <c r="AI96" s="118">
        <v>500</v>
      </c>
      <c r="AJ96" s="118">
        <f>Tabla17[[#This Row],[SINOCHEM EN TRANSITO  ]]+Tabla17[[#This Row],[TRANSITO LOCAL]]</f>
        <v>500</v>
      </c>
      <c r="AK96" s="80">
        <v>500</v>
      </c>
      <c r="AL96" s="80"/>
      <c r="AM96" s="124" t="e">
        <f>Tabla17[[#This Row],[INVENTARIO FISICO ]]-Tabla17[[#This Row],[BUFFER REAL]]+Tabla17[[#This Row],[SINOCHEM EN TRANSITO  ]]+Tabla17[[#This Row],[TRANSITO LOCAL]]</f>
        <v>#REF!</v>
      </c>
      <c r="AN96" s="128">
        <f>Tabla17[[#This Row],[BUFFER REAL]]/((Tabla17[[#This Row],[TIEMPO REPOSICION ]]/Tabla17[[#This Row],[FRECUENCIA]])+1)</f>
        <v>200</v>
      </c>
      <c r="AO96" s="80">
        <v>0</v>
      </c>
      <c r="AP96" s="77">
        <v>140</v>
      </c>
      <c r="AQ96" s="77"/>
      <c r="AR96" s="27">
        <v>0</v>
      </c>
    </row>
    <row r="97" spans="1:44" s="7" customFormat="1">
      <c r="A97" s="18" t="s">
        <v>332</v>
      </c>
      <c r="B97" s="18" t="s">
        <v>333</v>
      </c>
      <c r="C97" s="7" t="s">
        <v>689</v>
      </c>
      <c r="D97" s="7" t="s">
        <v>716</v>
      </c>
      <c r="H97" s="7" t="s">
        <v>718</v>
      </c>
      <c r="I97" s="7" t="s">
        <v>724</v>
      </c>
      <c r="J97" s="7" t="s">
        <v>718</v>
      </c>
      <c r="K97" s="13">
        <v>0</v>
      </c>
      <c r="L97" s="13">
        <f t="shared" si="2"/>
        <v>0</v>
      </c>
      <c r="M97" s="13">
        <v>0.15</v>
      </c>
      <c r="N97" s="13"/>
      <c r="O97" s="13">
        <v>500</v>
      </c>
      <c r="P97" s="13" t="s">
        <v>808</v>
      </c>
      <c r="Q97" s="13" t="s">
        <v>802</v>
      </c>
      <c r="R97" s="7">
        <v>4</v>
      </c>
      <c r="S97" s="7">
        <v>6</v>
      </c>
      <c r="T97" s="7">
        <v>1</v>
      </c>
      <c r="U97" s="13">
        <v>400</v>
      </c>
      <c r="V97" s="13">
        <v>400</v>
      </c>
      <c r="W97" s="13">
        <f>Tabla17[[#This Row],[CONSUMO TOTAL PRO VALO]]/52</f>
        <v>7.6923076923076925</v>
      </c>
      <c r="X97" s="21">
        <v>0</v>
      </c>
      <c r="Y97" s="13">
        <v>0</v>
      </c>
      <c r="Z97" s="13">
        <f>Tabla17[[#This Row],[CONSUMO TOTAL TODAS]]/52</f>
        <v>0</v>
      </c>
      <c r="AA97" s="25">
        <f>Tabla17[[#This Row],[CONSUMO PROMEDIO PROPIO]]+Tabla17[[#This Row],[CONSUMO PROMEDIO TODAS]]</f>
        <v>7.6923076923076925</v>
      </c>
      <c r="AB97" s="26">
        <f>Tabla17[[#This Row],[CONSUMO PROMEDIO TOTAL]]*(Tabla17[[#This Row],[FRECUENCIA]]+Tabla17[[#This Row],[TIEMPO REPOSICION ]])*1.7</f>
        <v>130.76923076923077</v>
      </c>
      <c r="AC97" s="26">
        <v>300</v>
      </c>
      <c r="AD97" s="26">
        <v>300</v>
      </c>
      <c r="AE97" s="3" t="e">
        <f>VLOOKUP(Tabla17[[#This Row],[CODIGO ]],#REF!,2,0)</f>
        <v>#REF!</v>
      </c>
      <c r="AF97" s="2">
        <f>IFERROR(VLOOKUP(Tabla17[[#This Row],[CODIGO ]],#REF!,2,0),0)</f>
        <v>0</v>
      </c>
      <c r="AG97" s="80" t="e">
        <f>Tabla17[[#This Row],[INVENTARIO FISICO ]]-Tabla17[[#This Row],[BUFFER REAL]]</f>
        <v>#REF!</v>
      </c>
      <c r="AH97" s="27"/>
      <c r="AI97" s="118"/>
      <c r="AJ97" s="118">
        <f>Tabla17[[#This Row],[SINOCHEM EN TRANSITO  ]]+Tabla17[[#This Row],[TRANSITO LOCAL]]</f>
        <v>0</v>
      </c>
      <c r="AK97" s="80">
        <v>500</v>
      </c>
      <c r="AL97" s="80"/>
      <c r="AM97" s="124" t="e">
        <f>Tabla17[[#This Row],[INVENTARIO FISICO ]]-Tabla17[[#This Row],[BUFFER REAL]]+Tabla17[[#This Row],[SINOCHEM EN TRANSITO  ]]+Tabla17[[#This Row],[TRANSITO LOCAL]]</f>
        <v>#REF!</v>
      </c>
      <c r="AN97" s="128">
        <f>Tabla17[[#This Row],[BUFFER REAL]]/((Tabla17[[#This Row],[TIEMPO REPOSICION ]]/Tabla17[[#This Row],[FRECUENCIA]])+1)</f>
        <v>120</v>
      </c>
      <c r="AO97" s="80">
        <v>0</v>
      </c>
      <c r="AP97" s="77">
        <v>0</v>
      </c>
      <c r="AQ97" s="77"/>
      <c r="AR97" s="27">
        <v>0</v>
      </c>
    </row>
    <row r="98" spans="1:44" s="83" customFormat="1">
      <c r="A98" s="18" t="s">
        <v>334</v>
      </c>
      <c r="B98" s="18" t="s">
        <v>335</v>
      </c>
      <c r="C98" s="7" t="s">
        <v>689</v>
      </c>
      <c r="D98" s="7" t="s">
        <v>716</v>
      </c>
      <c r="E98" s="7"/>
      <c r="F98" s="7"/>
      <c r="G98" s="7"/>
      <c r="H98" s="7" t="s">
        <v>718</v>
      </c>
      <c r="I98" s="7" t="s">
        <v>724</v>
      </c>
      <c r="J98" s="7" t="s">
        <v>718</v>
      </c>
      <c r="K98" s="13">
        <v>0</v>
      </c>
      <c r="L98" s="13">
        <f t="shared" si="2"/>
        <v>0</v>
      </c>
      <c r="M98" s="13">
        <v>0.11676</v>
      </c>
      <c r="N98" s="13"/>
      <c r="O98" s="13">
        <v>500</v>
      </c>
      <c r="P98" s="13" t="s">
        <v>808</v>
      </c>
      <c r="Q98" s="13" t="s">
        <v>802</v>
      </c>
      <c r="R98" s="7">
        <v>4</v>
      </c>
      <c r="S98" s="7">
        <v>6</v>
      </c>
      <c r="T98" s="7">
        <v>1</v>
      </c>
      <c r="U98" s="13">
        <v>2978</v>
      </c>
      <c r="V98" s="13">
        <v>2978</v>
      </c>
      <c r="W98" s="13">
        <f>Tabla17[[#This Row],[CONSUMO TOTAL PRO VALO]]/52</f>
        <v>57.269230769230766</v>
      </c>
      <c r="X98" s="21">
        <v>0</v>
      </c>
      <c r="Y98" s="13">
        <v>0</v>
      </c>
      <c r="Z98" s="13">
        <f>Tabla17[[#This Row],[CONSUMO TOTAL TODAS]]/52</f>
        <v>0</v>
      </c>
      <c r="AA98" s="25">
        <f>Tabla17[[#This Row],[CONSUMO PROMEDIO PROPIO]]+Tabla17[[#This Row],[CONSUMO PROMEDIO TODAS]]</f>
        <v>57.269230769230766</v>
      </c>
      <c r="AB98" s="26">
        <f>Tabla17[[#This Row],[CONSUMO PROMEDIO TOTAL]]*(Tabla17[[#This Row],[FRECUENCIA]]+Tabla17[[#This Row],[TIEMPO REPOSICION ]])*1.7</f>
        <v>973.57692307692298</v>
      </c>
      <c r="AC98" s="26">
        <v>300</v>
      </c>
      <c r="AD98" s="26">
        <v>300</v>
      </c>
      <c r="AE98" s="3" t="e">
        <f>VLOOKUP(Tabla17[[#This Row],[CODIGO ]],#REF!,2,0)</f>
        <v>#REF!</v>
      </c>
      <c r="AF98" s="2">
        <f>IFERROR(VLOOKUP(Tabla17[[#This Row],[CODIGO ]],#REF!,2,0),0)</f>
        <v>0</v>
      </c>
      <c r="AG98" s="80" t="e">
        <f>Tabla17[[#This Row],[INVENTARIO FISICO ]]-Tabla17[[#This Row],[BUFFER REAL]]</f>
        <v>#REF!</v>
      </c>
      <c r="AH98" s="27"/>
      <c r="AI98" s="80"/>
      <c r="AJ98" s="80">
        <f>Tabla17[[#This Row],[SINOCHEM EN TRANSITO  ]]+Tabla17[[#This Row],[TRANSITO LOCAL]]</f>
        <v>0</v>
      </c>
      <c r="AK98" s="80">
        <v>500</v>
      </c>
      <c r="AL98" s="80"/>
      <c r="AM98" s="124" t="e">
        <f>Tabla17[[#This Row],[INVENTARIO FISICO ]]-Tabla17[[#This Row],[BUFFER REAL]]+Tabla17[[#This Row],[SINOCHEM EN TRANSITO  ]]+Tabla17[[#This Row],[TRANSITO LOCAL]]</f>
        <v>#REF!</v>
      </c>
      <c r="AN98" s="128">
        <f>Tabla17[[#This Row],[BUFFER REAL]]/((Tabla17[[#This Row],[TIEMPO REPOSICION ]]/Tabla17[[#This Row],[FRECUENCIA]])+1)</f>
        <v>120</v>
      </c>
      <c r="AO98" s="80">
        <v>500</v>
      </c>
      <c r="AP98" s="77">
        <v>0</v>
      </c>
      <c r="AQ98" s="77"/>
      <c r="AR98" s="27">
        <v>0</v>
      </c>
    </row>
    <row r="99" spans="1:44" s="83" customFormat="1">
      <c r="A99" s="18" t="s">
        <v>336</v>
      </c>
      <c r="B99" s="18" t="s">
        <v>337</v>
      </c>
      <c r="C99" s="7" t="s">
        <v>689</v>
      </c>
      <c r="D99" s="7" t="s">
        <v>716</v>
      </c>
      <c r="E99" s="7"/>
      <c r="F99" s="7"/>
      <c r="G99" s="7"/>
      <c r="H99" s="7" t="s">
        <v>718</v>
      </c>
      <c r="I99" s="7" t="s">
        <v>724</v>
      </c>
      <c r="J99" s="7" t="s">
        <v>718</v>
      </c>
      <c r="K99" s="13">
        <v>0</v>
      </c>
      <c r="L99" s="13">
        <f t="shared" si="2"/>
        <v>0</v>
      </c>
      <c r="M99" s="13">
        <v>0.15822</v>
      </c>
      <c r="N99" s="13"/>
      <c r="O99" s="13">
        <v>500</v>
      </c>
      <c r="P99" s="13" t="s">
        <v>808</v>
      </c>
      <c r="Q99" s="13" t="s">
        <v>802</v>
      </c>
      <c r="R99" s="7">
        <v>4</v>
      </c>
      <c r="S99" s="7">
        <v>6</v>
      </c>
      <c r="T99" s="7">
        <v>1</v>
      </c>
      <c r="U99" s="13">
        <v>3068</v>
      </c>
      <c r="V99" s="13">
        <v>3068</v>
      </c>
      <c r="W99" s="13">
        <f>Tabla17[[#This Row],[CONSUMO TOTAL PRO VALO]]/52</f>
        <v>59</v>
      </c>
      <c r="X99" s="21">
        <v>0</v>
      </c>
      <c r="Y99" s="13">
        <v>0</v>
      </c>
      <c r="Z99" s="13">
        <f>Tabla17[[#This Row],[CONSUMO TOTAL TODAS]]/52</f>
        <v>0</v>
      </c>
      <c r="AA99" s="25">
        <f>Tabla17[[#This Row],[CONSUMO PROMEDIO PROPIO]]+Tabla17[[#This Row],[CONSUMO PROMEDIO TODAS]]</f>
        <v>59</v>
      </c>
      <c r="AB99" s="26">
        <f>Tabla17[[#This Row],[CONSUMO PROMEDIO TOTAL]]*(Tabla17[[#This Row],[FRECUENCIA]]+Tabla17[[#This Row],[TIEMPO REPOSICION ]])*1.7</f>
        <v>1003</v>
      </c>
      <c r="AC99" s="26">
        <v>300</v>
      </c>
      <c r="AD99" s="26">
        <v>300</v>
      </c>
      <c r="AE99" s="3" t="e">
        <f>VLOOKUP(Tabla17[[#This Row],[CODIGO ]],#REF!,2,0)</f>
        <v>#REF!</v>
      </c>
      <c r="AF99" s="2">
        <f>IFERROR(VLOOKUP(Tabla17[[#This Row],[CODIGO ]],#REF!,2,0),0)</f>
        <v>0</v>
      </c>
      <c r="AG99" s="80" t="e">
        <f>Tabla17[[#This Row],[INVENTARIO FISICO ]]-Tabla17[[#This Row],[BUFFER REAL]]</f>
        <v>#REF!</v>
      </c>
      <c r="AH99" s="27"/>
      <c r="AI99" s="80"/>
      <c r="AJ99" s="80">
        <f>Tabla17[[#This Row],[SINOCHEM EN TRANSITO  ]]+Tabla17[[#This Row],[TRANSITO LOCAL]]</f>
        <v>0</v>
      </c>
      <c r="AK99" s="80">
        <v>500</v>
      </c>
      <c r="AL99" s="80"/>
      <c r="AM99" s="124" t="e">
        <f>Tabla17[[#This Row],[INVENTARIO FISICO ]]-Tabla17[[#This Row],[BUFFER REAL]]+Tabla17[[#This Row],[SINOCHEM EN TRANSITO  ]]+Tabla17[[#This Row],[TRANSITO LOCAL]]</f>
        <v>#REF!</v>
      </c>
      <c r="AN99" s="128">
        <f>Tabla17[[#This Row],[BUFFER REAL]]/((Tabla17[[#This Row],[TIEMPO REPOSICION ]]/Tabla17[[#This Row],[FRECUENCIA]])+1)</f>
        <v>120</v>
      </c>
      <c r="AO99" s="80">
        <v>0</v>
      </c>
      <c r="AP99" s="126">
        <v>0</v>
      </c>
      <c r="AQ99" s="77"/>
      <c r="AR99" s="27">
        <v>0</v>
      </c>
    </row>
    <row r="100" spans="1:44" s="83" customFormat="1">
      <c r="A100" s="18" t="s">
        <v>338</v>
      </c>
      <c r="B100" s="18" t="s">
        <v>339</v>
      </c>
      <c r="C100" s="7" t="s">
        <v>2</v>
      </c>
      <c r="D100" s="7" t="s">
        <v>716</v>
      </c>
      <c r="E100" s="7"/>
      <c r="F100" s="7"/>
      <c r="G100" s="7"/>
      <c r="H100" s="7" t="s">
        <v>718</v>
      </c>
      <c r="I100" s="7" t="s">
        <v>724</v>
      </c>
      <c r="J100" s="7" t="s">
        <v>718</v>
      </c>
      <c r="K100" s="13">
        <v>0</v>
      </c>
      <c r="L100" s="13">
        <f t="shared" si="2"/>
        <v>0</v>
      </c>
      <c r="M100" s="13">
        <v>9.6140000000000003E-2</v>
      </c>
      <c r="N100" s="13"/>
      <c r="O100" s="13">
        <v>500</v>
      </c>
      <c r="P100" s="13" t="s">
        <v>808</v>
      </c>
      <c r="Q100" s="13" t="s">
        <v>802</v>
      </c>
      <c r="R100" s="7">
        <v>4</v>
      </c>
      <c r="S100" s="7">
        <v>6</v>
      </c>
      <c r="T100" s="7">
        <v>1</v>
      </c>
      <c r="U100" s="13">
        <v>2978</v>
      </c>
      <c r="V100" s="13">
        <v>2978</v>
      </c>
      <c r="W100" s="13">
        <f>Tabla17[[#This Row],[CONSUMO TOTAL PRO VALO]]/52</f>
        <v>57.269230769230766</v>
      </c>
      <c r="X100" s="21">
        <v>0</v>
      </c>
      <c r="Y100" s="13">
        <v>0</v>
      </c>
      <c r="Z100" s="13">
        <f>Tabla17[[#This Row],[CONSUMO TOTAL TODAS]]/52</f>
        <v>0</v>
      </c>
      <c r="AA100" s="25">
        <f>Tabla17[[#This Row],[CONSUMO PROMEDIO PROPIO]]+Tabla17[[#This Row],[CONSUMO PROMEDIO TODAS]]</f>
        <v>57.269230769230766</v>
      </c>
      <c r="AB100" s="26">
        <f>Tabla17[[#This Row],[CONSUMO PROMEDIO TOTAL]]*(Tabla17[[#This Row],[FRECUENCIA]]+Tabla17[[#This Row],[TIEMPO REPOSICION ]])*1.7</f>
        <v>973.57692307692298</v>
      </c>
      <c r="AC100" s="26">
        <v>1400</v>
      </c>
      <c r="AD100" s="26">
        <v>1400</v>
      </c>
      <c r="AE100" s="3" t="e">
        <f>VLOOKUP(Tabla17[[#This Row],[CODIGO ]],#REF!,2,0)</f>
        <v>#REF!</v>
      </c>
      <c r="AF100" s="2">
        <f>IFERROR(VLOOKUP(Tabla17[[#This Row],[CODIGO ]],#REF!,2,0),0)</f>
        <v>0</v>
      </c>
      <c r="AG100" s="80" t="e">
        <f>Tabla17[[#This Row],[INVENTARIO FISICO ]]-Tabla17[[#This Row],[BUFFER REAL]]</f>
        <v>#REF!</v>
      </c>
      <c r="AH100" s="27"/>
      <c r="AI100" s="80"/>
      <c r="AJ100" s="80">
        <f>Tabla17[[#This Row],[SINOCHEM EN TRANSITO  ]]+Tabla17[[#This Row],[TRANSITO LOCAL]]</f>
        <v>0</v>
      </c>
      <c r="AK100" s="80">
        <v>500</v>
      </c>
      <c r="AL100" s="80"/>
      <c r="AM100" s="124" t="e">
        <f>Tabla17[[#This Row],[INVENTARIO FISICO ]]-Tabla17[[#This Row],[BUFFER REAL]]+Tabla17[[#This Row],[SINOCHEM EN TRANSITO  ]]+Tabla17[[#This Row],[TRANSITO LOCAL]]</f>
        <v>#REF!</v>
      </c>
      <c r="AN100" s="128">
        <f>Tabla17[[#This Row],[BUFFER REAL]]/((Tabla17[[#This Row],[TIEMPO REPOSICION ]]/Tabla17[[#This Row],[FRECUENCIA]])+1)</f>
        <v>560</v>
      </c>
      <c r="AO100" s="80">
        <v>500</v>
      </c>
      <c r="AP100" s="126">
        <v>0</v>
      </c>
      <c r="AQ100" s="126"/>
      <c r="AR100" s="88">
        <v>560</v>
      </c>
    </row>
    <row r="101" spans="1:44" s="7" customFormat="1">
      <c r="A101" s="18" t="s">
        <v>340</v>
      </c>
      <c r="B101" s="18" t="s">
        <v>341</v>
      </c>
      <c r="C101" s="7" t="s">
        <v>2</v>
      </c>
      <c r="D101" s="7" t="s">
        <v>716</v>
      </c>
      <c r="H101" s="7" t="s">
        <v>718</v>
      </c>
      <c r="I101" s="7" t="s">
        <v>724</v>
      </c>
      <c r="J101" s="7" t="s">
        <v>718</v>
      </c>
      <c r="K101" s="13">
        <v>0</v>
      </c>
      <c r="L101" s="13">
        <f t="shared" si="2"/>
        <v>0</v>
      </c>
      <c r="M101" s="13">
        <v>0.11681999999999999</v>
      </c>
      <c r="N101" s="13"/>
      <c r="O101" s="13">
        <v>500</v>
      </c>
      <c r="P101" s="13" t="s">
        <v>808</v>
      </c>
      <c r="Q101" s="13" t="s">
        <v>802</v>
      </c>
      <c r="R101" s="7">
        <v>4</v>
      </c>
      <c r="S101" s="7">
        <v>6</v>
      </c>
      <c r="T101" s="7">
        <v>1</v>
      </c>
      <c r="U101" s="13">
        <v>2668</v>
      </c>
      <c r="V101" s="13">
        <v>2668</v>
      </c>
      <c r="W101" s="13">
        <f>Tabla17[[#This Row],[CONSUMO TOTAL PRO VALO]]/52</f>
        <v>51.307692307692307</v>
      </c>
      <c r="X101" s="21">
        <v>0</v>
      </c>
      <c r="Y101" s="13">
        <v>0</v>
      </c>
      <c r="Z101" s="13">
        <f>Tabla17[[#This Row],[CONSUMO TOTAL TODAS]]/52</f>
        <v>0</v>
      </c>
      <c r="AA101" s="25">
        <f>Tabla17[[#This Row],[CONSUMO PROMEDIO PROPIO]]+Tabla17[[#This Row],[CONSUMO PROMEDIO TODAS]]</f>
        <v>51.307692307692307</v>
      </c>
      <c r="AB101" s="26">
        <f>Tabla17[[#This Row],[CONSUMO PROMEDIO TOTAL]]*(Tabla17[[#This Row],[FRECUENCIA]]+Tabla17[[#This Row],[TIEMPO REPOSICION ]])*1.7</f>
        <v>872.23076923076928</v>
      </c>
      <c r="AC101" s="26">
        <v>300</v>
      </c>
      <c r="AD101" s="26">
        <v>300</v>
      </c>
      <c r="AE101" s="3" t="e">
        <f>VLOOKUP(Tabla17[[#This Row],[CODIGO ]],#REF!,2,0)</f>
        <v>#REF!</v>
      </c>
      <c r="AF101" s="2">
        <f>IFERROR(VLOOKUP(Tabla17[[#This Row],[CODIGO ]],#REF!,2,0),0)</f>
        <v>0</v>
      </c>
      <c r="AG101" s="80" t="e">
        <f>Tabla17[[#This Row],[INVENTARIO FISICO ]]-Tabla17[[#This Row],[BUFFER REAL]]</f>
        <v>#REF!</v>
      </c>
      <c r="AH101" s="27"/>
      <c r="AI101" s="80"/>
      <c r="AJ101" s="80">
        <f>Tabla17[[#This Row],[SINOCHEM EN TRANSITO  ]]+Tabla17[[#This Row],[TRANSITO LOCAL]]</f>
        <v>0</v>
      </c>
      <c r="AK101" s="80">
        <v>500</v>
      </c>
      <c r="AL101" s="80"/>
      <c r="AM101" s="124" t="e">
        <f>Tabla17[[#This Row],[INVENTARIO FISICO ]]-Tabla17[[#This Row],[BUFFER REAL]]+Tabla17[[#This Row],[SINOCHEM EN TRANSITO  ]]+Tabla17[[#This Row],[TRANSITO LOCAL]]</f>
        <v>#REF!</v>
      </c>
      <c r="AN101" s="128">
        <f>Tabla17[[#This Row],[BUFFER REAL]]/((Tabla17[[#This Row],[TIEMPO REPOSICION ]]/Tabla17[[#This Row],[FRECUENCIA]])+1)</f>
        <v>120</v>
      </c>
      <c r="AO101" s="80">
        <v>0</v>
      </c>
      <c r="AP101" s="126">
        <v>0</v>
      </c>
      <c r="AQ101" s="126"/>
      <c r="AR101" s="88">
        <v>0</v>
      </c>
    </row>
    <row r="102" spans="1:44" s="7" customFormat="1">
      <c r="A102" s="18" t="s">
        <v>342</v>
      </c>
      <c r="B102" s="18" t="s">
        <v>343</v>
      </c>
      <c r="C102" s="7" t="s">
        <v>2</v>
      </c>
      <c r="D102" s="7" t="s">
        <v>716</v>
      </c>
      <c r="H102" s="7" t="s">
        <v>718</v>
      </c>
      <c r="I102" s="7" t="s">
        <v>724</v>
      </c>
      <c r="J102" s="7" t="s">
        <v>718</v>
      </c>
      <c r="K102" s="13">
        <v>0</v>
      </c>
      <c r="L102" s="13">
        <f t="shared" ref="L102:L133" si="3">+K102*75%</f>
        <v>0</v>
      </c>
      <c r="M102" s="13">
        <v>0.25212000000000001</v>
      </c>
      <c r="N102" s="13"/>
      <c r="O102" s="13">
        <v>500</v>
      </c>
      <c r="P102" s="13" t="s">
        <v>808</v>
      </c>
      <c r="Q102" s="13" t="s">
        <v>802</v>
      </c>
      <c r="R102" s="7">
        <v>4</v>
      </c>
      <c r="S102" s="7">
        <v>6</v>
      </c>
      <c r="T102" s="7">
        <v>1</v>
      </c>
      <c r="U102" s="13">
        <v>23</v>
      </c>
      <c r="V102" s="13">
        <v>23</v>
      </c>
      <c r="W102" s="13">
        <f>Tabla17[[#This Row],[CONSUMO TOTAL PRO VALO]]/52</f>
        <v>0.44230769230769229</v>
      </c>
      <c r="X102" s="21">
        <v>0</v>
      </c>
      <c r="Y102" s="13">
        <v>0</v>
      </c>
      <c r="Z102" s="13">
        <f>Tabla17[[#This Row],[CONSUMO TOTAL TODAS]]/52</f>
        <v>0</v>
      </c>
      <c r="AA102" s="25">
        <f>Tabla17[[#This Row],[CONSUMO PROMEDIO PROPIO]]+Tabla17[[#This Row],[CONSUMO PROMEDIO TODAS]]</f>
        <v>0.44230769230769229</v>
      </c>
      <c r="AB102" s="26">
        <f>Tabla17[[#This Row],[CONSUMO PROMEDIO TOTAL]]*(Tabla17[[#This Row],[FRECUENCIA]]+Tabla17[[#This Row],[TIEMPO REPOSICION ]])*1.7</f>
        <v>7.5192307692307692</v>
      </c>
      <c r="AC102" s="26">
        <v>300</v>
      </c>
      <c r="AD102" s="26">
        <v>300</v>
      </c>
      <c r="AE102" s="3" t="e">
        <f>VLOOKUP(Tabla17[[#This Row],[CODIGO ]],#REF!,2,0)</f>
        <v>#REF!</v>
      </c>
      <c r="AF102" s="2">
        <f>IFERROR(VLOOKUP(Tabla17[[#This Row],[CODIGO ]],#REF!,2,0),0)</f>
        <v>0</v>
      </c>
      <c r="AG102" s="80" t="e">
        <f>Tabla17[[#This Row],[INVENTARIO FISICO ]]-Tabla17[[#This Row],[BUFFER REAL]]</f>
        <v>#REF!</v>
      </c>
      <c r="AH102" s="27"/>
      <c r="AI102" s="80"/>
      <c r="AJ102" s="80">
        <f>Tabla17[[#This Row],[SINOCHEM EN TRANSITO  ]]+Tabla17[[#This Row],[TRANSITO LOCAL]]</f>
        <v>0</v>
      </c>
      <c r="AK102" s="80">
        <v>500</v>
      </c>
      <c r="AL102" s="80"/>
      <c r="AM102" s="124" t="e">
        <f>Tabla17[[#This Row],[INVENTARIO FISICO ]]-Tabla17[[#This Row],[BUFFER REAL]]+Tabla17[[#This Row],[SINOCHEM EN TRANSITO  ]]+Tabla17[[#This Row],[TRANSITO LOCAL]]</f>
        <v>#REF!</v>
      </c>
      <c r="AN102" s="128">
        <f>Tabla17[[#This Row],[BUFFER REAL]]/((Tabla17[[#This Row],[TIEMPO REPOSICION ]]/Tabla17[[#This Row],[FRECUENCIA]])+1)</f>
        <v>120</v>
      </c>
      <c r="AO102" s="80">
        <v>0</v>
      </c>
      <c r="AP102" s="77">
        <v>0</v>
      </c>
      <c r="AQ102" s="126"/>
      <c r="AR102" s="88">
        <v>0</v>
      </c>
    </row>
    <row r="103" spans="1:44" s="7" customFormat="1">
      <c r="A103" s="18" t="s">
        <v>344</v>
      </c>
      <c r="B103" s="18" t="s">
        <v>345</v>
      </c>
      <c r="C103" s="7" t="s">
        <v>697</v>
      </c>
      <c r="D103" s="7" t="s">
        <v>716</v>
      </c>
      <c r="H103" s="7" t="s">
        <v>718</v>
      </c>
      <c r="I103" s="7" t="s">
        <v>724</v>
      </c>
      <c r="J103" s="7" t="s">
        <v>718</v>
      </c>
      <c r="K103" s="13">
        <v>0</v>
      </c>
      <c r="L103" s="13">
        <f t="shared" si="3"/>
        <v>0</v>
      </c>
      <c r="M103" s="13">
        <v>0.16228999999999999</v>
      </c>
      <c r="N103" s="13"/>
      <c r="O103" s="13">
        <v>500</v>
      </c>
      <c r="P103" s="13" t="s">
        <v>808</v>
      </c>
      <c r="Q103" s="13" t="s">
        <v>802</v>
      </c>
      <c r="R103" s="7">
        <v>4</v>
      </c>
      <c r="S103" s="7">
        <v>6</v>
      </c>
      <c r="T103" s="7">
        <v>1</v>
      </c>
      <c r="U103" s="13">
        <v>2363</v>
      </c>
      <c r="V103" s="13">
        <v>2363</v>
      </c>
      <c r="W103" s="13">
        <f>Tabla17[[#This Row],[CONSUMO TOTAL PRO VALO]]/52</f>
        <v>45.442307692307693</v>
      </c>
      <c r="X103" s="21">
        <v>0</v>
      </c>
      <c r="Y103" s="13">
        <v>0</v>
      </c>
      <c r="Z103" s="13">
        <f>Tabla17[[#This Row],[CONSUMO TOTAL TODAS]]/52</f>
        <v>0</v>
      </c>
      <c r="AA103" s="25">
        <f>Tabla17[[#This Row],[CONSUMO PROMEDIO PROPIO]]+Tabla17[[#This Row],[CONSUMO PROMEDIO TODAS]]</f>
        <v>45.442307692307693</v>
      </c>
      <c r="AB103" s="26">
        <f>Tabla17[[#This Row],[CONSUMO PROMEDIO TOTAL]]*(Tabla17[[#This Row],[FRECUENCIA]]+Tabla17[[#This Row],[TIEMPO REPOSICION ]])*1.7</f>
        <v>772.51923076923072</v>
      </c>
      <c r="AC103" s="26">
        <v>1227</v>
      </c>
      <c r="AD103" s="26">
        <v>1227</v>
      </c>
      <c r="AE103" s="3" t="e">
        <f>VLOOKUP(Tabla17[[#This Row],[CODIGO ]],#REF!,2,0)</f>
        <v>#REF!</v>
      </c>
      <c r="AF103" s="2">
        <f>IFERROR(VLOOKUP(Tabla17[[#This Row],[CODIGO ]],#REF!,2,0),0)</f>
        <v>0</v>
      </c>
      <c r="AG103" s="80" t="e">
        <f>Tabla17[[#This Row],[INVENTARIO FISICO ]]-Tabla17[[#This Row],[BUFFER REAL]]</f>
        <v>#REF!</v>
      </c>
      <c r="AH103" s="27"/>
      <c r="AI103" s="118"/>
      <c r="AJ103" s="118">
        <f>Tabla17[[#This Row],[SINOCHEM EN TRANSITO  ]]+Tabla17[[#This Row],[TRANSITO LOCAL]]</f>
        <v>0</v>
      </c>
      <c r="AK103" s="80">
        <v>500</v>
      </c>
      <c r="AL103" s="80"/>
      <c r="AM103" s="124" t="e">
        <f>Tabla17[[#This Row],[INVENTARIO FISICO ]]-Tabla17[[#This Row],[BUFFER REAL]]+Tabla17[[#This Row],[SINOCHEM EN TRANSITO  ]]+Tabla17[[#This Row],[TRANSITO LOCAL]]</f>
        <v>#REF!</v>
      </c>
      <c r="AN103" s="128">
        <f>Tabla17[[#This Row],[BUFFER REAL]]/((Tabla17[[#This Row],[TIEMPO REPOSICION ]]/Tabla17[[#This Row],[FRECUENCIA]])+1)</f>
        <v>490.8</v>
      </c>
      <c r="AO103" s="80">
        <v>0</v>
      </c>
      <c r="AP103" s="77">
        <v>0</v>
      </c>
      <c r="AQ103" s="77"/>
      <c r="AR103" s="27">
        <v>0</v>
      </c>
    </row>
    <row r="104" spans="1:44" s="7" customFormat="1">
      <c r="A104" s="18" t="s">
        <v>346</v>
      </c>
      <c r="B104" s="18" t="s">
        <v>347</v>
      </c>
      <c r="C104" s="7" t="s">
        <v>697</v>
      </c>
      <c r="D104" s="7" t="s">
        <v>716</v>
      </c>
      <c r="H104" s="7" t="s">
        <v>718</v>
      </c>
      <c r="I104" s="7" t="s">
        <v>724</v>
      </c>
      <c r="J104" s="7" t="s">
        <v>718</v>
      </c>
      <c r="K104" s="13">
        <v>0</v>
      </c>
      <c r="L104" s="13">
        <f t="shared" si="3"/>
        <v>0</v>
      </c>
      <c r="M104" s="13">
        <v>0.27157999999999999</v>
      </c>
      <c r="N104" s="13"/>
      <c r="O104" s="13">
        <v>500</v>
      </c>
      <c r="P104" s="13" t="s">
        <v>808</v>
      </c>
      <c r="Q104" s="13" t="s">
        <v>802</v>
      </c>
      <c r="R104" s="7">
        <v>4</v>
      </c>
      <c r="S104" s="7">
        <v>6</v>
      </c>
      <c r="T104" s="7">
        <v>1</v>
      </c>
      <c r="U104" s="13">
        <v>1039</v>
      </c>
      <c r="V104" s="13">
        <v>1039</v>
      </c>
      <c r="W104" s="13">
        <f>Tabla17[[#This Row],[CONSUMO TOTAL PRO VALO]]/52</f>
        <v>19.98076923076923</v>
      </c>
      <c r="X104" s="21">
        <v>0</v>
      </c>
      <c r="Y104" s="13">
        <v>0</v>
      </c>
      <c r="Z104" s="13">
        <f>Tabla17[[#This Row],[CONSUMO TOTAL TODAS]]/52</f>
        <v>0</v>
      </c>
      <c r="AA104" s="25">
        <f>Tabla17[[#This Row],[CONSUMO PROMEDIO PROPIO]]+Tabla17[[#This Row],[CONSUMO PROMEDIO TODAS]]</f>
        <v>19.98076923076923</v>
      </c>
      <c r="AB104" s="26">
        <f>Tabla17[[#This Row],[CONSUMO PROMEDIO TOTAL]]*(Tabla17[[#This Row],[FRECUENCIA]]+Tabla17[[#This Row],[TIEMPO REPOSICION ]])*1.7</f>
        <v>339.67307692307691</v>
      </c>
      <c r="AC104" s="26">
        <v>300</v>
      </c>
      <c r="AD104" s="26">
        <v>300</v>
      </c>
      <c r="AE104" s="3" t="e">
        <f>VLOOKUP(Tabla17[[#This Row],[CODIGO ]],#REF!,2,0)</f>
        <v>#REF!</v>
      </c>
      <c r="AF104" s="2">
        <f>IFERROR(VLOOKUP(Tabla17[[#This Row],[CODIGO ]],#REF!,2,0),0)</f>
        <v>0</v>
      </c>
      <c r="AG104" s="80" t="e">
        <f>Tabla17[[#This Row],[INVENTARIO FISICO ]]-Tabla17[[#This Row],[BUFFER REAL]]</f>
        <v>#REF!</v>
      </c>
      <c r="AH104" s="27"/>
      <c r="AI104" s="80"/>
      <c r="AJ104" s="80">
        <f>Tabla17[[#This Row],[SINOCHEM EN TRANSITO  ]]+Tabla17[[#This Row],[TRANSITO LOCAL]]</f>
        <v>0</v>
      </c>
      <c r="AK104" s="80">
        <v>500</v>
      </c>
      <c r="AL104" s="80"/>
      <c r="AM104" s="124" t="e">
        <f>Tabla17[[#This Row],[INVENTARIO FISICO ]]-Tabla17[[#This Row],[BUFFER REAL]]+Tabla17[[#This Row],[SINOCHEM EN TRANSITO  ]]+Tabla17[[#This Row],[TRANSITO LOCAL]]</f>
        <v>#REF!</v>
      </c>
      <c r="AN104" s="128">
        <f>Tabla17[[#This Row],[BUFFER REAL]]/((Tabla17[[#This Row],[TIEMPO REPOSICION ]]/Tabla17[[#This Row],[FRECUENCIA]])+1)</f>
        <v>120</v>
      </c>
      <c r="AO104" s="80">
        <v>0</v>
      </c>
      <c r="AP104" s="77">
        <v>0</v>
      </c>
      <c r="AQ104" s="77"/>
      <c r="AR104" s="27">
        <v>0</v>
      </c>
    </row>
    <row r="105" spans="1:44" s="7" customFormat="1">
      <c r="A105" s="18" t="s">
        <v>348</v>
      </c>
      <c r="B105" s="18" t="s">
        <v>349</v>
      </c>
      <c r="C105" s="7" t="s">
        <v>2</v>
      </c>
      <c r="D105" s="7" t="s">
        <v>716</v>
      </c>
      <c r="H105" s="7" t="s">
        <v>718</v>
      </c>
      <c r="I105" s="7" t="s">
        <v>724</v>
      </c>
      <c r="J105" s="7" t="s">
        <v>718</v>
      </c>
      <c r="K105" s="13">
        <v>0</v>
      </c>
      <c r="L105" s="13">
        <f t="shared" si="3"/>
        <v>0</v>
      </c>
      <c r="M105" s="13">
        <v>0.14000000000000001</v>
      </c>
      <c r="N105" s="13"/>
      <c r="O105" s="13">
        <v>500</v>
      </c>
      <c r="P105" s="13" t="s">
        <v>808</v>
      </c>
      <c r="Q105" s="13" t="s">
        <v>802</v>
      </c>
      <c r="R105" s="7">
        <v>4</v>
      </c>
      <c r="S105" s="7">
        <v>6</v>
      </c>
      <c r="T105" s="7">
        <v>1</v>
      </c>
      <c r="U105" s="13">
        <v>0</v>
      </c>
      <c r="V105" s="13">
        <v>0</v>
      </c>
      <c r="W105" s="13">
        <f>Tabla17[[#This Row],[CONSUMO TOTAL PRO VALO]]/52</f>
        <v>0</v>
      </c>
      <c r="X105" s="21">
        <v>0</v>
      </c>
      <c r="Y105" s="13">
        <v>0</v>
      </c>
      <c r="Z105" s="13">
        <f>Tabla17[[#This Row],[CONSUMO TOTAL TODAS]]/52</f>
        <v>0</v>
      </c>
      <c r="AA105" s="25">
        <f>Tabla17[[#This Row],[CONSUMO PROMEDIO PROPIO]]+Tabla17[[#This Row],[CONSUMO PROMEDIO TODAS]]</f>
        <v>0</v>
      </c>
      <c r="AB105" s="26">
        <f>Tabla17[[#This Row],[CONSUMO PROMEDIO TOTAL]]*(Tabla17[[#This Row],[FRECUENCIA]]+Tabla17[[#This Row],[TIEMPO REPOSICION ]])*1.7</f>
        <v>0</v>
      </c>
      <c r="AC105" s="26">
        <v>300</v>
      </c>
      <c r="AD105" s="26">
        <v>300</v>
      </c>
      <c r="AE105" s="3" t="e">
        <f>VLOOKUP(Tabla17[[#This Row],[CODIGO ]],#REF!,2,0)</f>
        <v>#REF!</v>
      </c>
      <c r="AF105" s="2">
        <f>IFERROR(VLOOKUP(Tabla17[[#This Row],[CODIGO ]],#REF!,2,0),0)</f>
        <v>0</v>
      </c>
      <c r="AG105" s="80" t="e">
        <f>Tabla17[[#This Row],[INVENTARIO FISICO ]]-Tabla17[[#This Row],[BUFFER REAL]]</f>
        <v>#REF!</v>
      </c>
      <c r="AH105" s="27"/>
      <c r="AI105" s="80"/>
      <c r="AJ105" s="80">
        <f>Tabla17[[#This Row],[SINOCHEM EN TRANSITO  ]]+Tabla17[[#This Row],[TRANSITO LOCAL]]</f>
        <v>0</v>
      </c>
      <c r="AK105" s="80">
        <v>500</v>
      </c>
      <c r="AL105" s="80"/>
      <c r="AM105" s="124" t="e">
        <f>Tabla17[[#This Row],[INVENTARIO FISICO ]]-Tabla17[[#This Row],[BUFFER REAL]]+Tabla17[[#This Row],[SINOCHEM EN TRANSITO  ]]+Tabla17[[#This Row],[TRANSITO LOCAL]]</f>
        <v>#REF!</v>
      </c>
      <c r="AN105" s="128">
        <f>Tabla17[[#This Row],[BUFFER REAL]]/((Tabla17[[#This Row],[TIEMPO REPOSICION ]]/Tabla17[[#This Row],[FRECUENCIA]])+1)</f>
        <v>120</v>
      </c>
      <c r="AO105" s="80">
        <v>0</v>
      </c>
      <c r="AP105" s="77">
        <v>0</v>
      </c>
      <c r="AQ105" s="77"/>
      <c r="AR105" s="27">
        <v>0</v>
      </c>
    </row>
    <row r="106" spans="1:44" s="7" customFormat="1">
      <c r="A106" s="18" t="s">
        <v>350</v>
      </c>
      <c r="B106" s="18" t="s">
        <v>351</v>
      </c>
      <c r="C106" s="83" t="s">
        <v>2</v>
      </c>
      <c r="D106" s="83" t="s">
        <v>716</v>
      </c>
      <c r="E106" s="83"/>
      <c r="F106" s="83"/>
      <c r="G106" s="83"/>
      <c r="H106" s="83" t="s">
        <v>718</v>
      </c>
      <c r="I106" s="83" t="s">
        <v>724</v>
      </c>
      <c r="J106" s="83" t="s">
        <v>718</v>
      </c>
      <c r="K106" s="13">
        <v>0</v>
      </c>
      <c r="L106" s="13">
        <f t="shared" si="3"/>
        <v>0</v>
      </c>
      <c r="M106" s="13">
        <v>0.11318</v>
      </c>
      <c r="N106" s="13"/>
      <c r="O106" s="13">
        <v>500</v>
      </c>
      <c r="P106" s="13" t="s">
        <v>808</v>
      </c>
      <c r="Q106" s="84" t="s">
        <v>802</v>
      </c>
      <c r="R106" s="83">
        <v>4</v>
      </c>
      <c r="S106" s="7">
        <v>6</v>
      </c>
      <c r="T106" s="7">
        <v>1</v>
      </c>
      <c r="U106" s="84">
        <v>0</v>
      </c>
      <c r="V106" s="84">
        <v>0</v>
      </c>
      <c r="W106" s="84">
        <f>Tabla17[[#This Row],[CONSUMO TOTAL PRO VALO]]/52</f>
        <v>0</v>
      </c>
      <c r="X106" s="21">
        <v>0</v>
      </c>
      <c r="Y106" s="13">
        <v>0</v>
      </c>
      <c r="Z106" s="13">
        <f>Tabla17[[#This Row],[CONSUMO TOTAL TODAS]]/52</f>
        <v>0</v>
      </c>
      <c r="AA106" s="85">
        <f>Tabla17[[#This Row],[CONSUMO PROMEDIO PROPIO]]+Tabla17[[#This Row],[CONSUMO PROMEDIO TODAS]]</f>
        <v>0</v>
      </c>
      <c r="AB106" s="86">
        <f>Tabla17[[#This Row],[CONSUMO PROMEDIO TOTAL]]*(Tabla17[[#This Row],[FRECUENCIA]]+Tabla17[[#This Row],[TIEMPO REPOSICION ]])*1.7</f>
        <v>0</v>
      </c>
      <c r="AC106" s="86">
        <v>300</v>
      </c>
      <c r="AD106" s="86">
        <v>300</v>
      </c>
      <c r="AE106" s="3" t="e">
        <f>VLOOKUP(Tabla17[[#This Row],[CODIGO ]],#REF!,2,0)</f>
        <v>#REF!</v>
      </c>
      <c r="AF106" s="2">
        <f>IFERROR(VLOOKUP(Tabla17[[#This Row],[CODIGO ]],#REF!,2,0),0)</f>
        <v>0</v>
      </c>
      <c r="AG106" s="87" t="e">
        <f>Tabla17[[#This Row],[INVENTARIO FISICO ]]-Tabla17[[#This Row],[BUFFER REAL]]</f>
        <v>#REF!</v>
      </c>
      <c r="AH106" s="88"/>
      <c r="AI106" s="87"/>
      <c r="AJ106" s="87">
        <f>Tabla17[[#This Row],[SINOCHEM EN TRANSITO  ]]+Tabla17[[#This Row],[TRANSITO LOCAL]]</f>
        <v>0</v>
      </c>
      <c r="AK106" s="87">
        <v>500</v>
      </c>
      <c r="AL106" s="87"/>
      <c r="AM106" s="124" t="e">
        <f>Tabla17[[#This Row],[INVENTARIO FISICO ]]-Tabla17[[#This Row],[BUFFER REAL]]+Tabla17[[#This Row],[SINOCHEM EN TRANSITO  ]]+Tabla17[[#This Row],[TRANSITO LOCAL]]</f>
        <v>#REF!</v>
      </c>
      <c r="AN106" s="128">
        <f>Tabla17[[#This Row],[BUFFER REAL]]/((Tabla17[[#This Row],[TIEMPO REPOSICION ]]/Tabla17[[#This Row],[FRECUENCIA]])+1)</f>
        <v>120</v>
      </c>
      <c r="AO106" s="87">
        <v>500</v>
      </c>
      <c r="AP106" s="77">
        <v>300</v>
      </c>
      <c r="AQ106" s="77"/>
      <c r="AR106" s="27">
        <v>120</v>
      </c>
    </row>
    <row r="107" spans="1:44" s="7" customFormat="1">
      <c r="A107" s="18" t="s">
        <v>352</v>
      </c>
      <c r="B107" s="18" t="s">
        <v>353</v>
      </c>
      <c r="C107" s="83" t="s">
        <v>2</v>
      </c>
      <c r="D107" s="83" t="s">
        <v>716</v>
      </c>
      <c r="E107" s="83"/>
      <c r="F107" s="83"/>
      <c r="G107" s="83"/>
      <c r="H107" s="83" t="s">
        <v>718</v>
      </c>
      <c r="I107" s="83" t="s">
        <v>724</v>
      </c>
      <c r="J107" s="83" t="s">
        <v>718</v>
      </c>
      <c r="K107" s="13">
        <v>0</v>
      </c>
      <c r="L107" s="13">
        <f t="shared" si="3"/>
        <v>0</v>
      </c>
      <c r="M107" s="13">
        <v>0.11318</v>
      </c>
      <c r="N107" s="13"/>
      <c r="O107" s="13">
        <v>500</v>
      </c>
      <c r="P107" s="13" t="s">
        <v>808</v>
      </c>
      <c r="Q107" s="84" t="s">
        <v>802</v>
      </c>
      <c r="R107" s="83">
        <v>4</v>
      </c>
      <c r="S107" s="7">
        <v>6</v>
      </c>
      <c r="T107" s="7">
        <v>1</v>
      </c>
      <c r="U107" s="84">
        <v>0</v>
      </c>
      <c r="V107" s="84">
        <v>0</v>
      </c>
      <c r="W107" s="84">
        <f>Tabla17[[#This Row],[CONSUMO TOTAL PRO VALO]]/52</f>
        <v>0</v>
      </c>
      <c r="X107" s="21">
        <v>0</v>
      </c>
      <c r="Y107" s="13">
        <v>0</v>
      </c>
      <c r="Z107" s="13">
        <f>Tabla17[[#This Row],[CONSUMO TOTAL TODAS]]/52</f>
        <v>0</v>
      </c>
      <c r="AA107" s="85">
        <f>Tabla17[[#This Row],[CONSUMO PROMEDIO PROPIO]]+Tabla17[[#This Row],[CONSUMO PROMEDIO TODAS]]</f>
        <v>0</v>
      </c>
      <c r="AB107" s="86">
        <f>Tabla17[[#This Row],[CONSUMO PROMEDIO TOTAL]]*(Tabla17[[#This Row],[FRECUENCIA]]+Tabla17[[#This Row],[TIEMPO REPOSICION ]])*1.7</f>
        <v>0</v>
      </c>
      <c r="AC107" s="86">
        <v>300</v>
      </c>
      <c r="AD107" s="86">
        <v>300</v>
      </c>
      <c r="AE107" s="3" t="e">
        <f>VLOOKUP(Tabla17[[#This Row],[CODIGO ]],#REF!,2,0)</f>
        <v>#REF!</v>
      </c>
      <c r="AF107" s="2">
        <f>IFERROR(VLOOKUP(Tabla17[[#This Row],[CODIGO ]],#REF!,2,0),0)</f>
        <v>0</v>
      </c>
      <c r="AG107" s="87" t="e">
        <f>Tabla17[[#This Row],[INVENTARIO FISICO ]]-Tabla17[[#This Row],[BUFFER REAL]]</f>
        <v>#REF!</v>
      </c>
      <c r="AH107" s="88"/>
      <c r="AI107" s="87"/>
      <c r="AJ107" s="87">
        <f>Tabla17[[#This Row],[SINOCHEM EN TRANSITO  ]]+Tabla17[[#This Row],[TRANSITO LOCAL]]</f>
        <v>0</v>
      </c>
      <c r="AK107" s="87">
        <v>500</v>
      </c>
      <c r="AL107" s="87"/>
      <c r="AM107" s="124" t="e">
        <f>Tabla17[[#This Row],[INVENTARIO FISICO ]]-Tabla17[[#This Row],[BUFFER REAL]]+Tabla17[[#This Row],[SINOCHEM EN TRANSITO  ]]+Tabla17[[#This Row],[TRANSITO LOCAL]]</f>
        <v>#REF!</v>
      </c>
      <c r="AN107" s="128">
        <f>Tabla17[[#This Row],[BUFFER REAL]]/((Tabla17[[#This Row],[TIEMPO REPOSICION ]]/Tabla17[[#This Row],[FRECUENCIA]])+1)</f>
        <v>120</v>
      </c>
      <c r="AO107" s="87">
        <v>500</v>
      </c>
      <c r="AP107" s="77">
        <v>300</v>
      </c>
      <c r="AQ107" s="77"/>
      <c r="AR107" s="27">
        <v>120</v>
      </c>
    </row>
    <row r="108" spans="1:44" s="7" customFormat="1">
      <c r="A108" s="18" t="s">
        <v>354</v>
      </c>
      <c r="B108" s="18" t="s">
        <v>355</v>
      </c>
      <c r="C108" s="83" t="s">
        <v>2</v>
      </c>
      <c r="D108" s="83" t="s">
        <v>716</v>
      </c>
      <c r="E108" s="83"/>
      <c r="F108" s="83"/>
      <c r="G108" s="83"/>
      <c r="H108" s="83" t="s">
        <v>718</v>
      </c>
      <c r="I108" s="83" t="s">
        <v>724</v>
      </c>
      <c r="J108" s="83" t="s">
        <v>718</v>
      </c>
      <c r="K108" s="13">
        <v>0</v>
      </c>
      <c r="L108" s="13">
        <f t="shared" si="3"/>
        <v>0</v>
      </c>
      <c r="M108" s="13">
        <v>0.22142999999999999</v>
      </c>
      <c r="N108" s="13"/>
      <c r="O108" s="13">
        <v>500</v>
      </c>
      <c r="P108" s="13" t="s">
        <v>808</v>
      </c>
      <c r="Q108" s="84" t="s">
        <v>802</v>
      </c>
      <c r="R108" s="83">
        <v>4</v>
      </c>
      <c r="S108" s="7">
        <v>6</v>
      </c>
      <c r="T108" s="7">
        <v>1</v>
      </c>
      <c r="U108" s="84">
        <v>0</v>
      </c>
      <c r="V108" s="84">
        <v>0</v>
      </c>
      <c r="W108" s="84">
        <f>Tabla17[[#This Row],[CONSUMO TOTAL PRO VALO]]/52</f>
        <v>0</v>
      </c>
      <c r="X108" s="21">
        <v>0</v>
      </c>
      <c r="Y108" s="13">
        <v>0</v>
      </c>
      <c r="Z108" s="13">
        <f>Tabla17[[#This Row],[CONSUMO TOTAL TODAS]]/52</f>
        <v>0</v>
      </c>
      <c r="AA108" s="85">
        <f>Tabla17[[#This Row],[CONSUMO PROMEDIO PROPIO]]+Tabla17[[#This Row],[CONSUMO PROMEDIO TODAS]]</f>
        <v>0</v>
      </c>
      <c r="AB108" s="86">
        <f>Tabla17[[#This Row],[CONSUMO PROMEDIO TOTAL]]*(Tabla17[[#This Row],[FRECUENCIA]]+Tabla17[[#This Row],[TIEMPO REPOSICION ]])*1.7</f>
        <v>0</v>
      </c>
      <c r="AC108" s="86">
        <v>300</v>
      </c>
      <c r="AD108" s="86">
        <v>300</v>
      </c>
      <c r="AE108" s="3" t="e">
        <f>VLOOKUP(Tabla17[[#This Row],[CODIGO ]],#REF!,2,0)</f>
        <v>#REF!</v>
      </c>
      <c r="AF108" s="2">
        <f>IFERROR(VLOOKUP(Tabla17[[#This Row],[CODIGO ]],#REF!,2,0),0)</f>
        <v>0</v>
      </c>
      <c r="AG108" s="87" t="e">
        <f>Tabla17[[#This Row],[INVENTARIO FISICO ]]-Tabla17[[#This Row],[BUFFER REAL]]</f>
        <v>#REF!</v>
      </c>
      <c r="AH108" s="88"/>
      <c r="AI108" s="87"/>
      <c r="AJ108" s="87">
        <f>Tabla17[[#This Row],[SINOCHEM EN TRANSITO  ]]+Tabla17[[#This Row],[TRANSITO LOCAL]]</f>
        <v>0</v>
      </c>
      <c r="AK108" s="87">
        <v>500</v>
      </c>
      <c r="AL108" s="87"/>
      <c r="AM108" s="124" t="e">
        <f>Tabla17[[#This Row],[INVENTARIO FISICO ]]-Tabla17[[#This Row],[BUFFER REAL]]+Tabla17[[#This Row],[SINOCHEM EN TRANSITO  ]]+Tabla17[[#This Row],[TRANSITO LOCAL]]</f>
        <v>#REF!</v>
      </c>
      <c r="AN108" s="128">
        <f>Tabla17[[#This Row],[BUFFER REAL]]/((Tabla17[[#This Row],[TIEMPO REPOSICION ]]/Tabla17[[#This Row],[FRECUENCIA]])+1)</f>
        <v>120</v>
      </c>
      <c r="AO108" s="87">
        <v>500</v>
      </c>
      <c r="AP108" s="77">
        <v>300</v>
      </c>
      <c r="AQ108" s="77"/>
      <c r="AR108" s="27">
        <v>120</v>
      </c>
    </row>
    <row r="109" spans="1:44" s="7" customFormat="1">
      <c r="A109" s="18" t="s">
        <v>356</v>
      </c>
      <c r="B109" s="18" t="s">
        <v>357</v>
      </c>
      <c r="C109" s="7" t="s">
        <v>697</v>
      </c>
      <c r="D109" s="7" t="s">
        <v>716</v>
      </c>
      <c r="H109" s="7" t="s">
        <v>718</v>
      </c>
      <c r="I109" s="7" t="s">
        <v>724</v>
      </c>
      <c r="J109" s="7" t="s">
        <v>718</v>
      </c>
      <c r="K109" s="13">
        <v>0</v>
      </c>
      <c r="L109" s="13">
        <f t="shared" si="3"/>
        <v>0</v>
      </c>
      <c r="M109" s="13">
        <v>0.21912999999999999</v>
      </c>
      <c r="N109" s="13"/>
      <c r="O109" s="13">
        <v>500</v>
      </c>
      <c r="P109" s="13" t="s">
        <v>808</v>
      </c>
      <c r="Q109" s="13" t="s">
        <v>802</v>
      </c>
      <c r="R109" s="7">
        <v>4</v>
      </c>
      <c r="S109" s="7">
        <v>6</v>
      </c>
      <c r="T109" s="7">
        <v>1</v>
      </c>
      <c r="U109" s="13">
        <v>1854</v>
      </c>
      <c r="V109" s="13">
        <v>1854</v>
      </c>
      <c r="W109" s="13">
        <f>Tabla17[[#This Row],[CONSUMO TOTAL PRO VALO]]/52</f>
        <v>35.653846153846153</v>
      </c>
      <c r="X109" s="21">
        <v>0</v>
      </c>
      <c r="Y109" s="13">
        <v>0</v>
      </c>
      <c r="Z109" s="13">
        <f>Tabla17[[#This Row],[CONSUMO TOTAL TODAS]]/52</f>
        <v>0</v>
      </c>
      <c r="AA109" s="25">
        <f>Tabla17[[#This Row],[CONSUMO PROMEDIO PROPIO]]+Tabla17[[#This Row],[CONSUMO PROMEDIO TODAS]]</f>
        <v>35.653846153846153</v>
      </c>
      <c r="AB109" s="26">
        <f>Tabla17[[#This Row],[CONSUMO PROMEDIO TOTAL]]*(Tabla17[[#This Row],[FRECUENCIA]]+Tabla17[[#This Row],[TIEMPO REPOSICION ]])*1.7</f>
        <v>606.11538461538464</v>
      </c>
      <c r="AC109" s="26">
        <v>0</v>
      </c>
      <c r="AD109" s="26">
        <v>0</v>
      </c>
      <c r="AE109" s="3" t="e">
        <f>VLOOKUP(Tabla17[[#This Row],[CODIGO ]],#REF!,2,0)</f>
        <v>#REF!</v>
      </c>
      <c r="AF109" s="2">
        <f>IFERROR(VLOOKUP(Tabla17[[#This Row],[CODIGO ]],#REF!,2,0),0)</f>
        <v>0</v>
      </c>
      <c r="AG109" s="80" t="e">
        <f>Tabla17[[#This Row],[INVENTARIO FISICO ]]-Tabla17[[#This Row],[BUFFER REAL]]</f>
        <v>#REF!</v>
      </c>
      <c r="AH109" s="27"/>
      <c r="AI109" s="80"/>
      <c r="AJ109" s="80">
        <f>Tabla17[[#This Row],[SINOCHEM EN TRANSITO  ]]+Tabla17[[#This Row],[TRANSITO LOCAL]]</f>
        <v>0</v>
      </c>
      <c r="AK109" s="80">
        <v>500</v>
      </c>
      <c r="AL109" s="80"/>
      <c r="AM109" s="124" t="e">
        <f>Tabla17[[#This Row],[INVENTARIO FISICO ]]-Tabla17[[#This Row],[BUFFER REAL]]+Tabla17[[#This Row],[SINOCHEM EN TRANSITO  ]]+Tabla17[[#This Row],[TRANSITO LOCAL]]</f>
        <v>#REF!</v>
      </c>
      <c r="AN109" s="128">
        <f>Tabla17[[#This Row],[BUFFER REAL]]/((Tabla17[[#This Row],[TIEMPO REPOSICION ]]/Tabla17[[#This Row],[FRECUENCIA]])+1)</f>
        <v>0</v>
      </c>
      <c r="AO109" s="80">
        <v>500</v>
      </c>
      <c r="AP109" s="77">
        <v>0</v>
      </c>
      <c r="AQ109" s="77"/>
      <c r="AR109" s="27">
        <v>0</v>
      </c>
    </row>
    <row r="110" spans="1:44" s="7" customFormat="1">
      <c r="A110" s="18" t="s">
        <v>358</v>
      </c>
      <c r="B110" s="18" t="s">
        <v>359</v>
      </c>
      <c r="C110" s="7" t="s">
        <v>2</v>
      </c>
      <c r="D110" s="7" t="s">
        <v>716</v>
      </c>
      <c r="H110" s="7" t="s">
        <v>718</v>
      </c>
      <c r="I110" s="7" t="s">
        <v>724</v>
      </c>
      <c r="J110" s="7" t="s">
        <v>718</v>
      </c>
      <c r="K110" s="13">
        <v>0</v>
      </c>
      <c r="L110" s="13">
        <f t="shared" si="3"/>
        <v>0</v>
      </c>
      <c r="M110" s="13">
        <v>0.22600000000000001</v>
      </c>
      <c r="N110" s="13"/>
      <c r="O110" s="13">
        <v>500</v>
      </c>
      <c r="P110" s="13" t="s">
        <v>808</v>
      </c>
      <c r="Q110" s="13" t="s">
        <v>802</v>
      </c>
      <c r="R110" s="7">
        <v>4</v>
      </c>
      <c r="S110" s="7">
        <v>6</v>
      </c>
      <c r="T110" s="7">
        <v>1</v>
      </c>
      <c r="U110" s="13">
        <v>1854</v>
      </c>
      <c r="V110" s="13">
        <v>1854</v>
      </c>
      <c r="W110" s="13">
        <f>Tabla17[[#This Row],[CONSUMO TOTAL PRO VALO]]/52</f>
        <v>35.653846153846153</v>
      </c>
      <c r="X110" s="21">
        <v>0</v>
      </c>
      <c r="Y110" s="13">
        <v>0</v>
      </c>
      <c r="Z110" s="13">
        <f>Tabla17[[#This Row],[CONSUMO TOTAL TODAS]]/52</f>
        <v>0</v>
      </c>
      <c r="AA110" s="25">
        <f>Tabla17[[#This Row],[CONSUMO PROMEDIO PROPIO]]+Tabla17[[#This Row],[CONSUMO PROMEDIO TODAS]]</f>
        <v>35.653846153846153</v>
      </c>
      <c r="AB110" s="26">
        <f>Tabla17[[#This Row],[CONSUMO PROMEDIO TOTAL]]*(Tabla17[[#This Row],[FRECUENCIA]]+Tabla17[[#This Row],[TIEMPO REPOSICION ]])*1.7</f>
        <v>606.11538461538464</v>
      </c>
      <c r="AC110" s="26">
        <v>0</v>
      </c>
      <c r="AD110" s="26">
        <v>0</v>
      </c>
      <c r="AE110" s="3" t="e">
        <f>VLOOKUP(Tabla17[[#This Row],[CODIGO ]],#REF!,2,0)</f>
        <v>#REF!</v>
      </c>
      <c r="AF110" s="2">
        <f>IFERROR(VLOOKUP(Tabla17[[#This Row],[CODIGO ]],#REF!,2,0),0)</f>
        <v>0</v>
      </c>
      <c r="AG110" s="80" t="e">
        <f>Tabla17[[#This Row],[INVENTARIO FISICO ]]-Tabla17[[#This Row],[BUFFER REAL]]</f>
        <v>#REF!</v>
      </c>
      <c r="AH110" s="27"/>
      <c r="AI110" s="80"/>
      <c r="AJ110" s="80">
        <f>Tabla17[[#This Row],[SINOCHEM EN TRANSITO  ]]+Tabla17[[#This Row],[TRANSITO LOCAL]]</f>
        <v>0</v>
      </c>
      <c r="AK110" s="80">
        <v>500</v>
      </c>
      <c r="AL110" s="80"/>
      <c r="AM110" s="124" t="e">
        <f>Tabla17[[#This Row],[INVENTARIO FISICO ]]-Tabla17[[#This Row],[BUFFER REAL]]+Tabla17[[#This Row],[SINOCHEM EN TRANSITO  ]]+Tabla17[[#This Row],[TRANSITO LOCAL]]</f>
        <v>#REF!</v>
      </c>
      <c r="AN110" s="128">
        <f>Tabla17[[#This Row],[BUFFER REAL]]/((Tabla17[[#This Row],[TIEMPO REPOSICION ]]/Tabla17[[#This Row],[FRECUENCIA]])+1)</f>
        <v>0</v>
      </c>
      <c r="AO110" s="80">
        <v>500</v>
      </c>
      <c r="AP110" s="77">
        <v>0</v>
      </c>
      <c r="AQ110" s="77"/>
      <c r="AR110" s="27">
        <v>0</v>
      </c>
    </row>
    <row r="111" spans="1:44" s="7" customFormat="1">
      <c r="A111" s="18" t="s">
        <v>360</v>
      </c>
      <c r="B111" s="18" t="s">
        <v>361</v>
      </c>
      <c r="C111" s="7" t="s">
        <v>697</v>
      </c>
      <c r="D111" s="7" t="s">
        <v>716</v>
      </c>
      <c r="H111" s="7" t="s">
        <v>718</v>
      </c>
      <c r="I111" s="7" t="s">
        <v>724</v>
      </c>
      <c r="J111" s="7" t="s">
        <v>718</v>
      </c>
      <c r="K111" s="13">
        <v>0</v>
      </c>
      <c r="L111" s="13">
        <f t="shared" si="3"/>
        <v>0</v>
      </c>
      <c r="M111" s="13">
        <v>0.37630000000000002</v>
      </c>
      <c r="N111" s="13"/>
      <c r="O111" s="13">
        <v>500</v>
      </c>
      <c r="P111" s="13" t="s">
        <v>808</v>
      </c>
      <c r="Q111" s="13" t="s">
        <v>802</v>
      </c>
      <c r="R111" s="7">
        <v>4</v>
      </c>
      <c r="S111" s="7">
        <v>6</v>
      </c>
      <c r="T111" s="7">
        <v>1</v>
      </c>
      <c r="U111" s="13">
        <v>65</v>
      </c>
      <c r="V111" s="13">
        <v>65</v>
      </c>
      <c r="W111" s="13">
        <f>Tabla17[[#This Row],[CONSUMO TOTAL PRO VALO]]/52</f>
        <v>1.25</v>
      </c>
      <c r="X111" s="21">
        <v>0</v>
      </c>
      <c r="Y111" s="13">
        <v>0</v>
      </c>
      <c r="Z111" s="13">
        <f>Tabla17[[#This Row],[CONSUMO TOTAL TODAS]]/52</f>
        <v>0</v>
      </c>
      <c r="AA111" s="25">
        <f>Tabla17[[#This Row],[CONSUMO PROMEDIO PROPIO]]+Tabla17[[#This Row],[CONSUMO PROMEDIO TODAS]]</f>
        <v>1.25</v>
      </c>
      <c r="AB111" s="26">
        <f>Tabla17[[#This Row],[CONSUMO PROMEDIO TOTAL]]*(Tabla17[[#This Row],[FRECUENCIA]]+Tabla17[[#This Row],[TIEMPO REPOSICION ]])*1.7</f>
        <v>21.25</v>
      </c>
      <c r="AC111" s="26">
        <v>0</v>
      </c>
      <c r="AD111" s="26">
        <v>0</v>
      </c>
      <c r="AE111" s="3" t="e">
        <f>VLOOKUP(Tabla17[[#This Row],[CODIGO ]],#REF!,2,0)</f>
        <v>#REF!</v>
      </c>
      <c r="AF111" s="2">
        <f>IFERROR(VLOOKUP(Tabla17[[#This Row],[CODIGO ]],#REF!,2,0),0)</f>
        <v>0</v>
      </c>
      <c r="AG111" s="80" t="e">
        <f>Tabla17[[#This Row],[INVENTARIO FISICO ]]-Tabla17[[#This Row],[BUFFER REAL]]</f>
        <v>#REF!</v>
      </c>
      <c r="AH111" s="27"/>
      <c r="AI111" s="80"/>
      <c r="AJ111" s="80">
        <f>Tabla17[[#This Row],[SINOCHEM EN TRANSITO  ]]+Tabla17[[#This Row],[TRANSITO LOCAL]]</f>
        <v>0</v>
      </c>
      <c r="AK111" s="80">
        <v>500</v>
      </c>
      <c r="AL111" s="80"/>
      <c r="AM111" s="124" t="e">
        <f>Tabla17[[#This Row],[INVENTARIO FISICO ]]-Tabla17[[#This Row],[BUFFER REAL]]+Tabla17[[#This Row],[SINOCHEM EN TRANSITO  ]]+Tabla17[[#This Row],[TRANSITO LOCAL]]</f>
        <v>#REF!</v>
      </c>
      <c r="AN111" s="128">
        <f>Tabla17[[#This Row],[BUFFER REAL]]/((Tabla17[[#This Row],[TIEMPO REPOSICION ]]/Tabla17[[#This Row],[FRECUENCIA]])+1)</f>
        <v>0</v>
      </c>
      <c r="AO111" s="80">
        <v>500</v>
      </c>
      <c r="AP111" s="77">
        <v>0</v>
      </c>
      <c r="AQ111" s="77"/>
      <c r="AR111" s="27">
        <v>0</v>
      </c>
    </row>
    <row r="112" spans="1:44" s="7" customFormat="1">
      <c r="A112" s="18" t="s">
        <v>362</v>
      </c>
      <c r="B112" s="18" t="s">
        <v>363</v>
      </c>
      <c r="C112" s="7" t="s">
        <v>697</v>
      </c>
      <c r="D112" s="7" t="s">
        <v>716</v>
      </c>
      <c r="H112" s="7" t="s">
        <v>718</v>
      </c>
      <c r="I112" s="7" t="s">
        <v>724</v>
      </c>
      <c r="J112" s="7" t="s">
        <v>718</v>
      </c>
      <c r="K112" s="13">
        <v>0</v>
      </c>
      <c r="L112" s="13">
        <f t="shared" si="3"/>
        <v>0</v>
      </c>
      <c r="M112" s="13">
        <v>0.13099</v>
      </c>
      <c r="N112" s="13"/>
      <c r="O112" s="13">
        <v>500</v>
      </c>
      <c r="P112" s="13" t="s">
        <v>808</v>
      </c>
      <c r="Q112" s="13" t="s">
        <v>802</v>
      </c>
      <c r="R112" s="7">
        <v>4</v>
      </c>
      <c r="S112" s="7">
        <v>6</v>
      </c>
      <c r="T112" s="7">
        <v>1</v>
      </c>
      <c r="U112" s="13">
        <v>0</v>
      </c>
      <c r="V112" s="13">
        <v>0</v>
      </c>
      <c r="W112" s="13">
        <f>Tabla17[[#This Row],[CONSUMO TOTAL PRO VALO]]/52</f>
        <v>0</v>
      </c>
      <c r="X112" s="21">
        <v>0</v>
      </c>
      <c r="Y112" s="13">
        <v>0</v>
      </c>
      <c r="Z112" s="13">
        <f>Tabla17[[#This Row],[CONSUMO TOTAL TODAS]]/52</f>
        <v>0</v>
      </c>
      <c r="AA112" s="25">
        <f>Tabla17[[#This Row],[CONSUMO PROMEDIO PROPIO]]+Tabla17[[#This Row],[CONSUMO PROMEDIO TODAS]]</f>
        <v>0</v>
      </c>
      <c r="AB112" s="26">
        <f>Tabla17[[#This Row],[CONSUMO PROMEDIO TOTAL]]*(Tabla17[[#This Row],[FRECUENCIA]]+Tabla17[[#This Row],[TIEMPO REPOSICION ]])*1.7</f>
        <v>0</v>
      </c>
      <c r="AC112" s="26">
        <v>0</v>
      </c>
      <c r="AD112" s="26">
        <v>0</v>
      </c>
      <c r="AE112" s="3" t="e">
        <f>VLOOKUP(Tabla17[[#This Row],[CODIGO ]],#REF!,2,0)</f>
        <v>#REF!</v>
      </c>
      <c r="AF112" s="2">
        <f>IFERROR(VLOOKUP(Tabla17[[#This Row],[CODIGO ]],#REF!,2,0),0)</f>
        <v>0</v>
      </c>
      <c r="AG112" s="80" t="e">
        <f>Tabla17[[#This Row],[INVENTARIO FISICO ]]-Tabla17[[#This Row],[BUFFER REAL]]</f>
        <v>#REF!</v>
      </c>
      <c r="AH112" s="27"/>
      <c r="AI112" s="80"/>
      <c r="AJ112" s="80">
        <f>Tabla17[[#This Row],[SINOCHEM EN TRANSITO  ]]+Tabla17[[#This Row],[TRANSITO LOCAL]]</f>
        <v>0</v>
      </c>
      <c r="AK112" s="80">
        <v>500</v>
      </c>
      <c r="AL112" s="80"/>
      <c r="AM112" s="124" t="e">
        <f>Tabla17[[#This Row],[INVENTARIO FISICO ]]-Tabla17[[#This Row],[BUFFER REAL]]+Tabla17[[#This Row],[SINOCHEM EN TRANSITO  ]]+Tabla17[[#This Row],[TRANSITO LOCAL]]</f>
        <v>#REF!</v>
      </c>
      <c r="AN112" s="128">
        <f>Tabla17[[#This Row],[BUFFER REAL]]/((Tabla17[[#This Row],[TIEMPO REPOSICION ]]/Tabla17[[#This Row],[FRECUENCIA]])+1)</f>
        <v>0</v>
      </c>
      <c r="AO112" s="80">
        <v>0</v>
      </c>
      <c r="AP112" s="77">
        <v>0</v>
      </c>
      <c r="AQ112" s="77"/>
      <c r="AR112" s="27">
        <v>0</v>
      </c>
    </row>
    <row r="113" spans="1:44" s="7" customFormat="1">
      <c r="A113" s="18" t="s">
        <v>364</v>
      </c>
      <c r="B113" s="18" t="s">
        <v>365</v>
      </c>
      <c r="C113" s="7" t="s">
        <v>697</v>
      </c>
      <c r="D113" s="7" t="s">
        <v>716</v>
      </c>
      <c r="H113" s="7" t="s">
        <v>718</v>
      </c>
      <c r="I113" s="7" t="s">
        <v>724</v>
      </c>
      <c r="J113" s="7" t="s">
        <v>718</v>
      </c>
      <c r="K113" s="13">
        <v>0</v>
      </c>
      <c r="L113" s="13">
        <f t="shared" si="3"/>
        <v>0</v>
      </c>
      <c r="M113" s="13">
        <v>0.12736</v>
      </c>
      <c r="N113" s="13"/>
      <c r="O113" s="13">
        <v>500</v>
      </c>
      <c r="P113" s="13" t="s">
        <v>808</v>
      </c>
      <c r="Q113" s="13" t="s">
        <v>802</v>
      </c>
      <c r="R113" s="7">
        <v>4</v>
      </c>
      <c r="S113" s="7">
        <v>6</v>
      </c>
      <c r="T113" s="7">
        <v>1</v>
      </c>
      <c r="U113" s="13">
        <v>2330</v>
      </c>
      <c r="V113" s="13">
        <v>2330</v>
      </c>
      <c r="W113" s="13">
        <f>Tabla17[[#This Row],[CONSUMO TOTAL PRO VALO]]/52</f>
        <v>44.807692307692307</v>
      </c>
      <c r="X113" s="21">
        <v>0</v>
      </c>
      <c r="Y113" s="13">
        <v>0</v>
      </c>
      <c r="Z113" s="13">
        <f>Tabla17[[#This Row],[CONSUMO TOTAL TODAS]]/52</f>
        <v>0</v>
      </c>
      <c r="AA113" s="25">
        <f>Tabla17[[#This Row],[CONSUMO PROMEDIO PROPIO]]+Tabla17[[#This Row],[CONSUMO PROMEDIO TODAS]]</f>
        <v>44.807692307692307</v>
      </c>
      <c r="AB113" s="26">
        <f>Tabla17[[#This Row],[CONSUMO PROMEDIO TOTAL]]*(Tabla17[[#This Row],[FRECUENCIA]]+Tabla17[[#This Row],[TIEMPO REPOSICION ]])*1.7</f>
        <v>761.73076923076928</v>
      </c>
      <c r="AC113" s="26">
        <v>0</v>
      </c>
      <c r="AD113" s="26">
        <v>0</v>
      </c>
      <c r="AE113" s="3" t="e">
        <f>VLOOKUP(Tabla17[[#This Row],[CODIGO ]],#REF!,2,0)</f>
        <v>#REF!</v>
      </c>
      <c r="AF113" s="2">
        <f>IFERROR(VLOOKUP(Tabla17[[#This Row],[CODIGO ]],#REF!,2,0),0)</f>
        <v>0</v>
      </c>
      <c r="AG113" s="80" t="e">
        <f>Tabla17[[#This Row],[INVENTARIO FISICO ]]-Tabla17[[#This Row],[BUFFER REAL]]</f>
        <v>#REF!</v>
      </c>
      <c r="AH113" s="27"/>
      <c r="AI113" s="118"/>
      <c r="AJ113" s="118">
        <f>Tabla17[[#This Row],[SINOCHEM EN TRANSITO  ]]+Tabla17[[#This Row],[TRANSITO LOCAL]]</f>
        <v>0</v>
      </c>
      <c r="AK113" s="80">
        <v>500</v>
      </c>
      <c r="AL113" s="80"/>
      <c r="AM113" s="124" t="e">
        <f>Tabla17[[#This Row],[INVENTARIO FISICO ]]-Tabla17[[#This Row],[BUFFER REAL]]+Tabla17[[#This Row],[SINOCHEM EN TRANSITO  ]]+Tabla17[[#This Row],[TRANSITO LOCAL]]</f>
        <v>#REF!</v>
      </c>
      <c r="AN113" s="128">
        <f>Tabla17[[#This Row],[BUFFER REAL]]/((Tabla17[[#This Row],[TIEMPO REPOSICION ]]/Tabla17[[#This Row],[FRECUENCIA]])+1)</f>
        <v>0</v>
      </c>
      <c r="AO113" s="80">
        <v>0</v>
      </c>
      <c r="AP113" s="77">
        <v>0</v>
      </c>
      <c r="AQ113" s="77"/>
      <c r="AR113" s="27">
        <v>0</v>
      </c>
    </row>
    <row r="114" spans="1:44" s="7" customFormat="1">
      <c r="A114" s="18" t="s">
        <v>366</v>
      </c>
      <c r="B114" s="18" t="s">
        <v>367</v>
      </c>
      <c r="C114" s="7" t="s">
        <v>689</v>
      </c>
      <c r="D114" s="7" t="s">
        <v>716</v>
      </c>
      <c r="H114" s="7" t="s">
        <v>718</v>
      </c>
      <c r="I114" s="7" t="s">
        <v>724</v>
      </c>
      <c r="J114" s="7" t="s">
        <v>718</v>
      </c>
      <c r="K114" s="13">
        <v>0</v>
      </c>
      <c r="L114" s="13">
        <f t="shared" si="3"/>
        <v>0</v>
      </c>
      <c r="M114" s="13">
        <v>0.10913</v>
      </c>
      <c r="N114" s="13"/>
      <c r="O114" s="13">
        <v>500</v>
      </c>
      <c r="P114" s="13" t="s">
        <v>808</v>
      </c>
      <c r="Q114" s="13" t="s">
        <v>802</v>
      </c>
      <c r="R114" s="7">
        <v>4</v>
      </c>
      <c r="S114" s="7">
        <v>6</v>
      </c>
      <c r="T114" s="7">
        <v>1</v>
      </c>
      <c r="U114" s="13">
        <v>80</v>
      </c>
      <c r="V114" s="13">
        <v>80</v>
      </c>
      <c r="W114" s="13">
        <f>Tabla17[[#This Row],[CONSUMO TOTAL PRO VALO]]/52</f>
        <v>1.5384615384615385</v>
      </c>
      <c r="X114" s="21">
        <v>0</v>
      </c>
      <c r="Y114" s="13">
        <v>0</v>
      </c>
      <c r="Z114" s="13">
        <f>Tabla17[[#This Row],[CONSUMO TOTAL TODAS]]/52</f>
        <v>0</v>
      </c>
      <c r="AA114" s="25">
        <f>Tabla17[[#This Row],[CONSUMO PROMEDIO PROPIO]]+Tabla17[[#This Row],[CONSUMO PROMEDIO TODAS]]</f>
        <v>1.5384615384615385</v>
      </c>
      <c r="AB114" s="26">
        <f>Tabla17[[#This Row],[CONSUMO PROMEDIO TOTAL]]*(Tabla17[[#This Row],[FRECUENCIA]]+Tabla17[[#This Row],[TIEMPO REPOSICION ]])*1.7</f>
        <v>26.153846153846153</v>
      </c>
      <c r="AC114" s="26">
        <v>300</v>
      </c>
      <c r="AD114" s="26">
        <v>300</v>
      </c>
      <c r="AE114" s="3" t="e">
        <f>VLOOKUP(Tabla17[[#This Row],[CODIGO ]],#REF!,2,0)</f>
        <v>#REF!</v>
      </c>
      <c r="AF114" s="2">
        <f>IFERROR(VLOOKUP(Tabla17[[#This Row],[CODIGO ]],#REF!,2,0),0)</f>
        <v>0</v>
      </c>
      <c r="AG114" s="80" t="e">
        <f>Tabla17[[#This Row],[INVENTARIO FISICO ]]-Tabla17[[#This Row],[BUFFER REAL]]</f>
        <v>#REF!</v>
      </c>
      <c r="AH114" s="27"/>
      <c r="AI114" s="80"/>
      <c r="AJ114" s="80">
        <f>Tabla17[[#This Row],[SINOCHEM EN TRANSITO  ]]+Tabla17[[#This Row],[TRANSITO LOCAL]]</f>
        <v>0</v>
      </c>
      <c r="AK114" s="80">
        <v>500</v>
      </c>
      <c r="AL114" s="80"/>
      <c r="AM114" s="124" t="e">
        <f>Tabla17[[#This Row],[INVENTARIO FISICO ]]-Tabla17[[#This Row],[BUFFER REAL]]+Tabla17[[#This Row],[SINOCHEM EN TRANSITO  ]]+Tabla17[[#This Row],[TRANSITO LOCAL]]</f>
        <v>#REF!</v>
      </c>
      <c r="AN114" s="128">
        <f>Tabla17[[#This Row],[BUFFER REAL]]/((Tabla17[[#This Row],[TIEMPO REPOSICION ]]/Tabla17[[#This Row],[FRECUENCIA]])+1)</f>
        <v>120</v>
      </c>
      <c r="AO114" s="80">
        <v>0</v>
      </c>
      <c r="AP114" s="77">
        <v>0</v>
      </c>
      <c r="AQ114" s="77"/>
      <c r="AR114" s="27">
        <v>0</v>
      </c>
    </row>
    <row r="115" spans="1:44" s="7" customFormat="1">
      <c r="A115" s="18" t="s">
        <v>368</v>
      </c>
      <c r="B115" s="18" t="s">
        <v>369</v>
      </c>
      <c r="C115" s="7" t="s">
        <v>689</v>
      </c>
      <c r="D115" s="7" t="s">
        <v>716</v>
      </c>
      <c r="H115" s="7" t="s">
        <v>718</v>
      </c>
      <c r="I115" s="7" t="s">
        <v>724</v>
      </c>
      <c r="J115" s="7" t="s">
        <v>718</v>
      </c>
      <c r="K115" s="13">
        <v>0</v>
      </c>
      <c r="L115" s="13">
        <f t="shared" si="3"/>
        <v>0</v>
      </c>
      <c r="M115" s="13">
        <v>0.19031000000000001</v>
      </c>
      <c r="N115" s="13"/>
      <c r="O115" s="13">
        <v>500</v>
      </c>
      <c r="P115" s="13" t="s">
        <v>808</v>
      </c>
      <c r="Q115" s="13" t="s">
        <v>802</v>
      </c>
      <c r="R115" s="7">
        <v>4</v>
      </c>
      <c r="S115" s="7">
        <v>6</v>
      </c>
      <c r="T115" s="7">
        <v>1</v>
      </c>
      <c r="U115" s="13">
        <v>40</v>
      </c>
      <c r="V115" s="13">
        <v>40</v>
      </c>
      <c r="W115" s="13">
        <f>Tabla17[[#This Row],[CONSUMO TOTAL PRO VALO]]/52</f>
        <v>0.76923076923076927</v>
      </c>
      <c r="X115" s="21">
        <v>0</v>
      </c>
      <c r="Y115" s="13">
        <v>0</v>
      </c>
      <c r="Z115" s="13">
        <f>Tabla17[[#This Row],[CONSUMO TOTAL TODAS]]/52</f>
        <v>0</v>
      </c>
      <c r="AA115" s="25">
        <f>Tabla17[[#This Row],[CONSUMO PROMEDIO PROPIO]]+Tabla17[[#This Row],[CONSUMO PROMEDIO TODAS]]</f>
        <v>0.76923076923076927</v>
      </c>
      <c r="AB115" s="26">
        <f>Tabla17[[#This Row],[CONSUMO PROMEDIO TOTAL]]*(Tabla17[[#This Row],[FRECUENCIA]]+Tabla17[[#This Row],[TIEMPO REPOSICION ]])*1.7</f>
        <v>13.076923076923077</v>
      </c>
      <c r="AC115" s="26">
        <v>300</v>
      </c>
      <c r="AD115" s="26">
        <v>300</v>
      </c>
      <c r="AE115" s="3" t="e">
        <f>VLOOKUP(Tabla17[[#This Row],[CODIGO ]],#REF!,2,0)</f>
        <v>#REF!</v>
      </c>
      <c r="AF115" s="2">
        <f>IFERROR(VLOOKUP(Tabla17[[#This Row],[CODIGO ]],#REF!,2,0),0)</f>
        <v>0</v>
      </c>
      <c r="AG115" s="80" t="e">
        <f>Tabla17[[#This Row],[INVENTARIO FISICO ]]-Tabla17[[#This Row],[BUFFER REAL]]</f>
        <v>#REF!</v>
      </c>
      <c r="AH115" s="27"/>
      <c r="AI115" s="80"/>
      <c r="AJ115" s="80">
        <f>Tabla17[[#This Row],[SINOCHEM EN TRANSITO  ]]+Tabla17[[#This Row],[TRANSITO LOCAL]]</f>
        <v>0</v>
      </c>
      <c r="AK115" s="80">
        <v>500</v>
      </c>
      <c r="AL115" s="80"/>
      <c r="AM115" s="124" t="e">
        <f>Tabla17[[#This Row],[INVENTARIO FISICO ]]-Tabla17[[#This Row],[BUFFER REAL]]+Tabla17[[#This Row],[SINOCHEM EN TRANSITO  ]]+Tabla17[[#This Row],[TRANSITO LOCAL]]</f>
        <v>#REF!</v>
      </c>
      <c r="AN115" s="128">
        <f>Tabla17[[#This Row],[BUFFER REAL]]/((Tabla17[[#This Row],[TIEMPO REPOSICION ]]/Tabla17[[#This Row],[FRECUENCIA]])+1)</f>
        <v>120</v>
      </c>
      <c r="AO115" s="80">
        <v>0</v>
      </c>
      <c r="AP115" s="77">
        <v>0</v>
      </c>
      <c r="AQ115" s="77"/>
      <c r="AR115" s="27">
        <v>0</v>
      </c>
    </row>
    <row r="116" spans="1:44" s="7" customFormat="1">
      <c r="A116" s="18" t="s">
        <v>372</v>
      </c>
      <c r="B116" s="18" t="s">
        <v>798</v>
      </c>
      <c r="C116" s="7" t="s">
        <v>697</v>
      </c>
      <c r="D116" s="7" t="s">
        <v>716</v>
      </c>
      <c r="H116" s="7" t="s">
        <v>718</v>
      </c>
      <c r="I116" s="7" t="s">
        <v>724</v>
      </c>
      <c r="J116" s="7" t="s">
        <v>718</v>
      </c>
      <c r="K116" s="13">
        <v>0</v>
      </c>
      <c r="L116" s="13">
        <f t="shared" si="3"/>
        <v>0</v>
      </c>
      <c r="M116" s="13">
        <v>0.113</v>
      </c>
      <c r="N116" s="13"/>
      <c r="O116" s="13">
        <v>500</v>
      </c>
      <c r="P116" s="13" t="s">
        <v>808</v>
      </c>
      <c r="Q116" s="13" t="s">
        <v>802</v>
      </c>
      <c r="R116" s="7">
        <v>4</v>
      </c>
      <c r="S116" s="7">
        <v>6</v>
      </c>
      <c r="T116" s="7">
        <v>1</v>
      </c>
      <c r="U116" s="13">
        <v>0</v>
      </c>
      <c r="V116" s="13">
        <v>0</v>
      </c>
      <c r="W116" s="13">
        <f>Tabla17[[#This Row],[CONSUMO TOTAL PRO VALO]]/52</f>
        <v>0</v>
      </c>
      <c r="X116" s="21">
        <v>0</v>
      </c>
      <c r="Y116" s="13">
        <v>0</v>
      </c>
      <c r="Z116" s="13">
        <f>Tabla17[[#This Row],[CONSUMO TOTAL TODAS]]/52</f>
        <v>0</v>
      </c>
      <c r="AA116" s="25">
        <f>Tabla17[[#This Row],[CONSUMO PROMEDIO PROPIO]]+Tabla17[[#This Row],[CONSUMO PROMEDIO TODAS]]</f>
        <v>0</v>
      </c>
      <c r="AB116" s="26">
        <f>Tabla17[[#This Row],[CONSUMO PROMEDIO TOTAL]]*(Tabla17[[#This Row],[FRECUENCIA]]+Tabla17[[#This Row],[TIEMPO REPOSICION ]])*1.7</f>
        <v>0</v>
      </c>
      <c r="AC116" s="26">
        <v>0</v>
      </c>
      <c r="AD116" s="26">
        <v>0</v>
      </c>
      <c r="AE116" s="3" t="e">
        <f>VLOOKUP(Tabla17[[#This Row],[CODIGO ]],#REF!,2,0)</f>
        <v>#REF!</v>
      </c>
      <c r="AF116" s="2">
        <f>IFERROR(VLOOKUP(Tabla17[[#This Row],[CODIGO ]],#REF!,2,0),0)</f>
        <v>0</v>
      </c>
      <c r="AG116" s="80" t="e">
        <f>Tabla17[[#This Row],[INVENTARIO FISICO ]]-Tabla17[[#This Row],[BUFFER REAL]]</f>
        <v>#REF!</v>
      </c>
      <c r="AH116" s="27"/>
      <c r="AI116" s="80"/>
      <c r="AJ116" s="80">
        <f>Tabla17[[#This Row],[SINOCHEM EN TRANSITO  ]]+Tabla17[[#This Row],[TRANSITO LOCAL]]</f>
        <v>0</v>
      </c>
      <c r="AK116" s="80">
        <v>500</v>
      </c>
      <c r="AL116" s="80"/>
      <c r="AM116" s="124" t="e">
        <f>Tabla17[[#This Row],[INVENTARIO FISICO ]]-Tabla17[[#This Row],[BUFFER REAL]]+Tabla17[[#This Row],[SINOCHEM EN TRANSITO  ]]+Tabla17[[#This Row],[TRANSITO LOCAL]]</f>
        <v>#REF!</v>
      </c>
      <c r="AN116" s="128">
        <f>Tabla17[[#This Row],[BUFFER REAL]]/((Tabla17[[#This Row],[TIEMPO REPOSICION ]]/Tabla17[[#This Row],[FRECUENCIA]])+1)</f>
        <v>0</v>
      </c>
      <c r="AO116" s="80">
        <v>0</v>
      </c>
      <c r="AP116" s="77">
        <v>0</v>
      </c>
      <c r="AQ116" s="77"/>
      <c r="AR116" s="27">
        <v>0</v>
      </c>
    </row>
    <row r="117" spans="1:44" s="7" customFormat="1">
      <c r="A117" s="18" t="s">
        <v>370</v>
      </c>
      <c r="B117" s="18" t="s">
        <v>371</v>
      </c>
      <c r="C117" s="7" t="s">
        <v>697</v>
      </c>
      <c r="D117" s="7" t="s">
        <v>716</v>
      </c>
      <c r="H117" s="7" t="s">
        <v>718</v>
      </c>
      <c r="I117" s="7" t="s">
        <v>724</v>
      </c>
      <c r="J117" s="7" t="s">
        <v>718</v>
      </c>
      <c r="K117" s="13">
        <v>0</v>
      </c>
      <c r="L117" s="13">
        <f t="shared" si="3"/>
        <v>0</v>
      </c>
      <c r="M117" s="13">
        <v>0.156</v>
      </c>
      <c r="N117" s="13"/>
      <c r="O117" s="13">
        <v>500</v>
      </c>
      <c r="P117" s="13" t="s">
        <v>808</v>
      </c>
      <c r="Q117" s="13" t="s">
        <v>802</v>
      </c>
      <c r="R117" s="7">
        <v>4</v>
      </c>
      <c r="S117" s="7">
        <v>6</v>
      </c>
      <c r="T117" s="7">
        <v>1</v>
      </c>
      <c r="U117" s="13">
        <v>0</v>
      </c>
      <c r="V117" s="13">
        <v>0</v>
      </c>
      <c r="W117" s="13">
        <f>Tabla17[[#This Row],[CONSUMO TOTAL PRO VALO]]/52</f>
        <v>0</v>
      </c>
      <c r="X117" s="21">
        <v>0</v>
      </c>
      <c r="Y117" s="13">
        <v>0</v>
      </c>
      <c r="Z117" s="13">
        <f>Tabla17[[#This Row],[CONSUMO TOTAL TODAS]]/52</f>
        <v>0</v>
      </c>
      <c r="AA117" s="25">
        <f>Tabla17[[#This Row],[CONSUMO PROMEDIO PROPIO]]+Tabla17[[#This Row],[CONSUMO PROMEDIO TODAS]]</f>
        <v>0</v>
      </c>
      <c r="AB117" s="26">
        <f>Tabla17[[#This Row],[CONSUMO PROMEDIO TOTAL]]*(Tabla17[[#This Row],[FRECUENCIA]]+Tabla17[[#This Row],[TIEMPO REPOSICION ]])*1.7</f>
        <v>0</v>
      </c>
      <c r="AC117" s="26">
        <v>0</v>
      </c>
      <c r="AD117" s="26">
        <v>0</v>
      </c>
      <c r="AE117" s="3" t="e">
        <f>VLOOKUP(Tabla17[[#This Row],[CODIGO ]],#REF!,2,0)</f>
        <v>#REF!</v>
      </c>
      <c r="AF117" s="2">
        <f>IFERROR(VLOOKUP(Tabla17[[#This Row],[CODIGO ]],#REF!,2,0),0)</f>
        <v>0</v>
      </c>
      <c r="AG117" s="80" t="e">
        <f>Tabla17[[#This Row],[INVENTARIO FISICO ]]-Tabla17[[#This Row],[BUFFER REAL]]</f>
        <v>#REF!</v>
      </c>
      <c r="AH117" s="27"/>
      <c r="AI117" s="80"/>
      <c r="AJ117" s="80">
        <f>Tabla17[[#This Row],[SINOCHEM EN TRANSITO  ]]+Tabla17[[#This Row],[TRANSITO LOCAL]]</f>
        <v>0</v>
      </c>
      <c r="AK117" s="80">
        <v>500</v>
      </c>
      <c r="AL117" s="80"/>
      <c r="AM117" s="124" t="e">
        <f>Tabla17[[#This Row],[INVENTARIO FISICO ]]-Tabla17[[#This Row],[BUFFER REAL]]+Tabla17[[#This Row],[SINOCHEM EN TRANSITO  ]]+Tabla17[[#This Row],[TRANSITO LOCAL]]</f>
        <v>#REF!</v>
      </c>
      <c r="AN117" s="128">
        <f>Tabla17[[#This Row],[BUFFER REAL]]/((Tabla17[[#This Row],[TIEMPO REPOSICION ]]/Tabla17[[#This Row],[FRECUENCIA]])+1)</f>
        <v>0</v>
      </c>
      <c r="AO117" s="80">
        <v>0</v>
      </c>
      <c r="AP117" s="77">
        <v>0</v>
      </c>
      <c r="AQ117" s="77"/>
      <c r="AR117" s="27">
        <v>0</v>
      </c>
    </row>
    <row r="118" spans="1:44" s="7" customFormat="1">
      <c r="A118" s="18" t="s">
        <v>373</v>
      </c>
      <c r="B118" s="18" t="s">
        <v>374</v>
      </c>
      <c r="C118" s="7" t="s">
        <v>697</v>
      </c>
      <c r="D118" s="7" t="s">
        <v>716</v>
      </c>
      <c r="H118" s="7" t="s">
        <v>718</v>
      </c>
      <c r="I118" s="7" t="s">
        <v>724</v>
      </c>
      <c r="J118" s="7" t="s">
        <v>718</v>
      </c>
      <c r="K118" s="13">
        <v>0</v>
      </c>
      <c r="L118" s="13">
        <f t="shared" si="3"/>
        <v>0</v>
      </c>
      <c r="M118" s="13">
        <v>0.12518000000000001</v>
      </c>
      <c r="N118" s="13"/>
      <c r="O118" s="13">
        <v>500</v>
      </c>
      <c r="P118" s="13" t="s">
        <v>808</v>
      </c>
      <c r="Q118" s="13" t="s">
        <v>802</v>
      </c>
      <c r="R118" s="7">
        <v>4</v>
      </c>
      <c r="S118" s="7">
        <v>6</v>
      </c>
      <c r="T118" s="7">
        <v>1</v>
      </c>
      <c r="U118" s="13">
        <v>1375</v>
      </c>
      <c r="V118" s="13">
        <v>1375</v>
      </c>
      <c r="W118" s="13">
        <f>Tabla17[[#This Row],[CONSUMO TOTAL PRO VALO]]/52</f>
        <v>26.442307692307693</v>
      </c>
      <c r="X118" s="21">
        <v>0</v>
      </c>
      <c r="Y118" s="13">
        <v>0</v>
      </c>
      <c r="Z118" s="13">
        <f>Tabla17[[#This Row],[CONSUMO TOTAL TODAS]]/52</f>
        <v>0</v>
      </c>
      <c r="AA118" s="25">
        <f>Tabla17[[#This Row],[CONSUMO PROMEDIO PROPIO]]+Tabla17[[#This Row],[CONSUMO PROMEDIO TODAS]]</f>
        <v>26.442307692307693</v>
      </c>
      <c r="AB118" s="26">
        <f>Tabla17[[#This Row],[CONSUMO PROMEDIO TOTAL]]*(Tabla17[[#This Row],[FRECUENCIA]]+Tabla17[[#This Row],[TIEMPO REPOSICION ]])*1.7</f>
        <v>449.51923076923072</v>
      </c>
      <c r="AC118" s="26">
        <v>500</v>
      </c>
      <c r="AD118" s="26">
        <v>500</v>
      </c>
      <c r="AE118" s="3" t="e">
        <f>VLOOKUP(Tabla17[[#This Row],[CODIGO ]],#REF!,2,0)</f>
        <v>#REF!</v>
      </c>
      <c r="AF118" s="2">
        <f>IFERROR(VLOOKUP(Tabla17[[#This Row],[CODIGO ]],#REF!,2,0),0)</f>
        <v>0</v>
      </c>
      <c r="AG118" s="80" t="e">
        <f>Tabla17[[#This Row],[INVENTARIO FISICO ]]-Tabla17[[#This Row],[BUFFER REAL]]</f>
        <v>#REF!</v>
      </c>
      <c r="AH118" s="27"/>
      <c r="AI118" s="80"/>
      <c r="AJ118" s="80">
        <f>Tabla17[[#This Row],[SINOCHEM EN TRANSITO  ]]+Tabla17[[#This Row],[TRANSITO LOCAL]]</f>
        <v>0</v>
      </c>
      <c r="AK118" s="80">
        <v>500</v>
      </c>
      <c r="AL118" s="80"/>
      <c r="AM118" s="124" t="e">
        <f>Tabla17[[#This Row],[INVENTARIO FISICO ]]-Tabla17[[#This Row],[BUFFER REAL]]+Tabla17[[#This Row],[SINOCHEM EN TRANSITO  ]]+Tabla17[[#This Row],[TRANSITO LOCAL]]</f>
        <v>#REF!</v>
      </c>
      <c r="AN118" s="128">
        <f>Tabla17[[#This Row],[BUFFER REAL]]/((Tabla17[[#This Row],[TIEMPO REPOSICION ]]/Tabla17[[#This Row],[FRECUENCIA]])+1)</f>
        <v>200</v>
      </c>
      <c r="AO118" s="80">
        <v>0</v>
      </c>
      <c r="AP118" s="77">
        <v>0</v>
      </c>
      <c r="AQ118" s="77"/>
      <c r="AR118" s="27">
        <v>0</v>
      </c>
    </row>
    <row r="119" spans="1:44" s="7" customFormat="1">
      <c r="A119" s="18" t="s">
        <v>381</v>
      </c>
      <c r="B119" s="18" t="s">
        <v>382</v>
      </c>
      <c r="C119" s="7" t="s">
        <v>697</v>
      </c>
      <c r="D119" s="7" t="s">
        <v>716</v>
      </c>
      <c r="H119" s="7" t="s">
        <v>718</v>
      </c>
      <c r="I119" s="7" t="s">
        <v>724</v>
      </c>
      <c r="J119" s="7" t="s">
        <v>718</v>
      </c>
      <c r="K119" s="13">
        <v>0</v>
      </c>
      <c r="L119" s="13">
        <f t="shared" si="3"/>
        <v>0</v>
      </c>
      <c r="M119" s="13">
        <v>9.0529999999999999E-2</v>
      </c>
      <c r="N119" s="13"/>
      <c r="O119" s="13">
        <v>500</v>
      </c>
      <c r="P119" s="13" t="s">
        <v>808</v>
      </c>
      <c r="Q119" s="13" t="s">
        <v>802</v>
      </c>
      <c r="R119" s="7">
        <v>4</v>
      </c>
      <c r="S119" s="7">
        <v>6</v>
      </c>
      <c r="T119" s="7">
        <v>1</v>
      </c>
      <c r="U119" s="13">
        <v>3277</v>
      </c>
      <c r="V119" s="13">
        <v>3277</v>
      </c>
      <c r="W119" s="13">
        <f>Tabla17[[#This Row],[CONSUMO TOTAL PRO VALO]]/52</f>
        <v>63.019230769230766</v>
      </c>
      <c r="X119" s="21">
        <v>0</v>
      </c>
      <c r="Y119" s="13">
        <v>0</v>
      </c>
      <c r="Z119" s="13">
        <f>Tabla17[[#This Row],[CONSUMO TOTAL TODAS]]/52</f>
        <v>0</v>
      </c>
      <c r="AA119" s="25">
        <f>Tabla17[[#This Row],[CONSUMO PROMEDIO PROPIO]]+Tabla17[[#This Row],[CONSUMO PROMEDIO TODAS]]</f>
        <v>63.019230769230766</v>
      </c>
      <c r="AB119" s="26">
        <f>Tabla17[[#This Row],[CONSUMO PROMEDIO TOTAL]]*(Tabla17[[#This Row],[FRECUENCIA]]+Tabla17[[#This Row],[TIEMPO REPOSICION ]])*1.7</f>
        <v>1071.3269230769229</v>
      </c>
      <c r="AC119" s="26">
        <v>800</v>
      </c>
      <c r="AD119" s="125">
        <v>800</v>
      </c>
      <c r="AE119" s="3" t="e">
        <f>VLOOKUP(Tabla17[[#This Row],[CODIGO ]],#REF!,2,0)</f>
        <v>#REF!</v>
      </c>
      <c r="AF119" s="2">
        <f>IFERROR(VLOOKUP(Tabla17[[#This Row],[CODIGO ]],#REF!,2,0),0)</f>
        <v>0</v>
      </c>
      <c r="AG119" s="80" t="e">
        <f>Tabla17[[#This Row],[INVENTARIO FISICO ]]-Tabla17[[#This Row],[BUFFER REAL]]</f>
        <v>#REF!</v>
      </c>
      <c r="AH119" s="27"/>
      <c r="AI119" s="80"/>
      <c r="AJ119" s="80">
        <f>Tabla17[[#This Row],[SINOCHEM EN TRANSITO  ]]+Tabla17[[#This Row],[TRANSITO LOCAL]]</f>
        <v>0</v>
      </c>
      <c r="AK119" s="80">
        <v>500</v>
      </c>
      <c r="AL119" s="80"/>
      <c r="AM119" s="124" t="e">
        <f>Tabla17[[#This Row],[INVENTARIO FISICO ]]-Tabla17[[#This Row],[BUFFER REAL]]+Tabla17[[#This Row],[SINOCHEM EN TRANSITO  ]]+Tabla17[[#This Row],[TRANSITO LOCAL]]</f>
        <v>#REF!</v>
      </c>
      <c r="AN119" s="128">
        <f>Tabla17[[#This Row],[BUFFER REAL]]/((Tabla17[[#This Row],[TIEMPO REPOSICION ]]/Tabla17[[#This Row],[FRECUENCIA]])+1)</f>
        <v>320</v>
      </c>
      <c r="AO119" s="80">
        <v>0</v>
      </c>
      <c r="AP119" s="77">
        <v>0</v>
      </c>
      <c r="AQ119" s="77"/>
      <c r="AR119" s="27">
        <v>0</v>
      </c>
    </row>
    <row r="120" spans="1:44" s="7" customFormat="1">
      <c r="A120" s="18" t="s">
        <v>383</v>
      </c>
      <c r="B120" s="18" t="s">
        <v>384</v>
      </c>
      <c r="C120" s="7" t="s">
        <v>697</v>
      </c>
      <c r="D120" s="7" t="s">
        <v>716</v>
      </c>
      <c r="H120" s="7" t="s">
        <v>718</v>
      </c>
      <c r="I120" s="7" t="s">
        <v>724</v>
      </c>
      <c r="J120" s="7" t="s">
        <v>718</v>
      </c>
      <c r="K120" s="13">
        <v>0</v>
      </c>
      <c r="L120" s="13">
        <f t="shared" si="3"/>
        <v>0</v>
      </c>
      <c r="M120" s="13">
        <v>8.4000000000000005E-2</v>
      </c>
      <c r="N120" s="13"/>
      <c r="O120" s="13">
        <v>500</v>
      </c>
      <c r="P120" s="13" t="s">
        <v>808</v>
      </c>
      <c r="Q120" s="13" t="s">
        <v>802</v>
      </c>
      <c r="R120" s="7">
        <v>4</v>
      </c>
      <c r="S120" s="7">
        <v>6</v>
      </c>
      <c r="T120" s="7">
        <v>1</v>
      </c>
      <c r="U120" s="13">
        <v>3135</v>
      </c>
      <c r="V120" s="13">
        <v>3135</v>
      </c>
      <c r="W120" s="13">
        <f>Tabla17[[#This Row],[CONSUMO TOTAL PRO VALO]]/52</f>
        <v>60.28846153846154</v>
      </c>
      <c r="X120" s="21">
        <v>0</v>
      </c>
      <c r="Y120" s="13">
        <v>0</v>
      </c>
      <c r="Z120" s="13">
        <f>Tabla17[[#This Row],[CONSUMO TOTAL TODAS]]/52</f>
        <v>0</v>
      </c>
      <c r="AA120" s="25">
        <f>Tabla17[[#This Row],[CONSUMO PROMEDIO PROPIO]]+Tabla17[[#This Row],[CONSUMO PROMEDIO TODAS]]</f>
        <v>60.28846153846154</v>
      </c>
      <c r="AB120" s="26">
        <f>Tabla17[[#This Row],[CONSUMO PROMEDIO TOTAL]]*(Tabla17[[#This Row],[FRECUENCIA]]+Tabla17[[#This Row],[TIEMPO REPOSICION ]])*1.7</f>
        <v>1024.9038461538462</v>
      </c>
      <c r="AC120" s="26">
        <v>900</v>
      </c>
      <c r="AD120" s="125">
        <v>900</v>
      </c>
      <c r="AE120" s="3" t="e">
        <f>VLOOKUP(Tabla17[[#This Row],[CODIGO ]],#REF!,2,0)</f>
        <v>#REF!</v>
      </c>
      <c r="AF120" s="2">
        <f>IFERROR(VLOOKUP(Tabla17[[#This Row],[CODIGO ]],#REF!,2,0),0)</f>
        <v>0</v>
      </c>
      <c r="AG120" s="80" t="e">
        <f>Tabla17[[#This Row],[INVENTARIO FISICO ]]-Tabla17[[#This Row],[BUFFER REAL]]</f>
        <v>#REF!</v>
      </c>
      <c r="AH120" s="27"/>
      <c r="AI120" s="80"/>
      <c r="AJ120" s="80">
        <f>Tabla17[[#This Row],[SINOCHEM EN TRANSITO  ]]+Tabla17[[#This Row],[TRANSITO LOCAL]]</f>
        <v>0</v>
      </c>
      <c r="AK120" s="80">
        <v>500</v>
      </c>
      <c r="AL120" s="80"/>
      <c r="AM120" s="124" t="e">
        <f>Tabla17[[#This Row],[INVENTARIO FISICO ]]-Tabla17[[#This Row],[BUFFER REAL]]+Tabla17[[#This Row],[SINOCHEM EN TRANSITO  ]]+Tabla17[[#This Row],[TRANSITO LOCAL]]</f>
        <v>#REF!</v>
      </c>
      <c r="AN120" s="128">
        <f>Tabla17[[#This Row],[BUFFER REAL]]/((Tabla17[[#This Row],[TIEMPO REPOSICION ]]/Tabla17[[#This Row],[FRECUENCIA]])+1)</f>
        <v>360</v>
      </c>
      <c r="AO120" s="80">
        <v>0</v>
      </c>
      <c r="AP120" s="77">
        <v>817</v>
      </c>
      <c r="AQ120" s="77"/>
      <c r="AR120" s="27">
        <v>360</v>
      </c>
    </row>
    <row r="121" spans="1:44" s="7" customFormat="1">
      <c r="A121" s="18" t="s">
        <v>385</v>
      </c>
      <c r="B121" s="18" t="s">
        <v>386</v>
      </c>
      <c r="C121" s="7" t="s">
        <v>697</v>
      </c>
      <c r="D121" s="7" t="s">
        <v>716</v>
      </c>
      <c r="H121" s="7" t="s">
        <v>718</v>
      </c>
      <c r="I121" s="7" t="s">
        <v>724</v>
      </c>
      <c r="J121" s="7" t="s">
        <v>718</v>
      </c>
      <c r="K121" s="13">
        <v>0</v>
      </c>
      <c r="L121" s="13">
        <f t="shared" si="3"/>
        <v>0</v>
      </c>
      <c r="M121" s="13">
        <v>6.9949999999999998E-2</v>
      </c>
      <c r="N121" s="13"/>
      <c r="O121" s="13">
        <v>500</v>
      </c>
      <c r="P121" s="13" t="s">
        <v>808</v>
      </c>
      <c r="Q121" s="13" t="s">
        <v>802</v>
      </c>
      <c r="R121" s="7">
        <v>4</v>
      </c>
      <c r="S121" s="7">
        <v>6</v>
      </c>
      <c r="T121" s="7">
        <v>1</v>
      </c>
      <c r="U121" s="13">
        <v>260</v>
      </c>
      <c r="V121" s="13">
        <v>260</v>
      </c>
      <c r="W121" s="13">
        <f>Tabla17[[#This Row],[CONSUMO TOTAL PRO VALO]]/52</f>
        <v>5</v>
      </c>
      <c r="X121" s="21">
        <v>0</v>
      </c>
      <c r="Y121" s="13">
        <v>0</v>
      </c>
      <c r="Z121" s="13">
        <f>Tabla17[[#This Row],[CONSUMO TOTAL TODAS]]/52</f>
        <v>0</v>
      </c>
      <c r="AA121" s="25">
        <f>Tabla17[[#This Row],[CONSUMO PROMEDIO PROPIO]]+Tabla17[[#This Row],[CONSUMO PROMEDIO TODAS]]</f>
        <v>5</v>
      </c>
      <c r="AB121" s="26">
        <f>Tabla17[[#This Row],[CONSUMO PROMEDIO TOTAL]]*(Tabla17[[#This Row],[FRECUENCIA]]+Tabla17[[#This Row],[TIEMPO REPOSICION ]])*1.7</f>
        <v>85</v>
      </c>
      <c r="AC121" s="26">
        <v>300</v>
      </c>
      <c r="AD121" s="125">
        <v>300</v>
      </c>
      <c r="AE121" s="3" t="e">
        <f>VLOOKUP(Tabla17[[#This Row],[CODIGO ]],#REF!,2,0)</f>
        <v>#REF!</v>
      </c>
      <c r="AF121" s="2">
        <f>IFERROR(VLOOKUP(Tabla17[[#This Row],[CODIGO ]],#REF!,2,0),0)</f>
        <v>0</v>
      </c>
      <c r="AG121" s="80" t="e">
        <f>Tabla17[[#This Row],[INVENTARIO FISICO ]]-Tabla17[[#This Row],[BUFFER REAL]]</f>
        <v>#REF!</v>
      </c>
      <c r="AH121" s="27"/>
      <c r="AI121" s="80"/>
      <c r="AJ121" s="80">
        <f>Tabla17[[#This Row],[SINOCHEM EN TRANSITO  ]]+Tabla17[[#This Row],[TRANSITO LOCAL]]</f>
        <v>0</v>
      </c>
      <c r="AK121" s="80">
        <v>500</v>
      </c>
      <c r="AL121" s="80"/>
      <c r="AM121" s="124" t="e">
        <f>Tabla17[[#This Row],[INVENTARIO FISICO ]]-Tabla17[[#This Row],[BUFFER REAL]]+Tabla17[[#This Row],[SINOCHEM EN TRANSITO  ]]+Tabla17[[#This Row],[TRANSITO LOCAL]]</f>
        <v>#REF!</v>
      </c>
      <c r="AN121" s="128">
        <f>Tabla17[[#This Row],[BUFFER REAL]]/((Tabla17[[#This Row],[TIEMPO REPOSICION ]]/Tabla17[[#This Row],[FRECUENCIA]])+1)</f>
        <v>120</v>
      </c>
      <c r="AO121" s="80">
        <v>0</v>
      </c>
      <c r="AP121" s="77">
        <v>0</v>
      </c>
      <c r="AQ121" s="77"/>
      <c r="AR121" s="27">
        <v>0</v>
      </c>
    </row>
    <row r="122" spans="1:44" s="7" customFormat="1">
      <c r="A122" s="18" t="s">
        <v>387</v>
      </c>
      <c r="B122" s="18" t="s">
        <v>388</v>
      </c>
      <c r="C122" s="7" t="s">
        <v>2</v>
      </c>
      <c r="D122" s="7" t="s">
        <v>716</v>
      </c>
      <c r="H122" s="7" t="s">
        <v>718</v>
      </c>
      <c r="I122" s="7" t="s">
        <v>724</v>
      </c>
      <c r="J122" s="7" t="s">
        <v>718</v>
      </c>
      <c r="K122" s="13">
        <v>0</v>
      </c>
      <c r="L122" s="13">
        <f t="shared" si="3"/>
        <v>0</v>
      </c>
      <c r="M122" s="13">
        <v>7.9070000000000001E-2</v>
      </c>
      <c r="N122" s="13"/>
      <c r="O122" s="13">
        <v>500</v>
      </c>
      <c r="P122" s="13" t="s">
        <v>808</v>
      </c>
      <c r="Q122" s="13" t="s">
        <v>802</v>
      </c>
      <c r="R122" s="7">
        <v>4</v>
      </c>
      <c r="S122" s="7">
        <v>6</v>
      </c>
      <c r="T122" s="7">
        <v>1</v>
      </c>
      <c r="U122" s="13">
        <v>4000</v>
      </c>
      <c r="V122" s="13">
        <v>4000</v>
      </c>
      <c r="W122" s="13">
        <f>Tabla17[[#This Row],[CONSUMO TOTAL PRO VALO]]/52</f>
        <v>76.92307692307692</v>
      </c>
      <c r="X122" s="21">
        <v>0</v>
      </c>
      <c r="Y122" s="13">
        <v>0</v>
      </c>
      <c r="Z122" s="13">
        <f>Tabla17[[#This Row],[CONSUMO TOTAL TODAS]]/52</f>
        <v>0</v>
      </c>
      <c r="AA122" s="25">
        <f>Tabla17[[#This Row],[CONSUMO PROMEDIO PROPIO]]+Tabla17[[#This Row],[CONSUMO PROMEDIO TODAS]]</f>
        <v>76.92307692307692</v>
      </c>
      <c r="AB122" s="26">
        <f>Tabla17[[#This Row],[CONSUMO PROMEDIO TOTAL]]*(Tabla17[[#This Row],[FRECUENCIA]]+Tabla17[[#This Row],[TIEMPO REPOSICION ]])*1.7</f>
        <v>1307.6923076923076</v>
      </c>
      <c r="AC122" s="26">
        <v>300</v>
      </c>
      <c r="AD122" s="26">
        <v>300</v>
      </c>
      <c r="AE122" s="3" t="e">
        <f>VLOOKUP(Tabla17[[#This Row],[CODIGO ]],#REF!,2,0)</f>
        <v>#REF!</v>
      </c>
      <c r="AF122" s="2">
        <f>IFERROR(VLOOKUP(Tabla17[[#This Row],[CODIGO ]],#REF!,2,0),0)</f>
        <v>0</v>
      </c>
      <c r="AG122" s="80" t="e">
        <f>Tabla17[[#This Row],[INVENTARIO FISICO ]]-Tabla17[[#This Row],[BUFFER REAL]]</f>
        <v>#REF!</v>
      </c>
      <c r="AH122" s="27"/>
      <c r="AI122" s="80"/>
      <c r="AJ122" s="80">
        <f>Tabla17[[#This Row],[SINOCHEM EN TRANSITO  ]]+Tabla17[[#This Row],[TRANSITO LOCAL]]</f>
        <v>0</v>
      </c>
      <c r="AK122" s="80">
        <v>500</v>
      </c>
      <c r="AL122" s="80"/>
      <c r="AM122" s="124" t="e">
        <f>Tabla17[[#This Row],[INVENTARIO FISICO ]]-Tabla17[[#This Row],[BUFFER REAL]]+Tabla17[[#This Row],[SINOCHEM EN TRANSITO  ]]+Tabla17[[#This Row],[TRANSITO LOCAL]]</f>
        <v>#REF!</v>
      </c>
      <c r="AN122" s="128">
        <f>Tabla17[[#This Row],[BUFFER REAL]]/((Tabla17[[#This Row],[TIEMPO REPOSICION ]]/Tabla17[[#This Row],[FRECUENCIA]])+1)</f>
        <v>120</v>
      </c>
      <c r="AO122" s="80">
        <v>500</v>
      </c>
      <c r="AP122" s="77">
        <v>24</v>
      </c>
      <c r="AQ122" s="77"/>
      <c r="AR122" s="27">
        <v>120</v>
      </c>
    </row>
    <row r="123" spans="1:44" s="7" customFormat="1">
      <c r="A123" s="18" t="s">
        <v>389</v>
      </c>
      <c r="B123" s="18" t="s">
        <v>390</v>
      </c>
      <c r="C123" s="7" t="s">
        <v>697</v>
      </c>
      <c r="D123" s="7" t="s">
        <v>716</v>
      </c>
      <c r="H123" s="7" t="s">
        <v>718</v>
      </c>
      <c r="I123" s="7" t="s">
        <v>724</v>
      </c>
      <c r="J123" s="7" t="s">
        <v>718</v>
      </c>
      <c r="K123" s="13">
        <v>0</v>
      </c>
      <c r="L123" s="13">
        <f t="shared" si="3"/>
        <v>0</v>
      </c>
      <c r="M123" s="13">
        <v>6.3630000000000006E-2</v>
      </c>
      <c r="N123" s="13"/>
      <c r="O123" s="13">
        <v>500</v>
      </c>
      <c r="P123" s="13" t="s">
        <v>808</v>
      </c>
      <c r="Q123" s="13" t="s">
        <v>802</v>
      </c>
      <c r="R123" s="7">
        <v>4</v>
      </c>
      <c r="S123" s="7">
        <v>6</v>
      </c>
      <c r="T123" s="7">
        <v>1</v>
      </c>
      <c r="U123" s="13">
        <v>628</v>
      </c>
      <c r="V123" s="13">
        <v>628</v>
      </c>
      <c r="W123" s="13">
        <f>Tabla17[[#This Row],[CONSUMO TOTAL PRO VALO]]/52</f>
        <v>12.076923076923077</v>
      </c>
      <c r="X123" s="21">
        <v>0</v>
      </c>
      <c r="Y123" s="13">
        <v>0</v>
      </c>
      <c r="Z123" s="13">
        <f>Tabla17[[#This Row],[CONSUMO TOTAL TODAS]]/52</f>
        <v>0</v>
      </c>
      <c r="AA123" s="25">
        <f>Tabla17[[#This Row],[CONSUMO PROMEDIO PROPIO]]+Tabla17[[#This Row],[CONSUMO PROMEDIO TODAS]]</f>
        <v>12.076923076923077</v>
      </c>
      <c r="AB123" s="26">
        <f>Tabla17[[#This Row],[CONSUMO PROMEDIO TOTAL]]*(Tabla17[[#This Row],[FRECUENCIA]]+Tabla17[[#This Row],[TIEMPO REPOSICION ]])*1.7</f>
        <v>205.30769230769232</v>
      </c>
      <c r="AC123" s="26">
        <v>300</v>
      </c>
      <c r="AD123" s="26">
        <v>300</v>
      </c>
      <c r="AE123" s="3" t="e">
        <f>VLOOKUP(Tabla17[[#This Row],[CODIGO ]],#REF!,2,0)</f>
        <v>#REF!</v>
      </c>
      <c r="AF123" s="2">
        <f>IFERROR(VLOOKUP(Tabla17[[#This Row],[CODIGO ]],#REF!,2,0),0)</f>
        <v>0</v>
      </c>
      <c r="AG123" s="80" t="e">
        <f>Tabla17[[#This Row],[INVENTARIO FISICO ]]-Tabla17[[#This Row],[BUFFER REAL]]</f>
        <v>#REF!</v>
      </c>
      <c r="AH123" s="27"/>
      <c r="AI123" s="118"/>
      <c r="AJ123" s="118">
        <f>Tabla17[[#This Row],[SINOCHEM EN TRANSITO  ]]+Tabla17[[#This Row],[TRANSITO LOCAL]]</f>
        <v>0</v>
      </c>
      <c r="AK123" s="80">
        <v>500</v>
      </c>
      <c r="AL123" s="80"/>
      <c r="AM123" s="124" t="e">
        <f>Tabla17[[#This Row],[INVENTARIO FISICO ]]-Tabla17[[#This Row],[BUFFER REAL]]+Tabla17[[#This Row],[SINOCHEM EN TRANSITO  ]]+Tabla17[[#This Row],[TRANSITO LOCAL]]</f>
        <v>#REF!</v>
      </c>
      <c r="AN123" s="128">
        <f>Tabla17[[#This Row],[BUFFER REAL]]/((Tabla17[[#This Row],[TIEMPO REPOSICION ]]/Tabla17[[#This Row],[FRECUENCIA]])+1)</f>
        <v>120</v>
      </c>
      <c r="AO123" s="80">
        <v>0</v>
      </c>
      <c r="AP123" s="77">
        <v>0</v>
      </c>
      <c r="AQ123" s="77"/>
      <c r="AR123" s="27">
        <v>0</v>
      </c>
    </row>
    <row r="124" spans="1:44" s="7" customFormat="1">
      <c r="A124" s="18" t="s">
        <v>391</v>
      </c>
      <c r="B124" s="18" t="s">
        <v>392</v>
      </c>
      <c r="C124" s="7" t="s">
        <v>2</v>
      </c>
      <c r="D124" s="7" t="s">
        <v>716</v>
      </c>
      <c r="H124" s="7" t="s">
        <v>718</v>
      </c>
      <c r="I124" s="7" t="s">
        <v>724</v>
      </c>
      <c r="J124" s="7" t="s">
        <v>718</v>
      </c>
      <c r="K124" s="13">
        <v>0</v>
      </c>
      <c r="L124" s="13">
        <f t="shared" si="3"/>
        <v>0</v>
      </c>
      <c r="M124" s="13">
        <v>0.10638</v>
      </c>
      <c r="N124" s="13"/>
      <c r="O124" s="13">
        <v>500</v>
      </c>
      <c r="P124" s="13" t="s">
        <v>808</v>
      </c>
      <c r="Q124" s="13" t="s">
        <v>802</v>
      </c>
      <c r="R124" s="7">
        <v>4</v>
      </c>
      <c r="S124" s="7">
        <v>6</v>
      </c>
      <c r="T124" s="7">
        <v>1</v>
      </c>
      <c r="U124" s="13">
        <v>743</v>
      </c>
      <c r="V124" s="13">
        <v>743</v>
      </c>
      <c r="W124" s="13">
        <f>Tabla17[[#This Row],[CONSUMO TOTAL PRO VALO]]/52</f>
        <v>14.288461538461538</v>
      </c>
      <c r="X124" s="21">
        <v>0</v>
      </c>
      <c r="Y124" s="13">
        <v>0</v>
      </c>
      <c r="Z124" s="13">
        <f>Tabla17[[#This Row],[CONSUMO TOTAL TODAS]]/52</f>
        <v>0</v>
      </c>
      <c r="AA124" s="25">
        <f>Tabla17[[#This Row],[CONSUMO PROMEDIO PROPIO]]+Tabla17[[#This Row],[CONSUMO PROMEDIO TODAS]]</f>
        <v>14.288461538461538</v>
      </c>
      <c r="AB124" s="26">
        <f>Tabla17[[#This Row],[CONSUMO PROMEDIO TOTAL]]*(Tabla17[[#This Row],[FRECUENCIA]]+Tabla17[[#This Row],[TIEMPO REPOSICION ]])*1.7</f>
        <v>242.90384615384616</v>
      </c>
      <c r="AC124" s="26">
        <v>300</v>
      </c>
      <c r="AD124" s="26">
        <v>300</v>
      </c>
      <c r="AE124" s="3" t="e">
        <f>VLOOKUP(Tabla17[[#This Row],[CODIGO ]],#REF!,2,0)</f>
        <v>#REF!</v>
      </c>
      <c r="AF124" s="2">
        <f>IFERROR(VLOOKUP(Tabla17[[#This Row],[CODIGO ]],#REF!,2,0),0)</f>
        <v>0</v>
      </c>
      <c r="AG124" s="80" t="e">
        <f>Tabla17[[#This Row],[INVENTARIO FISICO ]]-Tabla17[[#This Row],[BUFFER REAL]]</f>
        <v>#REF!</v>
      </c>
      <c r="AH124" s="27"/>
      <c r="AI124" s="118"/>
      <c r="AJ124" s="118">
        <f>Tabla17[[#This Row],[SINOCHEM EN TRANSITO  ]]+Tabla17[[#This Row],[TRANSITO LOCAL]]</f>
        <v>0</v>
      </c>
      <c r="AK124" s="80">
        <v>500</v>
      </c>
      <c r="AL124" s="80"/>
      <c r="AM124" s="124" t="e">
        <f>Tabla17[[#This Row],[INVENTARIO FISICO ]]-Tabla17[[#This Row],[BUFFER REAL]]+Tabla17[[#This Row],[SINOCHEM EN TRANSITO  ]]+Tabla17[[#This Row],[TRANSITO LOCAL]]</f>
        <v>#REF!</v>
      </c>
      <c r="AN124" s="128">
        <f>Tabla17[[#This Row],[BUFFER REAL]]/((Tabla17[[#This Row],[TIEMPO REPOSICION ]]/Tabla17[[#This Row],[FRECUENCIA]])+1)</f>
        <v>120</v>
      </c>
      <c r="AO124" s="80">
        <v>0</v>
      </c>
      <c r="AP124" s="77">
        <v>0</v>
      </c>
      <c r="AQ124" s="77"/>
      <c r="AR124" s="27">
        <v>0</v>
      </c>
    </row>
    <row r="125" spans="1:44" s="7" customFormat="1">
      <c r="A125" s="18" t="s">
        <v>393</v>
      </c>
      <c r="B125" s="18" t="s">
        <v>394</v>
      </c>
      <c r="C125" s="7" t="s">
        <v>697</v>
      </c>
      <c r="D125" s="7" t="s">
        <v>716</v>
      </c>
      <c r="H125" s="7" t="s">
        <v>718</v>
      </c>
      <c r="I125" s="7" t="s">
        <v>724</v>
      </c>
      <c r="J125" s="7" t="s">
        <v>718</v>
      </c>
      <c r="K125" s="13">
        <v>0</v>
      </c>
      <c r="L125" s="13">
        <f t="shared" si="3"/>
        <v>0</v>
      </c>
      <c r="M125" s="13">
        <v>0.18862999999999999</v>
      </c>
      <c r="N125" s="13"/>
      <c r="O125" s="13">
        <v>500</v>
      </c>
      <c r="P125" s="13" t="s">
        <v>808</v>
      </c>
      <c r="Q125" s="13" t="s">
        <v>802</v>
      </c>
      <c r="R125" s="7">
        <v>4</v>
      </c>
      <c r="S125" s="7">
        <v>6</v>
      </c>
      <c r="T125" s="7">
        <v>1</v>
      </c>
      <c r="U125" s="13">
        <v>1695.0000399999999</v>
      </c>
      <c r="V125" s="13">
        <v>1695.0000399999999</v>
      </c>
      <c r="W125" s="13">
        <f>Tabla17[[#This Row],[CONSUMO TOTAL PRO VALO]]/52</f>
        <v>32.596154615384613</v>
      </c>
      <c r="X125" s="21">
        <v>0</v>
      </c>
      <c r="Y125" s="13">
        <v>0</v>
      </c>
      <c r="Z125" s="13">
        <f>Tabla17[[#This Row],[CONSUMO TOTAL TODAS]]/52</f>
        <v>0</v>
      </c>
      <c r="AA125" s="25">
        <f>Tabla17[[#This Row],[CONSUMO PROMEDIO PROPIO]]+Tabla17[[#This Row],[CONSUMO PROMEDIO TODAS]]</f>
        <v>32.596154615384613</v>
      </c>
      <c r="AB125" s="26">
        <f>Tabla17[[#This Row],[CONSUMO PROMEDIO TOTAL]]*(Tabla17[[#This Row],[FRECUENCIA]]+Tabla17[[#This Row],[TIEMPO REPOSICION ]])*1.7</f>
        <v>554.13462846153845</v>
      </c>
      <c r="AC125" s="26">
        <v>300</v>
      </c>
      <c r="AD125" s="26">
        <v>300</v>
      </c>
      <c r="AE125" s="3" t="e">
        <f>VLOOKUP(Tabla17[[#This Row],[CODIGO ]],#REF!,2,0)</f>
        <v>#REF!</v>
      </c>
      <c r="AF125" s="2">
        <f>IFERROR(VLOOKUP(Tabla17[[#This Row],[CODIGO ]],#REF!,2,0),0)</f>
        <v>0</v>
      </c>
      <c r="AG125" s="80" t="e">
        <f>Tabla17[[#This Row],[INVENTARIO FISICO ]]-Tabla17[[#This Row],[BUFFER REAL]]</f>
        <v>#REF!</v>
      </c>
      <c r="AH125" s="27"/>
      <c r="AI125" s="80"/>
      <c r="AJ125" s="80">
        <f>Tabla17[[#This Row],[SINOCHEM EN TRANSITO  ]]+Tabla17[[#This Row],[TRANSITO LOCAL]]</f>
        <v>0</v>
      </c>
      <c r="AK125" s="80">
        <v>500</v>
      </c>
      <c r="AL125" s="80"/>
      <c r="AM125" s="124" t="e">
        <f>Tabla17[[#This Row],[INVENTARIO FISICO ]]-Tabla17[[#This Row],[BUFFER REAL]]+Tabla17[[#This Row],[SINOCHEM EN TRANSITO  ]]+Tabla17[[#This Row],[TRANSITO LOCAL]]</f>
        <v>#REF!</v>
      </c>
      <c r="AN125" s="128">
        <f>Tabla17[[#This Row],[BUFFER REAL]]/((Tabla17[[#This Row],[TIEMPO REPOSICION ]]/Tabla17[[#This Row],[FRECUENCIA]])+1)</f>
        <v>120</v>
      </c>
      <c r="AO125" s="80">
        <v>0</v>
      </c>
      <c r="AP125" s="77">
        <v>0</v>
      </c>
      <c r="AQ125" s="77"/>
      <c r="AR125" s="27">
        <v>0</v>
      </c>
    </row>
    <row r="126" spans="1:44" s="7" customFormat="1">
      <c r="A126" s="133" t="s">
        <v>878</v>
      </c>
      <c r="B126" s="133" t="s">
        <v>918</v>
      </c>
      <c r="C126" s="141" t="s">
        <v>689</v>
      </c>
      <c r="D126" s="20" t="s">
        <v>716</v>
      </c>
      <c r="H126" s="20" t="s">
        <v>718</v>
      </c>
      <c r="I126" s="7" t="s">
        <v>767</v>
      </c>
      <c r="J126" s="7" t="s">
        <v>718</v>
      </c>
      <c r="K126" s="13"/>
      <c r="L126" s="13">
        <f t="shared" si="3"/>
        <v>0</v>
      </c>
      <c r="M126" s="13">
        <v>0.1</v>
      </c>
      <c r="N126" s="13"/>
      <c r="O126" s="13"/>
      <c r="P126" s="21" t="s">
        <v>808</v>
      </c>
      <c r="Q126" s="21" t="s">
        <v>802</v>
      </c>
      <c r="R126" s="20">
        <v>4</v>
      </c>
      <c r="S126" s="20">
        <v>6</v>
      </c>
      <c r="T126" s="7">
        <v>1</v>
      </c>
      <c r="U126" s="13"/>
      <c r="V126" s="13"/>
      <c r="W126" s="13">
        <f>Tabla17[[#This Row],[CONSUMO TOTAL PRO VALO]]/52</f>
        <v>0</v>
      </c>
      <c r="X126" s="13" t="e">
        <f>Tabla2[[#This Row],[CONSUMO TOTAL ]]+Tabla3[[#This Row],[CONSUMO TOTAL]]+#REF!+#REF!</f>
        <v>#VALUE!</v>
      </c>
      <c r="Y126" s="13"/>
      <c r="Z126" s="13">
        <f>Tabla17[[#This Row],[CONSUMO TOTAL TODAS]]/52</f>
        <v>0</v>
      </c>
      <c r="AA126" s="40">
        <f>Tabla17[[#This Row],[CONSUMO PROMEDIO PROPIO]]+Tabla17[[#This Row],[CONSUMO PROMEDIO TODAS]]</f>
        <v>0</v>
      </c>
      <c r="AB126" s="26">
        <f>Tabla17[[#This Row],[CONSUMO PROMEDIO TOTAL]]*(Tabla17[[#This Row],[FRECUENCIA]]+Tabla17[[#This Row],[TIEMPO REPOSICION ]])*1.7</f>
        <v>0</v>
      </c>
      <c r="AC126" s="26">
        <v>500</v>
      </c>
      <c r="AD126" s="26">
        <v>500</v>
      </c>
      <c r="AE126" s="134" t="e">
        <f>VLOOKUP(Tabla17[[#This Row],[CODIGO ]],#REF!,2,0)</f>
        <v>#REF!</v>
      </c>
      <c r="AF126" s="2">
        <f>IFERROR(VLOOKUP(Tabla17[[#This Row],[CODIGO ]],#REF!,2,0),0)</f>
        <v>0</v>
      </c>
      <c r="AG126" s="80" t="e">
        <f>Tabla17[[#This Row],[INVENTARIO FISICO ]]-Tabla17[[#This Row],[BUFFER REAL]]</f>
        <v>#REF!</v>
      </c>
      <c r="AH126" s="77"/>
      <c r="AI126" s="77"/>
      <c r="AJ126" s="80">
        <f>Tabla17[[#This Row],[SINOCHEM EN TRANSITO  ]]+Tabla17[[#This Row],[TRANSITO LOCAL]]</f>
        <v>0</v>
      </c>
      <c r="AK126" s="80"/>
      <c r="AL126" s="80"/>
      <c r="AM126" s="124" t="e">
        <f>Tabla17[[#This Row],[INVENTARIO FISICO ]]-Tabla17[[#This Row],[BUFFER REAL]]+Tabla17[[#This Row],[SINOCHEM EN TRANSITO  ]]+Tabla17[[#This Row],[TRANSITO LOCAL]]</f>
        <v>#REF!</v>
      </c>
      <c r="AN126" s="80">
        <f>Tabla17[[#This Row],[BUFFER REAL]]/((Tabla17[[#This Row],[TIEMPO REPOSICION ]]/Tabla17[[#This Row],[FRECUENCIA]])+1)</f>
        <v>200</v>
      </c>
      <c r="AO126" s="80"/>
      <c r="AP126" s="77"/>
      <c r="AQ126" s="77"/>
      <c r="AR126" s="27">
        <v>200</v>
      </c>
    </row>
    <row r="127" spans="1:44" s="7" customFormat="1">
      <c r="A127" s="133" t="s">
        <v>879</v>
      </c>
      <c r="B127" s="133" t="s">
        <v>919</v>
      </c>
      <c r="C127" s="141" t="s">
        <v>689</v>
      </c>
      <c r="D127" s="20" t="s">
        <v>716</v>
      </c>
      <c r="E127" s="20"/>
      <c r="F127" s="20"/>
      <c r="G127" s="20"/>
      <c r="H127" s="20" t="s">
        <v>718</v>
      </c>
      <c r="I127" s="7" t="s">
        <v>767</v>
      </c>
      <c r="J127" s="7" t="s">
        <v>718</v>
      </c>
      <c r="K127" s="21"/>
      <c r="L127" s="21">
        <f t="shared" si="3"/>
        <v>0</v>
      </c>
      <c r="M127" s="13">
        <v>0.1</v>
      </c>
      <c r="N127" s="21"/>
      <c r="O127" s="21"/>
      <c r="P127" s="21" t="s">
        <v>808</v>
      </c>
      <c r="Q127" s="21" t="s">
        <v>802</v>
      </c>
      <c r="R127" s="20">
        <v>4</v>
      </c>
      <c r="S127" s="20">
        <v>6</v>
      </c>
      <c r="T127" s="7">
        <v>1</v>
      </c>
      <c r="U127" s="21"/>
      <c r="V127" s="21"/>
      <c r="W127" s="21">
        <f>Tabla17[[#This Row],[CONSUMO TOTAL PRO VALO]]/52</f>
        <v>0</v>
      </c>
      <c r="X127" s="21" t="e">
        <f>Tabla2[[#This Row],[CONSUMO TOTAL ]]+Tabla3[[#This Row],[CONSUMO TOTAL]]+#REF!+#REF!</f>
        <v>#VALUE!</v>
      </c>
      <c r="Y127" s="21"/>
      <c r="Z127" s="21">
        <f>Tabla17[[#This Row],[CONSUMO TOTAL TODAS]]/52</f>
        <v>0</v>
      </c>
      <c r="AA127" s="28">
        <f>Tabla17[[#This Row],[CONSUMO PROMEDIO PROPIO]]+Tabla17[[#This Row],[CONSUMO PROMEDIO TODAS]]</f>
        <v>0</v>
      </c>
      <c r="AB127" s="33">
        <f>Tabla17[[#This Row],[CONSUMO PROMEDIO TOTAL]]*(Tabla17[[#This Row],[FRECUENCIA]]+Tabla17[[#This Row],[TIEMPO REPOSICION ]])*1.7</f>
        <v>0</v>
      </c>
      <c r="AC127" s="33">
        <v>500</v>
      </c>
      <c r="AD127" s="33">
        <v>500</v>
      </c>
      <c r="AE127" s="135" t="e">
        <f>VLOOKUP(Tabla17[[#This Row],[CODIGO ]],#REF!,2,0)</f>
        <v>#REF!</v>
      </c>
      <c r="AF127" s="116">
        <f>IFERROR(VLOOKUP(Tabla17[[#This Row],[CODIGO ]],#REF!,2,0),0)</f>
        <v>0</v>
      </c>
      <c r="AG127" s="117" t="e">
        <f>Tabla17[[#This Row],[INVENTARIO FISICO ]]-Tabla17[[#This Row],[BUFFER REAL]]</f>
        <v>#REF!</v>
      </c>
      <c r="AH127" s="110"/>
      <c r="AI127" s="110"/>
      <c r="AJ127" s="117">
        <f>Tabla17[[#This Row],[SINOCHEM EN TRANSITO  ]]+Tabla17[[#This Row],[TRANSITO LOCAL]]</f>
        <v>0</v>
      </c>
      <c r="AK127" s="117"/>
      <c r="AL127" s="117"/>
      <c r="AM127" s="142" t="e">
        <f>Tabla17[[#This Row],[INVENTARIO FISICO ]]-Tabla17[[#This Row],[BUFFER REAL]]+Tabla17[[#This Row],[SINOCHEM EN TRANSITO  ]]+Tabla17[[#This Row],[TRANSITO LOCAL]]</f>
        <v>#REF!</v>
      </c>
      <c r="AN127" s="117">
        <f>Tabla17[[#This Row],[BUFFER REAL]]/((Tabla17[[#This Row],[TIEMPO REPOSICION ]]/Tabla17[[#This Row],[FRECUENCIA]])+1)</f>
        <v>200</v>
      </c>
      <c r="AO127" s="117"/>
      <c r="AP127" s="110"/>
      <c r="AQ127" s="110"/>
      <c r="AR127" s="27">
        <v>117</v>
      </c>
    </row>
    <row r="128" spans="1:44" s="7" customFormat="1">
      <c r="A128" s="18" t="s">
        <v>395</v>
      </c>
      <c r="B128" s="18" t="s">
        <v>396</v>
      </c>
      <c r="C128" s="7" t="s">
        <v>2</v>
      </c>
      <c r="D128" s="7" t="s">
        <v>716</v>
      </c>
      <c r="H128" s="7" t="s">
        <v>718</v>
      </c>
      <c r="I128" s="7" t="s">
        <v>724</v>
      </c>
      <c r="J128" s="7" t="s">
        <v>718</v>
      </c>
      <c r="K128" s="13">
        <v>0</v>
      </c>
      <c r="L128" s="13">
        <f t="shared" si="3"/>
        <v>0</v>
      </c>
      <c r="M128" s="13">
        <v>0.115</v>
      </c>
      <c r="N128" s="13"/>
      <c r="O128" s="13">
        <v>500</v>
      </c>
      <c r="P128" s="13" t="s">
        <v>808</v>
      </c>
      <c r="Q128" s="13" t="s">
        <v>802</v>
      </c>
      <c r="R128" s="7">
        <v>4</v>
      </c>
      <c r="S128" s="7">
        <v>6</v>
      </c>
      <c r="T128" s="7">
        <v>1</v>
      </c>
      <c r="U128" s="13">
        <v>0</v>
      </c>
      <c r="V128" s="13">
        <v>0</v>
      </c>
      <c r="W128" s="13">
        <f>Tabla17[[#This Row],[CONSUMO TOTAL PRO VALO]]/52</f>
        <v>0</v>
      </c>
      <c r="X128" s="21">
        <v>0</v>
      </c>
      <c r="Y128" s="13">
        <v>0</v>
      </c>
      <c r="Z128" s="13">
        <f>Tabla17[[#This Row],[CONSUMO TOTAL TODAS]]/52</f>
        <v>0</v>
      </c>
      <c r="AA128" s="25">
        <f>Tabla17[[#This Row],[CONSUMO PROMEDIO PROPIO]]+Tabla17[[#This Row],[CONSUMO PROMEDIO TODAS]]</f>
        <v>0</v>
      </c>
      <c r="AB128" s="26">
        <f>Tabla17[[#This Row],[CONSUMO PROMEDIO TOTAL]]*(Tabla17[[#This Row],[FRECUENCIA]]+Tabla17[[#This Row],[TIEMPO REPOSICION ]])*1.7</f>
        <v>0</v>
      </c>
      <c r="AC128" s="26">
        <v>300</v>
      </c>
      <c r="AD128" s="26">
        <v>300</v>
      </c>
      <c r="AE128" s="3" t="e">
        <f>VLOOKUP(Tabla17[[#This Row],[CODIGO ]],#REF!,2,0)</f>
        <v>#REF!</v>
      </c>
      <c r="AF128" s="2">
        <f>IFERROR(VLOOKUP(Tabla17[[#This Row],[CODIGO ]],#REF!,2,0),0)</f>
        <v>0</v>
      </c>
      <c r="AG128" s="80" t="e">
        <f>Tabla17[[#This Row],[INVENTARIO FISICO ]]-Tabla17[[#This Row],[BUFFER REAL]]</f>
        <v>#REF!</v>
      </c>
      <c r="AH128" s="27"/>
      <c r="AI128" s="80"/>
      <c r="AJ128" s="80">
        <f>Tabla17[[#This Row],[SINOCHEM EN TRANSITO  ]]+Tabla17[[#This Row],[TRANSITO LOCAL]]</f>
        <v>0</v>
      </c>
      <c r="AK128" s="80">
        <v>500</v>
      </c>
      <c r="AL128" s="80"/>
      <c r="AM128" s="124" t="e">
        <f>Tabla17[[#This Row],[INVENTARIO FISICO ]]-Tabla17[[#This Row],[BUFFER REAL]]+Tabla17[[#This Row],[SINOCHEM EN TRANSITO  ]]+Tabla17[[#This Row],[TRANSITO LOCAL]]</f>
        <v>#REF!</v>
      </c>
      <c r="AN128" s="128">
        <f>Tabla17[[#This Row],[BUFFER REAL]]/((Tabla17[[#This Row],[TIEMPO REPOSICION ]]/Tabla17[[#This Row],[FRECUENCIA]])+1)</f>
        <v>120</v>
      </c>
      <c r="AO128" s="80">
        <v>500</v>
      </c>
      <c r="AP128" s="77">
        <v>300</v>
      </c>
      <c r="AQ128" s="77"/>
      <c r="AR128" s="27">
        <v>120</v>
      </c>
    </row>
    <row r="129" spans="1:44" s="7" customFormat="1">
      <c r="A129" s="18" t="s">
        <v>397</v>
      </c>
      <c r="B129" s="18" t="s">
        <v>398</v>
      </c>
      <c r="C129" s="7" t="s">
        <v>2</v>
      </c>
      <c r="D129" s="7" t="s">
        <v>716</v>
      </c>
      <c r="H129" s="7" t="s">
        <v>718</v>
      </c>
      <c r="I129" s="7" t="s">
        <v>724</v>
      </c>
      <c r="J129" s="7" t="s">
        <v>718</v>
      </c>
      <c r="K129" s="13">
        <v>0</v>
      </c>
      <c r="L129" s="13">
        <f t="shared" si="3"/>
        <v>0</v>
      </c>
      <c r="M129" s="13">
        <v>0.11352</v>
      </c>
      <c r="N129" s="13"/>
      <c r="O129" s="13">
        <v>500</v>
      </c>
      <c r="P129" s="13" t="s">
        <v>808</v>
      </c>
      <c r="Q129" s="13" t="s">
        <v>802</v>
      </c>
      <c r="R129" s="7">
        <v>4</v>
      </c>
      <c r="S129" s="7">
        <v>6</v>
      </c>
      <c r="T129" s="7">
        <v>1</v>
      </c>
      <c r="U129" s="13">
        <v>0</v>
      </c>
      <c r="V129" s="13">
        <v>0</v>
      </c>
      <c r="W129" s="13">
        <f>Tabla17[[#This Row],[CONSUMO TOTAL PRO VALO]]/52</f>
        <v>0</v>
      </c>
      <c r="X129" s="21">
        <v>0</v>
      </c>
      <c r="Y129" s="13">
        <v>0</v>
      </c>
      <c r="Z129" s="13">
        <f>Tabla17[[#This Row],[CONSUMO TOTAL TODAS]]/52</f>
        <v>0</v>
      </c>
      <c r="AA129" s="25">
        <f>Tabla17[[#This Row],[CONSUMO PROMEDIO PROPIO]]+Tabla17[[#This Row],[CONSUMO PROMEDIO TODAS]]</f>
        <v>0</v>
      </c>
      <c r="AB129" s="26">
        <f>Tabla17[[#This Row],[CONSUMO PROMEDIO TOTAL]]*(Tabla17[[#This Row],[FRECUENCIA]]+Tabla17[[#This Row],[TIEMPO REPOSICION ]])*1.7</f>
        <v>0</v>
      </c>
      <c r="AC129" s="26">
        <v>300</v>
      </c>
      <c r="AD129" s="26">
        <v>300</v>
      </c>
      <c r="AE129" s="3" t="e">
        <f>VLOOKUP(Tabla17[[#This Row],[CODIGO ]],#REF!,2,0)</f>
        <v>#REF!</v>
      </c>
      <c r="AF129" s="2">
        <f>IFERROR(VLOOKUP(Tabla17[[#This Row],[CODIGO ]],#REF!,2,0),0)</f>
        <v>0</v>
      </c>
      <c r="AG129" s="80" t="e">
        <f>Tabla17[[#This Row],[INVENTARIO FISICO ]]-Tabla17[[#This Row],[BUFFER REAL]]</f>
        <v>#REF!</v>
      </c>
      <c r="AH129" s="27"/>
      <c r="AI129" s="80"/>
      <c r="AJ129" s="80">
        <f>Tabla17[[#This Row],[SINOCHEM EN TRANSITO  ]]+Tabla17[[#This Row],[TRANSITO LOCAL]]</f>
        <v>0</v>
      </c>
      <c r="AK129" s="80">
        <v>500</v>
      </c>
      <c r="AL129" s="80"/>
      <c r="AM129" s="124" t="e">
        <f>Tabla17[[#This Row],[INVENTARIO FISICO ]]-Tabla17[[#This Row],[BUFFER REAL]]+Tabla17[[#This Row],[SINOCHEM EN TRANSITO  ]]+Tabla17[[#This Row],[TRANSITO LOCAL]]</f>
        <v>#REF!</v>
      </c>
      <c r="AN129" s="128">
        <f>Tabla17[[#This Row],[BUFFER REAL]]/((Tabla17[[#This Row],[TIEMPO REPOSICION ]]/Tabla17[[#This Row],[FRECUENCIA]])+1)</f>
        <v>120</v>
      </c>
      <c r="AO129" s="80">
        <v>500</v>
      </c>
      <c r="AP129" s="77">
        <v>300</v>
      </c>
      <c r="AQ129" s="77"/>
      <c r="AR129" s="27">
        <v>120</v>
      </c>
    </row>
    <row r="130" spans="1:44" s="7" customFormat="1">
      <c r="A130" s="18" t="s">
        <v>399</v>
      </c>
      <c r="B130" s="18" t="s">
        <v>400</v>
      </c>
      <c r="C130" s="7" t="s">
        <v>2</v>
      </c>
      <c r="D130" s="7" t="s">
        <v>716</v>
      </c>
      <c r="H130" s="7" t="s">
        <v>718</v>
      </c>
      <c r="I130" s="7" t="s">
        <v>724</v>
      </c>
      <c r="J130" s="7" t="s">
        <v>718</v>
      </c>
      <c r="K130" s="13">
        <v>0</v>
      </c>
      <c r="L130" s="13">
        <f t="shared" si="3"/>
        <v>0</v>
      </c>
      <c r="M130" s="13">
        <v>0.12434000000000001</v>
      </c>
      <c r="N130" s="13"/>
      <c r="O130" s="13">
        <v>500</v>
      </c>
      <c r="P130" s="13" t="s">
        <v>808</v>
      </c>
      <c r="Q130" s="13" t="s">
        <v>802</v>
      </c>
      <c r="R130" s="7">
        <v>4</v>
      </c>
      <c r="S130" s="7">
        <v>6</v>
      </c>
      <c r="T130" s="7">
        <v>1</v>
      </c>
      <c r="U130" s="13">
        <v>0</v>
      </c>
      <c r="V130" s="13">
        <v>0</v>
      </c>
      <c r="W130" s="13">
        <f>Tabla17[[#This Row],[CONSUMO TOTAL PRO VALO]]/52</f>
        <v>0</v>
      </c>
      <c r="X130" s="21">
        <v>0</v>
      </c>
      <c r="Y130" s="13">
        <v>0</v>
      </c>
      <c r="Z130" s="13">
        <f>Tabla17[[#This Row],[CONSUMO TOTAL TODAS]]/52</f>
        <v>0</v>
      </c>
      <c r="AA130" s="25">
        <f>Tabla17[[#This Row],[CONSUMO PROMEDIO PROPIO]]+Tabla17[[#This Row],[CONSUMO PROMEDIO TODAS]]</f>
        <v>0</v>
      </c>
      <c r="AB130" s="26">
        <f>Tabla17[[#This Row],[CONSUMO PROMEDIO TOTAL]]*(Tabla17[[#This Row],[FRECUENCIA]]+Tabla17[[#This Row],[TIEMPO REPOSICION ]])*1.7</f>
        <v>0</v>
      </c>
      <c r="AC130" s="26">
        <v>300</v>
      </c>
      <c r="AD130" s="26">
        <v>300</v>
      </c>
      <c r="AE130" s="3" t="e">
        <f>VLOOKUP(Tabla17[[#This Row],[CODIGO ]],#REF!,2,0)</f>
        <v>#REF!</v>
      </c>
      <c r="AF130" s="2">
        <f>IFERROR(VLOOKUP(Tabla17[[#This Row],[CODIGO ]],#REF!,2,0),0)</f>
        <v>0</v>
      </c>
      <c r="AG130" s="80" t="e">
        <f>Tabla17[[#This Row],[INVENTARIO FISICO ]]-Tabla17[[#This Row],[BUFFER REAL]]</f>
        <v>#REF!</v>
      </c>
      <c r="AH130" s="27"/>
      <c r="AI130" s="80"/>
      <c r="AJ130" s="80">
        <f>Tabla17[[#This Row],[SINOCHEM EN TRANSITO  ]]+Tabla17[[#This Row],[TRANSITO LOCAL]]</f>
        <v>0</v>
      </c>
      <c r="AK130" s="80">
        <v>500</v>
      </c>
      <c r="AL130" s="80"/>
      <c r="AM130" s="124" t="e">
        <f>Tabla17[[#This Row],[INVENTARIO FISICO ]]-Tabla17[[#This Row],[BUFFER REAL]]+Tabla17[[#This Row],[SINOCHEM EN TRANSITO  ]]+Tabla17[[#This Row],[TRANSITO LOCAL]]</f>
        <v>#REF!</v>
      </c>
      <c r="AN130" s="128">
        <f>Tabla17[[#This Row],[BUFFER REAL]]/((Tabla17[[#This Row],[TIEMPO REPOSICION ]]/Tabla17[[#This Row],[FRECUENCIA]])+1)</f>
        <v>120</v>
      </c>
      <c r="AO130" s="80">
        <v>500</v>
      </c>
      <c r="AP130" s="77">
        <v>300</v>
      </c>
      <c r="AQ130" s="77"/>
      <c r="AR130" s="27">
        <v>120</v>
      </c>
    </row>
    <row r="131" spans="1:44" s="7" customFormat="1">
      <c r="A131" s="18" t="s">
        <v>401</v>
      </c>
      <c r="B131" s="18" t="s">
        <v>402</v>
      </c>
      <c r="C131" s="7" t="s">
        <v>2</v>
      </c>
      <c r="D131" s="7" t="s">
        <v>716</v>
      </c>
      <c r="H131" s="7" t="s">
        <v>718</v>
      </c>
      <c r="I131" s="7" t="s">
        <v>724</v>
      </c>
      <c r="J131" s="7" t="s">
        <v>718</v>
      </c>
      <c r="K131" s="13">
        <v>0</v>
      </c>
      <c r="L131" s="13">
        <f t="shared" si="3"/>
        <v>0</v>
      </c>
      <c r="M131" s="13">
        <v>0.248</v>
      </c>
      <c r="N131" s="13"/>
      <c r="O131" s="13">
        <v>500</v>
      </c>
      <c r="P131" s="13" t="s">
        <v>808</v>
      </c>
      <c r="Q131" s="13" t="s">
        <v>802</v>
      </c>
      <c r="R131" s="7">
        <v>4</v>
      </c>
      <c r="S131" s="7">
        <v>6</v>
      </c>
      <c r="T131" s="7">
        <v>1</v>
      </c>
      <c r="U131" s="13">
        <v>0</v>
      </c>
      <c r="V131" s="13">
        <v>0</v>
      </c>
      <c r="W131" s="13">
        <f>Tabla17[[#This Row],[CONSUMO TOTAL PRO VALO]]/52</f>
        <v>0</v>
      </c>
      <c r="X131" s="21">
        <v>0</v>
      </c>
      <c r="Y131" s="13">
        <v>0</v>
      </c>
      <c r="Z131" s="13">
        <f>Tabla17[[#This Row],[CONSUMO TOTAL TODAS]]/52</f>
        <v>0</v>
      </c>
      <c r="AA131" s="25">
        <f>Tabla17[[#This Row],[CONSUMO PROMEDIO PROPIO]]+Tabla17[[#This Row],[CONSUMO PROMEDIO TODAS]]</f>
        <v>0</v>
      </c>
      <c r="AB131" s="26">
        <f>Tabla17[[#This Row],[CONSUMO PROMEDIO TOTAL]]*(Tabla17[[#This Row],[FRECUENCIA]]+Tabla17[[#This Row],[TIEMPO REPOSICION ]])*1.7</f>
        <v>0</v>
      </c>
      <c r="AC131" s="26">
        <v>300</v>
      </c>
      <c r="AD131" s="26">
        <v>300</v>
      </c>
      <c r="AE131" s="3" t="e">
        <f>VLOOKUP(Tabla17[[#This Row],[CODIGO ]],#REF!,2,0)</f>
        <v>#REF!</v>
      </c>
      <c r="AF131" s="2">
        <f>IFERROR(VLOOKUP(Tabla17[[#This Row],[CODIGO ]],#REF!,2,0),0)</f>
        <v>0</v>
      </c>
      <c r="AG131" s="80" t="e">
        <f>Tabla17[[#This Row],[INVENTARIO FISICO ]]-Tabla17[[#This Row],[BUFFER REAL]]</f>
        <v>#REF!</v>
      </c>
      <c r="AH131" s="27"/>
      <c r="AI131" s="80"/>
      <c r="AJ131" s="80">
        <f>Tabla17[[#This Row],[SINOCHEM EN TRANSITO  ]]+Tabla17[[#This Row],[TRANSITO LOCAL]]</f>
        <v>0</v>
      </c>
      <c r="AK131" s="80">
        <v>500</v>
      </c>
      <c r="AL131" s="80"/>
      <c r="AM131" s="124" t="e">
        <f>Tabla17[[#This Row],[INVENTARIO FISICO ]]-Tabla17[[#This Row],[BUFFER REAL]]+Tabla17[[#This Row],[SINOCHEM EN TRANSITO  ]]+Tabla17[[#This Row],[TRANSITO LOCAL]]</f>
        <v>#REF!</v>
      </c>
      <c r="AN131" s="128">
        <f>Tabla17[[#This Row],[BUFFER REAL]]/((Tabla17[[#This Row],[TIEMPO REPOSICION ]]/Tabla17[[#This Row],[FRECUENCIA]])+1)</f>
        <v>120</v>
      </c>
      <c r="AO131" s="80">
        <v>500</v>
      </c>
      <c r="AP131" s="77">
        <v>300</v>
      </c>
      <c r="AQ131" s="77"/>
      <c r="AR131" s="27">
        <v>120</v>
      </c>
    </row>
    <row r="132" spans="1:44" s="7" customFormat="1">
      <c r="A132" s="18" t="s">
        <v>403</v>
      </c>
      <c r="B132" s="18" t="s">
        <v>404</v>
      </c>
      <c r="C132" s="7" t="s">
        <v>2</v>
      </c>
      <c r="D132" s="7" t="s">
        <v>716</v>
      </c>
      <c r="H132" s="7" t="s">
        <v>718</v>
      </c>
      <c r="I132" s="7" t="s">
        <v>724</v>
      </c>
      <c r="J132" s="7" t="s">
        <v>718</v>
      </c>
      <c r="K132" s="13">
        <v>0</v>
      </c>
      <c r="L132" s="13">
        <f t="shared" si="3"/>
        <v>0</v>
      </c>
      <c r="M132" s="13">
        <v>0.17065</v>
      </c>
      <c r="N132" s="13"/>
      <c r="O132" s="13">
        <v>500</v>
      </c>
      <c r="P132" s="13" t="s">
        <v>808</v>
      </c>
      <c r="Q132" s="13" t="s">
        <v>802</v>
      </c>
      <c r="R132" s="7">
        <v>4</v>
      </c>
      <c r="S132" s="7">
        <v>6</v>
      </c>
      <c r="T132" s="7">
        <v>1</v>
      </c>
      <c r="U132" s="13">
        <v>196</v>
      </c>
      <c r="V132" s="13">
        <v>196</v>
      </c>
      <c r="W132" s="13">
        <f>Tabla17[[#This Row],[CONSUMO TOTAL PRO VALO]]/52</f>
        <v>3.7692307692307692</v>
      </c>
      <c r="X132" s="21">
        <v>0</v>
      </c>
      <c r="Y132" s="13">
        <v>0</v>
      </c>
      <c r="Z132" s="13">
        <f>Tabla17[[#This Row],[CONSUMO TOTAL TODAS]]/52</f>
        <v>0</v>
      </c>
      <c r="AA132" s="25">
        <f>Tabla17[[#This Row],[CONSUMO PROMEDIO PROPIO]]+Tabla17[[#This Row],[CONSUMO PROMEDIO TODAS]]</f>
        <v>3.7692307692307692</v>
      </c>
      <c r="AB132" s="26">
        <f>Tabla17[[#This Row],[CONSUMO PROMEDIO TOTAL]]*(Tabla17[[#This Row],[FRECUENCIA]]+Tabla17[[#This Row],[TIEMPO REPOSICION ]])*1.7</f>
        <v>64.07692307692308</v>
      </c>
      <c r="AC132" s="26">
        <v>1000</v>
      </c>
      <c r="AD132" s="26">
        <v>1000</v>
      </c>
      <c r="AE132" s="3" t="e">
        <f>VLOOKUP(Tabla17[[#This Row],[CODIGO ]],#REF!,2,0)</f>
        <v>#REF!</v>
      </c>
      <c r="AF132" s="2">
        <f>IFERROR(VLOOKUP(Tabla17[[#This Row],[CODIGO ]],#REF!,2,0),0)</f>
        <v>0</v>
      </c>
      <c r="AG132" s="80" t="e">
        <f>Tabla17[[#This Row],[INVENTARIO FISICO ]]-Tabla17[[#This Row],[BUFFER REAL]]</f>
        <v>#REF!</v>
      </c>
      <c r="AH132" s="27"/>
      <c r="AI132" s="80"/>
      <c r="AJ132" s="80">
        <f>Tabla17[[#This Row],[SINOCHEM EN TRANSITO  ]]+Tabla17[[#This Row],[TRANSITO LOCAL]]</f>
        <v>0</v>
      </c>
      <c r="AK132" s="80">
        <v>500</v>
      </c>
      <c r="AL132" s="80"/>
      <c r="AM132" s="124" t="e">
        <f>Tabla17[[#This Row],[INVENTARIO FISICO ]]-Tabla17[[#This Row],[BUFFER REAL]]+Tabla17[[#This Row],[SINOCHEM EN TRANSITO  ]]+Tabla17[[#This Row],[TRANSITO LOCAL]]</f>
        <v>#REF!</v>
      </c>
      <c r="AN132" s="128">
        <f>Tabla17[[#This Row],[BUFFER REAL]]/((Tabla17[[#This Row],[TIEMPO REPOSICION ]]/Tabla17[[#This Row],[FRECUENCIA]])+1)</f>
        <v>400</v>
      </c>
      <c r="AO132" s="80">
        <v>0</v>
      </c>
      <c r="AP132" s="77">
        <v>0</v>
      </c>
      <c r="AQ132" s="77"/>
      <c r="AR132" s="27">
        <v>0</v>
      </c>
    </row>
    <row r="133" spans="1:44" s="7" customFormat="1">
      <c r="A133" s="18" t="s">
        <v>405</v>
      </c>
      <c r="B133" s="18" t="s">
        <v>406</v>
      </c>
      <c r="C133" s="7" t="s">
        <v>2</v>
      </c>
      <c r="D133" s="7" t="s">
        <v>716</v>
      </c>
      <c r="H133" s="7" t="s">
        <v>718</v>
      </c>
      <c r="I133" s="7" t="s">
        <v>724</v>
      </c>
      <c r="J133" s="7" t="s">
        <v>718</v>
      </c>
      <c r="K133" s="13">
        <v>0</v>
      </c>
      <c r="L133" s="13">
        <f t="shared" si="3"/>
        <v>0</v>
      </c>
      <c r="M133" s="13">
        <v>0.20347999999999999</v>
      </c>
      <c r="N133" s="13"/>
      <c r="O133" s="13">
        <v>500</v>
      </c>
      <c r="P133" s="13" t="s">
        <v>808</v>
      </c>
      <c r="Q133" s="13" t="s">
        <v>802</v>
      </c>
      <c r="R133" s="7">
        <v>4</v>
      </c>
      <c r="S133" s="7">
        <v>6</v>
      </c>
      <c r="T133" s="7">
        <v>1</v>
      </c>
      <c r="U133" s="13">
        <v>1441</v>
      </c>
      <c r="V133" s="13">
        <v>1441</v>
      </c>
      <c r="W133" s="13">
        <f>Tabla17[[#This Row],[CONSUMO TOTAL PRO VALO]]/52</f>
        <v>27.71153846153846</v>
      </c>
      <c r="X133" s="21">
        <v>0</v>
      </c>
      <c r="Y133" s="13">
        <v>0</v>
      </c>
      <c r="Z133" s="13">
        <f>Tabla17[[#This Row],[CONSUMO TOTAL TODAS]]/52</f>
        <v>0</v>
      </c>
      <c r="AA133" s="25">
        <f>Tabla17[[#This Row],[CONSUMO PROMEDIO PROPIO]]+Tabla17[[#This Row],[CONSUMO PROMEDIO TODAS]]</f>
        <v>27.71153846153846</v>
      </c>
      <c r="AB133" s="26">
        <f>Tabla17[[#This Row],[CONSUMO PROMEDIO TOTAL]]*(Tabla17[[#This Row],[FRECUENCIA]]+Tabla17[[#This Row],[TIEMPO REPOSICION ]])*1.7</f>
        <v>471.09615384615375</v>
      </c>
      <c r="AC133" s="26">
        <v>500</v>
      </c>
      <c r="AD133" s="26">
        <v>500</v>
      </c>
      <c r="AE133" s="3" t="e">
        <f>VLOOKUP(Tabla17[[#This Row],[CODIGO ]],#REF!,2,0)</f>
        <v>#REF!</v>
      </c>
      <c r="AF133" s="2">
        <f>IFERROR(VLOOKUP(Tabla17[[#This Row],[CODIGO ]],#REF!,2,0),0)</f>
        <v>0</v>
      </c>
      <c r="AG133" s="80" t="e">
        <f>Tabla17[[#This Row],[INVENTARIO FISICO ]]-Tabla17[[#This Row],[BUFFER REAL]]</f>
        <v>#REF!</v>
      </c>
      <c r="AH133" s="27"/>
      <c r="AI133" s="118"/>
      <c r="AJ133" s="118">
        <f>Tabla17[[#This Row],[SINOCHEM EN TRANSITO  ]]+Tabla17[[#This Row],[TRANSITO LOCAL]]</f>
        <v>0</v>
      </c>
      <c r="AK133" s="80">
        <v>500</v>
      </c>
      <c r="AL133" s="80"/>
      <c r="AM133" s="124" t="e">
        <f>Tabla17[[#This Row],[INVENTARIO FISICO ]]-Tabla17[[#This Row],[BUFFER REAL]]+Tabla17[[#This Row],[SINOCHEM EN TRANSITO  ]]+Tabla17[[#This Row],[TRANSITO LOCAL]]</f>
        <v>#REF!</v>
      </c>
      <c r="AN133" s="128">
        <f>Tabla17[[#This Row],[BUFFER REAL]]/((Tabla17[[#This Row],[TIEMPO REPOSICION ]]/Tabla17[[#This Row],[FRECUENCIA]])+1)</f>
        <v>200</v>
      </c>
      <c r="AO133" s="80">
        <v>0</v>
      </c>
      <c r="AP133" s="77">
        <v>0</v>
      </c>
      <c r="AQ133" s="77"/>
      <c r="AR133" s="27">
        <v>109</v>
      </c>
    </row>
    <row r="134" spans="1:44" s="7" customFormat="1">
      <c r="A134" s="133" t="s">
        <v>880</v>
      </c>
      <c r="B134" s="133" t="s">
        <v>915</v>
      </c>
      <c r="C134" s="141" t="s">
        <v>689</v>
      </c>
      <c r="D134" s="141" t="s">
        <v>716</v>
      </c>
      <c r="E134" s="20"/>
      <c r="F134" s="20"/>
      <c r="G134" s="20"/>
      <c r="H134" s="20" t="s">
        <v>718</v>
      </c>
      <c r="I134" s="7" t="s">
        <v>724</v>
      </c>
      <c r="J134" s="7" t="s">
        <v>718</v>
      </c>
      <c r="K134" s="21">
        <v>0</v>
      </c>
      <c r="L134" s="21">
        <f t="shared" ref="L134:L165" si="4">+K134*75%</f>
        <v>0</v>
      </c>
      <c r="M134" s="21">
        <v>0.10299999999999999</v>
      </c>
      <c r="N134" s="21"/>
      <c r="O134" s="21"/>
      <c r="P134" s="21" t="s">
        <v>808</v>
      </c>
      <c r="Q134" s="21" t="s">
        <v>802</v>
      </c>
      <c r="R134" s="20">
        <v>4</v>
      </c>
      <c r="S134" s="20">
        <v>6</v>
      </c>
      <c r="T134" s="7">
        <v>1</v>
      </c>
      <c r="U134" s="21"/>
      <c r="V134" s="21"/>
      <c r="W134" s="21">
        <f>Tabla17[[#This Row],[CONSUMO TOTAL PRO VALO]]/52</f>
        <v>0</v>
      </c>
      <c r="X134" s="21" t="e">
        <f>Tabla2[[#This Row],[CONSUMO TOTAL ]]+Tabla3[[#This Row],[CONSUMO TOTAL]]+#REF!+#REF!</f>
        <v>#VALUE!</v>
      </c>
      <c r="Y134" s="21"/>
      <c r="Z134" s="21">
        <f>Tabla17[[#This Row],[CONSUMO TOTAL TODAS]]/52</f>
        <v>0</v>
      </c>
      <c r="AA134" s="28">
        <f>Tabla17[[#This Row],[CONSUMO PROMEDIO PROPIO]]+Tabla17[[#This Row],[CONSUMO PROMEDIO TODAS]]</f>
        <v>0</v>
      </c>
      <c r="AB134" s="33">
        <f>Tabla17[[#This Row],[CONSUMO PROMEDIO TOTAL]]*(Tabla17[[#This Row],[FRECUENCIA]]+Tabla17[[#This Row],[TIEMPO REPOSICION ]])*1.7</f>
        <v>0</v>
      </c>
      <c r="AC134" s="33">
        <v>500</v>
      </c>
      <c r="AD134" s="33">
        <v>500</v>
      </c>
      <c r="AE134" s="135" t="e">
        <f>VLOOKUP(Tabla17[[#This Row],[CODIGO ]],#REF!,2,0)</f>
        <v>#REF!</v>
      </c>
      <c r="AF134" s="116">
        <f>IFERROR(VLOOKUP(Tabla17[[#This Row],[CODIGO ]],#REF!,2,0),0)</f>
        <v>0</v>
      </c>
      <c r="AG134" s="117" t="e">
        <f>Tabla17[[#This Row],[INVENTARIO FISICO ]]-Tabla17[[#This Row],[BUFFER REAL]]</f>
        <v>#REF!</v>
      </c>
      <c r="AH134" s="110"/>
      <c r="AI134" s="110"/>
      <c r="AJ134" s="117">
        <f>Tabla17[[#This Row],[SINOCHEM EN TRANSITO  ]]+Tabla17[[#This Row],[TRANSITO LOCAL]]</f>
        <v>0</v>
      </c>
      <c r="AK134" s="117"/>
      <c r="AL134" s="117"/>
      <c r="AM134" s="142" t="e">
        <f>Tabla17[[#This Row],[INVENTARIO FISICO ]]-Tabla17[[#This Row],[BUFFER REAL]]+Tabla17[[#This Row],[SINOCHEM EN TRANSITO  ]]+Tabla17[[#This Row],[TRANSITO LOCAL]]</f>
        <v>#REF!</v>
      </c>
      <c r="AN134" s="117">
        <f>Tabla17[[#This Row],[BUFFER REAL]]/((Tabla17[[#This Row],[TIEMPO REPOSICION ]]/Tabla17[[#This Row],[FRECUENCIA]])+1)</f>
        <v>200</v>
      </c>
      <c r="AO134" s="117"/>
      <c r="AP134" s="110"/>
      <c r="AQ134" s="110"/>
      <c r="AR134" s="27">
        <v>0</v>
      </c>
    </row>
    <row r="135" spans="1:44" s="7" customFormat="1">
      <c r="A135" s="133" t="s">
        <v>881</v>
      </c>
      <c r="B135" s="133" t="s">
        <v>916</v>
      </c>
      <c r="C135" s="141" t="s">
        <v>689</v>
      </c>
      <c r="D135" s="141" t="s">
        <v>716</v>
      </c>
      <c r="E135" s="20"/>
      <c r="F135" s="20"/>
      <c r="G135" s="20"/>
      <c r="H135" s="20" t="s">
        <v>718</v>
      </c>
      <c r="I135" s="7" t="s">
        <v>724</v>
      </c>
      <c r="J135" s="7" t="s">
        <v>718</v>
      </c>
      <c r="K135" s="21">
        <v>0</v>
      </c>
      <c r="L135" s="21">
        <f t="shared" si="4"/>
        <v>0</v>
      </c>
      <c r="M135" s="21">
        <v>0.10299999999999999</v>
      </c>
      <c r="N135" s="21"/>
      <c r="O135" s="21"/>
      <c r="P135" s="21" t="s">
        <v>808</v>
      </c>
      <c r="Q135" s="21" t="s">
        <v>802</v>
      </c>
      <c r="R135" s="20">
        <v>4</v>
      </c>
      <c r="S135" s="20">
        <v>6</v>
      </c>
      <c r="T135" s="7">
        <v>1</v>
      </c>
      <c r="U135" s="21"/>
      <c r="V135" s="21"/>
      <c r="W135" s="21">
        <f>Tabla17[[#This Row],[CONSUMO TOTAL PRO VALO]]/52</f>
        <v>0</v>
      </c>
      <c r="X135" s="21" t="e">
        <f>Tabla2[[#This Row],[CONSUMO TOTAL ]]+Tabla3[[#This Row],[CONSUMO TOTAL]]+#REF!+#REF!</f>
        <v>#VALUE!</v>
      </c>
      <c r="Y135" s="21"/>
      <c r="Z135" s="21">
        <f>Tabla17[[#This Row],[CONSUMO TOTAL TODAS]]/52</f>
        <v>0</v>
      </c>
      <c r="AA135" s="28">
        <f>Tabla17[[#This Row],[CONSUMO PROMEDIO PROPIO]]+Tabla17[[#This Row],[CONSUMO PROMEDIO TODAS]]</f>
        <v>0</v>
      </c>
      <c r="AB135" s="33">
        <f>Tabla17[[#This Row],[CONSUMO PROMEDIO TOTAL]]*(Tabla17[[#This Row],[FRECUENCIA]]+Tabla17[[#This Row],[TIEMPO REPOSICION ]])*1.7</f>
        <v>0</v>
      </c>
      <c r="AC135" s="33">
        <v>500</v>
      </c>
      <c r="AD135" s="33">
        <v>500</v>
      </c>
      <c r="AE135" s="135" t="e">
        <f>VLOOKUP(Tabla17[[#This Row],[CODIGO ]],#REF!,2,0)</f>
        <v>#REF!</v>
      </c>
      <c r="AF135" s="116">
        <f>IFERROR(VLOOKUP(Tabla17[[#This Row],[CODIGO ]],#REF!,2,0),0)</f>
        <v>0</v>
      </c>
      <c r="AG135" s="117" t="e">
        <f>Tabla17[[#This Row],[INVENTARIO FISICO ]]-Tabla17[[#This Row],[BUFFER REAL]]</f>
        <v>#REF!</v>
      </c>
      <c r="AH135" s="110"/>
      <c r="AI135" s="110"/>
      <c r="AJ135" s="117">
        <f>Tabla17[[#This Row],[SINOCHEM EN TRANSITO  ]]+Tabla17[[#This Row],[TRANSITO LOCAL]]</f>
        <v>0</v>
      </c>
      <c r="AK135" s="117"/>
      <c r="AL135" s="117"/>
      <c r="AM135" s="142" t="e">
        <f>Tabla17[[#This Row],[INVENTARIO FISICO ]]-Tabla17[[#This Row],[BUFFER REAL]]+Tabla17[[#This Row],[SINOCHEM EN TRANSITO  ]]+Tabla17[[#This Row],[TRANSITO LOCAL]]</f>
        <v>#REF!</v>
      </c>
      <c r="AN135" s="117">
        <f>Tabla17[[#This Row],[BUFFER REAL]]/((Tabla17[[#This Row],[TIEMPO REPOSICION ]]/Tabla17[[#This Row],[FRECUENCIA]])+1)</f>
        <v>200</v>
      </c>
      <c r="AO135" s="117"/>
      <c r="AP135" s="110"/>
      <c r="AQ135" s="110"/>
      <c r="AR135" s="27">
        <v>200</v>
      </c>
    </row>
    <row r="136" spans="1:44" s="7" customFormat="1">
      <c r="A136" s="133" t="s">
        <v>882</v>
      </c>
      <c r="B136" s="133" t="s">
        <v>917</v>
      </c>
      <c r="C136" s="141" t="s">
        <v>689</v>
      </c>
      <c r="D136" s="20" t="s">
        <v>716</v>
      </c>
      <c r="E136" s="20"/>
      <c r="F136" s="20"/>
      <c r="G136" s="20"/>
      <c r="H136" s="20" t="s">
        <v>718</v>
      </c>
      <c r="I136" s="7" t="s">
        <v>724</v>
      </c>
      <c r="J136" s="7" t="s">
        <v>718</v>
      </c>
      <c r="K136" s="21">
        <v>0</v>
      </c>
      <c r="L136" s="21">
        <f t="shared" si="4"/>
        <v>0</v>
      </c>
      <c r="M136" s="21">
        <v>0.10299999999999999</v>
      </c>
      <c r="N136" s="21"/>
      <c r="O136" s="21"/>
      <c r="P136" s="21" t="s">
        <v>808</v>
      </c>
      <c r="Q136" s="21" t="s">
        <v>802</v>
      </c>
      <c r="R136" s="20">
        <v>4</v>
      </c>
      <c r="S136" s="20">
        <v>6</v>
      </c>
      <c r="T136" s="7">
        <v>1</v>
      </c>
      <c r="U136" s="21"/>
      <c r="V136" s="21"/>
      <c r="W136" s="21">
        <f>Tabla17[[#This Row],[CONSUMO TOTAL PRO VALO]]/52</f>
        <v>0</v>
      </c>
      <c r="X136" s="21" t="e">
        <f>Tabla2[[#This Row],[CONSUMO TOTAL ]]+Tabla3[[#This Row],[CONSUMO TOTAL]]+#REF!+#REF!</f>
        <v>#VALUE!</v>
      </c>
      <c r="Y136" s="21"/>
      <c r="Z136" s="21">
        <f>Tabla17[[#This Row],[CONSUMO TOTAL TODAS]]/52</f>
        <v>0</v>
      </c>
      <c r="AA136" s="28">
        <f>Tabla17[[#This Row],[CONSUMO PROMEDIO PROPIO]]+Tabla17[[#This Row],[CONSUMO PROMEDIO TODAS]]</f>
        <v>0</v>
      </c>
      <c r="AB136" s="33">
        <f>Tabla17[[#This Row],[CONSUMO PROMEDIO TOTAL]]*(Tabla17[[#This Row],[FRECUENCIA]]+Tabla17[[#This Row],[TIEMPO REPOSICION ]])*1.7</f>
        <v>0</v>
      </c>
      <c r="AC136" s="33">
        <v>500</v>
      </c>
      <c r="AD136" s="33">
        <v>500</v>
      </c>
      <c r="AE136" s="135" t="e">
        <f>VLOOKUP(Tabla17[[#This Row],[CODIGO ]],#REF!,2,0)</f>
        <v>#REF!</v>
      </c>
      <c r="AF136" s="116">
        <f>IFERROR(VLOOKUP(Tabla17[[#This Row],[CODIGO ]],#REF!,2,0),0)</f>
        <v>0</v>
      </c>
      <c r="AG136" s="117" t="e">
        <f>Tabla17[[#This Row],[INVENTARIO FISICO ]]-Tabla17[[#This Row],[BUFFER REAL]]</f>
        <v>#REF!</v>
      </c>
      <c r="AH136" s="110"/>
      <c r="AI136" s="110"/>
      <c r="AJ136" s="117">
        <f>Tabla17[[#This Row],[SINOCHEM EN TRANSITO  ]]+Tabla17[[#This Row],[TRANSITO LOCAL]]</f>
        <v>0</v>
      </c>
      <c r="AK136" s="117"/>
      <c r="AL136" s="117"/>
      <c r="AM136" s="142" t="e">
        <f>Tabla17[[#This Row],[INVENTARIO FISICO ]]-Tabla17[[#This Row],[BUFFER REAL]]+Tabla17[[#This Row],[SINOCHEM EN TRANSITO  ]]+Tabla17[[#This Row],[TRANSITO LOCAL]]</f>
        <v>#REF!</v>
      </c>
      <c r="AN136" s="117">
        <f>Tabla17[[#This Row],[BUFFER REAL]]/((Tabla17[[#This Row],[TIEMPO REPOSICION ]]/Tabla17[[#This Row],[FRECUENCIA]])+1)</f>
        <v>200</v>
      </c>
      <c r="AO136" s="117"/>
      <c r="AP136" s="110"/>
      <c r="AQ136" s="110"/>
      <c r="AR136" s="27">
        <v>100</v>
      </c>
    </row>
    <row r="137" spans="1:44" s="7" customFormat="1">
      <c r="A137" s="18" t="s">
        <v>407</v>
      </c>
      <c r="B137" s="18" t="s">
        <v>408</v>
      </c>
      <c r="C137" s="7" t="s">
        <v>697</v>
      </c>
      <c r="D137" s="7" t="s">
        <v>716</v>
      </c>
      <c r="H137" s="7" t="s">
        <v>718</v>
      </c>
      <c r="I137" s="7" t="s">
        <v>724</v>
      </c>
      <c r="J137" s="7" t="s">
        <v>718</v>
      </c>
      <c r="K137" s="13">
        <v>0</v>
      </c>
      <c r="L137" s="13">
        <f t="shared" si="4"/>
        <v>0</v>
      </c>
      <c r="M137" s="13">
        <v>6.3E-2</v>
      </c>
      <c r="N137" s="13"/>
      <c r="O137" s="13">
        <v>500</v>
      </c>
      <c r="P137" s="13" t="s">
        <v>808</v>
      </c>
      <c r="Q137" s="13" t="s">
        <v>802</v>
      </c>
      <c r="R137" s="7">
        <v>4</v>
      </c>
      <c r="S137" s="7">
        <v>6</v>
      </c>
      <c r="T137" s="7">
        <v>1</v>
      </c>
      <c r="U137" s="13">
        <v>4517</v>
      </c>
      <c r="V137" s="13">
        <v>4517</v>
      </c>
      <c r="W137" s="13">
        <f>Tabla17[[#This Row],[CONSUMO TOTAL PRO VALO]]/52</f>
        <v>86.865384615384613</v>
      </c>
      <c r="X137" s="21">
        <v>0</v>
      </c>
      <c r="Y137" s="13">
        <v>0</v>
      </c>
      <c r="Z137" s="13">
        <f>Tabla17[[#This Row],[CONSUMO TOTAL TODAS]]/52</f>
        <v>0</v>
      </c>
      <c r="AA137" s="25">
        <f>Tabla17[[#This Row],[CONSUMO PROMEDIO PROPIO]]+Tabla17[[#This Row],[CONSUMO PROMEDIO TODAS]]</f>
        <v>86.865384615384613</v>
      </c>
      <c r="AB137" s="26">
        <f>Tabla17[[#This Row],[CONSUMO PROMEDIO TOTAL]]*(Tabla17[[#This Row],[FRECUENCIA]]+Tabla17[[#This Row],[TIEMPO REPOSICION ]])*1.7</f>
        <v>1476.7115384615386</v>
      </c>
      <c r="AC137" s="26">
        <v>900</v>
      </c>
      <c r="AD137" s="26">
        <v>900</v>
      </c>
      <c r="AE137" s="3" t="e">
        <f>VLOOKUP(Tabla17[[#This Row],[CODIGO ]],#REF!,2,0)</f>
        <v>#REF!</v>
      </c>
      <c r="AF137" s="2">
        <f>IFERROR(VLOOKUP(Tabla17[[#This Row],[CODIGO ]],#REF!,2,0),0)</f>
        <v>0</v>
      </c>
      <c r="AG137" s="80" t="e">
        <f>Tabla17[[#This Row],[INVENTARIO FISICO ]]-Tabla17[[#This Row],[BUFFER REAL]]</f>
        <v>#REF!</v>
      </c>
      <c r="AH137" s="27"/>
      <c r="AI137" s="80"/>
      <c r="AJ137" s="80">
        <f>Tabla17[[#This Row],[SINOCHEM EN TRANSITO  ]]+Tabla17[[#This Row],[TRANSITO LOCAL]]</f>
        <v>0</v>
      </c>
      <c r="AK137" s="80">
        <v>500</v>
      </c>
      <c r="AL137" s="80"/>
      <c r="AM137" s="124" t="e">
        <f>Tabla17[[#This Row],[INVENTARIO FISICO ]]-Tabla17[[#This Row],[BUFFER REAL]]+Tabla17[[#This Row],[SINOCHEM EN TRANSITO  ]]+Tabla17[[#This Row],[TRANSITO LOCAL]]</f>
        <v>#REF!</v>
      </c>
      <c r="AN137" s="128">
        <f>Tabla17[[#This Row],[BUFFER REAL]]/((Tabla17[[#This Row],[TIEMPO REPOSICION ]]/Tabla17[[#This Row],[FRECUENCIA]])+1)</f>
        <v>360</v>
      </c>
      <c r="AO137" s="80">
        <v>0</v>
      </c>
      <c r="AP137" s="77">
        <v>0</v>
      </c>
      <c r="AQ137" s="77"/>
      <c r="AR137" s="27">
        <v>0</v>
      </c>
    </row>
    <row r="138" spans="1:44" s="7" customFormat="1">
      <c r="A138" s="18" t="s">
        <v>409</v>
      </c>
      <c r="B138" s="18" t="s">
        <v>410</v>
      </c>
      <c r="C138" s="7" t="s">
        <v>697</v>
      </c>
      <c r="D138" s="7" t="s">
        <v>716</v>
      </c>
      <c r="H138" s="7" t="s">
        <v>718</v>
      </c>
      <c r="I138" s="7" t="s">
        <v>724</v>
      </c>
      <c r="J138" s="7" t="s">
        <v>718</v>
      </c>
      <c r="K138" s="13">
        <v>0</v>
      </c>
      <c r="L138" s="13">
        <f t="shared" si="4"/>
        <v>0</v>
      </c>
      <c r="M138" s="13">
        <v>8.1739999999999993E-2</v>
      </c>
      <c r="N138" s="13"/>
      <c r="O138" s="13">
        <v>500</v>
      </c>
      <c r="P138" s="13" t="s">
        <v>808</v>
      </c>
      <c r="Q138" s="13" t="s">
        <v>802</v>
      </c>
      <c r="R138" s="7">
        <v>4</v>
      </c>
      <c r="S138" s="7">
        <v>6</v>
      </c>
      <c r="T138" s="7">
        <v>1</v>
      </c>
      <c r="U138" s="13">
        <v>2347</v>
      </c>
      <c r="V138" s="13">
        <v>2347</v>
      </c>
      <c r="W138" s="13">
        <f>Tabla17[[#This Row],[CONSUMO TOTAL PRO VALO]]/52</f>
        <v>45.134615384615387</v>
      </c>
      <c r="X138" s="21">
        <v>0</v>
      </c>
      <c r="Y138" s="13">
        <v>0</v>
      </c>
      <c r="Z138" s="13">
        <f>Tabla17[[#This Row],[CONSUMO TOTAL TODAS]]/52</f>
        <v>0</v>
      </c>
      <c r="AA138" s="25">
        <f>Tabla17[[#This Row],[CONSUMO PROMEDIO PROPIO]]+Tabla17[[#This Row],[CONSUMO PROMEDIO TODAS]]</f>
        <v>45.134615384615387</v>
      </c>
      <c r="AB138" s="26">
        <f>Tabla17[[#This Row],[CONSUMO PROMEDIO TOTAL]]*(Tabla17[[#This Row],[FRECUENCIA]]+Tabla17[[#This Row],[TIEMPO REPOSICION ]])*1.7</f>
        <v>767.28846153846155</v>
      </c>
      <c r="AC138" s="26">
        <v>600</v>
      </c>
      <c r="AD138" s="26">
        <v>600</v>
      </c>
      <c r="AE138" s="3" t="e">
        <f>VLOOKUP(Tabla17[[#This Row],[CODIGO ]],#REF!,2,0)</f>
        <v>#REF!</v>
      </c>
      <c r="AF138" s="2">
        <f>IFERROR(VLOOKUP(Tabla17[[#This Row],[CODIGO ]],#REF!,2,0),0)</f>
        <v>0</v>
      </c>
      <c r="AG138" s="80" t="e">
        <f>Tabla17[[#This Row],[INVENTARIO FISICO ]]-Tabla17[[#This Row],[BUFFER REAL]]</f>
        <v>#REF!</v>
      </c>
      <c r="AH138" s="27"/>
      <c r="AI138" s="118"/>
      <c r="AJ138" s="118">
        <f>Tabla17[[#This Row],[SINOCHEM EN TRANSITO  ]]+Tabla17[[#This Row],[TRANSITO LOCAL]]</f>
        <v>0</v>
      </c>
      <c r="AK138" s="80">
        <v>500</v>
      </c>
      <c r="AL138" s="80"/>
      <c r="AM138" s="124" t="e">
        <f>Tabla17[[#This Row],[INVENTARIO FISICO ]]-Tabla17[[#This Row],[BUFFER REAL]]+Tabla17[[#This Row],[SINOCHEM EN TRANSITO  ]]+Tabla17[[#This Row],[TRANSITO LOCAL]]</f>
        <v>#REF!</v>
      </c>
      <c r="AN138" s="128">
        <f>Tabla17[[#This Row],[BUFFER REAL]]/((Tabla17[[#This Row],[TIEMPO REPOSICION ]]/Tabla17[[#This Row],[FRECUENCIA]])+1)</f>
        <v>240</v>
      </c>
      <c r="AO138" s="80">
        <v>0</v>
      </c>
      <c r="AP138" s="77">
        <v>155</v>
      </c>
      <c r="AQ138" s="77"/>
      <c r="AR138" s="27">
        <v>240</v>
      </c>
    </row>
    <row r="139" spans="1:44" s="7" customFormat="1">
      <c r="A139" s="18" t="s">
        <v>413</v>
      </c>
      <c r="B139" s="18" t="s">
        <v>414</v>
      </c>
      <c r="C139" s="7" t="s">
        <v>697</v>
      </c>
      <c r="D139" s="7" t="s">
        <v>716</v>
      </c>
      <c r="H139" s="7" t="s">
        <v>718</v>
      </c>
      <c r="I139" s="7" t="s">
        <v>724</v>
      </c>
      <c r="J139" s="7" t="s">
        <v>718</v>
      </c>
      <c r="K139" s="13">
        <v>0</v>
      </c>
      <c r="L139" s="13">
        <f t="shared" si="4"/>
        <v>0</v>
      </c>
      <c r="M139" s="13">
        <v>0.17318</v>
      </c>
      <c r="N139" s="13"/>
      <c r="O139" s="13">
        <v>500</v>
      </c>
      <c r="P139" s="13" t="s">
        <v>808</v>
      </c>
      <c r="Q139" s="13" t="s">
        <v>802</v>
      </c>
      <c r="R139" s="7">
        <v>4</v>
      </c>
      <c r="S139" s="7">
        <v>6</v>
      </c>
      <c r="T139" s="7">
        <v>1</v>
      </c>
      <c r="U139" s="13">
        <v>3477</v>
      </c>
      <c r="V139" s="13">
        <v>3477</v>
      </c>
      <c r="W139" s="13">
        <f>Tabla17[[#This Row],[CONSUMO TOTAL PRO VALO]]/52</f>
        <v>66.865384615384613</v>
      </c>
      <c r="X139" s="21">
        <v>0</v>
      </c>
      <c r="Y139" s="13">
        <v>0</v>
      </c>
      <c r="Z139" s="13">
        <f>Tabla17[[#This Row],[CONSUMO TOTAL TODAS]]/52</f>
        <v>0</v>
      </c>
      <c r="AA139" s="25">
        <f>Tabla17[[#This Row],[CONSUMO PROMEDIO PROPIO]]+Tabla17[[#This Row],[CONSUMO PROMEDIO TODAS]]</f>
        <v>66.865384615384613</v>
      </c>
      <c r="AB139" s="26">
        <f>Tabla17[[#This Row],[CONSUMO PROMEDIO TOTAL]]*(Tabla17[[#This Row],[FRECUENCIA]]+Tabla17[[#This Row],[TIEMPO REPOSICION ]])*1.7</f>
        <v>1136.7115384615386</v>
      </c>
      <c r="AC139" s="26">
        <v>700</v>
      </c>
      <c r="AD139" s="26">
        <v>700</v>
      </c>
      <c r="AE139" s="3" t="e">
        <f>VLOOKUP(Tabla17[[#This Row],[CODIGO ]],#REF!,2,0)</f>
        <v>#REF!</v>
      </c>
      <c r="AF139" s="2">
        <f>IFERROR(VLOOKUP(Tabla17[[#This Row],[CODIGO ]],#REF!,2,0),0)</f>
        <v>0</v>
      </c>
      <c r="AG139" s="80" t="e">
        <f>Tabla17[[#This Row],[INVENTARIO FISICO ]]-Tabla17[[#This Row],[BUFFER REAL]]</f>
        <v>#REF!</v>
      </c>
      <c r="AH139" s="27"/>
      <c r="AI139" s="118"/>
      <c r="AJ139" s="118">
        <f>Tabla17[[#This Row],[SINOCHEM EN TRANSITO  ]]+Tabla17[[#This Row],[TRANSITO LOCAL]]</f>
        <v>0</v>
      </c>
      <c r="AK139" s="80">
        <v>500</v>
      </c>
      <c r="AL139" s="80"/>
      <c r="AM139" s="124" t="e">
        <f>Tabla17[[#This Row],[INVENTARIO FISICO ]]-Tabla17[[#This Row],[BUFFER REAL]]+Tabla17[[#This Row],[SINOCHEM EN TRANSITO  ]]+Tabla17[[#This Row],[TRANSITO LOCAL]]</f>
        <v>#REF!</v>
      </c>
      <c r="AN139" s="128">
        <f>Tabla17[[#This Row],[BUFFER REAL]]/((Tabla17[[#This Row],[TIEMPO REPOSICION ]]/Tabla17[[#This Row],[FRECUENCIA]])+1)</f>
        <v>280</v>
      </c>
      <c r="AO139" s="80">
        <v>0</v>
      </c>
      <c r="AP139" s="77">
        <v>0</v>
      </c>
      <c r="AQ139" s="77"/>
      <c r="AR139" s="27">
        <v>280</v>
      </c>
    </row>
    <row r="140" spans="1:44" s="7" customFormat="1">
      <c r="A140" s="18" t="s">
        <v>415</v>
      </c>
      <c r="B140" s="18" t="s">
        <v>796</v>
      </c>
      <c r="C140" s="7" t="s">
        <v>2</v>
      </c>
      <c r="D140" s="7" t="s">
        <v>716</v>
      </c>
      <c r="H140" s="7" t="s">
        <v>718</v>
      </c>
      <c r="I140" s="7" t="s">
        <v>724</v>
      </c>
      <c r="J140" s="7" t="s">
        <v>718</v>
      </c>
      <c r="K140" s="13">
        <v>0</v>
      </c>
      <c r="L140" s="13">
        <f t="shared" si="4"/>
        <v>0</v>
      </c>
      <c r="M140" s="13">
        <v>0.13952999999999999</v>
      </c>
      <c r="N140" s="13"/>
      <c r="O140" s="13">
        <v>500</v>
      </c>
      <c r="P140" s="13" t="s">
        <v>808</v>
      </c>
      <c r="Q140" s="13" t="s">
        <v>802</v>
      </c>
      <c r="R140" s="7">
        <v>4</v>
      </c>
      <c r="S140" s="7">
        <v>6</v>
      </c>
      <c r="T140" s="7">
        <v>1</v>
      </c>
      <c r="U140" s="13">
        <v>1487</v>
      </c>
      <c r="V140" s="13">
        <v>1487</v>
      </c>
      <c r="W140" s="13">
        <f>Tabla17[[#This Row],[CONSUMO TOTAL PRO VALO]]/52</f>
        <v>28.596153846153847</v>
      </c>
      <c r="X140" s="21">
        <v>0</v>
      </c>
      <c r="Y140" s="13">
        <v>0</v>
      </c>
      <c r="Z140" s="13">
        <f>Tabla17[[#This Row],[CONSUMO TOTAL TODAS]]/52</f>
        <v>0</v>
      </c>
      <c r="AA140" s="25">
        <f>Tabla17[[#This Row],[CONSUMO PROMEDIO PROPIO]]+Tabla17[[#This Row],[CONSUMO PROMEDIO TODAS]]</f>
        <v>28.596153846153847</v>
      </c>
      <c r="AB140" s="26">
        <f>Tabla17[[#This Row],[CONSUMO PROMEDIO TOTAL]]*(Tabla17[[#This Row],[FRECUENCIA]]+Tabla17[[#This Row],[TIEMPO REPOSICION ]])*1.7</f>
        <v>486.13461538461536</v>
      </c>
      <c r="AC140" s="26">
        <v>0</v>
      </c>
      <c r="AD140" s="26">
        <v>0</v>
      </c>
      <c r="AE140" s="3" t="e">
        <f>VLOOKUP(Tabla17[[#This Row],[CODIGO ]],#REF!,2,0)</f>
        <v>#REF!</v>
      </c>
      <c r="AF140" s="2">
        <f>IFERROR(VLOOKUP(Tabla17[[#This Row],[CODIGO ]],#REF!,2,0),0)</f>
        <v>0</v>
      </c>
      <c r="AG140" s="80" t="e">
        <f>Tabla17[[#This Row],[INVENTARIO FISICO ]]-Tabla17[[#This Row],[BUFFER REAL]]</f>
        <v>#REF!</v>
      </c>
      <c r="AH140" s="27"/>
      <c r="AI140" s="80"/>
      <c r="AJ140" s="80">
        <f>Tabla17[[#This Row],[SINOCHEM EN TRANSITO  ]]+Tabla17[[#This Row],[TRANSITO LOCAL]]</f>
        <v>0</v>
      </c>
      <c r="AK140" s="80">
        <v>500</v>
      </c>
      <c r="AL140" s="80"/>
      <c r="AM140" s="124" t="e">
        <f>Tabla17[[#This Row],[INVENTARIO FISICO ]]-Tabla17[[#This Row],[BUFFER REAL]]+Tabla17[[#This Row],[SINOCHEM EN TRANSITO  ]]+Tabla17[[#This Row],[TRANSITO LOCAL]]</f>
        <v>#REF!</v>
      </c>
      <c r="AN140" s="128">
        <f>Tabla17[[#This Row],[BUFFER REAL]]/((Tabla17[[#This Row],[TIEMPO REPOSICION ]]/Tabla17[[#This Row],[FRECUENCIA]])+1)</f>
        <v>0</v>
      </c>
      <c r="AO140" s="80">
        <v>0</v>
      </c>
      <c r="AP140" s="77">
        <v>0</v>
      </c>
      <c r="AQ140" s="77"/>
      <c r="AR140" s="27">
        <v>0</v>
      </c>
    </row>
    <row r="141" spans="1:44" s="7" customFormat="1">
      <c r="A141" s="18" t="s">
        <v>416</v>
      </c>
      <c r="B141" s="18" t="s">
        <v>417</v>
      </c>
      <c r="C141" s="7" t="s">
        <v>2</v>
      </c>
      <c r="D141" s="7" t="s">
        <v>716</v>
      </c>
      <c r="H141" s="7" t="s">
        <v>718</v>
      </c>
      <c r="I141" s="7" t="s">
        <v>724</v>
      </c>
      <c r="J141" s="7" t="s">
        <v>718</v>
      </c>
      <c r="K141" s="13">
        <v>0</v>
      </c>
      <c r="L141" s="13">
        <f t="shared" si="4"/>
        <v>0</v>
      </c>
      <c r="M141" s="13">
        <v>0.26466000000000001</v>
      </c>
      <c r="N141" s="13"/>
      <c r="O141" s="13">
        <v>500</v>
      </c>
      <c r="P141" s="13" t="s">
        <v>808</v>
      </c>
      <c r="Q141" s="13" t="s">
        <v>802</v>
      </c>
      <c r="R141" s="7">
        <v>4</v>
      </c>
      <c r="S141" s="7">
        <v>6</v>
      </c>
      <c r="T141" s="7">
        <v>1</v>
      </c>
      <c r="U141" s="13">
        <v>161</v>
      </c>
      <c r="V141" s="13">
        <v>161</v>
      </c>
      <c r="W141" s="13">
        <f>Tabla17[[#This Row],[CONSUMO TOTAL PRO VALO]]/52</f>
        <v>3.0961538461538463</v>
      </c>
      <c r="X141" s="21">
        <v>0</v>
      </c>
      <c r="Y141" s="13">
        <v>0</v>
      </c>
      <c r="Z141" s="13">
        <f>Tabla17[[#This Row],[CONSUMO TOTAL TODAS]]/52</f>
        <v>0</v>
      </c>
      <c r="AA141" s="25">
        <f>Tabla17[[#This Row],[CONSUMO PROMEDIO PROPIO]]+Tabla17[[#This Row],[CONSUMO PROMEDIO TODAS]]</f>
        <v>3.0961538461538463</v>
      </c>
      <c r="AB141" s="26">
        <f>Tabla17[[#This Row],[CONSUMO PROMEDIO TOTAL]]*(Tabla17[[#This Row],[FRECUENCIA]]+Tabla17[[#This Row],[TIEMPO REPOSICION ]])*1.7</f>
        <v>52.634615384615387</v>
      </c>
      <c r="AC141" s="26">
        <v>300</v>
      </c>
      <c r="AD141" s="26">
        <v>300</v>
      </c>
      <c r="AE141" s="3" t="e">
        <f>VLOOKUP(Tabla17[[#This Row],[CODIGO ]],#REF!,2,0)</f>
        <v>#REF!</v>
      </c>
      <c r="AF141" s="2">
        <f>IFERROR(VLOOKUP(Tabla17[[#This Row],[CODIGO ]],#REF!,2,0),0)</f>
        <v>0</v>
      </c>
      <c r="AG141" s="80" t="e">
        <f>Tabla17[[#This Row],[INVENTARIO FISICO ]]-Tabla17[[#This Row],[BUFFER REAL]]</f>
        <v>#REF!</v>
      </c>
      <c r="AH141" s="27"/>
      <c r="AI141" s="80"/>
      <c r="AJ141" s="80">
        <f>Tabla17[[#This Row],[SINOCHEM EN TRANSITO  ]]+Tabla17[[#This Row],[TRANSITO LOCAL]]</f>
        <v>0</v>
      </c>
      <c r="AK141" s="80">
        <v>500</v>
      </c>
      <c r="AL141" s="80"/>
      <c r="AM141" s="124" t="e">
        <f>Tabla17[[#This Row],[INVENTARIO FISICO ]]-Tabla17[[#This Row],[BUFFER REAL]]+Tabla17[[#This Row],[SINOCHEM EN TRANSITO  ]]+Tabla17[[#This Row],[TRANSITO LOCAL]]</f>
        <v>#REF!</v>
      </c>
      <c r="AN141" s="128">
        <f>Tabla17[[#This Row],[BUFFER REAL]]/((Tabla17[[#This Row],[TIEMPO REPOSICION ]]/Tabla17[[#This Row],[FRECUENCIA]])+1)</f>
        <v>120</v>
      </c>
      <c r="AO141" s="80">
        <v>0</v>
      </c>
      <c r="AP141" s="77">
        <v>0</v>
      </c>
      <c r="AQ141" s="77"/>
      <c r="AR141" s="27">
        <v>0</v>
      </c>
    </row>
    <row r="142" spans="1:44" s="7" customFormat="1">
      <c r="A142" s="18" t="s">
        <v>418</v>
      </c>
      <c r="B142" s="18" t="s">
        <v>419</v>
      </c>
      <c r="C142" s="7" t="s">
        <v>697</v>
      </c>
      <c r="D142" s="7" t="s">
        <v>716</v>
      </c>
      <c r="H142" s="7" t="s">
        <v>718</v>
      </c>
      <c r="I142" s="7" t="s">
        <v>724</v>
      </c>
      <c r="J142" s="7" t="s">
        <v>718</v>
      </c>
      <c r="K142" s="13">
        <v>0</v>
      </c>
      <c r="L142" s="13">
        <f t="shared" si="4"/>
        <v>0</v>
      </c>
      <c r="M142" s="13">
        <v>0.22584000000000001</v>
      </c>
      <c r="N142" s="13"/>
      <c r="O142" s="13">
        <v>500</v>
      </c>
      <c r="P142" s="13" t="s">
        <v>808</v>
      </c>
      <c r="Q142" s="13" t="s">
        <v>802</v>
      </c>
      <c r="R142" s="7">
        <v>4</v>
      </c>
      <c r="S142" s="7">
        <v>6</v>
      </c>
      <c r="T142" s="7">
        <v>1</v>
      </c>
      <c r="U142" s="13">
        <v>376</v>
      </c>
      <c r="V142" s="13">
        <v>376</v>
      </c>
      <c r="W142" s="13">
        <f>Tabla17[[#This Row],[CONSUMO TOTAL PRO VALO]]/52</f>
        <v>7.2307692307692308</v>
      </c>
      <c r="X142" s="21">
        <v>0</v>
      </c>
      <c r="Y142" s="13">
        <v>0</v>
      </c>
      <c r="Z142" s="13">
        <f>Tabla17[[#This Row],[CONSUMO TOTAL TODAS]]/52</f>
        <v>0</v>
      </c>
      <c r="AA142" s="25">
        <f>Tabla17[[#This Row],[CONSUMO PROMEDIO PROPIO]]+Tabla17[[#This Row],[CONSUMO PROMEDIO TODAS]]</f>
        <v>7.2307692307692308</v>
      </c>
      <c r="AB142" s="26">
        <f>Tabla17[[#This Row],[CONSUMO PROMEDIO TOTAL]]*(Tabla17[[#This Row],[FRECUENCIA]]+Tabla17[[#This Row],[TIEMPO REPOSICION ]])*1.7</f>
        <v>122.92307692307692</v>
      </c>
      <c r="AC142" s="26">
        <v>300</v>
      </c>
      <c r="AD142" s="26">
        <v>300</v>
      </c>
      <c r="AE142" s="3" t="e">
        <f>VLOOKUP(Tabla17[[#This Row],[CODIGO ]],#REF!,2,0)</f>
        <v>#REF!</v>
      </c>
      <c r="AF142" s="2">
        <f>IFERROR(VLOOKUP(Tabla17[[#This Row],[CODIGO ]],#REF!,2,0),0)</f>
        <v>0</v>
      </c>
      <c r="AG142" s="80" t="e">
        <f>Tabla17[[#This Row],[INVENTARIO FISICO ]]-Tabla17[[#This Row],[BUFFER REAL]]</f>
        <v>#REF!</v>
      </c>
      <c r="AH142" s="27"/>
      <c r="AI142" s="80"/>
      <c r="AJ142" s="80">
        <f>Tabla17[[#This Row],[SINOCHEM EN TRANSITO  ]]+Tabla17[[#This Row],[TRANSITO LOCAL]]</f>
        <v>0</v>
      </c>
      <c r="AK142" s="80">
        <v>500</v>
      </c>
      <c r="AL142" s="80"/>
      <c r="AM142" s="124" t="e">
        <f>Tabla17[[#This Row],[INVENTARIO FISICO ]]-Tabla17[[#This Row],[BUFFER REAL]]+Tabla17[[#This Row],[SINOCHEM EN TRANSITO  ]]+Tabla17[[#This Row],[TRANSITO LOCAL]]</f>
        <v>#REF!</v>
      </c>
      <c r="AN142" s="128">
        <f>Tabla17[[#This Row],[BUFFER REAL]]/((Tabla17[[#This Row],[TIEMPO REPOSICION ]]/Tabla17[[#This Row],[FRECUENCIA]])+1)</f>
        <v>120</v>
      </c>
      <c r="AO142" s="80">
        <v>0</v>
      </c>
      <c r="AP142" s="77">
        <v>0</v>
      </c>
      <c r="AQ142" s="77"/>
      <c r="AR142" s="27">
        <v>0</v>
      </c>
    </row>
    <row r="143" spans="1:44" s="7" customFormat="1">
      <c r="A143" s="18" t="s">
        <v>420</v>
      </c>
      <c r="B143" s="18" t="s">
        <v>421</v>
      </c>
      <c r="C143" s="7" t="s">
        <v>697</v>
      </c>
      <c r="D143" s="7" t="s">
        <v>716</v>
      </c>
      <c r="H143" s="7" t="s">
        <v>718</v>
      </c>
      <c r="I143" s="7" t="s">
        <v>724</v>
      </c>
      <c r="J143" s="7" t="s">
        <v>718</v>
      </c>
      <c r="K143" s="13">
        <v>0</v>
      </c>
      <c r="L143" s="13">
        <f t="shared" si="4"/>
        <v>0</v>
      </c>
      <c r="M143" s="13">
        <v>0.19094</v>
      </c>
      <c r="N143" s="13"/>
      <c r="O143" s="13">
        <v>500</v>
      </c>
      <c r="P143" s="13" t="s">
        <v>808</v>
      </c>
      <c r="Q143" s="13" t="s">
        <v>802</v>
      </c>
      <c r="R143" s="7">
        <v>4</v>
      </c>
      <c r="S143" s="7">
        <v>6</v>
      </c>
      <c r="T143" s="7">
        <v>1</v>
      </c>
      <c r="U143" s="13">
        <v>200</v>
      </c>
      <c r="V143" s="13">
        <v>200</v>
      </c>
      <c r="W143" s="13">
        <f>Tabla17[[#This Row],[CONSUMO TOTAL PRO VALO]]/52</f>
        <v>3.8461538461538463</v>
      </c>
      <c r="X143" s="21">
        <v>0</v>
      </c>
      <c r="Y143" s="13">
        <v>0</v>
      </c>
      <c r="Z143" s="13">
        <f>Tabla17[[#This Row],[CONSUMO TOTAL TODAS]]/52</f>
        <v>0</v>
      </c>
      <c r="AA143" s="25">
        <f>Tabla17[[#This Row],[CONSUMO PROMEDIO PROPIO]]+Tabla17[[#This Row],[CONSUMO PROMEDIO TODAS]]</f>
        <v>3.8461538461538463</v>
      </c>
      <c r="AB143" s="26">
        <f>Tabla17[[#This Row],[CONSUMO PROMEDIO TOTAL]]*(Tabla17[[#This Row],[FRECUENCIA]]+Tabla17[[#This Row],[TIEMPO REPOSICION ]])*1.7</f>
        <v>65.384615384615387</v>
      </c>
      <c r="AC143" s="26">
        <v>300</v>
      </c>
      <c r="AD143" s="26">
        <v>300</v>
      </c>
      <c r="AE143" s="3" t="e">
        <f>VLOOKUP(Tabla17[[#This Row],[CODIGO ]],#REF!,2,0)</f>
        <v>#REF!</v>
      </c>
      <c r="AF143" s="2">
        <f>IFERROR(VLOOKUP(Tabla17[[#This Row],[CODIGO ]],#REF!,2,0),0)</f>
        <v>0</v>
      </c>
      <c r="AG143" s="80" t="e">
        <f>Tabla17[[#This Row],[INVENTARIO FISICO ]]-Tabla17[[#This Row],[BUFFER REAL]]</f>
        <v>#REF!</v>
      </c>
      <c r="AH143" s="27"/>
      <c r="AI143" s="80"/>
      <c r="AJ143" s="80">
        <f>Tabla17[[#This Row],[SINOCHEM EN TRANSITO  ]]+Tabla17[[#This Row],[TRANSITO LOCAL]]</f>
        <v>0</v>
      </c>
      <c r="AK143" s="80">
        <v>500</v>
      </c>
      <c r="AL143" s="80"/>
      <c r="AM143" s="124" t="e">
        <f>Tabla17[[#This Row],[INVENTARIO FISICO ]]-Tabla17[[#This Row],[BUFFER REAL]]+Tabla17[[#This Row],[SINOCHEM EN TRANSITO  ]]+Tabla17[[#This Row],[TRANSITO LOCAL]]</f>
        <v>#REF!</v>
      </c>
      <c r="AN143" s="128">
        <f>Tabla17[[#This Row],[BUFFER REAL]]/((Tabla17[[#This Row],[TIEMPO REPOSICION ]]/Tabla17[[#This Row],[FRECUENCIA]])+1)</f>
        <v>120</v>
      </c>
      <c r="AO143" s="80">
        <v>0</v>
      </c>
      <c r="AP143" s="77">
        <v>0</v>
      </c>
      <c r="AQ143" s="77"/>
      <c r="AR143" s="27">
        <v>0</v>
      </c>
    </row>
    <row r="144" spans="1:44" s="7" customFormat="1">
      <c r="A144" s="18" t="s">
        <v>422</v>
      </c>
      <c r="B144" s="18" t="s">
        <v>423</v>
      </c>
      <c r="C144" s="7" t="s">
        <v>697</v>
      </c>
      <c r="D144" s="7" t="s">
        <v>716</v>
      </c>
      <c r="H144" s="7" t="s">
        <v>718</v>
      </c>
      <c r="I144" s="7" t="s">
        <v>724</v>
      </c>
      <c r="J144" s="7" t="s">
        <v>718</v>
      </c>
      <c r="K144" s="13">
        <v>0</v>
      </c>
      <c r="L144" s="13">
        <f t="shared" si="4"/>
        <v>0</v>
      </c>
      <c r="M144" s="13">
        <v>9.9159999999999998E-2</v>
      </c>
      <c r="N144" s="13"/>
      <c r="O144" s="13">
        <v>500</v>
      </c>
      <c r="P144" s="13" t="s">
        <v>808</v>
      </c>
      <c r="Q144" s="13" t="s">
        <v>802</v>
      </c>
      <c r="R144" s="7">
        <v>4</v>
      </c>
      <c r="S144" s="7">
        <v>6</v>
      </c>
      <c r="T144" s="7">
        <v>1</v>
      </c>
      <c r="U144" s="13">
        <v>2156</v>
      </c>
      <c r="V144" s="13">
        <v>2156</v>
      </c>
      <c r="W144" s="13">
        <f>Tabla17[[#This Row],[CONSUMO TOTAL PRO VALO]]/52</f>
        <v>41.46153846153846</v>
      </c>
      <c r="X144" s="21">
        <v>0</v>
      </c>
      <c r="Y144" s="13">
        <v>0</v>
      </c>
      <c r="Z144" s="13">
        <f>Tabla17[[#This Row],[CONSUMO TOTAL TODAS]]/52</f>
        <v>0</v>
      </c>
      <c r="AA144" s="25">
        <f>Tabla17[[#This Row],[CONSUMO PROMEDIO PROPIO]]+Tabla17[[#This Row],[CONSUMO PROMEDIO TODAS]]</f>
        <v>41.46153846153846</v>
      </c>
      <c r="AB144" s="26">
        <f>Tabla17[[#This Row],[CONSUMO PROMEDIO TOTAL]]*(Tabla17[[#This Row],[FRECUENCIA]]+Tabla17[[#This Row],[TIEMPO REPOSICION ]])*1.7</f>
        <v>704.84615384615381</v>
      </c>
      <c r="AC144" s="26">
        <v>400</v>
      </c>
      <c r="AD144" s="26">
        <v>400</v>
      </c>
      <c r="AE144" s="3" t="e">
        <f>VLOOKUP(Tabla17[[#This Row],[CODIGO ]],#REF!,2,0)</f>
        <v>#REF!</v>
      </c>
      <c r="AF144" s="2">
        <f>IFERROR(VLOOKUP(Tabla17[[#This Row],[CODIGO ]],#REF!,2,0),0)</f>
        <v>0</v>
      </c>
      <c r="AG144" s="80" t="e">
        <f>Tabla17[[#This Row],[INVENTARIO FISICO ]]-Tabla17[[#This Row],[BUFFER REAL]]</f>
        <v>#REF!</v>
      </c>
      <c r="AH144" s="27"/>
      <c r="AI144" s="80"/>
      <c r="AJ144" s="80">
        <f>Tabla17[[#This Row],[SINOCHEM EN TRANSITO  ]]+Tabla17[[#This Row],[TRANSITO LOCAL]]</f>
        <v>0</v>
      </c>
      <c r="AK144" s="80">
        <v>500</v>
      </c>
      <c r="AL144" s="80"/>
      <c r="AM144" s="124" t="e">
        <f>Tabla17[[#This Row],[INVENTARIO FISICO ]]-Tabla17[[#This Row],[BUFFER REAL]]+Tabla17[[#This Row],[SINOCHEM EN TRANSITO  ]]+Tabla17[[#This Row],[TRANSITO LOCAL]]</f>
        <v>#REF!</v>
      </c>
      <c r="AN144" s="128">
        <f>Tabla17[[#This Row],[BUFFER REAL]]/((Tabla17[[#This Row],[TIEMPO REPOSICION ]]/Tabla17[[#This Row],[FRECUENCIA]])+1)</f>
        <v>160</v>
      </c>
      <c r="AO144" s="80">
        <v>0</v>
      </c>
      <c r="AP144" s="77">
        <v>0</v>
      </c>
      <c r="AQ144" s="77"/>
      <c r="AR144" s="27">
        <v>0</v>
      </c>
    </row>
    <row r="145" spans="1:44" s="7" customFormat="1">
      <c r="A145" s="18" t="s">
        <v>424</v>
      </c>
      <c r="B145" s="18" t="s">
        <v>425</v>
      </c>
      <c r="C145" s="7" t="s">
        <v>697</v>
      </c>
      <c r="D145" s="7" t="s">
        <v>716</v>
      </c>
      <c r="H145" s="7" t="s">
        <v>718</v>
      </c>
      <c r="I145" s="7" t="s">
        <v>724</v>
      </c>
      <c r="J145" s="7" t="s">
        <v>718</v>
      </c>
      <c r="K145" s="13">
        <v>0</v>
      </c>
      <c r="L145" s="13">
        <f t="shared" si="4"/>
        <v>0</v>
      </c>
      <c r="M145" s="13">
        <v>0.16253999999999999</v>
      </c>
      <c r="N145" s="13"/>
      <c r="O145" s="13">
        <v>500</v>
      </c>
      <c r="P145" s="13" t="s">
        <v>808</v>
      </c>
      <c r="Q145" s="13" t="s">
        <v>802</v>
      </c>
      <c r="R145" s="7">
        <v>4</v>
      </c>
      <c r="S145" s="7">
        <v>6</v>
      </c>
      <c r="T145" s="7">
        <v>1</v>
      </c>
      <c r="U145" s="13">
        <v>503</v>
      </c>
      <c r="V145" s="13">
        <v>503</v>
      </c>
      <c r="W145" s="13">
        <f>Tabla17[[#This Row],[CONSUMO TOTAL PRO VALO]]/52</f>
        <v>9.6730769230769234</v>
      </c>
      <c r="X145" s="21">
        <v>0</v>
      </c>
      <c r="Y145" s="13">
        <v>0</v>
      </c>
      <c r="Z145" s="13">
        <f>Tabla17[[#This Row],[CONSUMO TOTAL TODAS]]/52</f>
        <v>0</v>
      </c>
      <c r="AA145" s="25">
        <f>Tabla17[[#This Row],[CONSUMO PROMEDIO PROPIO]]+Tabla17[[#This Row],[CONSUMO PROMEDIO TODAS]]</f>
        <v>9.6730769230769234</v>
      </c>
      <c r="AB145" s="26">
        <f>Tabla17[[#This Row],[CONSUMO PROMEDIO TOTAL]]*(Tabla17[[#This Row],[FRECUENCIA]]+Tabla17[[#This Row],[TIEMPO REPOSICION ]])*1.7</f>
        <v>164.44230769230768</v>
      </c>
      <c r="AC145" s="26">
        <v>300</v>
      </c>
      <c r="AD145" s="26">
        <v>300</v>
      </c>
      <c r="AE145" s="3" t="e">
        <f>VLOOKUP(Tabla17[[#This Row],[CODIGO ]],#REF!,2,0)</f>
        <v>#REF!</v>
      </c>
      <c r="AF145" s="2">
        <f>IFERROR(VLOOKUP(Tabla17[[#This Row],[CODIGO ]],#REF!,2,0),0)</f>
        <v>0</v>
      </c>
      <c r="AG145" s="80" t="e">
        <f>Tabla17[[#This Row],[INVENTARIO FISICO ]]-Tabla17[[#This Row],[BUFFER REAL]]</f>
        <v>#REF!</v>
      </c>
      <c r="AH145" s="27"/>
      <c r="AI145" s="80"/>
      <c r="AJ145" s="80">
        <f>Tabla17[[#This Row],[SINOCHEM EN TRANSITO  ]]+Tabla17[[#This Row],[TRANSITO LOCAL]]</f>
        <v>0</v>
      </c>
      <c r="AK145" s="80">
        <v>500</v>
      </c>
      <c r="AL145" s="80"/>
      <c r="AM145" s="124" t="e">
        <f>Tabla17[[#This Row],[INVENTARIO FISICO ]]-Tabla17[[#This Row],[BUFFER REAL]]+Tabla17[[#This Row],[SINOCHEM EN TRANSITO  ]]+Tabla17[[#This Row],[TRANSITO LOCAL]]</f>
        <v>#REF!</v>
      </c>
      <c r="AN145" s="128">
        <f>Tabla17[[#This Row],[BUFFER REAL]]/((Tabla17[[#This Row],[TIEMPO REPOSICION ]]/Tabla17[[#This Row],[FRECUENCIA]])+1)</f>
        <v>120</v>
      </c>
      <c r="AO145" s="80">
        <v>0</v>
      </c>
      <c r="AP145" s="77">
        <v>0</v>
      </c>
      <c r="AQ145" s="77"/>
      <c r="AR145" s="27">
        <v>0</v>
      </c>
    </row>
    <row r="146" spans="1:44" s="7" customFormat="1">
      <c r="A146" s="18" t="s">
        <v>426</v>
      </c>
      <c r="B146" s="18" t="s">
        <v>427</v>
      </c>
      <c r="C146" s="7" t="s">
        <v>697</v>
      </c>
      <c r="D146" s="7" t="s">
        <v>716</v>
      </c>
      <c r="H146" s="7" t="s">
        <v>718</v>
      </c>
      <c r="I146" s="7" t="s">
        <v>724</v>
      </c>
      <c r="J146" s="7" t="s">
        <v>718</v>
      </c>
      <c r="K146" s="13">
        <v>0</v>
      </c>
      <c r="L146" s="13">
        <f t="shared" si="4"/>
        <v>0</v>
      </c>
      <c r="M146" s="13">
        <v>0.11212999999999999</v>
      </c>
      <c r="N146" s="13"/>
      <c r="O146" s="13">
        <v>500</v>
      </c>
      <c r="P146" s="13" t="s">
        <v>808</v>
      </c>
      <c r="Q146" s="13" t="s">
        <v>802</v>
      </c>
      <c r="R146" s="7">
        <v>4</v>
      </c>
      <c r="S146" s="7">
        <v>6</v>
      </c>
      <c r="T146" s="7">
        <v>1</v>
      </c>
      <c r="U146" s="13">
        <v>0</v>
      </c>
      <c r="V146" s="13">
        <v>0</v>
      </c>
      <c r="W146" s="13">
        <f>Tabla17[[#This Row],[CONSUMO TOTAL PRO VALO]]/52</f>
        <v>0</v>
      </c>
      <c r="X146" s="21">
        <v>0</v>
      </c>
      <c r="Y146" s="13">
        <v>0</v>
      </c>
      <c r="Z146" s="13">
        <f>Tabla17[[#This Row],[CONSUMO TOTAL TODAS]]/52</f>
        <v>0</v>
      </c>
      <c r="AA146" s="25">
        <f>Tabla17[[#This Row],[CONSUMO PROMEDIO PROPIO]]+Tabla17[[#This Row],[CONSUMO PROMEDIO TODAS]]</f>
        <v>0</v>
      </c>
      <c r="AB146" s="26">
        <f>Tabla17[[#This Row],[CONSUMO PROMEDIO TOTAL]]*(Tabla17[[#This Row],[FRECUENCIA]]+Tabla17[[#This Row],[TIEMPO REPOSICION ]])*1.7</f>
        <v>0</v>
      </c>
      <c r="AC146" s="26">
        <v>300</v>
      </c>
      <c r="AD146" s="26">
        <v>300</v>
      </c>
      <c r="AE146" s="3" t="e">
        <f>VLOOKUP(Tabla17[[#This Row],[CODIGO ]],#REF!,2,0)</f>
        <v>#REF!</v>
      </c>
      <c r="AF146" s="2">
        <f>IFERROR(VLOOKUP(Tabla17[[#This Row],[CODIGO ]],#REF!,2,0),0)</f>
        <v>0</v>
      </c>
      <c r="AG146" s="80" t="e">
        <f>Tabla17[[#This Row],[INVENTARIO FISICO ]]-Tabla17[[#This Row],[BUFFER REAL]]</f>
        <v>#REF!</v>
      </c>
      <c r="AH146" s="27"/>
      <c r="AI146" s="80"/>
      <c r="AJ146" s="80">
        <f>Tabla17[[#This Row],[SINOCHEM EN TRANSITO  ]]+Tabla17[[#This Row],[TRANSITO LOCAL]]</f>
        <v>0</v>
      </c>
      <c r="AK146" s="80">
        <v>500</v>
      </c>
      <c r="AL146" s="80"/>
      <c r="AM146" s="124" t="e">
        <f>Tabla17[[#This Row],[INVENTARIO FISICO ]]-Tabla17[[#This Row],[BUFFER REAL]]+Tabla17[[#This Row],[SINOCHEM EN TRANSITO  ]]+Tabla17[[#This Row],[TRANSITO LOCAL]]</f>
        <v>#REF!</v>
      </c>
      <c r="AN146" s="128">
        <f>Tabla17[[#This Row],[BUFFER REAL]]/((Tabla17[[#This Row],[TIEMPO REPOSICION ]]/Tabla17[[#This Row],[FRECUENCIA]])+1)</f>
        <v>120</v>
      </c>
      <c r="AO146" s="80">
        <v>0</v>
      </c>
      <c r="AP146" s="77">
        <v>0</v>
      </c>
      <c r="AQ146" s="77"/>
      <c r="AR146" s="27">
        <v>0</v>
      </c>
    </row>
    <row r="147" spans="1:44" s="7" customFormat="1">
      <c r="A147" s="18" t="s">
        <v>428</v>
      </c>
      <c r="B147" s="18" t="s">
        <v>429</v>
      </c>
      <c r="C147" s="7" t="s">
        <v>2</v>
      </c>
      <c r="D147" s="7" t="s">
        <v>716</v>
      </c>
      <c r="H147" s="7" t="s">
        <v>718</v>
      </c>
      <c r="I147" s="7" t="s">
        <v>724</v>
      </c>
      <c r="J147" s="7" t="s">
        <v>718</v>
      </c>
      <c r="K147" s="13">
        <v>0</v>
      </c>
      <c r="L147" s="13">
        <f t="shared" si="4"/>
        <v>0</v>
      </c>
      <c r="M147" s="13">
        <v>0.10155</v>
      </c>
      <c r="N147" s="13"/>
      <c r="O147" s="13">
        <v>500</v>
      </c>
      <c r="P147" s="13" t="s">
        <v>808</v>
      </c>
      <c r="Q147" s="13" t="s">
        <v>802</v>
      </c>
      <c r="R147" s="7">
        <v>4</v>
      </c>
      <c r="S147" s="7">
        <v>6</v>
      </c>
      <c r="T147" s="7">
        <v>1</v>
      </c>
      <c r="U147" s="13">
        <v>7766</v>
      </c>
      <c r="V147" s="13">
        <v>7766</v>
      </c>
      <c r="W147" s="13">
        <f>Tabla17[[#This Row],[CONSUMO TOTAL PRO VALO]]/52</f>
        <v>149.34615384615384</v>
      </c>
      <c r="X147" s="21">
        <v>0</v>
      </c>
      <c r="Y147" s="13">
        <v>0</v>
      </c>
      <c r="Z147" s="13">
        <f>Tabla17[[#This Row],[CONSUMO TOTAL TODAS]]/52</f>
        <v>0</v>
      </c>
      <c r="AA147" s="25">
        <f>Tabla17[[#This Row],[CONSUMO PROMEDIO PROPIO]]+Tabla17[[#This Row],[CONSUMO PROMEDIO TODAS]]</f>
        <v>149.34615384615384</v>
      </c>
      <c r="AB147" s="26">
        <f>Tabla17[[#This Row],[CONSUMO PROMEDIO TOTAL]]*(Tabla17[[#This Row],[FRECUENCIA]]+Tabla17[[#This Row],[TIEMPO REPOSICION ]])*1.7</f>
        <v>2538.8846153846152</v>
      </c>
      <c r="AC147" s="26">
        <v>0</v>
      </c>
      <c r="AD147" s="26">
        <v>0</v>
      </c>
      <c r="AE147" s="3" t="e">
        <f>VLOOKUP(Tabla17[[#This Row],[CODIGO ]],#REF!,2,0)</f>
        <v>#REF!</v>
      </c>
      <c r="AF147" s="2">
        <f>IFERROR(VLOOKUP(Tabla17[[#This Row],[CODIGO ]],#REF!,2,0),0)</f>
        <v>0</v>
      </c>
      <c r="AG147" s="80" t="e">
        <f>Tabla17[[#This Row],[INVENTARIO FISICO ]]-Tabla17[[#This Row],[BUFFER REAL]]</f>
        <v>#REF!</v>
      </c>
      <c r="AH147" s="27"/>
      <c r="AI147" s="80"/>
      <c r="AJ147" s="80">
        <f>Tabla17[[#This Row],[SINOCHEM EN TRANSITO  ]]+Tabla17[[#This Row],[TRANSITO LOCAL]]</f>
        <v>0</v>
      </c>
      <c r="AK147" s="80">
        <v>500</v>
      </c>
      <c r="AL147" s="80"/>
      <c r="AM147" s="124" t="e">
        <f>Tabla17[[#This Row],[INVENTARIO FISICO ]]-Tabla17[[#This Row],[BUFFER REAL]]+Tabla17[[#This Row],[SINOCHEM EN TRANSITO  ]]+Tabla17[[#This Row],[TRANSITO LOCAL]]</f>
        <v>#REF!</v>
      </c>
      <c r="AN147" s="128">
        <f>Tabla17[[#This Row],[BUFFER REAL]]/((Tabla17[[#This Row],[TIEMPO REPOSICION ]]/Tabla17[[#This Row],[FRECUENCIA]])+1)</f>
        <v>0</v>
      </c>
      <c r="AO147" s="80">
        <v>1000</v>
      </c>
      <c r="AP147" s="77">
        <v>0</v>
      </c>
      <c r="AQ147" s="77"/>
      <c r="AR147" s="27">
        <v>0</v>
      </c>
    </row>
    <row r="148" spans="1:44" s="7" customFormat="1">
      <c r="A148" s="18" t="s">
        <v>430</v>
      </c>
      <c r="B148" s="18" t="s">
        <v>431</v>
      </c>
      <c r="C148" s="7" t="s">
        <v>2</v>
      </c>
      <c r="D148" s="7" t="s">
        <v>716</v>
      </c>
      <c r="H148" s="7" t="s">
        <v>718</v>
      </c>
      <c r="I148" s="7" t="s">
        <v>724</v>
      </c>
      <c r="J148" s="7" t="s">
        <v>718</v>
      </c>
      <c r="K148" s="13">
        <v>0</v>
      </c>
      <c r="L148" s="13">
        <f t="shared" si="4"/>
        <v>0</v>
      </c>
      <c r="M148" s="13">
        <v>7.6740000000000003E-2</v>
      </c>
      <c r="N148" s="13"/>
      <c r="O148" s="13">
        <v>500</v>
      </c>
      <c r="P148" s="13" t="s">
        <v>808</v>
      </c>
      <c r="Q148" s="13" t="s">
        <v>802</v>
      </c>
      <c r="R148" s="7">
        <v>4</v>
      </c>
      <c r="S148" s="7">
        <v>6</v>
      </c>
      <c r="T148" s="7">
        <v>1</v>
      </c>
      <c r="U148" s="13">
        <v>162</v>
      </c>
      <c r="V148" s="13">
        <v>162</v>
      </c>
      <c r="W148" s="13">
        <f>Tabla17[[#This Row],[CONSUMO TOTAL PRO VALO]]/52</f>
        <v>3.1153846153846154</v>
      </c>
      <c r="X148" s="21">
        <v>0</v>
      </c>
      <c r="Y148" s="13">
        <v>0</v>
      </c>
      <c r="Z148" s="13">
        <f>Tabla17[[#This Row],[CONSUMO TOTAL TODAS]]/52</f>
        <v>0</v>
      </c>
      <c r="AA148" s="25">
        <f>Tabla17[[#This Row],[CONSUMO PROMEDIO PROPIO]]+Tabla17[[#This Row],[CONSUMO PROMEDIO TODAS]]</f>
        <v>3.1153846153846154</v>
      </c>
      <c r="AB148" s="26">
        <f>Tabla17[[#This Row],[CONSUMO PROMEDIO TOTAL]]*(Tabla17[[#This Row],[FRECUENCIA]]+Tabla17[[#This Row],[TIEMPO REPOSICION ]])*1.7</f>
        <v>52.96153846153846</v>
      </c>
      <c r="AC148" s="26">
        <v>300</v>
      </c>
      <c r="AD148" s="125">
        <v>300</v>
      </c>
      <c r="AE148" s="3" t="e">
        <f>VLOOKUP(Tabla17[[#This Row],[CODIGO ]],#REF!,2,0)</f>
        <v>#REF!</v>
      </c>
      <c r="AF148" s="2">
        <f>IFERROR(VLOOKUP(Tabla17[[#This Row],[CODIGO ]],#REF!,2,0),0)</f>
        <v>0</v>
      </c>
      <c r="AG148" s="80" t="e">
        <f>Tabla17[[#This Row],[INVENTARIO FISICO ]]-Tabla17[[#This Row],[BUFFER REAL]]</f>
        <v>#REF!</v>
      </c>
      <c r="AH148" s="27"/>
      <c r="AI148" s="121"/>
      <c r="AJ148" s="121">
        <f>Tabla17[[#This Row],[SINOCHEM EN TRANSITO  ]]+Tabla17[[#This Row],[TRANSITO LOCAL]]</f>
        <v>0</v>
      </c>
      <c r="AK148" s="80">
        <v>500</v>
      </c>
      <c r="AL148" s="80"/>
      <c r="AM148" s="124" t="e">
        <f>Tabla17[[#This Row],[INVENTARIO FISICO ]]-Tabla17[[#This Row],[BUFFER REAL]]+Tabla17[[#This Row],[SINOCHEM EN TRANSITO  ]]+Tabla17[[#This Row],[TRANSITO LOCAL]]</f>
        <v>#REF!</v>
      </c>
      <c r="AN148" s="128">
        <f>Tabla17[[#This Row],[BUFFER REAL]]/((Tabla17[[#This Row],[TIEMPO REPOSICION ]]/Tabla17[[#This Row],[FRECUENCIA]])+1)</f>
        <v>120</v>
      </c>
      <c r="AO148" s="80">
        <v>0</v>
      </c>
      <c r="AP148" s="77">
        <v>0</v>
      </c>
      <c r="AQ148" s="77"/>
      <c r="AR148" s="27">
        <v>0</v>
      </c>
    </row>
    <row r="149" spans="1:44" s="7" customFormat="1">
      <c r="A149" s="18" t="s">
        <v>432</v>
      </c>
      <c r="B149" s="18" t="s">
        <v>433</v>
      </c>
      <c r="C149" s="7" t="s">
        <v>697</v>
      </c>
      <c r="D149" s="7" t="s">
        <v>716</v>
      </c>
      <c r="H149" s="7" t="s">
        <v>718</v>
      </c>
      <c r="I149" s="7" t="s">
        <v>724</v>
      </c>
      <c r="J149" s="7" t="s">
        <v>718</v>
      </c>
      <c r="K149" s="13">
        <v>0</v>
      </c>
      <c r="L149" s="13">
        <f t="shared" si="4"/>
        <v>0</v>
      </c>
      <c r="M149" s="13">
        <v>0.17183999999999999</v>
      </c>
      <c r="N149" s="13"/>
      <c r="O149" s="13">
        <v>500</v>
      </c>
      <c r="P149" s="13" t="s">
        <v>808</v>
      </c>
      <c r="Q149" s="13" t="s">
        <v>802</v>
      </c>
      <c r="R149" s="7">
        <v>4</v>
      </c>
      <c r="S149" s="7">
        <v>6</v>
      </c>
      <c r="T149" s="7">
        <v>1</v>
      </c>
      <c r="U149" s="13">
        <v>1825</v>
      </c>
      <c r="V149" s="13">
        <v>1825</v>
      </c>
      <c r="W149" s="13">
        <f>Tabla17[[#This Row],[CONSUMO TOTAL PRO VALO]]/52</f>
        <v>35.096153846153847</v>
      </c>
      <c r="X149" s="21">
        <v>0</v>
      </c>
      <c r="Y149" s="13">
        <v>0</v>
      </c>
      <c r="Z149" s="13">
        <f>Tabla17[[#This Row],[CONSUMO TOTAL TODAS]]/52</f>
        <v>0</v>
      </c>
      <c r="AA149" s="25">
        <f>Tabla17[[#This Row],[CONSUMO PROMEDIO PROPIO]]+Tabla17[[#This Row],[CONSUMO PROMEDIO TODAS]]</f>
        <v>35.096153846153847</v>
      </c>
      <c r="AB149" s="26">
        <f>Tabla17[[#This Row],[CONSUMO PROMEDIO TOTAL]]*(Tabla17[[#This Row],[FRECUENCIA]]+Tabla17[[#This Row],[TIEMPO REPOSICION ]])*1.7</f>
        <v>596.63461538461536</v>
      </c>
      <c r="AC149" s="26">
        <v>400</v>
      </c>
      <c r="AD149" s="125">
        <v>400</v>
      </c>
      <c r="AE149" s="3" t="e">
        <f>VLOOKUP(Tabla17[[#This Row],[CODIGO ]],#REF!,2,0)</f>
        <v>#REF!</v>
      </c>
      <c r="AF149" s="2">
        <f>IFERROR(VLOOKUP(Tabla17[[#This Row],[CODIGO ]],#REF!,2,0),0)</f>
        <v>0</v>
      </c>
      <c r="AG149" s="80" t="e">
        <f>Tabla17[[#This Row],[INVENTARIO FISICO ]]-Tabla17[[#This Row],[BUFFER REAL]]</f>
        <v>#REF!</v>
      </c>
      <c r="AH149" s="27"/>
      <c r="AI149" s="80"/>
      <c r="AJ149" s="80">
        <f>Tabla17[[#This Row],[SINOCHEM EN TRANSITO  ]]+Tabla17[[#This Row],[TRANSITO LOCAL]]</f>
        <v>0</v>
      </c>
      <c r="AK149" s="80">
        <v>500</v>
      </c>
      <c r="AL149" s="80"/>
      <c r="AM149" s="124" t="e">
        <f>Tabla17[[#This Row],[INVENTARIO FISICO ]]-Tabla17[[#This Row],[BUFFER REAL]]+Tabla17[[#This Row],[SINOCHEM EN TRANSITO  ]]+Tabla17[[#This Row],[TRANSITO LOCAL]]</f>
        <v>#REF!</v>
      </c>
      <c r="AN149" s="128">
        <f>Tabla17[[#This Row],[BUFFER REAL]]/((Tabla17[[#This Row],[TIEMPO REPOSICION ]]/Tabla17[[#This Row],[FRECUENCIA]])+1)</f>
        <v>160</v>
      </c>
      <c r="AO149" s="80">
        <v>0</v>
      </c>
      <c r="AP149" s="77">
        <v>0</v>
      </c>
      <c r="AQ149" s="77"/>
      <c r="AR149" s="27">
        <v>0</v>
      </c>
    </row>
    <row r="150" spans="1:44" s="7" customFormat="1">
      <c r="A150" s="18" t="s">
        <v>434</v>
      </c>
      <c r="B150" s="18" t="s">
        <v>435</v>
      </c>
      <c r="C150" s="7" t="s">
        <v>697</v>
      </c>
      <c r="D150" s="7" t="s">
        <v>716</v>
      </c>
      <c r="H150" s="7" t="s">
        <v>718</v>
      </c>
      <c r="I150" s="7" t="s">
        <v>724</v>
      </c>
      <c r="J150" s="7" t="s">
        <v>718</v>
      </c>
      <c r="K150" s="13">
        <v>0</v>
      </c>
      <c r="L150" s="13">
        <f t="shared" si="4"/>
        <v>0</v>
      </c>
      <c r="M150" s="13">
        <v>0.14213000000000001</v>
      </c>
      <c r="N150" s="13"/>
      <c r="O150" s="13">
        <v>500</v>
      </c>
      <c r="P150" s="13" t="s">
        <v>808</v>
      </c>
      <c r="Q150" s="13" t="s">
        <v>802</v>
      </c>
      <c r="R150" s="7">
        <v>4</v>
      </c>
      <c r="S150" s="7">
        <v>6</v>
      </c>
      <c r="T150" s="7">
        <v>1</v>
      </c>
      <c r="U150" s="13">
        <v>1813</v>
      </c>
      <c r="V150" s="13">
        <v>1813</v>
      </c>
      <c r="W150" s="13">
        <f>Tabla17[[#This Row],[CONSUMO TOTAL PRO VALO]]/52</f>
        <v>34.865384615384613</v>
      </c>
      <c r="X150" s="21">
        <v>0</v>
      </c>
      <c r="Y150" s="13">
        <v>0</v>
      </c>
      <c r="Z150" s="13">
        <f>Tabla17[[#This Row],[CONSUMO TOTAL TODAS]]/52</f>
        <v>0</v>
      </c>
      <c r="AA150" s="25">
        <f>Tabla17[[#This Row],[CONSUMO PROMEDIO PROPIO]]+Tabla17[[#This Row],[CONSUMO PROMEDIO TODAS]]</f>
        <v>34.865384615384613</v>
      </c>
      <c r="AB150" s="26">
        <f>Tabla17[[#This Row],[CONSUMO PROMEDIO TOTAL]]*(Tabla17[[#This Row],[FRECUENCIA]]+Tabla17[[#This Row],[TIEMPO REPOSICION ]])*1.7</f>
        <v>592.71153846153845</v>
      </c>
      <c r="AC150" s="26">
        <v>400</v>
      </c>
      <c r="AD150" s="125">
        <v>400</v>
      </c>
      <c r="AE150" s="3" t="e">
        <f>VLOOKUP(Tabla17[[#This Row],[CODIGO ]],#REF!,2,0)</f>
        <v>#REF!</v>
      </c>
      <c r="AF150" s="2">
        <f>IFERROR(VLOOKUP(Tabla17[[#This Row],[CODIGO ]],#REF!,2,0),0)</f>
        <v>0</v>
      </c>
      <c r="AG150" s="80" t="e">
        <f>Tabla17[[#This Row],[INVENTARIO FISICO ]]-Tabla17[[#This Row],[BUFFER REAL]]</f>
        <v>#REF!</v>
      </c>
      <c r="AH150" s="27"/>
      <c r="AI150" s="80"/>
      <c r="AJ150" s="80">
        <f>Tabla17[[#This Row],[SINOCHEM EN TRANSITO  ]]+Tabla17[[#This Row],[TRANSITO LOCAL]]</f>
        <v>0</v>
      </c>
      <c r="AK150" s="80">
        <v>500</v>
      </c>
      <c r="AL150" s="80"/>
      <c r="AM150" s="124" t="e">
        <f>Tabla17[[#This Row],[INVENTARIO FISICO ]]-Tabla17[[#This Row],[BUFFER REAL]]+Tabla17[[#This Row],[SINOCHEM EN TRANSITO  ]]+Tabla17[[#This Row],[TRANSITO LOCAL]]</f>
        <v>#REF!</v>
      </c>
      <c r="AN150" s="128">
        <f>Tabla17[[#This Row],[BUFFER REAL]]/((Tabla17[[#This Row],[TIEMPO REPOSICION ]]/Tabla17[[#This Row],[FRECUENCIA]])+1)</f>
        <v>160</v>
      </c>
      <c r="AO150" s="80">
        <v>0</v>
      </c>
      <c r="AP150" s="77">
        <v>0</v>
      </c>
      <c r="AQ150" s="77"/>
      <c r="AR150" s="27">
        <v>0</v>
      </c>
    </row>
    <row r="151" spans="1:44" s="7" customFormat="1">
      <c r="A151" s="18" t="s">
        <v>436</v>
      </c>
      <c r="B151" s="18" t="s">
        <v>437</v>
      </c>
      <c r="C151" s="7" t="s">
        <v>697</v>
      </c>
      <c r="D151" s="7" t="s">
        <v>716</v>
      </c>
      <c r="H151" s="7" t="s">
        <v>718</v>
      </c>
      <c r="I151" s="7" t="s">
        <v>724</v>
      </c>
      <c r="J151" s="7" t="s">
        <v>718</v>
      </c>
      <c r="K151" s="13">
        <v>0</v>
      </c>
      <c r="L151" s="13">
        <f t="shared" si="4"/>
        <v>0</v>
      </c>
      <c r="M151" s="13">
        <v>0.19975000000000001</v>
      </c>
      <c r="N151" s="13"/>
      <c r="O151" s="13">
        <v>500</v>
      </c>
      <c r="P151" s="13" t="s">
        <v>808</v>
      </c>
      <c r="Q151" s="13" t="s">
        <v>802</v>
      </c>
      <c r="R151" s="7">
        <v>4</v>
      </c>
      <c r="S151" s="7">
        <v>6</v>
      </c>
      <c r="T151" s="7">
        <v>1</v>
      </c>
      <c r="U151" s="13">
        <v>252</v>
      </c>
      <c r="V151" s="13">
        <v>252</v>
      </c>
      <c r="W151" s="13">
        <f>Tabla17[[#This Row],[CONSUMO TOTAL PRO VALO]]/52</f>
        <v>4.8461538461538458</v>
      </c>
      <c r="X151" s="21">
        <v>0</v>
      </c>
      <c r="Y151" s="13">
        <v>0</v>
      </c>
      <c r="Z151" s="13">
        <f>Tabla17[[#This Row],[CONSUMO TOTAL TODAS]]/52</f>
        <v>0</v>
      </c>
      <c r="AA151" s="25">
        <f>Tabla17[[#This Row],[CONSUMO PROMEDIO PROPIO]]+Tabla17[[#This Row],[CONSUMO PROMEDIO TODAS]]</f>
        <v>4.8461538461538458</v>
      </c>
      <c r="AB151" s="26">
        <f>Tabla17[[#This Row],[CONSUMO PROMEDIO TOTAL]]*(Tabla17[[#This Row],[FRECUENCIA]]+Tabla17[[#This Row],[TIEMPO REPOSICION ]])*1.7</f>
        <v>82.384615384615373</v>
      </c>
      <c r="AC151" s="26">
        <v>300</v>
      </c>
      <c r="AD151" s="125">
        <v>300</v>
      </c>
      <c r="AE151" s="3" t="e">
        <f>VLOOKUP(Tabla17[[#This Row],[CODIGO ]],#REF!,2,0)</f>
        <v>#REF!</v>
      </c>
      <c r="AF151" s="2">
        <f>IFERROR(VLOOKUP(Tabla17[[#This Row],[CODIGO ]],#REF!,2,0),0)</f>
        <v>0</v>
      </c>
      <c r="AG151" s="80" t="e">
        <f>Tabla17[[#This Row],[INVENTARIO FISICO ]]-Tabla17[[#This Row],[BUFFER REAL]]</f>
        <v>#REF!</v>
      </c>
      <c r="AH151" s="27"/>
      <c r="AI151" s="80"/>
      <c r="AJ151" s="80">
        <f>Tabla17[[#This Row],[SINOCHEM EN TRANSITO  ]]+Tabla17[[#This Row],[TRANSITO LOCAL]]</f>
        <v>0</v>
      </c>
      <c r="AK151" s="80">
        <v>500</v>
      </c>
      <c r="AL151" s="80"/>
      <c r="AM151" s="124" t="e">
        <f>Tabla17[[#This Row],[INVENTARIO FISICO ]]-Tabla17[[#This Row],[BUFFER REAL]]+Tabla17[[#This Row],[SINOCHEM EN TRANSITO  ]]+Tabla17[[#This Row],[TRANSITO LOCAL]]</f>
        <v>#REF!</v>
      </c>
      <c r="AN151" s="128">
        <f>Tabla17[[#This Row],[BUFFER REAL]]/((Tabla17[[#This Row],[TIEMPO REPOSICION ]]/Tabla17[[#This Row],[FRECUENCIA]])+1)</f>
        <v>120</v>
      </c>
      <c r="AO151" s="80">
        <v>0</v>
      </c>
      <c r="AP151" s="77">
        <v>0</v>
      </c>
      <c r="AQ151" s="77"/>
      <c r="AR151" s="27">
        <v>0</v>
      </c>
    </row>
    <row r="152" spans="1:44" s="7" customFormat="1">
      <c r="A152" s="18" t="s">
        <v>438</v>
      </c>
      <c r="B152" s="18" t="s">
        <v>439</v>
      </c>
      <c r="C152" s="7" t="s">
        <v>697</v>
      </c>
      <c r="D152" s="7" t="s">
        <v>716</v>
      </c>
      <c r="H152" s="7" t="s">
        <v>718</v>
      </c>
      <c r="I152" s="7" t="s">
        <v>724</v>
      </c>
      <c r="J152" s="7" t="s">
        <v>718</v>
      </c>
      <c r="K152" s="13">
        <v>0</v>
      </c>
      <c r="L152" s="13">
        <f t="shared" si="4"/>
        <v>0</v>
      </c>
      <c r="M152" s="13">
        <v>0.13582</v>
      </c>
      <c r="N152" s="13"/>
      <c r="O152" s="13">
        <v>500</v>
      </c>
      <c r="P152" s="13" t="s">
        <v>808</v>
      </c>
      <c r="Q152" s="13" t="s">
        <v>802</v>
      </c>
      <c r="R152" s="7">
        <v>4</v>
      </c>
      <c r="S152" s="7">
        <v>6</v>
      </c>
      <c r="T152" s="7">
        <v>1</v>
      </c>
      <c r="U152" s="13">
        <v>1322</v>
      </c>
      <c r="V152" s="13">
        <v>1322</v>
      </c>
      <c r="W152" s="13">
        <f>Tabla17[[#This Row],[CONSUMO TOTAL PRO VALO]]/52</f>
        <v>25.423076923076923</v>
      </c>
      <c r="X152" s="21">
        <v>0</v>
      </c>
      <c r="Y152" s="13">
        <v>0</v>
      </c>
      <c r="Z152" s="13">
        <f>Tabla17[[#This Row],[CONSUMO TOTAL TODAS]]/52</f>
        <v>0</v>
      </c>
      <c r="AA152" s="25">
        <f>Tabla17[[#This Row],[CONSUMO PROMEDIO PROPIO]]+Tabla17[[#This Row],[CONSUMO PROMEDIO TODAS]]</f>
        <v>25.423076923076923</v>
      </c>
      <c r="AB152" s="26">
        <f>Tabla17[[#This Row],[CONSUMO PROMEDIO TOTAL]]*(Tabla17[[#This Row],[FRECUENCIA]]+Tabla17[[#This Row],[TIEMPO REPOSICION ]])*1.7</f>
        <v>432.19230769230768</v>
      </c>
      <c r="AC152" s="26">
        <v>500</v>
      </c>
      <c r="AD152" s="26">
        <v>500</v>
      </c>
      <c r="AE152" s="3" t="e">
        <f>VLOOKUP(Tabla17[[#This Row],[CODIGO ]],#REF!,2,0)</f>
        <v>#REF!</v>
      </c>
      <c r="AF152" s="2">
        <f>IFERROR(VLOOKUP(Tabla17[[#This Row],[CODIGO ]],#REF!,2,0),0)</f>
        <v>0</v>
      </c>
      <c r="AG152" s="80" t="e">
        <f>Tabla17[[#This Row],[INVENTARIO FISICO ]]-Tabla17[[#This Row],[BUFFER REAL]]</f>
        <v>#REF!</v>
      </c>
      <c r="AH152" s="27"/>
      <c r="AI152" s="80"/>
      <c r="AJ152" s="80">
        <f>Tabla17[[#This Row],[SINOCHEM EN TRANSITO  ]]+Tabla17[[#This Row],[TRANSITO LOCAL]]</f>
        <v>0</v>
      </c>
      <c r="AK152" s="80">
        <v>500</v>
      </c>
      <c r="AL152" s="80"/>
      <c r="AM152" s="124" t="e">
        <f>Tabla17[[#This Row],[INVENTARIO FISICO ]]-Tabla17[[#This Row],[BUFFER REAL]]+Tabla17[[#This Row],[SINOCHEM EN TRANSITO  ]]+Tabla17[[#This Row],[TRANSITO LOCAL]]</f>
        <v>#REF!</v>
      </c>
      <c r="AN152" s="128">
        <f>Tabla17[[#This Row],[BUFFER REAL]]/((Tabla17[[#This Row],[TIEMPO REPOSICION ]]/Tabla17[[#This Row],[FRECUENCIA]])+1)</f>
        <v>200</v>
      </c>
      <c r="AO152" s="80">
        <v>0</v>
      </c>
      <c r="AP152" s="77">
        <v>0</v>
      </c>
      <c r="AQ152" s="77"/>
      <c r="AR152" s="27">
        <v>0</v>
      </c>
    </row>
    <row r="153" spans="1:44" s="7" customFormat="1">
      <c r="A153" s="18" t="s">
        <v>440</v>
      </c>
      <c r="B153" s="18" t="s">
        <v>441</v>
      </c>
      <c r="C153" s="7" t="s">
        <v>697</v>
      </c>
      <c r="D153" s="7" t="s">
        <v>716</v>
      </c>
      <c r="H153" s="7" t="s">
        <v>718</v>
      </c>
      <c r="I153" s="7" t="s">
        <v>724</v>
      </c>
      <c r="J153" s="7" t="s">
        <v>718</v>
      </c>
      <c r="K153" s="13">
        <v>0</v>
      </c>
      <c r="L153" s="13">
        <f t="shared" si="4"/>
        <v>0</v>
      </c>
      <c r="M153" s="13">
        <v>7.8E-2</v>
      </c>
      <c r="N153" s="13"/>
      <c r="O153" s="13">
        <v>500</v>
      </c>
      <c r="P153" s="13" t="s">
        <v>808</v>
      </c>
      <c r="Q153" s="13" t="s">
        <v>802</v>
      </c>
      <c r="R153" s="7">
        <v>4</v>
      </c>
      <c r="S153" s="7">
        <v>6</v>
      </c>
      <c r="T153" s="7">
        <v>1</v>
      </c>
      <c r="U153" s="13">
        <v>6035</v>
      </c>
      <c r="V153" s="13">
        <v>6035</v>
      </c>
      <c r="W153" s="13">
        <f>Tabla17[[#This Row],[CONSUMO TOTAL PRO VALO]]/52</f>
        <v>116.05769230769231</v>
      </c>
      <c r="X153" s="21">
        <v>0</v>
      </c>
      <c r="Y153" s="13">
        <v>0</v>
      </c>
      <c r="Z153" s="13">
        <f>Tabla17[[#This Row],[CONSUMO TOTAL TODAS]]/52</f>
        <v>0</v>
      </c>
      <c r="AA153" s="25">
        <f>Tabla17[[#This Row],[CONSUMO PROMEDIO PROPIO]]+Tabla17[[#This Row],[CONSUMO PROMEDIO TODAS]]</f>
        <v>116.05769230769231</v>
      </c>
      <c r="AB153" s="26">
        <f>Tabla17[[#This Row],[CONSUMO PROMEDIO TOTAL]]*(Tabla17[[#This Row],[FRECUENCIA]]+Tabla17[[#This Row],[TIEMPO REPOSICION ]])*1.7</f>
        <v>1972.9807692307693</v>
      </c>
      <c r="AC153" s="26">
        <v>1800</v>
      </c>
      <c r="AD153" s="26">
        <v>1800</v>
      </c>
      <c r="AE153" s="3" t="e">
        <f>VLOOKUP(Tabla17[[#This Row],[CODIGO ]],#REF!,2,0)</f>
        <v>#REF!</v>
      </c>
      <c r="AF153" s="2">
        <f>IFERROR(VLOOKUP(Tabla17[[#This Row],[CODIGO ]],#REF!,2,0),0)</f>
        <v>0</v>
      </c>
      <c r="AG153" s="80" t="e">
        <f>Tabla17[[#This Row],[INVENTARIO FISICO ]]-Tabla17[[#This Row],[BUFFER REAL]]</f>
        <v>#REF!</v>
      </c>
      <c r="AH153" s="27"/>
      <c r="AI153" s="121"/>
      <c r="AJ153" s="118">
        <f>Tabla17[[#This Row],[SINOCHEM EN TRANSITO  ]]+Tabla17[[#This Row],[TRANSITO LOCAL]]</f>
        <v>0</v>
      </c>
      <c r="AK153" s="80">
        <v>500</v>
      </c>
      <c r="AL153" s="80"/>
      <c r="AM153" s="124" t="e">
        <f>Tabla17[[#This Row],[INVENTARIO FISICO ]]-Tabla17[[#This Row],[BUFFER REAL]]+Tabla17[[#This Row],[SINOCHEM EN TRANSITO  ]]+Tabla17[[#This Row],[TRANSITO LOCAL]]</f>
        <v>#REF!</v>
      </c>
      <c r="AN153" s="128">
        <f>Tabla17[[#This Row],[BUFFER REAL]]/((Tabla17[[#This Row],[TIEMPO REPOSICION ]]/Tabla17[[#This Row],[FRECUENCIA]])+1)</f>
        <v>720</v>
      </c>
      <c r="AO153" s="80">
        <v>500</v>
      </c>
      <c r="AP153" s="77">
        <v>139</v>
      </c>
      <c r="AQ153" s="77"/>
      <c r="AR153" s="27">
        <v>720</v>
      </c>
    </row>
    <row r="154" spans="1:44" s="7" customFormat="1">
      <c r="A154" s="18" t="s">
        <v>442</v>
      </c>
      <c r="B154" s="18" t="s">
        <v>443</v>
      </c>
      <c r="C154" s="7" t="s">
        <v>697</v>
      </c>
      <c r="D154" s="7" t="s">
        <v>716</v>
      </c>
      <c r="H154" s="7" t="s">
        <v>718</v>
      </c>
      <c r="I154" s="7" t="s">
        <v>724</v>
      </c>
      <c r="J154" s="7" t="s">
        <v>718</v>
      </c>
      <c r="K154" s="13">
        <v>0</v>
      </c>
      <c r="L154" s="13">
        <f t="shared" si="4"/>
        <v>0</v>
      </c>
      <c r="M154" s="13">
        <v>0.19214999999999999</v>
      </c>
      <c r="N154" s="13"/>
      <c r="O154" s="13">
        <v>500</v>
      </c>
      <c r="P154" s="13" t="s">
        <v>808</v>
      </c>
      <c r="Q154" s="13" t="s">
        <v>802</v>
      </c>
      <c r="R154" s="7">
        <v>4</v>
      </c>
      <c r="S154" s="7">
        <v>6</v>
      </c>
      <c r="T154" s="7">
        <v>1</v>
      </c>
      <c r="U154" s="13">
        <v>386</v>
      </c>
      <c r="V154" s="13">
        <v>386</v>
      </c>
      <c r="W154" s="13">
        <f>Tabla17[[#This Row],[CONSUMO TOTAL PRO VALO]]/52</f>
        <v>7.4230769230769234</v>
      </c>
      <c r="X154" s="21">
        <v>0</v>
      </c>
      <c r="Y154" s="13">
        <v>0</v>
      </c>
      <c r="Z154" s="13">
        <f>Tabla17[[#This Row],[CONSUMO TOTAL TODAS]]/52</f>
        <v>0</v>
      </c>
      <c r="AA154" s="25">
        <f>Tabla17[[#This Row],[CONSUMO PROMEDIO PROPIO]]+Tabla17[[#This Row],[CONSUMO PROMEDIO TODAS]]</f>
        <v>7.4230769230769234</v>
      </c>
      <c r="AB154" s="26">
        <f>Tabla17[[#This Row],[CONSUMO PROMEDIO TOTAL]]*(Tabla17[[#This Row],[FRECUENCIA]]+Tabla17[[#This Row],[TIEMPO REPOSICION ]])*1.7</f>
        <v>126.19230769230768</v>
      </c>
      <c r="AC154" s="26">
        <v>500</v>
      </c>
      <c r="AD154" s="26">
        <v>500</v>
      </c>
      <c r="AE154" s="3" t="e">
        <f>VLOOKUP(Tabla17[[#This Row],[CODIGO ]],#REF!,2,0)</f>
        <v>#REF!</v>
      </c>
      <c r="AF154" s="2">
        <f>IFERROR(VLOOKUP(Tabla17[[#This Row],[CODIGO ]],#REF!,2,0),0)</f>
        <v>0</v>
      </c>
      <c r="AG154" s="80" t="e">
        <f>Tabla17[[#This Row],[INVENTARIO FISICO ]]-Tabla17[[#This Row],[BUFFER REAL]]</f>
        <v>#REF!</v>
      </c>
      <c r="AH154" s="27"/>
      <c r="AI154" s="80"/>
      <c r="AJ154" s="80">
        <f>Tabla17[[#This Row],[SINOCHEM EN TRANSITO  ]]+Tabla17[[#This Row],[TRANSITO LOCAL]]</f>
        <v>0</v>
      </c>
      <c r="AK154" s="80">
        <v>500</v>
      </c>
      <c r="AL154" s="80"/>
      <c r="AM154" s="124" t="e">
        <f>Tabla17[[#This Row],[INVENTARIO FISICO ]]-Tabla17[[#This Row],[BUFFER REAL]]+Tabla17[[#This Row],[SINOCHEM EN TRANSITO  ]]+Tabla17[[#This Row],[TRANSITO LOCAL]]</f>
        <v>#REF!</v>
      </c>
      <c r="AN154" s="128">
        <f>Tabla17[[#This Row],[BUFFER REAL]]/((Tabla17[[#This Row],[TIEMPO REPOSICION ]]/Tabla17[[#This Row],[FRECUENCIA]])+1)</f>
        <v>200</v>
      </c>
      <c r="AO154" s="80">
        <v>0</v>
      </c>
      <c r="AP154" s="77">
        <v>37</v>
      </c>
      <c r="AQ154" s="77"/>
      <c r="AR154" s="27">
        <v>200</v>
      </c>
    </row>
    <row r="155" spans="1:44" s="7" customFormat="1">
      <c r="A155" s="18" t="s">
        <v>444</v>
      </c>
      <c r="B155" s="18" t="s">
        <v>445</v>
      </c>
      <c r="C155" s="7" t="s">
        <v>697</v>
      </c>
      <c r="D155" s="7" t="s">
        <v>716</v>
      </c>
      <c r="H155" s="7" t="s">
        <v>718</v>
      </c>
      <c r="I155" s="7" t="s">
        <v>724</v>
      </c>
      <c r="J155" s="7" t="s">
        <v>718</v>
      </c>
      <c r="K155" s="13">
        <v>0</v>
      </c>
      <c r="L155" s="13">
        <f t="shared" si="4"/>
        <v>0</v>
      </c>
      <c r="M155" s="13">
        <v>0.12209</v>
      </c>
      <c r="N155" s="13"/>
      <c r="O155" s="13">
        <v>500</v>
      </c>
      <c r="P155" s="13" t="s">
        <v>808</v>
      </c>
      <c r="Q155" s="13" t="s">
        <v>802</v>
      </c>
      <c r="R155" s="7">
        <v>4</v>
      </c>
      <c r="S155" s="7">
        <v>6</v>
      </c>
      <c r="T155" s="7">
        <v>1</v>
      </c>
      <c r="U155" s="13">
        <v>2584</v>
      </c>
      <c r="V155" s="13">
        <v>2584</v>
      </c>
      <c r="W155" s="13">
        <f>Tabla17[[#This Row],[CONSUMO TOTAL PRO VALO]]/52</f>
        <v>49.692307692307693</v>
      </c>
      <c r="X155" s="21">
        <v>0</v>
      </c>
      <c r="Y155" s="13">
        <v>0</v>
      </c>
      <c r="Z155" s="13">
        <f>Tabla17[[#This Row],[CONSUMO TOTAL TODAS]]/52</f>
        <v>0</v>
      </c>
      <c r="AA155" s="25">
        <f>Tabla17[[#This Row],[CONSUMO PROMEDIO PROPIO]]+Tabla17[[#This Row],[CONSUMO PROMEDIO TODAS]]</f>
        <v>49.692307692307693</v>
      </c>
      <c r="AB155" s="26">
        <f>Tabla17[[#This Row],[CONSUMO PROMEDIO TOTAL]]*(Tabla17[[#This Row],[FRECUENCIA]]+Tabla17[[#This Row],[TIEMPO REPOSICION ]])*1.7</f>
        <v>844.76923076923072</v>
      </c>
      <c r="AC155" s="26">
        <v>700</v>
      </c>
      <c r="AD155" s="26">
        <v>700</v>
      </c>
      <c r="AE155" s="3" t="e">
        <f>VLOOKUP(Tabla17[[#This Row],[CODIGO ]],#REF!,2,0)</f>
        <v>#REF!</v>
      </c>
      <c r="AF155" s="2">
        <f>IFERROR(VLOOKUP(Tabla17[[#This Row],[CODIGO ]],#REF!,2,0),0)</f>
        <v>0</v>
      </c>
      <c r="AG155" s="80" t="e">
        <f>Tabla17[[#This Row],[INVENTARIO FISICO ]]-Tabla17[[#This Row],[BUFFER REAL]]</f>
        <v>#REF!</v>
      </c>
      <c r="AH155" s="27"/>
      <c r="AI155" s="80"/>
      <c r="AJ155" s="80">
        <f>Tabla17[[#This Row],[SINOCHEM EN TRANSITO  ]]+Tabla17[[#This Row],[TRANSITO LOCAL]]</f>
        <v>0</v>
      </c>
      <c r="AK155" s="80">
        <v>500</v>
      </c>
      <c r="AL155" s="80"/>
      <c r="AM155" s="124" t="e">
        <f>Tabla17[[#This Row],[INVENTARIO FISICO ]]-Tabla17[[#This Row],[BUFFER REAL]]+Tabla17[[#This Row],[SINOCHEM EN TRANSITO  ]]+Tabla17[[#This Row],[TRANSITO LOCAL]]</f>
        <v>#REF!</v>
      </c>
      <c r="AN155" s="128">
        <f>Tabla17[[#This Row],[BUFFER REAL]]/((Tabla17[[#This Row],[TIEMPO REPOSICION ]]/Tabla17[[#This Row],[FRECUENCIA]])+1)</f>
        <v>280</v>
      </c>
      <c r="AO155" s="80">
        <v>500</v>
      </c>
      <c r="AP155" s="77">
        <v>0</v>
      </c>
      <c r="AQ155" s="77"/>
      <c r="AR155" s="27">
        <v>0</v>
      </c>
    </row>
    <row r="156" spans="1:44" s="7" customFormat="1">
      <c r="A156" s="18" t="s">
        <v>446</v>
      </c>
      <c r="B156" s="18" t="s">
        <v>447</v>
      </c>
      <c r="C156" s="7" t="s">
        <v>689</v>
      </c>
      <c r="D156" s="7" t="s">
        <v>716</v>
      </c>
      <c r="H156" s="7" t="s">
        <v>718</v>
      </c>
      <c r="I156" s="7" t="s">
        <v>724</v>
      </c>
      <c r="J156" s="7" t="s">
        <v>718</v>
      </c>
      <c r="K156" s="13">
        <v>0</v>
      </c>
      <c r="L156" s="13">
        <f t="shared" si="4"/>
        <v>0</v>
      </c>
      <c r="M156" s="13">
        <v>5.7169999999999999E-2</v>
      </c>
      <c r="N156" s="13"/>
      <c r="O156" s="13">
        <v>500</v>
      </c>
      <c r="P156" s="13" t="s">
        <v>808</v>
      </c>
      <c r="Q156" s="13" t="s">
        <v>802</v>
      </c>
      <c r="R156" s="7">
        <v>4</v>
      </c>
      <c r="S156" s="7">
        <v>6</v>
      </c>
      <c r="T156" s="7">
        <v>1</v>
      </c>
      <c r="U156" s="13">
        <v>5286</v>
      </c>
      <c r="V156" s="13">
        <v>5286</v>
      </c>
      <c r="W156" s="13">
        <f>Tabla17[[#This Row],[CONSUMO TOTAL PRO VALO]]/52</f>
        <v>101.65384615384616</v>
      </c>
      <c r="X156" s="21">
        <v>0</v>
      </c>
      <c r="Y156" s="13">
        <v>0</v>
      </c>
      <c r="Z156" s="13">
        <f>Tabla17[[#This Row],[CONSUMO TOTAL TODAS]]/52</f>
        <v>0</v>
      </c>
      <c r="AA156" s="25">
        <f>Tabla17[[#This Row],[CONSUMO PROMEDIO PROPIO]]+Tabla17[[#This Row],[CONSUMO PROMEDIO TODAS]]</f>
        <v>101.65384615384616</v>
      </c>
      <c r="AB156" s="26">
        <f>Tabla17[[#This Row],[CONSUMO PROMEDIO TOTAL]]*(Tabla17[[#This Row],[FRECUENCIA]]+Tabla17[[#This Row],[TIEMPO REPOSICION ]])*1.7</f>
        <v>1728.1153846153848</v>
      </c>
      <c r="AC156" s="26">
        <v>1000</v>
      </c>
      <c r="AD156" s="26">
        <v>1000</v>
      </c>
      <c r="AE156" s="3" t="e">
        <f>VLOOKUP(Tabla17[[#This Row],[CODIGO ]],#REF!,2,0)</f>
        <v>#REF!</v>
      </c>
      <c r="AF156" s="2">
        <f>IFERROR(VLOOKUP(Tabla17[[#This Row],[CODIGO ]],#REF!,2,0),0)</f>
        <v>0</v>
      </c>
      <c r="AG156" s="80" t="e">
        <f>Tabla17[[#This Row],[INVENTARIO FISICO ]]-Tabla17[[#This Row],[BUFFER REAL]]</f>
        <v>#REF!</v>
      </c>
      <c r="AH156" s="27"/>
      <c r="AI156" s="118"/>
      <c r="AJ156" s="118">
        <f>Tabla17[[#This Row],[SINOCHEM EN TRANSITO  ]]+Tabla17[[#This Row],[TRANSITO LOCAL]]</f>
        <v>0</v>
      </c>
      <c r="AK156" s="80">
        <v>500</v>
      </c>
      <c r="AL156" s="80"/>
      <c r="AM156" s="124" t="e">
        <f>Tabla17[[#This Row],[INVENTARIO FISICO ]]-Tabla17[[#This Row],[BUFFER REAL]]+Tabla17[[#This Row],[SINOCHEM EN TRANSITO  ]]+Tabla17[[#This Row],[TRANSITO LOCAL]]</f>
        <v>#REF!</v>
      </c>
      <c r="AN156" s="128">
        <f>Tabla17[[#This Row],[BUFFER REAL]]/((Tabla17[[#This Row],[TIEMPO REPOSICION ]]/Tabla17[[#This Row],[FRECUENCIA]])+1)</f>
        <v>400</v>
      </c>
      <c r="AO156" s="80">
        <v>0</v>
      </c>
      <c r="AP156" s="77">
        <v>0</v>
      </c>
      <c r="AQ156" s="77"/>
      <c r="AR156" s="27">
        <v>0</v>
      </c>
    </row>
    <row r="157" spans="1:44" s="7" customFormat="1">
      <c r="A157" s="18" t="s">
        <v>448</v>
      </c>
      <c r="B157" s="18" t="s">
        <v>449</v>
      </c>
      <c r="C157" s="7" t="s">
        <v>2</v>
      </c>
      <c r="D157" s="7" t="s">
        <v>716</v>
      </c>
      <c r="H157" s="7" t="s">
        <v>718</v>
      </c>
      <c r="I157" s="7" t="s">
        <v>724</v>
      </c>
      <c r="J157" s="7" t="s">
        <v>718</v>
      </c>
      <c r="K157" s="13">
        <v>0</v>
      </c>
      <c r="L157" s="13">
        <f t="shared" si="4"/>
        <v>0</v>
      </c>
      <c r="M157" s="13">
        <v>0.43863000000000002</v>
      </c>
      <c r="N157" s="13"/>
      <c r="O157" s="13">
        <v>500</v>
      </c>
      <c r="P157" s="13" t="s">
        <v>808</v>
      </c>
      <c r="Q157" s="13" t="s">
        <v>802</v>
      </c>
      <c r="R157" s="7">
        <v>4</v>
      </c>
      <c r="S157" s="7">
        <v>6</v>
      </c>
      <c r="T157" s="7">
        <v>1</v>
      </c>
      <c r="U157" s="13">
        <v>60</v>
      </c>
      <c r="V157" s="13">
        <v>60</v>
      </c>
      <c r="W157" s="13">
        <f>Tabla17[[#This Row],[CONSUMO TOTAL PRO VALO]]/52</f>
        <v>1.1538461538461537</v>
      </c>
      <c r="X157" s="21">
        <v>0</v>
      </c>
      <c r="Y157" s="13">
        <v>0</v>
      </c>
      <c r="Z157" s="13">
        <f>Tabla17[[#This Row],[CONSUMO TOTAL TODAS]]/52</f>
        <v>0</v>
      </c>
      <c r="AA157" s="25">
        <f>Tabla17[[#This Row],[CONSUMO PROMEDIO PROPIO]]+Tabla17[[#This Row],[CONSUMO PROMEDIO TODAS]]</f>
        <v>1.1538461538461537</v>
      </c>
      <c r="AB157" s="26">
        <f>Tabla17[[#This Row],[CONSUMO PROMEDIO TOTAL]]*(Tabla17[[#This Row],[FRECUENCIA]]+Tabla17[[#This Row],[TIEMPO REPOSICION ]])*1.7</f>
        <v>19.615384615384613</v>
      </c>
      <c r="AC157" s="26">
        <v>300</v>
      </c>
      <c r="AD157" s="26">
        <v>300</v>
      </c>
      <c r="AE157" s="3" t="e">
        <f>VLOOKUP(Tabla17[[#This Row],[CODIGO ]],#REF!,2,0)</f>
        <v>#REF!</v>
      </c>
      <c r="AF157" s="2">
        <f>IFERROR(VLOOKUP(Tabla17[[#This Row],[CODIGO ]],#REF!,2,0),0)</f>
        <v>0</v>
      </c>
      <c r="AG157" s="80" t="e">
        <f>Tabla17[[#This Row],[INVENTARIO FISICO ]]-Tabla17[[#This Row],[BUFFER REAL]]</f>
        <v>#REF!</v>
      </c>
      <c r="AH157" s="27"/>
      <c r="AI157" s="80"/>
      <c r="AJ157" s="80">
        <f>Tabla17[[#This Row],[SINOCHEM EN TRANSITO  ]]+Tabla17[[#This Row],[TRANSITO LOCAL]]</f>
        <v>0</v>
      </c>
      <c r="AK157" s="80">
        <v>500</v>
      </c>
      <c r="AL157" s="80"/>
      <c r="AM157" s="124" t="e">
        <f>Tabla17[[#This Row],[INVENTARIO FISICO ]]-Tabla17[[#This Row],[BUFFER REAL]]+Tabla17[[#This Row],[SINOCHEM EN TRANSITO  ]]+Tabla17[[#This Row],[TRANSITO LOCAL]]</f>
        <v>#REF!</v>
      </c>
      <c r="AN157" s="128">
        <f>Tabla17[[#This Row],[BUFFER REAL]]/((Tabla17[[#This Row],[TIEMPO REPOSICION ]]/Tabla17[[#This Row],[FRECUENCIA]])+1)</f>
        <v>120</v>
      </c>
      <c r="AO157" s="80">
        <v>0</v>
      </c>
      <c r="AP157" s="77">
        <v>45</v>
      </c>
      <c r="AQ157" s="77"/>
      <c r="AR157" s="27">
        <v>46</v>
      </c>
    </row>
    <row r="158" spans="1:44" s="7" customFormat="1">
      <c r="A158" s="18" t="s">
        <v>450</v>
      </c>
      <c r="B158" s="18" t="s">
        <v>451</v>
      </c>
      <c r="C158" s="7" t="s">
        <v>689</v>
      </c>
      <c r="D158" s="7" t="s">
        <v>716</v>
      </c>
      <c r="H158" s="7" t="s">
        <v>718</v>
      </c>
      <c r="I158" s="7" t="s">
        <v>724</v>
      </c>
      <c r="J158" s="7" t="s">
        <v>718</v>
      </c>
      <c r="K158" s="13">
        <v>0</v>
      </c>
      <c r="L158" s="13">
        <f t="shared" si="4"/>
        <v>0</v>
      </c>
      <c r="M158" s="13">
        <v>0.13178999999999999</v>
      </c>
      <c r="N158" s="13"/>
      <c r="O158" s="13">
        <v>500</v>
      </c>
      <c r="P158" s="13" t="s">
        <v>808</v>
      </c>
      <c r="Q158" s="13" t="s">
        <v>802</v>
      </c>
      <c r="R158" s="7">
        <v>4</v>
      </c>
      <c r="S158" s="7">
        <v>6</v>
      </c>
      <c r="T158" s="7">
        <v>1</v>
      </c>
      <c r="U158" s="13">
        <v>764</v>
      </c>
      <c r="V158" s="13">
        <v>764</v>
      </c>
      <c r="W158" s="13">
        <f>Tabla17[[#This Row],[CONSUMO TOTAL PRO VALO]]/52</f>
        <v>14.692307692307692</v>
      </c>
      <c r="X158" s="21">
        <v>0</v>
      </c>
      <c r="Y158" s="13">
        <v>0</v>
      </c>
      <c r="Z158" s="13">
        <f>Tabla17[[#This Row],[CONSUMO TOTAL TODAS]]/52</f>
        <v>0</v>
      </c>
      <c r="AA158" s="25">
        <f>Tabla17[[#This Row],[CONSUMO PROMEDIO PROPIO]]+Tabla17[[#This Row],[CONSUMO PROMEDIO TODAS]]</f>
        <v>14.692307692307692</v>
      </c>
      <c r="AB158" s="26">
        <f>Tabla17[[#This Row],[CONSUMO PROMEDIO TOTAL]]*(Tabla17[[#This Row],[FRECUENCIA]]+Tabla17[[#This Row],[TIEMPO REPOSICION ]])*1.7</f>
        <v>249.76923076923075</v>
      </c>
      <c r="AC158" s="26">
        <v>300</v>
      </c>
      <c r="AD158" s="26">
        <v>300</v>
      </c>
      <c r="AE158" s="3" t="e">
        <f>VLOOKUP(Tabla17[[#This Row],[CODIGO ]],#REF!,2,0)</f>
        <v>#REF!</v>
      </c>
      <c r="AF158" s="2">
        <f>IFERROR(VLOOKUP(Tabla17[[#This Row],[CODIGO ]],#REF!,2,0),0)</f>
        <v>0</v>
      </c>
      <c r="AG158" s="80" t="e">
        <f>Tabla17[[#This Row],[INVENTARIO FISICO ]]-Tabla17[[#This Row],[BUFFER REAL]]</f>
        <v>#REF!</v>
      </c>
      <c r="AH158" s="27"/>
      <c r="AI158" s="80"/>
      <c r="AJ158" s="80">
        <f>Tabla17[[#This Row],[SINOCHEM EN TRANSITO  ]]+Tabla17[[#This Row],[TRANSITO LOCAL]]</f>
        <v>0</v>
      </c>
      <c r="AK158" s="80">
        <v>500</v>
      </c>
      <c r="AL158" s="80"/>
      <c r="AM158" s="124" t="e">
        <f>Tabla17[[#This Row],[INVENTARIO FISICO ]]-Tabla17[[#This Row],[BUFFER REAL]]+Tabla17[[#This Row],[SINOCHEM EN TRANSITO  ]]+Tabla17[[#This Row],[TRANSITO LOCAL]]</f>
        <v>#REF!</v>
      </c>
      <c r="AN158" s="128">
        <f>Tabla17[[#This Row],[BUFFER REAL]]/((Tabla17[[#This Row],[TIEMPO REPOSICION ]]/Tabla17[[#This Row],[FRECUENCIA]])+1)</f>
        <v>120</v>
      </c>
      <c r="AO158" s="80">
        <v>0</v>
      </c>
      <c r="AP158" s="77">
        <v>0</v>
      </c>
      <c r="AQ158" s="77"/>
      <c r="AR158" s="27">
        <v>0</v>
      </c>
    </row>
    <row r="159" spans="1:44" s="7" customFormat="1">
      <c r="A159" s="18" t="s">
        <v>452</v>
      </c>
      <c r="B159" s="18" t="s">
        <v>453</v>
      </c>
      <c r="C159" s="7" t="s">
        <v>2</v>
      </c>
      <c r="D159" s="7" t="s">
        <v>716</v>
      </c>
      <c r="H159" s="7" t="s">
        <v>718</v>
      </c>
      <c r="I159" s="7" t="s">
        <v>724</v>
      </c>
      <c r="J159" s="7" t="s">
        <v>718</v>
      </c>
      <c r="K159" s="13">
        <v>0</v>
      </c>
      <c r="L159" s="13">
        <f t="shared" si="4"/>
        <v>0</v>
      </c>
      <c r="M159" s="13">
        <v>0.1</v>
      </c>
      <c r="N159" s="13"/>
      <c r="O159" s="13">
        <v>500</v>
      </c>
      <c r="P159" s="13" t="s">
        <v>808</v>
      </c>
      <c r="Q159" s="13" t="s">
        <v>802</v>
      </c>
      <c r="R159" s="7">
        <v>4</v>
      </c>
      <c r="S159" s="7">
        <v>6</v>
      </c>
      <c r="T159" s="7">
        <v>1</v>
      </c>
      <c r="U159" s="13">
        <v>0</v>
      </c>
      <c r="V159" s="13">
        <v>0</v>
      </c>
      <c r="W159" s="13">
        <f>Tabla17[[#This Row],[CONSUMO TOTAL PRO VALO]]/52</f>
        <v>0</v>
      </c>
      <c r="X159" s="21">
        <v>0</v>
      </c>
      <c r="Y159" s="13">
        <v>0</v>
      </c>
      <c r="Z159" s="13">
        <f>Tabla17[[#This Row],[CONSUMO TOTAL TODAS]]/52</f>
        <v>0</v>
      </c>
      <c r="AA159" s="25">
        <f>Tabla17[[#This Row],[CONSUMO PROMEDIO PROPIO]]+Tabla17[[#This Row],[CONSUMO PROMEDIO TODAS]]</f>
        <v>0</v>
      </c>
      <c r="AB159" s="26">
        <f>Tabla17[[#This Row],[CONSUMO PROMEDIO TOTAL]]*(Tabla17[[#This Row],[FRECUENCIA]]+Tabla17[[#This Row],[TIEMPO REPOSICION ]])*1.7</f>
        <v>0</v>
      </c>
      <c r="AC159" s="26">
        <v>300</v>
      </c>
      <c r="AD159" s="26">
        <v>300</v>
      </c>
      <c r="AE159" s="3" t="e">
        <f>VLOOKUP(Tabla17[[#This Row],[CODIGO ]],#REF!,2,0)</f>
        <v>#REF!</v>
      </c>
      <c r="AF159" s="2">
        <f>IFERROR(VLOOKUP(Tabla17[[#This Row],[CODIGO ]],#REF!,2,0),0)</f>
        <v>0</v>
      </c>
      <c r="AG159" s="80" t="e">
        <f>Tabla17[[#This Row],[INVENTARIO FISICO ]]-Tabla17[[#This Row],[BUFFER REAL]]</f>
        <v>#REF!</v>
      </c>
      <c r="AH159" s="27"/>
      <c r="AI159" s="80"/>
      <c r="AJ159" s="80">
        <f>Tabla17[[#This Row],[SINOCHEM EN TRANSITO  ]]+Tabla17[[#This Row],[TRANSITO LOCAL]]</f>
        <v>0</v>
      </c>
      <c r="AK159" s="80">
        <v>500</v>
      </c>
      <c r="AL159" s="80"/>
      <c r="AM159" s="124" t="e">
        <f>Tabla17[[#This Row],[INVENTARIO FISICO ]]-Tabla17[[#This Row],[BUFFER REAL]]+Tabla17[[#This Row],[SINOCHEM EN TRANSITO  ]]+Tabla17[[#This Row],[TRANSITO LOCAL]]</f>
        <v>#REF!</v>
      </c>
      <c r="AN159" s="128">
        <f>Tabla17[[#This Row],[BUFFER REAL]]/((Tabla17[[#This Row],[TIEMPO REPOSICION ]]/Tabla17[[#This Row],[FRECUENCIA]])+1)</f>
        <v>120</v>
      </c>
      <c r="AO159" s="80">
        <v>0</v>
      </c>
      <c r="AP159" s="77">
        <v>0</v>
      </c>
      <c r="AQ159" s="77"/>
      <c r="AR159" s="27">
        <v>88</v>
      </c>
    </row>
    <row r="160" spans="1:44" s="7" customFormat="1">
      <c r="A160" s="18" t="s">
        <v>454</v>
      </c>
      <c r="B160" s="18" t="s">
        <v>455</v>
      </c>
      <c r="C160" s="7" t="s">
        <v>2</v>
      </c>
      <c r="D160" s="7" t="s">
        <v>716</v>
      </c>
      <c r="H160" s="7" t="s">
        <v>718</v>
      </c>
      <c r="I160" s="7" t="s">
        <v>724</v>
      </c>
      <c r="J160" s="7" t="s">
        <v>718</v>
      </c>
      <c r="K160" s="13">
        <v>0</v>
      </c>
      <c r="L160" s="13">
        <f t="shared" si="4"/>
        <v>0</v>
      </c>
      <c r="M160" s="13">
        <v>0.14000000000000001</v>
      </c>
      <c r="N160" s="13"/>
      <c r="O160" s="13">
        <v>500</v>
      </c>
      <c r="P160" s="13" t="s">
        <v>808</v>
      </c>
      <c r="Q160" s="13" t="s">
        <v>802</v>
      </c>
      <c r="R160" s="7">
        <v>4</v>
      </c>
      <c r="S160" s="7">
        <v>6</v>
      </c>
      <c r="T160" s="7">
        <v>1</v>
      </c>
      <c r="U160" s="13">
        <v>0</v>
      </c>
      <c r="V160" s="13">
        <v>0</v>
      </c>
      <c r="W160" s="13">
        <f>Tabla17[[#This Row],[CONSUMO TOTAL PRO VALO]]/52</f>
        <v>0</v>
      </c>
      <c r="X160" s="21">
        <v>0</v>
      </c>
      <c r="Y160" s="13">
        <v>0</v>
      </c>
      <c r="Z160" s="13">
        <f>Tabla17[[#This Row],[CONSUMO TOTAL TODAS]]/52</f>
        <v>0</v>
      </c>
      <c r="AA160" s="25">
        <f>Tabla17[[#This Row],[CONSUMO PROMEDIO PROPIO]]+Tabla17[[#This Row],[CONSUMO PROMEDIO TODAS]]</f>
        <v>0</v>
      </c>
      <c r="AB160" s="26">
        <f>Tabla17[[#This Row],[CONSUMO PROMEDIO TOTAL]]*(Tabla17[[#This Row],[FRECUENCIA]]+Tabla17[[#This Row],[TIEMPO REPOSICION ]])*1.7</f>
        <v>0</v>
      </c>
      <c r="AC160" s="26">
        <v>300</v>
      </c>
      <c r="AD160" s="26">
        <v>300</v>
      </c>
      <c r="AE160" s="133" t="e">
        <f>VLOOKUP(Tabla17[[#This Row],[CODIGO ]],#REF!,2,0)</f>
        <v>#REF!</v>
      </c>
      <c r="AF160" s="2">
        <f>IFERROR(VLOOKUP(Tabla17[[#This Row],[CODIGO ]],#REF!,2,0),0)</f>
        <v>0</v>
      </c>
      <c r="AG160" s="80" t="e">
        <f>Tabla17[[#This Row],[INVENTARIO FISICO ]]-Tabla17[[#This Row],[BUFFER REAL]]</f>
        <v>#REF!</v>
      </c>
      <c r="AH160" s="27"/>
      <c r="AI160" s="80"/>
      <c r="AJ160" s="80">
        <f>Tabla17[[#This Row],[SINOCHEM EN TRANSITO  ]]+Tabla17[[#This Row],[TRANSITO LOCAL]]</f>
        <v>0</v>
      </c>
      <c r="AK160" s="80">
        <v>500</v>
      </c>
      <c r="AL160" s="80"/>
      <c r="AM160" s="124" t="e">
        <f>Tabla17[[#This Row],[INVENTARIO FISICO ]]-Tabla17[[#This Row],[BUFFER REAL]]+Tabla17[[#This Row],[SINOCHEM EN TRANSITO  ]]+Tabla17[[#This Row],[TRANSITO LOCAL]]</f>
        <v>#REF!</v>
      </c>
      <c r="AN160" s="128">
        <f>Tabla17[[#This Row],[BUFFER REAL]]/((Tabla17[[#This Row],[TIEMPO REPOSICION ]]/Tabla17[[#This Row],[FRECUENCIA]])+1)</f>
        <v>120</v>
      </c>
      <c r="AO160" s="80">
        <v>0</v>
      </c>
      <c r="AP160" s="77">
        <v>0</v>
      </c>
      <c r="AQ160" s="77"/>
      <c r="AR160" s="27">
        <v>0</v>
      </c>
    </row>
    <row r="161" spans="1:44" s="7" customFormat="1">
      <c r="A161" s="18" t="s">
        <v>456</v>
      </c>
      <c r="B161" s="18" t="s">
        <v>457</v>
      </c>
      <c r="C161" s="7" t="s">
        <v>2</v>
      </c>
      <c r="D161" s="7" t="s">
        <v>716</v>
      </c>
      <c r="H161" s="7" t="s">
        <v>718</v>
      </c>
      <c r="I161" s="7" t="s">
        <v>724</v>
      </c>
      <c r="J161" s="7" t="s">
        <v>718</v>
      </c>
      <c r="K161" s="13">
        <v>0</v>
      </c>
      <c r="L161" s="13">
        <f t="shared" si="4"/>
        <v>0</v>
      </c>
      <c r="M161" s="13">
        <v>0.13400000000000001</v>
      </c>
      <c r="N161" s="13"/>
      <c r="O161" s="13">
        <v>500</v>
      </c>
      <c r="P161" s="13" t="s">
        <v>808</v>
      </c>
      <c r="Q161" s="13" t="s">
        <v>802</v>
      </c>
      <c r="R161" s="7">
        <v>4</v>
      </c>
      <c r="S161" s="7">
        <v>6</v>
      </c>
      <c r="T161" s="7">
        <v>1</v>
      </c>
      <c r="U161" s="13">
        <v>1917</v>
      </c>
      <c r="V161" s="13">
        <v>1917</v>
      </c>
      <c r="W161" s="13">
        <f>Tabla17[[#This Row],[CONSUMO TOTAL PRO VALO]]/52</f>
        <v>36.865384615384613</v>
      </c>
      <c r="X161" s="21">
        <v>0</v>
      </c>
      <c r="Y161" s="13">
        <v>0</v>
      </c>
      <c r="Z161" s="13">
        <f>Tabla17[[#This Row],[CONSUMO TOTAL TODAS]]/52</f>
        <v>0</v>
      </c>
      <c r="AA161" s="25">
        <f>Tabla17[[#This Row],[CONSUMO PROMEDIO PROPIO]]+Tabla17[[#This Row],[CONSUMO PROMEDIO TODAS]]</f>
        <v>36.865384615384613</v>
      </c>
      <c r="AB161" s="26">
        <f>Tabla17[[#This Row],[CONSUMO PROMEDIO TOTAL]]*(Tabla17[[#This Row],[FRECUENCIA]]+Tabla17[[#This Row],[TIEMPO REPOSICION ]])*1.7</f>
        <v>626.71153846153845</v>
      </c>
      <c r="AC161" s="26">
        <v>500</v>
      </c>
      <c r="AD161" s="26">
        <v>500</v>
      </c>
      <c r="AE161" s="133" t="e">
        <f>VLOOKUP(Tabla17[[#This Row],[CODIGO ]],#REF!,2,0)</f>
        <v>#REF!</v>
      </c>
      <c r="AF161" s="2">
        <f>IFERROR(VLOOKUP(Tabla17[[#This Row],[CODIGO ]],#REF!,2,0),0)</f>
        <v>0</v>
      </c>
      <c r="AG161" s="80" t="e">
        <f>Tabla17[[#This Row],[INVENTARIO FISICO ]]-Tabla17[[#This Row],[BUFFER REAL]]</f>
        <v>#REF!</v>
      </c>
      <c r="AH161" s="27"/>
      <c r="AI161" s="80"/>
      <c r="AJ161" s="80">
        <f>Tabla17[[#This Row],[SINOCHEM EN TRANSITO  ]]+Tabla17[[#This Row],[TRANSITO LOCAL]]</f>
        <v>0</v>
      </c>
      <c r="AK161" s="80">
        <v>500</v>
      </c>
      <c r="AL161" s="80"/>
      <c r="AM161" s="124" t="e">
        <f>Tabla17[[#This Row],[INVENTARIO FISICO ]]-Tabla17[[#This Row],[BUFFER REAL]]+Tabla17[[#This Row],[SINOCHEM EN TRANSITO  ]]+Tabla17[[#This Row],[TRANSITO LOCAL]]</f>
        <v>#REF!</v>
      </c>
      <c r="AN161" s="128">
        <f>Tabla17[[#This Row],[BUFFER REAL]]/((Tabla17[[#This Row],[TIEMPO REPOSICION ]]/Tabla17[[#This Row],[FRECUENCIA]])+1)</f>
        <v>200</v>
      </c>
      <c r="AO161" s="80">
        <v>0</v>
      </c>
      <c r="AP161" s="77">
        <v>0</v>
      </c>
      <c r="AQ161" s="77"/>
      <c r="AR161" s="27">
        <v>0</v>
      </c>
    </row>
    <row r="162" spans="1:44" s="7" customFormat="1">
      <c r="A162" s="18" t="s">
        <v>458</v>
      </c>
      <c r="B162" s="18" t="s">
        <v>459</v>
      </c>
      <c r="C162" s="7" t="s">
        <v>2</v>
      </c>
      <c r="D162" s="7" t="s">
        <v>716</v>
      </c>
      <c r="H162" s="7" t="s">
        <v>718</v>
      </c>
      <c r="I162" s="7" t="s">
        <v>724</v>
      </c>
      <c r="J162" s="7" t="s">
        <v>718</v>
      </c>
      <c r="K162" s="13">
        <v>0</v>
      </c>
      <c r="L162" s="13">
        <f t="shared" si="4"/>
        <v>0</v>
      </c>
      <c r="M162" s="13">
        <v>0.15154999999999999</v>
      </c>
      <c r="N162" s="13"/>
      <c r="O162" s="13">
        <v>500</v>
      </c>
      <c r="P162" s="13" t="s">
        <v>808</v>
      </c>
      <c r="Q162" s="13" t="s">
        <v>802</v>
      </c>
      <c r="R162" s="7">
        <v>4</v>
      </c>
      <c r="S162" s="7">
        <v>6</v>
      </c>
      <c r="T162" s="7">
        <v>1</v>
      </c>
      <c r="U162" s="13">
        <v>596</v>
      </c>
      <c r="V162" s="13">
        <v>596</v>
      </c>
      <c r="W162" s="13">
        <f>Tabla17[[#This Row],[CONSUMO TOTAL PRO VALO]]/52</f>
        <v>11.461538461538462</v>
      </c>
      <c r="X162" s="21">
        <v>0</v>
      </c>
      <c r="Y162" s="13">
        <v>0</v>
      </c>
      <c r="Z162" s="13">
        <f>Tabla17[[#This Row],[CONSUMO TOTAL TODAS]]/52</f>
        <v>0</v>
      </c>
      <c r="AA162" s="25">
        <f>Tabla17[[#This Row],[CONSUMO PROMEDIO PROPIO]]+Tabla17[[#This Row],[CONSUMO PROMEDIO TODAS]]</f>
        <v>11.461538461538462</v>
      </c>
      <c r="AB162" s="26">
        <f>Tabla17[[#This Row],[CONSUMO PROMEDIO TOTAL]]*(Tabla17[[#This Row],[FRECUENCIA]]+Tabla17[[#This Row],[TIEMPO REPOSICION ]])*1.7</f>
        <v>194.84615384615384</v>
      </c>
      <c r="AC162" s="26">
        <v>300</v>
      </c>
      <c r="AD162" s="26">
        <v>300</v>
      </c>
      <c r="AE162" s="3" t="e">
        <f>VLOOKUP(Tabla17[[#This Row],[CODIGO ]],#REF!,2,0)</f>
        <v>#REF!</v>
      </c>
      <c r="AF162" s="2">
        <f>IFERROR(VLOOKUP(Tabla17[[#This Row],[CODIGO ]],#REF!,2,0),0)</f>
        <v>0</v>
      </c>
      <c r="AG162" s="80" t="e">
        <f>Tabla17[[#This Row],[INVENTARIO FISICO ]]-Tabla17[[#This Row],[BUFFER REAL]]</f>
        <v>#REF!</v>
      </c>
      <c r="AH162" s="27"/>
      <c r="AI162" s="80"/>
      <c r="AJ162" s="80">
        <f>Tabla17[[#This Row],[SINOCHEM EN TRANSITO  ]]+Tabla17[[#This Row],[TRANSITO LOCAL]]</f>
        <v>0</v>
      </c>
      <c r="AK162" s="80">
        <v>500</v>
      </c>
      <c r="AL162" s="80"/>
      <c r="AM162" s="124" t="e">
        <f>Tabla17[[#This Row],[INVENTARIO FISICO ]]-Tabla17[[#This Row],[BUFFER REAL]]+Tabla17[[#This Row],[SINOCHEM EN TRANSITO  ]]+Tabla17[[#This Row],[TRANSITO LOCAL]]</f>
        <v>#REF!</v>
      </c>
      <c r="AN162" s="128">
        <f>Tabla17[[#This Row],[BUFFER REAL]]/((Tabla17[[#This Row],[TIEMPO REPOSICION ]]/Tabla17[[#This Row],[FRECUENCIA]])+1)</f>
        <v>120</v>
      </c>
      <c r="AO162" s="80">
        <v>0</v>
      </c>
      <c r="AP162" s="77">
        <v>0</v>
      </c>
      <c r="AQ162" s="77"/>
      <c r="AR162" s="27">
        <v>0</v>
      </c>
    </row>
    <row r="163" spans="1:44" s="7" customFormat="1">
      <c r="A163" s="18" t="s">
        <v>460</v>
      </c>
      <c r="B163" s="18" t="s">
        <v>461</v>
      </c>
      <c r="C163" s="44" t="s">
        <v>676</v>
      </c>
      <c r="D163" s="44" t="s">
        <v>709</v>
      </c>
      <c r="E163" s="44"/>
      <c r="F163" s="44"/>
      <c r="G163" s="44"/>
      <c r="H163" s="44" t="s">
        <v>761</v>
      </c>
      <c r="I163" s="44" t="s">
        <v>724</v>
      </c>
      <c r="J163" s="7" t="s">
        <v>718</v>
      </c>
      <c r="K163" s="50">
        <v>0</v>
      </c>
      <c r="L163" s="50">
        <f t="shared" si="4"/>
        <v>0</v>
      </c>
      <c r="M163" s="50">
        <v>39.78</v>
      </c>
      <c r="N163" s="50"/>
      <c r="O163" s="50"/>
      <c r="P163" s="13" t="s">
        <v>805</v>
      </c>
      <c r="Q163" s="13" t="s">
        <v>802</v>
      </c>
      <c r="R163" s="7">
        <v>4</v>
      </c>
      <c r="S163" s="44">
        <v>4</v>
      </c>
      <c r="T163" s="7">
        <v>1</v>
      </c>
      <c r="U163" s="50">
        <v>0</v>
      </c>
      <c r="V163" s="50">
        <v>0</v>
      </c>
      <c r="W163" s="13">
        <f>Tabla17[[#This Row],[CONSUMO TOTAL PRO VALO]]/52</f>
        <v>0</v>
      </c>
      <c r="X163" s="78">
        <v>0</v>
      </c>
      <c r="Y163" s="50">
        <v>0</v>
      </c>
      <c r="Z163" s="50">
        <f>Tabla17[[#This Row],[CONSUMO TOTAL TODAS]]/52</f>
        <v>0</v>
      </c>
      <c r="AA163" s="51">
        <f>Tabla17[[#This Row],[CONSUMO PROMEDIO PROPIO]]+Tabla17[[#This Row],[CONSUMO PROMEDIO TODAS]]</f>
        <v>0</v>
      </c>
      <c r="AB163" s="79">
        <f>Tabla17[[#This Row],[CONSUMO PROMEDIO TOTAL]]*(Tabla17[[#This Row],[FRECUENCIA]]+Tabla17[[#This Row],[TIEMPO REPOSICION ]])*1.7</f>
        <v>0</v>
      </c>
      <c r="AC163" s="79">
        <v>40</v>
      </c>
      <c r="AD163" s="79">
        <v>60</v>
      </c>
      <c r="AE163" s="3" t="e">
        <f>VLOOKUP(Tabla17[[#This Row],[CODIGO ]],#REF!,2,0)</f>
        <v>#REF!</v>
      </c>
      <c r="AF163" s="2">
        <f>IFERROR(VLOOKUP(Tabla17[[#This Row],[CODIGO ]],#REF!,2,0),0)</f>
        <v>0</v>
      </c>
      <c r="AG163" s="80" t="e">
        <f>Tabla17[[#This Row],[INVENTARIO FISICO ]]-Tabla17[[#This Row],[BUFFER REAL]]</f>
        <v>#REF!</v>
      </c>
      <c r="AH163" s="27"/>
      <c r="AI163" s="80"/>
      <c r="AJ163" s="80">
        <f>Tabla17[[#This Row],[SINOCHEM EN TRANSITO  ]]+Tabla17[[#This Row],[TRANSITO LOCAL]]</f>
        <v>0</v>
      </c>
      <c r="AK163" s="80">
        <v>0</v>
      </c>
      <c r="AL163" s="80"/>
      <c r="AM163" s="124" t="e">
        <f>Tabla17[[#This Row],[INVENTARIO FISICO ]]-Tabla17[[#This Row],[BUFFER REAL]]+Tabla17[[#This Row],[SINOCHEM EN TRANSITO  ]]+Tabla17[[#This Row],[TRANSITO LOCAL]]</f>
        <v>#REF!</v>
      </c>
      <c r="AN163" s="128">
        <f>Tabla17[[#This Row],[BUFFER REAL]]/((Tabla17[[#This Row],[TIEMPO REPOSICION ]]/Tabla17[[#This Row],[FRECUENCIA]])+1)</f>
        <v>30</v>
      </c>
      <c r="AO163" s="80">
        <v>40</v>
      </c>
      <c r="AP163" s="77">
        <v>15</v>
      </c>
      <c r="AQ163" s="77"/>
      <c r="AR163" s="27">
        <v>0</v>
      </c>
    </row>
    <row r="164" spans="1:44" s="7" customFormat="1">
      <c r="A164" s="18" t="s">
        <v>468</v>
      </c>
      <c r="B164" s="18" t="s">
        <v>469</v>
      </c>
      <c r="C164" s="7" t="s">
        <v>692</v>
      </c>
      <c r="D164" s="7" t="s">
        <v>712</v>
      </c>
      <c r="H164" s="7" t="s">
        <v>720</v>
      </c>
      <c r="I164" s="7" t="s">
        <v>724</v>
      </c>
      <c r="J164" s="7" t="s">
        <v>718</v>
      </c>
      <c r="K164" s="13">
        <v>0</v>
      </c>
      <c r="L164" s="13">
        <f t="shared" si="4"/>
        <v>0</v>
      </c>
      <c r="M164" s="13">
        <v>0.70596000000000003</v>
      </c>
      <c r="N164" s="13"/>
      <c r="O164" s="13"/>
      <c r="P164" s="13" t="s">
        <v>814</v>
      </c>
      <c r="Q164" s="13" t="s">
        <v>873</v>
      </c>
      <c r="R164" s="7">
        <v>12</v>
      </c>
      <c r="S164" s="7">
        <v>14</v>
      </c>
      <c r="T164" s="83">
        <v>3</v>
      </c>
      <c r="U164" s="13">
        <v>1200</v>
      </c>
      <c r="V164" s="13">
        <v>1200</v>
      </c>
      <c r="W164" s="13">
        <f>Tabla17[[#This Row],[CONSUMO TOTAL PRO VALO]]/52</f>
        <v>23.076923076923077</v>
      </c>
      <c r="X164" s="21">
        <v>0</v>
      </c>
      <c r="Y164" s="13">
        <v>0</v>
      </c>
      <c r="Z164" s="13">
        <f>Tabla17[[#This Row],[CONSUMO TOTAL TODAS]]/52</f>
        <v>0</v>
      </c>
      <c r="AA164" s="25">
        <f>Tabla17[[#This Row],[CONSUMO PROMEDIO PROPIO]]+Tabla17[[#This Row],[CONSUMO PROMEDIO TODAS]]</f>
        <v>23.076923076923077</v>
      </c>
      <c r="AB164" s="26">
        <f>Tabla17[[#This Row],[CONSUMO PROMEDIO TOTAL]]*(Tabla17[[#This Row],[FRECUENCIA]]+Tabla17[[#This Row],[TIEMPO REPOSICION ]])*1.7</f>
        <v>1020</v>
      </c>
      <c r="AC164" s="26">
        <v>0</v>
      </c>
      <c r="AD164" s="26">
        <v>0</v>
      </c>
      <c r="AE164" s="3" t="e">
        <f>VLOOKUP(Tabla17[[#This Row],[CODIGO ]],#REF!,2,0)</f>
        <v>#REF!</v>
      </c>
      <c r="AF164" s="2">
        <f>IFERROR(VLOOKUP(Tabla17[[#This Row],[CODIGO ]],#REF!,2,0),0)</f>
        <v>0</v>
      </c>
      <c r="AG164" s="80" t="e">
        <f>Tabla17[[#This Row],[INVENTARIO FISICO ]]-Tabla17[[#This Row],[BUFFER REAL]]</f>
        <v>#REF!</v>
      </c>
      <c r="AH164" s="27"/>
      <c r="AI164" s="80"/>
      <c r="AJ164" s="80">
        <f>Tabla17[[#This Row],[SINOCHEM EN TRANSITO  ]]+Tabla17[[#This Row],[TRANSITO LOCAL]]</f>
        <v>0</v>
      </c>
      <c r="AK164" s="80"/>
      <c r="AL164" s="80"/>
      <c r="AM164" s="124" t="e">
        <f>Tabla17[[#This Row],[INVENTARIO FISICO ]]-Tabla17[[#This Row],[BUFFER REAL]]+Tabla17[[#This Row],[SINOCHEM EN TRANSITO  ]]+Tabla17[[#This Row],[TRANSITO LOCAL]]</f>
        <v>#REF!</v>
      </c>
      <c r="AN164" s="80">
        <f>Tabla17[[#This Row],[BUFFER REAL]]/((Tabla17[[#This Row],[TIEMPO REPOSICION ]]/Tabla17[[#This Row],[FRECUENCIA]])+1)</f>
        <v>0</v>
      </c>
      <c r="AO164" s="80">
        <v>1020</v>
      </c>
      <c r="AP164" s="77"/>
      <c r="AQ164" s="77">
        <v>0</v>
      </c>
      <c r="AR164" s="27">
        <v>0</v>
      </c>
    </row>
    <row r="165" spans="1:44" s="7" customFormat="1">
      <c r="A165" s="18" t="s">
        <v>470</v>
      </c>
      <c r="B165" s="18" t="s">
        <v>471</v>
      </c>
      <c r="C165" s="7" t="s">
        <v>691</v>
      </c>
      <c r="D165" s="7" t="s">
        <v>712</v>
      </c>
      <c r="H165" s="7" t="s">
        <v>720</v>
      </c>
      <c r="I165" s="7" t="s">
        <v>724</v>
      </c>
      <c r="J165" s="7" t="s">
        <v>718</v>
      </c>
      <c r="K165" s="13">
        <v>0</v>
      </c>
      <c r="L165" s="13">
        <f t="shared" si="4"/>
        <v>0</v>
      </c>
      <c r="M165" s="13">
        <v>182.51249999999999</v>
      </c>
      <c r="N165" s="13"/>
      <c r="O165" s="13"/>
      <c r="P165" s="13" t="s">
        <v>814</v>
      </c>
      <c r="Q165" s="13" t="s">
        <v>873</v>
      </c>
      <c r="R165" s="7">
        <v>12</v>
      </c>
      <c r="S165" s="7">
        <v>14</v>
      </c>
      <c r="T165" s="83">
        <v>3</v>
      </c>
      <c r="U165" s="13">
        <v>15.52</v>
      </c>
      <c r="V165" s="13">
        <v>15.52</v>
      </c>
      <c r="W165" s="13">
        <f>Tabla17[[#This Row],[CONSUMO TOTAL PRO VALO]]/52</f>
        <v>0.29846153846153844</v>
      </c>
      <c r="X165" s="21">
        <v>0</v>
      </c>
      <c r="Y165" s="13">
        <v>0</v>
      </c>
      <c r="Z165" s="13">
        <f>Tabla17[[#This Row],[CONSUMO TOTAL TODAS]]/52</f>
        <v>0</v>
      </c>
      <c r="AA165" s="25">
        <f>Tabla17[[#This Row],[CONSUMO PROMEDIO PROPIO]]+Tabla17[[#This Row],[CONSUMO PROMEDIO TODAS]]</f>
        <v>0.29846153846153844</v>
      </c>
      <c r="AB165" s="26">
        <f>Tabla17[[#This Row],[CONSUMO PROMEDIO TOTAL]]*(Tabla17[[#This Row],[FRECUENCIA]]+Tabla17[[#This Row],[TIEMPO REPOSICION ]])*1.7</f>
        <v>13.192</v>
      </c>
      <c r="AC165" s="26">
        <v>30</v>
      </c>
      <c r="AD165" s="26">
        <v>30</v>
      </c>
      <c r="AE165" s="3" t="e">
        <f>VLOOKUP(Tabla17[[#This Row],[CODIGO ]],#REF!,2,0)</f>
        <v>#REF!</v>
      </c>
      <c r="AF165" s="2">
        <f>IFERROR(VLOOKUP(Tabla17[[#This Row],[CODIGO ]],#REF!,2,0),0)</f>
        <v>0</v>
      </c>
      <c r="AG165" s="80" t="e">
        <f>Tabla17[[#This Row],[INVENTARIO FISICO ]]-Tabla17[[#This Row],[BUFFER REAL]]</f>
        <v>#REF!</v>
      </c>
      <c r="AH165" s="27">
        <v>50</v>
      </c>
      <c r="AI165" s="80"/>
      <c r="AJ165" s="80">
        <f>Tabla17[[#This Row],[SINOCHEM EN TRANSITO  ]]+Tabla17[[#This Row],[TRANSITO LOCAL]]</f>
        <v>50</v>
      </c>
      <c r="AK165" s="80"/>
      <c r="AL165" s="80">
        <v>40</v>
      </c>
      <c r="AM165" s="124" t="e">
        <f>Tabla17[[#This Row],[INVENTARIO FISICO ]]-Tabla17[[#This Row],[BUFFER REAL]]+Tabla17[[#This Row],[SINOCHEM EN TRANSITO  ]]+Tabla17[[#This Row],[TRANSITO LOCAL]]</f>
        <v>#REF!</v>
      </c>
      <c r="AN165" s="80">
        <f>Tabla17[[#This Row],[BUFFER REAL]]/((Tabla17[[#This Row],[TIEMPO REPOSICION ]]/Tabla17[[#This Row],[FRECUENCIA]])+1)</f>
        <v>13.846153846153845</v>
      </c>
      <c r="AO165" s="80">
        <v>0</v>
      </c>
      <c r="AP165" s="77"/>
      <c r="AQ165" s="77">
        <v>0</v>
      </c>
      <c r="AR165" s="27">
        <v>0</v>
      </c>
    </row>
    <row r="166" spans="1:44" s="7" customFormat="1">
      <c r="A166" s="18" t="s">
        <v>472</v>
      </c>
      <c r="B166" s="18" t="s">
        <v>473</v>
      </c>
      <c r="C166" s="7" t="s">
        <v>675</v>
      </c>
      <c r="D166" s="7" t="s">
        <v>707</v>
      </c>
      <c r="H166" s="7" t="s">
        <v>717</v>
      </c>
      <c r="I166" s="7" t="s">
        <v>724</v>
      </c>
      <c r="J166" s="7" t="s">
        <v>718</v>
      </c>
      <c r="K166" s="13">
        <v>0</v>
      </c>
      <c r="L166" s="13">
        <f t="shared" ref="L166:L174" si="5">+K166*75%</f>
        <v>0</v>
      </c>
      <c r="M166" s="13">
        <v>800</v>
      </c>
      <c r="N166" s="13"/>
      <c r="O166" s="13">
        <v>1</v>
      </c>
      <c r="P166" s="13" t="s">
        <v>804</v>
      </c>
      <c r="Q166" s="13" t="s">
        <v>802</v>
      </c>
      <c r="R166" s="7">
        <v>4</v>
      </c>
      <c r="S166" s="7">
        <v>4</v>
      </c>
      <c r="T166" s="7">
        <v>1</v>
      </c>
      <c r="U166" s="13">
        <v>8.9249999999999989</v>
      </c>
      <c r="V166" s="13">
        <v>8.9249999999999989</v>
      </c>
      <c r="W166" s="13">
        <f>Tabla17[[#This Row],[CONSUMO TOTAL PRO VALO]]/52</f>
        <v>0.17163461538461536</v>
      </c>
      <c r="X166" s="21">
        <v>0</v>
      </c>
      <c r="Y166" s="13">
        <v>0</v>
      </c>
      <c r="Z166" s="13">
        <f>Tabla17[[#This Row],[CONSUMO TOTAL TODAS]]/52</f>
        <v>0</v>
      </c>
      <c r="AA166" s="25">
        <f>Tabla17[[#This Row],[CONSUMO PROMEDIO PROPIO]]+Tabla17[[#This Row],[CONSUMO PROMEDIO TODAS]]</f>
        <v>0.17163461538461536</v>
      </c>
      <c r="AB166" s="26">
        <f>Tabla17[[#This Row],[CONSUMO PROMEDIO TOTAL]]*(Tabla17[[#This Row],[FRECUENCIA]]+Tabla17[[#This Row],[TIEMPO REPOSICION ]])*1.7</f>
        <v>2.3342307692307687</v>
      </c>
      <c r="AC166" s="26">
        <v>3</v>
      </c>
      <c r="AD166" s="26">
        <v>2</v>
      </c>
      <c r="AE166" s="133" t="e">
        <f>VLOOKUP(Tabla17[[#This Row],[CODIGO ]],#REF!,2,0)</f>
        <v>#REF!</v>
      </c>
      <c r="AF166" s="2">
        <f>IFERROR(VLOOKUP(Tabla17[[#This Row],[CODIGO ]],#REF!,2,0),0)</f>
        <v>0</v>
      </c>
      <c r="AG166" s="80" t="e">
        <f>Tabla17[[#This Row],[INVENTARIO FISICO ]]-Tabla17[[#This Row],[BUFFER REAL]]</f>
        <v>#REF!</v>
      </c>
      <c r="AH166" s="27"/>
      <c r="AI166" s="118"/>
      <c r="AJ166" s="118">
        <f>Tabla17[[#This Row],[SINOCHEM EN TRANSITO  ]]+Tabla17[[#This Row],[TRANSITO LOCAL]]</f>
        <v>0</v>
      </c>
      <c r="AK166" s="80">
        <v>1</v>
      </c>
      <c r="AL166" s="80"/>
      <c r="AM166" s="124" t="e">
        <f>Tabla17[[#This Row],[INVENTARIO FISICO ]]-Tabla17[[#This Row],[BUFFER REAL]]+Tabla17[[#This Row],[SINOCHEM EN TRANSITO  ]]+Tabla17[[#This Row],[TRANSITO LOCAL]]</f>
        <v>#REF!</v>
      </c>
      <c r="AN166" s="128">
        <f>Tabla17[[#This Row],[BUFFER REAL]]/((Tabla17[[#This Row],[TIEMPO REPOSICION ]]/Tabla17[[#This Row],[FRECUENCIA]])+1)</f>
        <v>1</v>
      </c>
      <c r="AO166" s="80">
        <v>-2</v>
      </c>
      <c r="AP166" s="77">
        <v>1</v>
      </c>
      <c r="AQ166" s="77"/>
      <c r="AR166" s="27">
        <v>2</v>
      </c>
    </row>
    <row r="167" spans="1:44" s="7" customFormat="1">
      <c r="A167" s="145" t="s">
        <v>911</v>
      </c>
      <c r="B167" s="18" t="s">
        <v>912</v>
      </c>
      <c r="C167" s="20" t="s">
        <v>913</v>
      </c>
      <c r="D167" s="20" t="s">
        <v>707</v>
      </c>
      <c r="E167" s="20"/>
      <c r="F167" s="20"/>
      <c r="G167" s="20"/>
      <c r="H167" s="20" t="s">
        <v>910</v>
      </c>
      <c r="I167" s="7" t="s">
        <v>767</v>
      </c>
      <c r="J167" s="7" t="s">
        <v>718</v>
      </c>
      <c r="K167" s="21"/>
      <c r="L167" s="21">
        <f t="shared" si="5"/>
        <v>0</v>
      </c>
      <c r="M167" s="21"/>
      <c r="N167" s="21"/>
      <c r="O167" s="21"/>
      <c r="P167" s="21"/>
      <c r="Q167" s="13" t="s">
        <v>802</v>
      </c>
      <c r="R167" s="20">
        <v>4</v>
      </c>
      <c r="S167" s="20">
        <v>4</v>
      </c>
      <c r="T167" s="20">
        <v>1</v>
      </c>
      <c r="U167" s="21"/>
      <c r="V167" s="21"/>
      <c r="W167" s="21">
        <f>Tabla17[[#This Row],[CONSUMO TOTAL PRO VALO]]/52</f>
        <v>0</v>
      </c>
      <c r="X167" s="21" t="e">
        <f>Tabla2[[#This Row],[CONSUMO TOTAL ]]+Tabla3[[#This Row],[CONSUMO TOTAL]]+#REF!+#REF!</f>
        <v>#VALUE!</v>
      </c>
      <c r="Y167" s="21"/>
      <c r="Z167" s="21">
        <f>Tabla17[[#This Row],[CONSUMO TOTAL TODAS]]/52</f>
        <v>0</v>
      </c>
      <c r="AA167" s="28">
        <f>Tabla17[[#This Row],[CONSUMO PROMEDIO PROPIO]]+Tabla17[[#This Row],[CONSUMO PROMEDIO TODAS]]</f>
        <v>0</v>
      </c>
      <c r="AB167" s="33">
        <f>Tabla17[[#This Row],[CONSUMO PROMEDIO TOTAL]]*(Tabla17[[#This Row],[FRECUENCIA]]+Tabla17[[#This Row],[TIEMPO REPOSICION ]])*1.7</f>
        <v>0</v>
      </c>
      <c r="AC167" s="33"/>
      <c r="AD167" s="33">
        <v>400</v>
      </c>
      <c r="AE167" s="135" t="e">
        <f>VLOOKUP(Tabla17[[#This Row],[CODIGO ]],#REF!,2,0)</f>
        <v>#REF!</v>
      </c>
      <c r="AF167" s="116">
        <f>IFERROR(VLOOKUP(Tabla17[[#This Row],[CODIGO ]],#REF!,2,0),0)</f>
        <v>0</v>
      </c>
      <c r="AG167" s="117" t="e">
        <f>Tabla17[[#This Row],[INVENTARIO FISICO ]]-Tabla17[[#This Row],[BUFFER REAL]]</f>
        <v>#REF!</v>
      </c>
      <c r="AH167" s="110"/>
      <c r="AI167" s="110"/>
      <c r="AJ167" s="117">
        <f>Tabla17[[#This Row],[SINOCHEM EN TRANSITO  ]]+Tabla17[[#This Row],[TRANSITO LOCAL]]</f>
        <v>0</v>
      </c>
      <c r="AK167" s="117"/>
      <c r="AL167" s="117"/>
      <c r="AM167" s="142" t="e">
        <f>Tabla17[[#This Row],[INVENTARIO FISICO ]]-Tabla17[[#This Row],[BUFFER REAL]]+Tabla17[[#This Row],[SINOCHEM EN TRANSITO  ]]+Tabla17[[#This Row],[TRANSITO LOCAL]]</f>
        <v>#REF!</v>
      </c>
      <c r="AN167" s="117">
        <f>Tabla17[[#This Row],[BUFFER REAL]]/((Tabla17[[#This Row],[TIEMPO REPOSICION ]]/Tabla17[[#This Row],[FRECUENCIA]])+1)</f>
        <v>200</v>
      </c>
      <c r="AO167" s="117"/>
      <c r="AP167" s="110"/>
      <c r="AQ167" s="110"/>
      <c r="AR167" s="30"/>
    </row>
    <row r="168" spans="1:44" s="7" customFormat="1">
      <c r="A168" s="18" t="s">
        <v>476</v>
      </c>
      <c r="B168" s="18" t="s">
        <v>477</v>
      </c>
      <c r="C168" s="133" t="s">
        <v>674</v>
      </c>
      <c r="D168" s="133" t="s">
        <v>708</v>
      </c>
      <c r="E168" s="133"/>
      <c r="F168" s="133"/>
      <c r="G168" s="133"/>
      <c r="H168" s="133" t="s">
        <v>717</v>
      </c>
      <c r="I168" s="7" t="s">
        <v>767</v>
      </c>
      <c r="J168" s="20" t="s">
        <v>718</v>
      </c>
      <c r="K168" s="21"/>
      <c r="L168" s="21">
        <f t="shared" si="5"/>
        <v>0</v>
      </c>
      <c r="M168" s="133">
        <v>42.07938</v>
      </c>
      <c r="N168" s="133"/>
      <c r="O168" s="21"/>
      <c r="P168" s="21" t="s">
        <v>833</v>
      </c>
      <c r="Q168" s="13" t="s">
        <v>802</v>
      </c>
      <c r="R168" s="20">
        <v>4</v>
      </c>
      <c r="S168" s="20">
        <v>4</v>
      </c>
      <c r="T168" s="20">
        <v>1</v>
      </c>
      <c r="U168" s="133">
        <v>130</v>
      </c>
      <c r="V168" s="133">
        <v>130</v>
      </c>
      <c r="W168" s="21">
        <f>Tabla17[[#This Row],[CONSUMO TOTAL PRO VALO]]/52</f>
        <v>2.5</v>
      </c>
      <c r="X168" s="21" t="e">
        <f>Tabla2[[#This Row],[CONSUMO TOTAL ]]+Tabla3[[#This Row],[CONSUMO TOTAL]]+#REF!+#REF!</f>
        <v>#VALUE!</v>
      </c>
      <c r="Y168" s="21"/>
      <c r="Z168" s="21">
        <f>Tabla17[[#This Row],[CONSUMO TOTAL TODAS]]/52</f>
        <v>0</v>
      </c>
      <c r="AA168" s="28">
        <f>Tabla17[[#This Row],[CONSUMO PROMEDIO PROPIO]]+Tabla17[[#This Row],[CONSUMO PROMEDIO TODAS]]</f>
        <v>2.5</v>
      </c>
      <c r="AB168" s="33">
        <f>Tabla17[[#This Row],[CONSUMO PROMEDIO TOTAL]]*(Tabla17[[#This Row],[FRECUENCIA]]+Tabla17[[#This Row],[TIEMPO REPOSICION ]])*1.7</f>
        <v>34</v>
      </c>
      <c r="AC168" s="33">
        <v>50</v>
      </c>
      <c r="AD168" s="33">
        <v>50</v>
      </c>
      <c r="AE168" s="135" t="e">
        <f>VLOOKUP(Tabla17[[#This Row],[CODIGO ]],#REF!,2,0)</f>
        <v>#REF!</v>
      </c>
      <c r="AF168" s="116">
        <f>IFERROR(VLOOKUP(Tabla17[[#This Row],[CODIGO ]],#REF!,2,0),0)</f>
        <v>0</v>
      </c>
      <c r="AG168" s="117" t="e">
        <f>Tabla17[[#This Row],[INVENTARIO FISICO ]]-Tabla17[[#This Row],[BUFFER REAL]]</f>
        <v>#REF!</v>
      </c>
      <c r="AH168" s="110"/>
      <c r="AI168" s="110"/>
      <c r="AJ168" s="110">
        <f>Tabla17[[#This Row],[SINOCHEM EN TRANSITO  ]]+Tabla17[[#This Row],[TRANSITO LOCAL]]</f>
        <v>0</v>
      </c>
      <c r="AK168" s="117"/>
      <c r="AL168" s="117"/>
      <c r="AM168" s="124" t="e">
        <f>Tabla17[[#This Row],[INVENTARIO FISICO ]]-Tabla17[[#This Row],[BUFFER REAL]]+Tabla17[[#This Row],[SINOCHEM EN TRANSITO  ]]+Tabla17[[#This Row],[TRANSITO LOCAL]]</f>
        <v>#REF!</v>
      </c>
      <c r="AN168" s="128">
        <f>Tabla17[[#This Row],[BUFFER REAL]]/((Tabla17[[#This Row],[TIEMPO REPOSICION ]]/Tabla17[[#This Row],[FRECUENCIA]])+1)</f>
        <v>25</v>
      </c>
      <c r="AO168" s="117">
        <v>0</v>
      </c>
      <c r="AP168" s="77">
        <v>0</v>
      </c>
      <c r="AQ168" s="77"/>
      <c r="AR168" s="27">
        <v>0</v>
      </c>
    </row>
    <row r="169" spans="1:44" s="7" customFormat="1">
      <c r="A169" s="18" t="s">
        <v>478</v>
      </c>
      <c r="B169" s="18" t="s">
        <v>479</v>
      </c>
      <c r="C169" s="133" t="s">
        <v>675</v>
      </c>
      <c r="D169" s="133" t="s">
        <v>708</v>
      </c>
      <c r="E169" s="133"/>
      <c r="F169" s="133"/>
      <c r="G169" s="133"/>
      <c r="H169" s="133" t="s">
        <v>717</v>
      </c>
      <c r="I169" s="20" t="s">
        <v>767</v>
      </c>
      <c r="J169" s="20" t="s">
        <v>718</v>
      </c>
      <c r="K169" s="21"/>
      <c r="L169" s="21">
        <f t="shared" si="5"/>
        <v>0</v>
      </c>
      <c r="M169" s="133">
        <v>464.36165</v>
      </c>
      <c r="N169" s="133"/>
      <c r="O169" s="21"/>
      <c r="P169" s="21" t="s">
        <v>833</v>
      </c>
      <c r="Q169" s="13" t="s">
        <v>802</v>
      </c>
      <c r="R169" s="20">
        <v>4</v>
      </c>
      <c r="S169" s="20">
        <v>4</v>
      </c>
      <c r="T169" s="20">
        <v>1</v>
      </c>
      <c r="U169" s="133">
        <v>21.861000000000001</v>
      </c>
      <c r="V169" s="133">
        <v>21.861000000000001</v>
      </c>
      <c r="W169" s="21">
        <f>Tabla17[[#This Row],[CONSUMO TOTAL PRO VALO]]/52</f>
        <v>0.42040384615384618</v>
      </c>
      <c r="X169" s="21" t="e">
        <f>Tabla2[[#This Row],[CONSUMO TOTAL ]]+Tabla3[[#This Row],[CONSUMO TOTAL]]+#REF!+#REF!</f>
        <v>#VALUE!</v>
      </c>
      <c r="Y169" s="21"/>
      <c r="Z169" s="21">
        <f>Tabla17[[#This Row],[CONSUMO TOTAL TODAS]]/52</f>
        <v>0</v>
      </c>
      <c r="AA169" s="28">
        <f>Tabla17[[#This Row],[CONSUMO PROMEDIO PROPIO]]+Tabla17[[#This Row],[CONSUMO PROMEDIO TODAS]]</f>
        <v>0.42040384615384618</v>
      </c>
      <c r="AB169" s="33">
        <f>Tabla17[[#This Row],[CONSUMO PROMEDIO TOTAL]]*(Tabla17[[#This Row],[FRECUENCIA]]+Tabla17[[#This Row],[TIEMPO REPOSICION ]])*1.7</f>
        <v>5.7174923076923081</v>
      </c>
      <c r="AC169" s="33">
        <v>2</v>
      </c>
      <c r="AD169" s="33">
        <v>3</v>
      </c>
      <c r="AE169" s="135" t="e">
        <f>VLOOKUP(Tabla17[[#This Row],[CODIGO ]],#REF!,2,0)</f>
        <v>#REF!</v>
      </c>
      <c r="AF169" s="116">
        <f>IFERROR(VLOOKUP(Tabla17[[#This Row],[CODIGO ]],#REF!,2,0),0)</f>
        <v>0</v>
      </c>
      <c r="AG169" s="117" t="e">
        <f>Tabla17[[#This Row],[INVENTARIO FISICO ]]-Tabla17[[#This Row],[BUFFER REAL]]</f>
        <v>#REF!</v>
      </c>
      <c r="AH169" s="110"/>
      <c r="AI169" s="110"/>
      <c r="AJ169" s="110">
        <f>Tabla17[[#This Row],[SINOCHEM EN TRANSITO  ]]+Tabla17[[#This Row],[TRANSITO LOCAL]]</f>
        <v>0</v>
      </c>
      <c r="AK169" s="117"/>
      <c r="AL169" s="117"/>
      <c r="AM169" s="124" t="e">
        <f>Tabla17[[#This Row],[INVENTARIO FISICO ]]-Tabla17[[#This Row],[BUFFER REAL]]+Tabla17[[#This Row],[SINOCHEM EN TRANSITO  ]]+Tabla17[[#This Row],[TRANSITO LOCAL]]</f>
        <v>#REF!</v>
      </c>
      <c r="AN169" s="128">
        <f>Tabla17[[#This Row],[BUFFER REAL]]/((Tabla17[[#This Row],[TIEMPO REPOSICION ]]/Tabla17[[#This Row],[FRECUENCIA]])+1)</f>
        <v>1.5</v>
      </c>
      <c r="AO169" s="117">
        <v>0</v>
      </c>
      <c r="AP169" s="77">
        <v>0</v>
      </c>
      <c r="AQ169" s="77"/>
      <c r="AR169" s="27">
        <v>1</v>
      </c>
    </row>
    <row r="170" spans="1:44" s="7" customFormat="1">
      <c r="A170" s="18" t="s">
        <v>487</v>
      </c>
      <c r="B170" s="18" t="s">
        <v>488</v>
      </c>
      <c r="C170" s="7" t="s">
        <v>675</v>
      </c>
      <c r="D170" s="7" t="s">
        <v>709</v>
      </c>
      <c r="H170" s="7" t="s">
        <v>720</v>
      </c>
      <c r="I170" s="7" t="s">
        <v>724</v>
      </c>
      <c r="J170" s="7" t="s">
        <v>718</v>
      </c>
      <c r="K170" s="13">
        <v>0</v>
      </c>
      <c r="L170" s="13">
        <f t="shared" si="5"/>
        <v>0</v>
      </c>
      <c r="M170" s="13">
        <v>4389.7650899999999</v>
      </c>
      <c r="N170" s="13"/>
      <c r="O170" s="13"/>
      <c r="P170" s="13" t="s">
        <v>814</v>
      </c>
      <c r="Q170" s="13" t="s">
        <v>873</v>
      </c>
      <c r="R170" s="7">
        <v>12</v>
      </c>
      <c r="S170" s="7">
        <v>14</v>
      </c>
      <c r="T170" s="83">
        <v>3</v>
      </c>
      <c r="U170" s="13">
        <v>9.0455000000000005</v>
      </c>
      <c r="V170" s="13">
        <v>9.0455000000000005</v>
      </c>
      <c r="W170" s="13">
        <f>Tabla17[[#This Row],[CONSUMO TOTAL PRO VALO]]/52</f>
        <v>0.17395192307692309</v>
      </c>
      <c r="X170" s="21">
        <v>0</v>
      </c>
      <c r="Y170" s="13">
        <v>0</v>
      </c>
      <c r="Z170" s="13">
        <f>Tabla17[[#This Row],[CONSUMO TOTAL TODAS]]/52</f>
        <v>0</v>
      </c>
      <c r="AA170" s="25">
        <f>Tabla17[[#This Row],[CONSUMO PROMEDIO PROPIO]]+Tabla17[[#This Row],[CONSUMO PROMEDIO TODAS]]</f>
        <v>0.17395192307692309</v>
      </c>
      <c r="AB170" s="26">
        <f>Tabla17[[#This Row],[CONSUMO PROMEDIO TOTAL]]*(Tabla17[[#This Row],[FRECUENCIA]]+Tabla17[[#This Row],[TIEMPO REPOSICION ]])*1.7</f>
        <v>7.6886749999999999</v>
      </c>
      <c r="AC170" s="26">
        <v>8</v>
      </c>
      <c r="AD170" s="26">
        <v>8</v>
      </c>
      <c r="AE170" s="3" t="e">
        <f>VLOOKUP(Tabla17[[#This Row],[CODIGO ]],#REF!,2,0)</f>
        <v>#REF!</v>
      </c>
      <c r="AF170" s="2">
        <f>IFERROR(VLOOKUP(Tabla17[[#This Row],[CODIGO ]],#REF!,2,0),0)</f>
        <v>0</v>
      </c>
      <c r="AG170" s="80" t="e">
        <f>Tabla17[[#This Row],[INVENTARIO FISICO ]]-Tabla17[[#This Row],[BUFFER REAL]]</f>
        <v>#REF!</v>
      </c>
      <c r="AH170" s="27">
        <v>5</v>
      </c>
      <c r="AI170" s="80"/>
      <c r="AJ170" s="80">
        <f>Tabla17[[#This Row],[SINOCHEM EN TRANSITO  ]]+Tabla17[[#This Row],[TRANSITO LOCAL]]</f>
        <v>5</v>
      </c>
      <c r="AK170" s="80"/>
      <c r="AL170" s="80">
        <v>3</v>
      </c>
      <c r="AM170" s="124" t="e">
        <f>Tabla17[[#This Row],[INVENTARIO FISICO ]]-Tabla17[[#This Row],[BUFFER REAL]]+Tabla17[[#This Row],[SINOCHEM EN TRANSITO  ]]+Tabla17[[#This Row],[TRANSITO LOCAL]]</f>
        <v>#REF!</v>
      </c>
      <c r="AN170" s="80">
        <f>Tabla17[[#This Row],[BUFFER REAL]]/((Tabla17[[#This Row],[TIEMPO REPOSICION ]]/Tabla17[[#This Row],[FRECUENCIA]])+1)</f>
        <v>3.6923076923076916</v>
      </c>
      <c r="AO170" s="80">
        <v>2</v>
      </c>
      <c r="AP170" s="77"/>
      <c r="AQ170" s="77">
        <v>4</v>
      </c>
      <c r="AR170" s="27">
        <v>0</v>
      </c>
    </row>
    <row r="171" spans="1:44" s="7" customFormat="1">
      <c r="A171" s="18" t="s">
        <v>489</v>
      </c>
      <c r="B171" s="18" t="s">
        <v>490</v>
      </c>
      <c r="C171" s="7" t="s">
        <v>701</v>
      </c>
      <c r="D171" s="7" t="s">
        <v>709</v>
      </c>
      <c r="H171" s="7" t="s">
        <v>720</v>
      </c>
      <c r="I171" s="7" t="s">
        <v>722</v>
      </c>
      <c r="J171" s="7" t="s">
        <v>718</v>
      </c>
      <c r="K171" s="13">
        <v>0</v>
      </c>
      <c r="L171" s="13">
        <f t="shared" si="5"/>
        <v>0</v>
      </c>
      <c r="M171" s="13">
        <v>1.2203200000000001</v>
      </c>
      <c r="N171" s="13"/>
      <c r="O171" s="13"/>
      <c r="P171" s="13" t="s">
        <v>814</v>
      </c>
      <c r="Q171" s="13" t="s">
        <v>873</v>
      </c>
      <c r="R171" s="7">
        <v>12</v>
      </c>
      <c r="S171" s="7">
        <v>14</v>
      </c>
      <c r="T171" s="83">
        <v>3</v>
      </c>
      <c r="U171" s="13">
        <v>4529</v>
      </c>
      <c r="V171" s="13">
        <v>4529</v>
      </c>
      <c r="W171" s="13">
        <f>Tabla17[[#This Row],[CONSUMO TOTAL PRO VALO]]/52</f>
        <v>87.09615384615384</v>
      </c>
      <c r="X171" s="21">
        <v>0</v>
      </c>
      <c r="Y171" s="13">
        <v>0</v>
      </c>
      <c r="Z171" s="13">
        <f>Tabla17[[#This Row],[CONSUMO TOTAL TODAS]]/52</f>
        <v>0</v>
      </c>
      <c r="AA171" s="25">
        <f>Tabla17[[#This Row],[CONSUMO PROMEDIO PROPIO]]+Tabla17[[#This Row],[CONSUMO PROMEDIO TODAS]]</f>
        <v>87.09615384615384</v>
      </c>
      <c r="AB171" s="26">
        <f>Tabla17[[#This Row],[CONSUMO PROMEDIO TOTAL]]*(Tabla17[[#This Row],[FRECUENCIA]]+Tabla17[[#This Row],[TIEMPO REPOSICION ]])*1.7</f>
        <v>3849.65</v>
      </c>
      <c r="AC171" s="26">
        <v>4000</v>
      </c>
      <c r="AD171" s="26">
        <v>4000</v>
      </c>
      <c r="AE171" s="3" t="e">
        <f>VLOOKUP(Tabla17[[#This Row],[CODIGO ]],#REF!,2,0)</f>
        <v>#REF!</v>
      </c>
      <c r="AF171" s="2">
        <f>IFERROR(VLOOKUP(Tabla17[[#This Row],[CODIGO ]],#REF!,2,0),0)</f>
        <v>0</v>
      </c>
      <c r="AG171" s="80" t="e">
        <f>Tabla17[[#This Row],[INVENTARIO FISICO ]]-Tabla17[[#This Row],[BUFFER REAL]]</f>
        <v>#REF!</v>
      </c>
      <c r="AH171" s="27"/>
      <c r="AI171" s="80"/>
      <c r="AJ171" s="80">
        <f>Tabla17[[#This Row],[SINOCHEM EN TRANSITO  ]]+Tabla17[[#This Row],[TRANSITO LOCAL]]</f>
        <v>0</v>
      </c>
      <c r="AK171" s="80">
        <v>3000</v>
      </c>
      <c r="AL171" s="80"/>
      <c r="AM171" s="124" t="e">
        <f>Tabla17[[#This Row],[INVENTARIO FISICO ]]-Tabla17[[#This Row],[BUFFER REAL]]+Tabla17[[#This Row],[SINOCHEM EN TRANSITO  ]]+Tabla17[[#This Row],[TRANSITO LOCAL]]</f>
        <v>#REF!</v>
      </c>
      <c r="AN171" s="80">
        <f>Tabla17[[#This Row],[BUFFER REAL]]/((Tabla17[[#This Row],[TIEMPO REPOSICION ]]/Tabla17[[#This Row],[FRECUENCIA]])+1)</f>
        <v>1846.153846153846</v>
      </c>
      <c r="AO171" s="80"/>
      <c r="AP171" s="77"/>
      <c r="AQ171" s="77">
        <v>4000</v>
      </c>
      <c r="AR171" s="27">
        <v>0</v>
      </c>
    </row>
    <row r="172" spans="1:44" s="7" customFormat="1">
      <c r="A172" s="18" t="s">
        <v>491</v>
      </c>
      <c r="B172" s="18" t="s">
        <v>492</v>
      </c>
      <c r="C172" s="7" t="s">
        <v>683</v>
      </c>
      <c r="D172" s="7" t="s">
        <v>709</v>
      </c>
      <c r="H172" s="7" t="s">
        <v>720</v>
      </c>
      <c r="I172" s="103" t="s">
        <v>722</v>
      </c>
      <c r="J172" s="7" t="s">
        <v>718</v>
      </c>
      <c r="K172" s="13">
        <v>0</v>
      </c>
      <c r="L172" s="13">
        <f t="shared" si="5"/>
        <v>0</v>
      </c>
      <c r="M172" s="13">
        <v>0.60899999999999999</v>
      </c>
      <c r="N172" s="13"/>
      <c r="O172" s="13"/>
      <c r="P172" s="13" t="s">
        <v>814</v>
      </c>
      <c r="Q172" s="13" t="s">
        <v>873</v>
      </c>
      <c r="R172" s="7">
        <v>12</v>
      </c>
      <c r="S172" s="7">
        <v>14</v>
      </c>
      <c r="T172" s="83">
        <v>3</v>
      </c>
      <c r="U172" s="13">
        <v>138</v>
      </c>
      <c r="V172" s="13">
        <v>138</v>
      </c>
      <c r="W172" s="13">
        <f>Tabla17[[#This Row],[CONSUMO TOTAL PRO VALO]]/52</f>
        <v>2.6538461538461537</v>
      </c>
      <c r="X172" s="21">
        <v>0</v>
      </c>
      <c r="Y172" s="13">
        <v>0</v>
      </c>
      <c r="Z172" s="13">
        <f>Tabla17[[#This Row],[CONSUMO TOTAL TODAS]]/52</f>
        <v>0</v>
      </c>
      <c r="AA172" s="25">
        <f>Tabla17[[#This Row],[CONSUMO PROMEDIO PROPIO]]+Tabla17[[#This Row],[CONSUMO PROMEDIO TODAS]]</f>
        <v>2.6538461538461537</v>
      </c>
      <c r="AB172" s="26">
        <f>Tabla17[[#This Row],[CONSUMO PROMEDIO TOTAL]]*(Tabla17[[#This Row],[FRECUENCIA]]+Tabla17[[#This Row],[TIEMPO REPOSICION ]])*1.7</f>
        <v>117.3</v>
      </c>
      <c r="AC172" s="26">
        <v>0</v>
      </c>
      <c r="AD172" s="26">
        <v>0</v>
      </c>
      <c r="AE172" s="3" t="e">
        <f>VLOOKUP(Tabla17[[#This Row],[CODIGO ]],#REF!,2,0)</f>
        <v>#REF!</v>
      </c>
      <c r="AF172" s="2">
        <f>IFERROR(VLOOKUP(Tabla17[[#This Row],[CODIGO ]],#REF!,2,0),0)</f>
        <v>0</v>
      </c>
      <c r="AG172" s="80" t="e">
        <f>Tabla17[[#This Row],[INVENTARIO FISICO ]]-Tabla17[[#This Row],[BUFFER REAL]]</f>
        <v>#REF!</v>
      </c>
      <c r="AH172" s="27"/>
      <c r="AI172" s="80"/>
      <c r="AJ172" s="80">
        <f>Tabla17[[#This Row],[SINOCHEM EN TRANSITO  ]]+Tabla17[[#This Row],[TRANSITO LOCAL]]</f>
        <v>0</v>
      </c>
      <c r="AK172" s="80"/>
      <c r="AL172" s="80"/>
      <c r="AM172" s="124" t="e">
        <f>Tabla17[[#This Row],[INVENTARIO FISICO ]]-Tabla17[[#This Row],[BUFFER REAL]]+Tabla17[[#This Row],[SINOCHEM EN TRANSITO  ]]+Tabla17[[#This Row],[TRANSITO LOCAL]]</f>
        <v>#REF!</v>
      </c>
      <c r="AN172" s="80">
        <f>Tabla17[[#This Row],[BUFFER REAL]]/((Tabla17[[#This Row],[TIEMPO REPOSICION ]]/Tabla17[[#This Row],[FRECUENCIA]])+1)</f>
        <v>0</v>
      </c>
      <c r="AO172" s="80"/>
      <c r="AP172" s="77"/>
      <c r="AQ172" s="77">
        <v>0</v>
      </c>
      <c r="AR172" s="27">
        <v>0</v>
      </c>
    </row>
    <row r="173" spans="1:44" s="7" customFormat="1">
      <c r="A173" s="18" t="s">
        <v>493</v>
      </c>
      <c r="B173" s="18" t="s">
        <v>494</v>
      </c>
      <c r="C173" s="7" t="s">
        <v>671</v>
      </c>
      <c r="D173" s="7" t="s">
        <v>709</v>
      </c>
      <c r="H173" s="7" t="s">
        <v>720</v>
      </c>
      <c r="I173" s="103" t="s">
        <v>722</v>
      </c>
      <c r="J173" s="7" t="s">
        <v>718</v>
      </c>
      <c r="K173" s="13">
        <v>0</v>
      </c>
      <c r="L173" s="13">
        <f t="shared" si="5"/>
        <v>0</v>
      </c>
      <c r="M173" s="13">
        <v>6.2644500000000001</v>
      </c>
      <c r="N173" s="13"/>
      <c r="O173" s="13"/>
      <c r="P173" s="13" t="s">
        <v>814</v>
      </c>
      <c r="Q173" s="13" t="s">
        <v>873</v>
      </c>
      <c r="R173" s="7">
        <v>12</v>
      </c>
      <c r="S173" s="7">
        <v>14</v>
      </c>
      <c r="T173" s="83">
        <v>3</v>
      </c>
      <c r="U173" s="13">
        <v>424.9</v>
      </c>
      <c r="V173" s="13">
        <v>424.9</v>
      </c>
      <c r="W173" s="13">
        <f>Tabla17[[#This Row],[CONSUMO TOTAL PRO VALO]]/52</f>
        <v>8.171153846153846</v>
      </c>
      <c r="X173" s="21">
        <v>0</v>
      </c>
      <c r="Y173" s="13">
        <v>0</v>
      </c>
      <c r="Z173" s="13">
        <f>Tabla17[[#This Row],[CONSUMO TOTAL TODAS]]/52</f>
        <v>0</v>
      </c>
      <c r="AA173" s="25">
        <f>Tabla17[[#This Row],[CONSUMO PROMEDIO PROPIO]]+Tabla17[[#This Row],[CONSUMO PROMEDIO TODAS]]</f>
        <v>8.171153846153846</v>
      </c>
      <c r="AB173" s="26">
        <f>Tabla17[[#This Row],[CONSUMO PROMEDIO TOTAL]]*(Tabla17[[#This Row],[FRECUENCIA]]+Tabla17[[#This Row],[TIEMPO REPOSICION ]])*1.7</f>
        <v>361.16499999999996</v>
      </c>
      <c r="AC173" s="26">
        <v>0</v>
      </c>
      <c r="AD173" s="26">
        <v>0</v>
      </c>
      <c r="AE173" s="3" t="e">
        <f>VLOOKUP(Tabla17[[#This Row],[CODIGO ]],#REF!,2,0)</f>
        <v>#REF!</v>
      </c>
      <c r="AF173" s="2">
        <f>IFERROR(VLOOKUP(Tabla17[[#This Row],[CODIGO ]],#REF!,2,0),0)</f>
        <v>0</v>
      </c>
      <c r="AG173" s="80" t="e">
        <f>Tabla17[[#This Row],[INVENTARIO FISICO ]]-Tabla17[[#This Row],[BUFFER REAL]]</f>
        <v>#REF!</v>
      </c>
      <c r="AH173" s="27"/>
      <c r="AI173" s="80"/>
      <c r="AJ173" s="80">
        <f>Tabla17[[#This Row],[SINOCHEM EN TRANSITO  ]]+Tabla17[[#This Row],[TRANSITO LOCAL]]</f>
        <v>0</v>
      </c>
      <c r="AK173" s="80"/>
      <c r="AL173" s="80"/>
      <c r="AM173" s="124" t="e">
        <f>Tabla17[[#This Row],[INVENTARIO FISICO ]]-Tabla17[[#This Row],[BUFFER REAL]]+Tabla17[[#This Row],[SINOCHEM EN TRANSITO  ]]+Tabla17[[#This Row],[TRANSITO LOCAL]]</f>
        <v>#REF!</v>
      </c>
      <c r="AN173" s="80">
        <f>Tabla17[[#This Row],[BUFFER REAL]]/((Tabla17[[#This Row],[TIEMPO REPOSICION ]]/Tabla17[[#This Row],[FRECUENCIA]])+1)</f>
        <v>0</v>
      </c>
      <c r="AO173" s="80"/>
      <c r="AP173" s="77"/>
      <c r="AQ173" s="77">
        <v>0</v>
      </c>
      <c r="AR173" s="27">
        <v>0</v>
      </c>
    </row>
    <row r="174" spans="1:44" s="7" customFormat="1">
      <c r="A174" s="130" t="s">
        <v>844</v>
      </c>
      <c r="B174" s="130" t="s">
        <v>845</v>
      </c>
      <c r="C174" s="20" t="s">
        <v>704</v>
      </c>
      <c r="D174" s="7" t="s">
        <v>709</v>
      </c>
      <c r="E174" s="20"/>
      <c r="F174" s="20"/>
      <c r="G174" s="20"/>
      <c r="H174" s="20" t="s">
        <v>720</v>
      </c>
      <c r="I174" s="20" t="s">
        <v>767</v>
      </c>
      <c r="J174" s="20"/>
      <c r="K174" s="21"/>
      <c r="L174" s="21">
        <f t="shared" si="5"/>
        <v>0</v>
      </c>
      <c r="M174" s="21"/>
      <c r="N174" s="21"/>
      <c r="O174" s="21"/>
      <c r="P174" s="13" t="s">
        <v>814</v>
      </c>
      <c r="Q174" s="13" t="s">
        <v>873</v>
      </c>
      <c r="R174" s="7">
        <v>12</v>
      </c>
      <c r="S174" s="7">
        <v>14</v>
      </c>
      <c r="T174" s="83">
        <v>3</v>
      </c>
      <c r="U174" s="21"/>
      <c r="V174" s="21"/>
      <c r="W174" s="21">
        <f>Tabla17[[#This Row],[CONSUMO TOTAL PRO VALO]]/52</f>
        <v>0</v>
      </c>
      <c r="X174" s="21" t="e">
        <f>Tabla2[[#This Row],[CONSUMO TOTAL ]]+Tabla3[[#This Row],[CONSUMO TOTAL]]+#REF!+#REF!</f>
        <v>#VALUE!</v>
      </c>
      <c r="Y174" s="21"/>
      <c r="Z174" s="21">
        <f>Tabla17[[#This Row],[CONSUMO TOTAL TODAS]]/52</f>
        <v>0</v>
      </c>
      <c r="AA174" s="28">
        <f>Tabla17[[#This Row],[CONSUMO PROMEDIO PROPIO]]+Tabla17[[#This Row],[CONSUMO PROMEDIO TODAS]]</f>
        <v>0</v>
      </c>
      <c r="AB174" s="33">
        <f>Tabla17[[#This Row],[CONSUMO PROMEDIO TOTAL]]*(Tabla17[[#This Row],[FRECUENCIA]]+Tabla17[[#This Row],[TIEMPO REPOSICION ]])*1.7</f>
        <v>0</v>
      </c>
      <c r="AC174" s="33">
        <v>8</v>
      </c>
      <c r="AD174" s="33">
        <v>8</v>
      </c>
      <c r="AE174" s="135" t="e">
        <f>VLOOKUP(Tabla17[[#This Row],[CODIGO ]],#REF!,2,0)</f>
        <v>#REF!</v>
      </c>
      <c r="AF174" s="116">
        <f>IFERROR(VLOOKUP(Tabla17[[#This Row],[CODIGO ]],#REF!,2,0),0)</f>
        <v>0</v>
      </c>
      <c r="AG174" s="117" t="e">
        <f>Tabla17[[#This Row],[INVENTARIO FISICO ]]-Tabla17[[#This Row],[BUFFER REAL]]</f>
        <v>#REF!</v>
      </c>
      <c r="AH174" s="110">
        <v>6</v>
      </c>
      <c r="AI174" s="110"/>
      <c r="AJ174" s="117">
        <f>Tabla17[[#This Row],[SINOCHEM EN TRANSITO  ]]+Tabla17[[#This Row],[TRANSITO LOCAL]]</f>
        <v>6</v>
      </c>
      <c r="AK174" s="117"/>
      <c r="AL174" s="117"/>
      <c r="AM174" s="124" t="e">
        <f>Tabla17[[#This Row],[INVENTARIO FISICO ]]-Tabla17[[#This Row],[BUFFER REAL]]+Tabla17[[#This Row],[SINOCHEM EN TRANSITO  ]]+Tabla17[[#This Row],[TRANSITO LOCAL]]</f>
        <v>#REF!</v>
      </c>
      <c r="AN174" s="117">
        <f>Tabla17[[#This Row],[BUFFER REAL]]/((Tabla17[[#This Row],[TIEMPO REPOSICION ]]/Tabla17[[#This Row],[FRECUENCIA]])+1)</f>
        <v>3.6923076923076916</v>
      </c>
      <c r="AO174" s="117"/>
      <c r="AP174" s="77"/>
      <c r="AQ174" s="77">
        <v>4</v>
      </c>
      <c r="AR174" s="27">
        <v>2</v>
      </c>
    </row>
    <row r="175" spans="1:44" s="7" customFormat="1">
      <c r="A175" s="18" t="s">
        <v>510</v>
      </c>
      <c r="B175" s="18" t="s">
        <v>511</v>
      </c>
      <c r="C175" s="7" t="s">
        <v>675</v>
      </c>
      <c r="D175" s="7" t="s">
        <v>709</v>
      </c>
      <c r="E175" s="7" t="s">
        <v>711</v>
      </c>
      <c r="F175" s="7">
        <v>16</v>
      </c>
      <c r="G175" s="7">
        <v>16</v>
      </c>
      <c r="H175" s="7" t="s">
        <v>720</v>
      </c>
      <c r="I175" s="7" t="s">
        <v>724</v>
      </c>
      <c r="J175" s="7" t="s">
        <v>718</v>
      </c>
      <c r="K175" s="13">
        <v>1050</v>
      </c>
      <c r="L175" s="13">
        <v>0</v>
      </c>
      <c r="M175" s="13">
        <v>764</v>
      </c>
      <c r="N175" s="13">
        <f>40/52</f>
        <v>0.76923076923076927</v>
      </c>
      <c r="O175" s="13"/>
      <c r="P175" s="13" t="s">
        <v>814</v>
      </c>
      <c r="Q175" s="13" t="s">
        <v>873</v>
      </c>
      <c r="R175" s="7">
        <v>12</v>
      </c>
      <c r="S175" s="7">
        <v>14</v>
      </c>
      <c r="T175" s="83">
        <v>3</v>
      </c>
      <c r="U175" s="13">
        <v>22.887250000000002</v>
      </c>
      <c r="V175" s="13">
        <v>22.887250000000002</v>
      </c>
      <c r="W175" s="13">
        <f>Tabla17[[#This Row],[CONSUMO TOTAL PRO VALO]]/52</f>
        <v>0.44013942307692311</v>
      </c>
      <c r="X175" s="21">
        <v>0</v>
      </c>
      <c r="Y175" s="13">
        <v>0</v>
      </c>
      <c r="Z175" s="13">
        <f>Tabla17[[#This Row],[CONSUMO TOTAL TODAS]]/52</f>
        <v>0</v>
      </c>
      <c r="AA175" s="25">
        <f>Tabla17[[#This Row],[CONSUMO PROMEDIO PROPIO]]+Tabla17[[#This Row],[CONSUMO PROMEDIO TODAS]]</f>
        <v>0.44013942307692311</v>
      </c>
      <c r="AB175" s="26">
        <v>24</v>
      </c>
      <c r="AC175" s="26">
        <v>40</v>
      </c>
      <c r="AD175" s="26">
        <v>40</v>
      </c>
      <c r="AE175" s="3" t="e">
        <f>VLOOKUP(Tabla17[[#This Row],[CODIGO ]],#REF!,2,0)</f>
        <v>#REF!</v>
      </c>
      <c r="AF175" s="2">
        <f>IFERROR(VLOOKUP(Tabla17[[#This Row],[CODIGO ]],#REF!,2,0),0)</f>
        <v>0</v>
      </c>
      <c r="AG175" s="80" t="e">
        <f>Tabla17[[#This Row],[INVENTARIO FISICO ]]-Tabla17[[#This Row],[BUFFER REAL]]</f>
        <v>#REF!</v>
      </c>
      <c r="AH175" s="27">
        <v>25</v>
      </c>
      <c r="AI175" s="80"/>
      <c r="AJ175" s="80">
        <f>Tabla17[[#This Row],[SINOCHEM EN TRANSITO  ]]+Tabla17[[#This Row],[TRANSITO LOCAL]]</f>
        <v>25</v>
      </c>
      <c r="AK175" s="80"/>
      <c r="AL175" s="80">
        <v>10</v>
      </c>
      <c r="AM175" s="124" t="e">
        <f>Tabla17[[#This Row],[INVENTARIO FISICO ]]-Tabla17[[#This Row],[BUFFER REAL]]+Tabla17[[#This Row],[SINOCHEM EN TRANSITO  ]]+Tabla17[[#This Row],[TRANSITO LOCAL]]</f>
        <v>#REF!</v>
      </c>
      <c r="AN175" s="80">
        <f>Tabla17[[#This Row],[BUFFER REAL]]/((Tabla17[[#This Row],[TIEMPO REPOSICION ]]/Tabla17[[#This Row],[FRECUENCIA]])+1)</f>
        <v>18.46153846153846</v>
      </c>
      <c r="AO175" s="80">
        <v>0</v>
      </c>
      <c r="AP175" s="77"/>
      <c r="AQ175" s="77">
        <v>18</v>
      </c>
      <c r="AR175" s="27">
        <v>0</v>
      </c>
    </row>
    <row r="176" spans="1:44" s="7" customFormat="1">
      <c r="A176" s="18" t="s">
        <v>518</v>
      </c>
      <c r="B176" s="18" t="s">
        <v>519</v>
      </c>
      <c r="C176" s="7" t="s">
        <v>677</v>
      </c>
      <c r="D176" s="7" t="s">
        <v>709</v>
      </c>
      <c r="H176" s="7" t="s">
        <v>720</v>
      </c>
      <c r="I176" s="7" t="s">
        <v>724</v>
      </c>
      <c r="J176" s="7" t="s">
        <v>718</v>
      </c>
      <c r="K176" s="13">
        <v>0</v>
      </c>
      <c r="L176" s="13">
        <f t="shared" ref="L176:L197" si="6">+K176*75%</f>
        <v>0</v>
      </c>
      <c r="M176" s="13">
        <v>0.57599999999999996</v>
      </c>
      <c r="N176" s="13"/>
      <c r="O176" s="13"/>
      <c r="P176" s="13" t="s">
        <v>814</v>
      </c>
      <c r="Q176" s="13" t="s">
        <v>873</v>
      </c>
      <c r="R176" s="7">
        <v>12</v>
      </c>
      <c r="S176" s="7">
        <v>14</v>
      </c>
      <c r="T176" s="83">
        <v>3</v>
      </c>
      <c r="U176" s="13">
        <v>405</v>
      </c>
      <c r="V176" s="13">
        <v>405</v>
      </c>
      <c r="W176" s="13">
        <f>Tabla17[[#This Row],[CONSUMO TOTAL PRO VALO]]/52</f>
        <v>7.7884615384615383</v>
      </c>
      <c r="X176" s="21">
        <v>0</v>
      </c>
      <c r="Y176" s="13">
        <v>0</v>
      </c>
      <c r="Z176" s="13">
        <f>Tabla17[[#This Row],[CONSUMO TOTAL TODAS]]/52</f>
        <v>0</v>
      </c>
      <c r="AA176" s="25">
        <f>Tabla17[[#This Row],[CONSUMO PROMEDIO PROPIO]]+Tabla17[[#This Row],[CONSUMO PROMEDIO TODAS]]</f>
        <v>7.7884615384615383</v>
      </c>
      <c r="AB176" s="26">
        <f>Tabla17[[#This Row],[CONSUMO PROMEDIO TOTAL]]*(Tabla17[[#This Row],[FRECUENCIA]]+Tabla17[[#This Row],[TIEMPO REPOSICION ]])*1.7</f>
        <v>344.25</v>
      </c>
      <c r="AC176" s="26">
        <v>0</v>
      </c>
      <c r="AD176" s="26">
        <v>0</v>
      </c>
      <c r="AE176" s="3" t="e">
        <f>VLOOKUP(Tabla17[[#This Row],[CODIGO ]],#REF!,2,0)</f>
        <v>#REF!</v>
      </c>
      <c r="AF176" s="2">
        <f>IFERROR(VLOOKUP(Tabla17[[#This Row],[CODIGO ]],#REF!,2,0),0)</f>
        <v>0</v>
      </c>
      <c r="AG176" s="80" t="e">
        <f>Tabla17[[#This Row],[INVENTARIO FISICO ]]-Tabla17[[#This Row],[BUFFER REAL]]</f>
        <v>#REF!</v>
      </c>
      <c r="AH176" s="27"/>
      <c r="AI176" s="80"/>
      <c r="AJ176" s="80">
        <f>Tabla17[[#This Row],[SINOCHEM EN TRANSITO  ]]+Tabla17[[#This Row],[TRANSITO LOCAL]]</f>
        <v>0</v>
      </c>
      <c r="AK176" s="80"/>
      <c r="AL176" s="80"/>
      <c r="AM176" s="124" t="e">
        <f>Tabla17[[#This Row],[INVENTARIO FISICO ]]-Tabla17[[#This Row],[BUFFER REAL]]+Tabla17[[#This Row],[SINOCHEM EN TRANSITO  ]]+Tabla17[[#This Row],[TRANSITO LOCAL]]</f>
        <v>#REF!</v>
      </c>
      <c r="AN176" s="80">
        <f>Tabla17[[#This Row],[BUFFER REAL]]/((Tabla17[[#This Row],[TIEMPO REPOSICION ]]/Tabla17[[#This Row],[FRECUENCIA]])+1)</f>
        <v>0</v>
      </c>
      <c r="AO176" s="80">
        <v>344</v>
      </c>
      <c r="AP176" s="77"/>
      <c r="AQ176" s="77">
        <v>0</v>
      </c>
      <c r="AR176" s="27">
        <v>0</v>
      </c>
    </row>
    <row r="177" spans="1:44" s="7" customFormat="1">
      <c r="A177" s="18" t="s">
        <v>520</v>
      </c>
      <c r="B177" s="18" t="s">
        <v>521</v>
      </c>
      <c r="C177" s="7" t="s">
        <v>679</v>
      </c>
      <c r="D177" s="7" t="s">
        <v>709</v>
      </c>
      <c r="H177" s="7" t="s">
        <v>720</v>
      </c>
      <c r="I177" s="7" t="s">
        <v>724</v>
      </c>
      <c r="J177" s="7" t="s">
        <v>718</v>
      </c>
      <c r="K177" s="13">
        <v>0</v>
      </c>
      <c r="L177" s="13">
        <f t="shared" si="6"/>
        <v>0</v>
      </c>
      <c r="M177" s="13">
        <v>1.2470000000000001</v>
      </c>
      <c r="N177" s="13"/>
      <c r="O177" s="13"/>
      <c r="P177" s="13" t="s">
        <v>814</v>
      </c>
      <c r="Q177" s="13" t="s">
        <v>873</v>
      </c>
      <c r="R177" s="7">
        <v>12</v>
      </c>
      <c r="S177" s="7">
        <v>14</v>
      </c>
      <c r="T177" s="83">
        <v>3</v>
      </c>
      <c r="U177" s="13">
        <v>1200</v>
      </c>
      <c r="V177" s="13">
        <v>1200</v>
      </c>
      <c r="W177" s="13">
        <f>Tabla17[[#This Row],[CONSUMO TOTAL PRO VALO]]/52</f>
        <v>23.076923076923077</v>
      </c>
      <c r="X177" s="21">
        <v>0</v>
      </c>
      <c r="Y177" s="13">
        <v>0</v>
      </c>
      <c r="Z177" s="13">
        <f>Tabla17[[#This Row],[CONSUMO TOTAL TODAS]]/52</f>
        <v>0</v>
      </c>
      <c r="AA177" s="25">
        <f>Tabla17[[#This Row],[CONSUMO PROMEDIO PROPIO]]+Tabla17[[#This Row],[CONSUMO PROMEDIO TODAS]]</f>
        <v>23.076923076923077</v>
      </c>
      <c r="AB177" s="26">
        <f>Tabla17[[#This Row],[CONSUMO PROMEDIO TOTAL]]*(Tabla17[[#This Row],[FRECUENCIA]]+Tabla17[[#This Row],[TIEMPO REPOSICION ]])*1.7</f>
        <v>1020</v>
      </c>
      <c r="AC177" s="26">
        <v>4000</v>
      </c>
      <c r="AD177" s="26">
        <v>4000</v>
      </c>
      <c r="AE177" s="3" t="e">
        <f>VLOOKUP(Tabla17[[#This Row],[CODIGO ]],#REF!,2,0)</f>
        <v>#REF!</v>
      </c>
      <c r="AF177" s="2">
        <f>IFERROR(VLOOKUP(Tabla17[[#This Row],[CODIGO ]],#REF!,2,0),0)</f>
        <v>0</v>
      </c>
      <c r="AG177" s="80" t="e">
        <f>Tabla17[[#This Row],[INVENTARIO FISICO ]]-Tabla17[[#This Row],[BUFFER REAL]]</f>
        <v>#REF!</v>
      </c>
      <c r="AH177" s="27">
        <v>4000</v>
      </c>
      <c r="AI177" s="80"/>
      <c r="AJ177" s="80">
        <f>Tabla17[[#This Row],[SINOCHEM EN TRANSITO  ]]+Tabla17[[#This Row],[TRANSITO LOCAL]]</f>
        <v>4000</v>
      </c>
      <c r="AK177" s="80"/>
      <c r="AL177" s="80"/>
      <c r="AM177" s="124" t="e">
        <f>Tabla17[[#This Row],[INVENTARIO FISICO ]]-Tabla17[[#This Row],[BUFFER REAL]]+Tabla17[[#This Row],[SINOCHEM EN TRANSITO  ]]+Tabla17[[#This Row],[TRANSITO LOCAL]]</f>
        <v>#REF!</v>
      </c>
      <c r="AN177" s="80">
        <f>Tabla17[[#This Row],[BUFFER REAL]]/((Tabla17[[#This Row],[TIEMPO REPOSICION ]]/Tabla17[[#This Row],[FRECUENCIA]])+1)</f>
        <v>1846.153846153846</v>
      </c>
      <c r="AO177" s="80">
        <v>0</v>
      </c>
      <c r="AP177" s="77"/>
      <c r="AQ177" s="77">
        <v>2000</v>
      </c>
      <c r="AR177" s="27">
        <v>0</v>
      </c>
    </row>
    <row r="178" spans="1:44">
      <c r="A178" s="18" t="s">
        <v>522</v>
      </c>
      <c r="B178" s="18" t="s">
        <v>523</v>
      </c>
      <c r="C178" s="7" t="s">
        <v>676</v>
      </c>
      <c r="D178" s="7" t="s">
        <v>709</v>
      </c>
      <c r="E178" s="7"/>
      <c r="F178" s="7"/>
      <c r="G178" s="7"/>
      <c r="H178" s="7" t="s">
        <v>720</v>
      </c>
      <c r="I178" s="7" t="s">
        <v>724</v>
      </c>
      <c r="J178" s="7" t="s">
        <v>718</v>
      </c>
      <c r="K178" s="13">
        <v>0</v>
      </c>
      <c r="L178" s="13">
        <f t="shared" si="6"/>
        <v>0</v>
      </c>
      <c r="M178" s="13">
        <v>4.6580000000000004</v>
      </c>
      <c r="N178" s="13"/>
      <c r="O178" s="13"/>
      <c r="P178" s="13" t="s">
        <v>814</v>
      </c>
      <c r="Q178" s="13" t="s">
        <v>873</v>
      </c>
      <c r="R178" s="7">
        <v>12</v>
      </c>
      <c r="S178" s="7">
        <v>14</v>
      </c>
      <c r="T178" s="83">
        <v>3</v>
      </c>
      <c r="U178" s="13">
        <v>800</v>
      </c>
      <c r="V178" s="13">
        <v>800</v>
      </c>
      <c r="W178" s="13">
        <f>Tabla17[[#This Row],[CONSUMO TOTAL PRO VALO]]/52</f>
        <v>15.384615384615385</v>
      </c>
      <c r="X178" s="21">
        <v>0</v>
      </c>
      <c r="Y178" s="13">
        <v>0</v>
      </c>
      <c r="Z178" s="13">
        <f>Tabla17[[#This Row],[CONSUMO TOTAL TODAS]]/52</f>
        <v>0</v>
      </c>
      <c r="AA178" s="25">
        <f>Tabla17[[#This Row],[CONSUMO PROMEDIO PROPIO]]+Tabla17[[#This Row],[CONSUMO PROMEDIO TODAS]]</f>
        <v>15.384615384615385</v>
      </c>
      <c r="AB178" s="26">
        <f>Tabla17[[#This Row],[CONSUMO PROMEDIO TOTAL]]*(Tabla17[[#This Row],[FRECUENCIA]]+Tabla17[[#This Row],[TIEMPO REPOSICION ]])*1.7</f>
        <v>680</v>
      </c>
      <c r="AC178" s="26">
        <v>1000</v>
      </c>
      <c r="AD178" s="26">
        <v>1000</v>
      </c>
      <c r="AE178" s="3" t="e">
        <f>VLOOKUP(Tabla17[[#This Row],[CODIGO ]],#REF!,2,0)</f>
        <v>#REF!</v>
      </c>
      <c r="AF178" s="2">
        <f>IFERROR(VLOOKUP(Tabla17[[#This Row],[CODIGO ]],#REF!,2,0),0)</f>
        <v>0</v>
      </c>
      <c r="AG178" s="80" t="e">
        <f>Tabla17[[#This Row],[INVENTARIO FISICO ]]-Tabla17[[#This Row],[BUFFER REAL]]</f>
        <v>#REF!</v>
      </c>
      <c r="AH178" s="27"/>
      <c r="AI178" s="80"/>
      <c r="AJ178" s="80">
        <f>Tabla17[[#This Row],[SINOCHEM EN TRANSITO  ]]+Tabla17[[#This Row],[TRANSITO LOCAL]]</f>
        <v>0</v>
      </c>
      <c r="AK178" s="80"/>
      <c r="AL178" s="80"/>
      <c r="AM178" s="124" t="e">
        <f>Tabla17[[#This Row],[INVENTARIO FISICO ]]-Tabla17[[#This Row],[BUFFER REAL]]+Tabla17[[#This Row],[SINOCHEM EN TRANSITO  ]]+Tabla17[[#This Row],[TRANSITO LOCAL]]</f>
        <v>#REF!</v>
      </c>
      <c r="AN178" s="80">
        <f>Tabla17[[#This Row],[BUFFER REAL]]/((Tabla17[[#This Row],[TIEMPO REPOSICION ]]/Tabla17[[#This Row],[FRECUENCIA]])+1)</f>
        <v>461.53846153846149</v>
      </c>
      <c r="AO178" s="80">
        <v>430</v>
      </c>
      <c r="AP178" s="77"/>
      <c r="AQ178" s="77">
        <v>1000</v>
      </c>
      <c r="AR178" s="27">
        <v>0</v>
      </c>
    </row>
    <row r="179" spans="1:44">
      <c r="A179" s="131" t="s">
        <v>532</v>
      </c>
      <c r="B179" s="132" t="s">
        <v>533</v>
      </c>
      <c r="C179" s="46" t="s">
        <v>703</v>
      </c>
      <c r="D179" s="46" t="s">
        <v>708</v>
      </c>
      <c r="E179" s="46"/>
      <c r="F179" s="46"/>
      <c r="G179" s="46"/>
      <c r="H179" s="46" t="s">
        <v>717</v>
      </c>
      <c r="I179" s="46" t="s">
        <v>767</v>
      </c>
      <c r="J179" s="7" t="s">
        <v>718</v>
      </c>
      <c r="K179" s="49">
        <v>0</v>
      </c>
      <c r="L179" s="49">
        <f t="shared" si="6"/>
        <v>0</v>
      </c>
      <c r="M179" s="49">
        <v>3.03</v>
      </c>
      <c r="N179" s="49"/>
      <c r="O179" s="49"/>
      <c r="P179" s="13" t="s">
        <v>811</v>
      </c>
      <c r="Q179" s="13" t="s">
        <v>873</v>
      </c>
      <c r="R179" s="7">
        <v>26</v>
      </c>
      <c r="S179" s="7">
        <v>12</v>
      </c>
      <c r="T179" s="83">
        <v>3</v>
      </c>
      <c r="U179" s="49">
        <v>1800</v>
      </c>
      <c r="V179" s="49">
        <v>1800</v>
      </c>
      <c r="W179" s="13">
        <f>Tabla17[[#This Row],[CONSUMO TOTAL PRO VALO]]/52</f>
        <v>34.615384615384613</v>
      </c>
      <c r="X179" s="49">
        <v>0</v>
      </c>
      <c r="Y179" s="49">
        <v>0</v>
      </c>
      <c r="Z179" s="49">
        <f>Tabla17[[#This Row],[CONSUMO TOTAL TODAS]]/52</f>
        <v>0</v>
      </c>
      <c r="AA179" s="119">
        <f>Tabla17[[#This Row],[CONSUMO PROMEDIO PROPIO]]+Tabla17[[#This Row],[CONSUMO PROMEDIO TODAS]]</f>
        <v>34.615384615384613</v>
      </c>
      <c r="AB179" s="53">
        <f>Tabla17[[#This Row],[CONSUMO PROMEDIO TOTAL]]*(Tabla17[[#This Row],[FRECUENCIA]]+Tabla17[[#This Row],[TIEMPO REPOSICION ]])*1.7</f>
        <v>2236.1538461538457</v>
      </c>
      <c r="AC179" s="53">
        <v>4000</v>
      </c>
      <c r="AD179" s="53">
        <v>4000</v>
      </c>
      <c r="AE179" s="3" t="e">
        <f>VLOOKUP(Tabla17[[#This Row],[CODIGO ]],#REF!,2,0)</f>
        <v>#REF!</v>
      </c>
      <c r="AF179" s="2">
        <f>IFERROR(VLOOKUP(Tabla17[[#This Row],[CODIGO ]],#REF!,2,0),0)</f>
        <v>0</v>
      </c>
      <c r="AG179" s="90" t="e">
        <f>Tabla17[[#This Row],[INVENTARIO FISICO ]]-Tabla17[[#This Row],[BUFFER REAL]]</f>
        <v>#REF!</v>
      </c>
      <c r="AH179" s="27"/>
      <c r="AI179" s="90"/>
      <c r="AJ179" s="90">
        <f>Tabla17[[#This Row],[SINOCHEM EN TRANSITO  ]]+Tabla17[[#This Row],[TRANSITO LOCAL]]</f>
        <v>0</v>
      </c>
      <c r="AK179" s="90"/>
      <c r="AL179" s="90"/>
      <c r="AM179" s="124" t="e">
        <f>Tabla17[[#This Row],[INVENTARIO FISICO ]]-Tabla17[[#This Row],[BUFFER REAL]]+Tabla17[[#This Row],[SINOCHEM EN TRANSITO  ]]+Tabla17[[#This Row],[TRANSITO LOCAL]]</f>
        <v>#REF!</v>
      </c>
      <c r="AN179" s="90">
        <f>Tabla17[[#This Row],[BUFFER REAL]]/((Tabla17[[#This Row],[TIEMPO REPOSICION ]]/Tabla17[[#This Row],[FRECUENCIA]])+1)</f>
        <v>2736.8421052631575</v>
      </c>
      <c r="AO179" s="90"/>
      <c r="AP179" s="77"/>
      <c r="AQ179" s="77">
        <v>3000</v>
      </c>
      <c r="AR179" s="27">
        <v>0</v>
      </c>
    </row>
    <row r="180" spans="1:44">
      <c r="A180" s="18" t="s">
        <v>534</v>
      </c>
      <c r="B180" s="18" t="s">
        <v>535</v>
      </c>
      <c r="C180" s="7" t="s">
        <v>686</v>
      </c>
      <c r="D180" s="7" t="s">
        <v>707</v>
      </c>
      <c r="E180" s="7"/>
      <c r="F180" s="7"/>
      <c r="G180" s="7"/>
      <c r="H180" s="7" t="s">
        <v>717</v>
      </c>
      <c r="I180" s="46" t="s">
        <v>767</v>
      </c>
      <c r="J180" s="7" t="s">
        <v>718</v>
      </c>
      <c r="K180" s="13">
        <v>0</v>
      </c>
      <c r="L180" s="13">
        <f t="shared" si="6"/>
        <v>0</v>
      </c>
      <c r="M180" s="13">
        <v>1.2536499999999999</v>
      </c>
      <c r="N180" s="13"/>
      <c r="O180" s="13">
        <v>300</v>
      </c>
      <c r="P180" s="13" t="s">
        <v>804</v>
      </c>
      <c r="Q180" s="13" t="s">
        <v>802</v>
      </c>
      <c r="R180" s="7">
        <v>4</v>
      </c>
      <c r="S180" s="7">
        <v>4</v>
      </c>
      <c r="T180" s="7">
        <v>1</v>
      </c>
      <c r="U180" s="13">
        <v>4317</v>
      </c>
      <c r="V180" s="13">
        <v>4317</v>
      </c>
      <c r="W180" s="13">
        <f>Tabla17[[#This Row],[CONSUMO TOTAL PRO VALO]]/52</f>
        <v>83.019230769230774</v>
      </c>
      <c r="X180" s="21">
        <v>0</v>
      </c>
      <c r="Y180" s="13">
        <v>0</v>
      </c>
      <c r="Z180" s="13">
        <f>Tabla17[[#This Row],[CONSUMO TOTAL TODAS]]/52</f>
        <v>0</v>
      </c>
      <c r="AA180" s="25">
        <f>Tabla17[[#This Row],[CONSUMO PROMEDIO PROPIO]]+Tabla17[[#This Row],[CONSUMO PROMEDIO TODAS]]</f>
        <v>83.019230769230774</v>
      </c>
      <c r="AB180" s="26">
        <f>Tabla17[[#This Row],[CONSUMO PROMEDIO TOTAL]]*(Tabla17[[#This Row],[FRECUENCIA]]+Tabla17[[#This Row],[TIEMPO REPOSICION ]])*1.7</f>
        <v>1129.0615384615385</v>
      </c>
      <c r="AC180" s="26">
        <v>1300</v>
      </c>
      <c r="AD180" s="26">
        <v>1300</v>
      </c>
      <c r="AE180" s="3" t="e">
        <f>VLOOKUP(Tabla17[[#This Row],[CODIGO ]],#REF!,2,0)</f>
        <v>#REF!</v>
      </c>
      <c r="AF180" s="2">
        <f>IFERROR(VLOOKUP(Tabla17[[#This Row],[CODIGO ]],#REF!,2,0),0)</f>
        <v>0</v>
      </c>
      <c r="AG180" s="80" t="e">
        <f>Tabla17[[#This Row],[INVENTARIO FISICO ]]-Tabla17[[#This Row],[BUFFER REAL]]</f>
        <v>#REF!</v>
      </c>
      <c r="AH180" s="27"/>
      <c r="AI180" s="118"/>
      <c r="AJ180" s="118">
        <f>Tabla17[[#This Row],[SINOCHEM EN TRANSITO  ]]+Tabla17[[#This Row],[TRANSITO LOCAL]]</f>
        <v>0</v>
      </c>
      <c r="AK180" s="80">
        <v>300</v>
      </c>
      <c r="AL180" s="80"/>
      <c r="AM180" s="124" t="e">
        <f>Tabla17[[#This Row],[INVENTARIO FISICO ]]-Tabla17[[#This Row],[BUFFER REAL]]+Tabla17[[#This Row],[SINOCHEM EN TRANSITO  ]]+Tabla17[[#This Row],[TRANSITO LOCAL]]</f>
        <v>#REF!</v>
      </c>
      <c r="AN180" s="128">
        <f>Tabla17[[#This Row],[BUFFER REAL]]/((Tabla17[[#This Row],[TIEMPO REPOSICION ]]/Tabla17[[#This Row],[FRECUENCIA]])+1)</f>
        <v>650</v>
      </c>
      <c r="AO180" s="80">
        <v>0</v>
      </c>
      <c r="AP180" s="77">
        <v>1300</v>
      </c>
      <c r="AQ180" s="77"/>
      <c r="AR180" s="27">
        <v>650</v>
      </c>
    </row>
    <row r="181" spans="1:44">
      <c r="A181" s="18" t="s">
        <v>536</v>
      </c>
      <c r="B181" s="18" t="s">
        <v>537</v>
      </c>
      <c r="C181" s="7" t="s">
        <v>704</v>
      </c>
      <c r="D181" s="7" t="s">
        <v>707</v>
      </c>
      <c r="E181" s="7"/>
      <c r="F181" s="7"/>
      <c r="G181" s="7"/>
      <c r="H181" s="7" t="s">
        <v>717</v>
      </c>
      <c r="I181" s="46" t="s">
        <v>724</v>
      </c>
      <c r="J181" s="7" t="s">
        <v>718</v>
      </c>
      <c r="K181" s="13">
        <v>0</v>
      </c>
      <c r="L181" s="13">
        <f t="shared" si="6"/>
        <v>0</v>
      </c>
      <c r="M181" s="13">
        <v>150.08000000000001</v>
      </c>
      <c r="N181" s="13"/>
      <c r="O181" s="13"/>
      <c r="P181" s="13" t="s">
        <v>804</v>
      </c>
      <c r="Q181" s="13" t="s">
        <v>802</v>
      </c>
      <c r="R181" s="7">
        <v>4</v>
      </c>
      <c r="S181" s="7">
        <v>4</v>
      </c>
      <c r="T181" s="7">
        <v>1</v>
      </c>
      <c r="U181" s="13">
        <v>0</v>
      </c>
      <c r="V181" s="13">
        <v>0</v>
      </c>
      <c r="W181" s="13">
        <f>Tabla17[[#This Row],[CONSUMO TOTAL PRO VALO]]/52</f>
        <v>0</v>
      </c>
      <c r="X181" s="21">
        <v>0</v>
      </c>
      <c r="Y181" s="13">
        <v>0</v>
      </c>
      <c r="Z181" s="13">
        <f>Tabla17[[#This Row],[CONSUMO TOTAL TODAS]]/52</f>
        <v>0</v>
      </c>
      <c r="AA181" s="25">
        <f>Tabla17[[#This Row],[CONSUMO PROMEDIO PROPIO]]+Tabla17[[#This Row],[CONSUMO PROMEDIO TODAS]]</f>
        <v>0</v>
      </c>
      <c r="AB181" s="26">
        <f>Tabla17[[#This Row],[CONSUMO PROMEDIO TOTAL]]*(Tabla17[[#This Row],[FRECUENCIA]]+Tabla17[[#This Row],[TIEMPO REPOSICION ]])*1.7</f>
        <v>0</v>
      </c>
      <c r="AC181" s="26">
        <v>0</v>
      </c>
      <c r="AD181" s="26">
        <v>0</v>
      </c>
      <c r="AE181" s="3" t="e">
        <f>VLOOKUP(Tabla17[[#This Row],[CODIGO ]],#REF!,2,0)</f>
        <v>#REF!</v>
      </c>
      <c r="AF181" s="2">
        <f>IFERROR(VLOOKUP(Tabla17[[#This Row],[CODIGO ]],#REF!,2,0),0)</f>
        <v>0</v>
      </c>
      <c r="AG181" s="80" t="e">
        <f>Tabla17[[#This Row],[INVENTARIO FISICO ]]-Tabla17[[#This Row],[BUFFER REAL]]</f>
        <v>#REF!</v>
      </c>
      <c r="AH181" s="27"/>
      <c r="AI181" s="80"/>
      <c r="AJ181" s="80">
        <f>Tabla17[[#This Row],[SINOCHEM EN TRANSITO  ]]+Tabla17[[#This Row],[TRANSITO LOCAL]]</f>
        <v>0</v>
      </c>
      <c r="AK181" s="80">
        <v>0</v>
      </c>
      <c r="AL181" s="80"/>
      <c r="AM181" s="124" t="e">
        <f>Tabla17[[#This Row],[INVENTARIO FISICO ]]-Tabla17[[#This Row],[BUFFER REAL]]+Tabla17[[#This Row],[SINOCHEM EN TRANSITO  ]]+Tabla17[[#This Row],[TRANSITO LOCAL]]</f>
        <v>#REF!</v>
      </c>
      <c r="AN181" s="128">
        <f>Tabla17[[#This Row],[BUFFER REAL]]/((Tabla17[[#This Row],[TIEMPO REPOSICION ]]/Tabla17[[#This Row],[FRECUENCIA]])+1)</f>
        <v>0</v>
      </c>
      <c r="AO181" s="80">
        <v>0</v>
      </c>
      <c r="AP181" s="77">
        <v>0</v>
      </c>
      <c r="AQ181" s="77"/>
      <c r="AR181" s="27">
        <v>0</v>
      </c>
    </row>
    <row r="182" spans="1:44">
      <c r="A182" s="18" t="s">
        <v>540</v>
      </c>
      <c r="B182" s="18" t="s">
        <v>541</v>
      </c>
      <c r="C182" s="7" t="s">
        <v>675</v>
      </c>
      <c r="D182" s="7" t="s">
        <v>712</v>
      </c>
      <c r="E182" s="7"/>
      <c r="F182" s="7"/>
      <c r="G182" s="7"/>
      <c r="H182" s="7" t="s">
        <v>720</v>
      </c>
      <c r="I182" s="7" t="s">
        <v>724</v>
      </c>
      <c r="J182" s="7" t="s">
        <v>718</v>
      </c>
      <c r="K182" s="13">
        <v>0</v>
      </c>
      <c r="L182" s="13">
        <f t="shared" si="6"/>
        <v>0</v>
      </c>
      <c r="M182" s="13">
        <v>2343.4900899999998</v>
      </c>
      <c r="N182" s="13"/>
      <c r="O182" s="13"/>
      <c r="P182" s="13" t="s">
        <v>814</v>
      </c>
      <c r="Q182" s="13" t="s">
        <v>873</v>
      </c>
      <c r="R182" s="7">
        <v>12</v>
      </c>
      <c r="S182" s="7">
        <v>14</v>
      </c>
      <c r="T182" s="83">
        <v>3</v>
      </c>
      <c r="U182" s="13">
        <v>6.3639999999999999</v>
      </c>
      <c r="V182" s="13">
        <v>6.3639999999999999</v>
      </c>
      <c r="W182" s="13">
        <f>Tabla17[[#This Row],[CONSUMO TOTAL PRO VALO]]/52</f>
        <v>0.12238461538461538</v>
      </c>
      <c r="X182" s="21">
        <v>0</v>
      </c>
      <c r="Y182" s="13">
        <v>0</v>
      </c>
      <c r="Z182" s="13">
        <f>Tabla17[[#This Row],[CONSUMO TOTAL TODAS]]/52</f>
        <v>0</v>
      </c>
      <c r="AA182" s="25">
        <f>Tabla17[[#This Row],[CONSUMO PROMEDIO PROPIO]]+Tabla17[[#This Row],[CONSUMO PROMEDIO TODAS]]</f>
        <v>0.12238461538461538</v>
      </c>
      <c r="AB182" s="26">
        <f>Tabla17[[#This Row],[CONSUMO PROMEDIO TOTAL]]*(Tabla17[[#This Row],[FRECUENCIA]]+Tabla17[[#This Row],[TIEMPO REPOSICION ]])*1.7</f>
        <v>5.4093999999999998</v>
      </c>
      <c r="AC182" s="26">
        <v>6</v>
      </c>
      <c r="AD182" s="26">
        <v>6</v>
      </c>
      <c r="AE182" s="3" t="e">
        <f>VLOOKUP(Tabla17[[#This Row],[CODIGO ]],#REF!,2,0)</f>
        <v>#REF!</v>
      </c>
      <c r="AF182" s="2">
        <f>IFERROR(VLOOKUP(Tabla17[[#This Row],[CODIGO ]],#REF!,2,0),0)</f>
        <v>0</v>
      </c>
      <c r="AG182" s="80" t="e">
        <f>Tabla17[[#This Row],[INVENTARIO FISICO ]]-Tabla17[[#This Row],[BUFFER REAL]]</f>
        <v>#REF!</v>
      </c>
      <c r="AH182" s="27">
        <v>3</v>
      </c>
      <c r="AI182" s="80"/>
      <c r="AJ182" s="80">
        <f>Tabla17[[#This Row],[SINOCHEM EN TRANSITO  ]]+Tabla17[[#This Row],[TRANSITO LOCAL]]</f>
        <v>3</v>
      </c>
      <c r="AK182" s="80"/>
      <c r="AL182" s="80"/>
      <c r="AM182" s="124" t="e">
        <f>Tabla17[[#This Row],[INVENTARIO FISICO ]]-Tabla17[[#This Row],[BUFFER REAL]]+Tabla17[[#This Row],[SINOCHEM EN TRANSITO  ]]+Tabla17[[#This Row],[TRANSITO LOCAL]]</f>
        <v>#REF!</v>
      </c>
      <c r="AN182" s="80">
        <f>Tabla17[[#This Row],[BUFFER REAL]]/((Tabla17[[#This Row],[TIEMPO REPOSICION ]]/Tabla17[[#This Row],[FRECUENCIA]])+1)</f>
        <v>2.7692307692307687</v>
      </c>
      <c r="AO182" s="80">
        <v>0</v>
      </c>
      <c r="AP182" s="77"/>
      <c r="AQ182" s="77">
        <v>3</v>
      </c>
      <c r="AR182" s="27">
        <v>0</v>
      </c>
    </row>
    <row r="183" spans="1:44">
      <c r="A183" s="18" t="s">
        <v>550</v>
      </c>
      <c r="B183" s="18" t="s">
        <v>914</v>
      </c>
      <c r="C183" s="7" t="s">
        <v>676</v>
      </c>
      <c r="D183" s="7" t="s">
        <v>707</v>
      </c>
      <c r="E183" s="7"/>
      <c r="F183" s="7"/>
      <c r="G183" s="7"/>
      <c r="H183" s="7" t="s">
        <v>717</v>
      </c>
      <c r="I183" s="7" t="s">
        <v>724</v>
      </c>
      <c r="J183" s="7" t="s">
        <v>718</v>
      </c>
      <c r="K183" s="13">
        <v>0</v>
      </c>
      <c r="L183" s="13">
        <f t="shared" si="6"/>
        <v>0</v>
      </c>
      <c r="M183" s="13">
        <v>2.38</v>
      </c>
      <c r="N183" s="13"/>
      <c r="O183" s="13"/>
      <c r="P183" s="13" t="s">
        <v>804</v>
      </c>
      <c r="Q183" s="13" t="s">
        <v>802</v>
      </c>
      <c r="R183" s="7">
        <v>4</v>
      </c>
      <c r="S183" s="7">
        <v>4</v>
      </c>
      <c r="T183" s="7">
        <v>1</v>
      </c>
      <c r="U183" s="13">
        <v>1441</v>
      </c>
      <c r="V183" s="13">
        <v>1441</v>
      </c>
      <c r="W183" s="13">
        <f>Tabla17[[#This Row],[CONSUMO TOTAL PRO VALO]]/52</f>
        <v>27.71153846153846</v>
      </c>
      <c r="X183" s="21">
        <v>0</v>
      </c>
      <c r="Y183" s="13">
        <v>0</v>
      </c>
      <c r="Z183" s="13">
        <f>Tabla17[[#This Row],[CONSUMO TOTAL TODAS]]/52</f>
        <v>0</v>
      </c>
      <c r="AA183" s="25">
        <f>Tabla17[[#This Row],[CONSUMO PROMEDIO PROPIO]]+Tabla17[[#This Row],[CONSUMO PROMEDIO TODAS]]</f>
        <v>27.71153846153846</v>
      </c>
      <c r="AB183" s="26">
        <f>Tabla17[[#This Row],[CONSUMO PROMEDIO TOTAL]]*(Tabla17[[#This Row],[FRECUENCIA]]+Tabla17[[#This Row],[TIEMPO REPOSICION ]])*1.7</f>
        <v>376.87692307692305</v>
      </c>
      <c r="AC183" s="26">
        <v>4</v>
      </c>
      <c r="AD183" s="26">
        <v>600</v>
      </c>
      <c r="AE183" s="3" t="e">
        <f>VLOOKUP(Tabla17[[#This Row],[CODIGO ]],#REF!,2,0)</f>
        <v>#REF!</v>
      </c>
      <c r="AF183" s="2">
        <f>IFERROR(VLOOKUP(Tabla17[[#This Row],[CODIGO ]],#REF!,2,0),0)</f>
        <v>0</v>
      </c>
      <c r="AG183" s="80" t="e">
        <f>Tabla17[[#This Row],[INVENTARIO FISICO ]]-Tabla17[[#This Row],[BUFFER REAL]]</f>
        <v>#REF!</v>
      </c>
      <c r="AH183" s="27"/>
      <c r="AI183" s="118"/>
      <c r="AJ183" s="118">
        <f>Tabla17[[#This Row],[SINOCHEM EN TRANSITO  ]]+Tabla17[[#This Row],[TRANSITO LOCAL]]</f>
        <v>0</v>
      </c>
      <c r="AK183" s="80">
        <v>0</v>
      </c>
      <c r="AL183" s="80"/>
      <c r="AM183" s="124" t="e">
        <f>Tabla17[[#This Row],[INVENTARIO FISICO ]]-Tabla17[[#This Row],[BUFFER REAL]]+Tabla17[[#This Row],[SINOCHEM EN TRANSITO  ]]+Tabla17[[#This Row],[TRANSITO LOCAL]]</f>
        <v>#REF!</v>
      </c>
      <c r="AN183" s="128">
        <f>Tabla17[[#This Row],[BUFFER REAL]]/((Tabla17[[#This Row],[TIEMPO REPOSICION ]]/Tabla17[[#This Row],[FRECUENCIA]])+1)</f>
        <v>300</v>
      </c>
      <c r="AO183" s="80">
        <v>177</v>
      </c>
      <c r="AP183" s="77">
        <v>3</v>
      </c>
      <c r="AQ183" s="77"/>
      <c r="AR183" s="27">
        <v>0</v>
      </c>
    </row>
    <row r="184" spans="1:44">
      <c r="A184" s="18" t="s">
        <v>551</v>
      </c>
      <c r="B184" s="18" t="s">
        <v>552</v>
      </c>
      <c r="C184" s="7" t="s">
        <v>675</v>
      </c>
      <c r="D184" s="7" t="s">
        <v>707</v>
      </c>
      <c r="E184" s="7"/>
      <c r="F184" s="7"/>
      <c r="G184" s="7"/>
      <c r="H184" s="7" t="s">
        <v>717</v>
      </c>
      <c r="I184" s="7" t="s">
        <v>724</v>
      </c>
      <c r="J184" s="7" t="s">
        <v>718</v>
      </c>
      <c r="K184" s="13">
        <v>0</v>
      </c>
      <c r="L184" s="13">
        <f t="shared" si="6"/>
        <v>0</v>
      </c>
      <c r="M184" s="13">
        <v>500.32544999999999</v>
      </c>
      <c r="N184" s="13"/>
      <c r="O184" s="13">
        <v>1</v>
      </c>
      <c r="P184" s="13" t="s">
        <v>804</v>
      </c>
      <c r="Q184" s="13" t="s">
        <v>802</v>
      </c>
      <c r="R184" s="7">
        <v>4</v>
      </c>
      <c r="S184" s="7">
        <v>4</v>
      </c>
      <c r="T184" s="7">
        <v>1</v>
      </c>
      <c r="U184" s="13">
        <v>3.4975000000000001</v>
      </c>
      <c r="V184" s="13">
        <v>3.4975000000000001</v>
      </c>
      <c r="W184" s="13">
        <f>Tabla17[[#This Row],[CONSUMO TOTAL PRO VALO]]/52</f>
        <v>6.725961538461539E-2</v>
      </c>
      <c r="X184" s="21">
        <v>0</v>
      </c>
      <c r="Y184" s="13">
        <v>0</v>
      </c>
      <c r="Z184" s="13">
        <f>Tabla17[[#This Row],[CONSUMO TOTAL TODAS]]/52</f>
        <v>0</v>
      </c>
      <c r="AA184" s="25">
        <f>Tabla17[[#This Row],[CONSUMO PROMEDIO PROPIO]]+Tabla17[[#This Row],[CONSUMO PROMEDIO TODAS]]</f>
        <v>6.725961538461539E-2</v>
      </c>
      <c r="AB184" s="26">
        <f>Tabla17[[#This Row],[CONSUMO PROMEDIO TOTAL]]*(Tabla17[[#This Row],[FRECUENCIA]]+Tabla17[[#This Row],[TIEMPO REPOSICION ]])*1.7</f>
        <v>0.91473076923076924</v>
      </c>
      <c r="AC184" s="26">
        <v>2</v>
      </c>
      <c r="AD184" s="26">
        <v>2</v>
      </c>
      <c r="AE184" s="3" t="e">
        <f>VLOOKUP(Tabla17[[#This Row],[CODIGO ]],#REF!,2,0)</f>
        <v>#REF!</v>
      </c>
      <c r="AF184" s="2">
        <f>IFERROR(VLOOKUP(Tabla17[[#This Row],[CODIGO ]],#REF!,2,0),0)</f>
        <v>0</v>
      </c>
      <c r="AG184" s="80" t="e">
        <f>Tabla17[[#This Row],[INVENTARIO FISICO ]]-Tabla17[[#This Row],[BUFFER REAL]]</f>
        <v>#REF!</v>
      </c>
      <c r="AH184" s="27"/>
      <c r="AI184" s="118"/>
      <c r="AJ184" s="118">
        <f>Tabla17[[#This Row],[SINOCHEM EN TRANSITO  ]]+Tabla17[[#This Row],[TRANSITO LOCAL]]</f>
        <v>0</v>
      </c>
      <c r="AK184" s="80">
        <v>1</v>
      </c>
      <c r="AL184" s="80"/>
      <c r="AM184" s="124" t="e">
        <f>Tabla17[[#This Row],[INVENTARIO FISICO ]]-Tabla17[[#This Row],[BUFFER REAL]]+Tabla17[[#This Row],[SINOCHEM EN TRANSITO  ]]+Tabla17[[#This Row],[TRANSITO LOCAL]]</f>
        <v>#REF!</v>
      </c>
      <c r="AN184" s="128">
        <f>Tabla17[[#This Row],[BUFFER REAL]]/((Tabla17[[#This Row],[TIEMPO REPOSICION ]]/Tabla17[[#This Row],[FRECUENCIA]])+1)</f>
        <v>1</v>
      </c>
      <c r="AO184" s="80">
        <v>0</v>
      </c>
      <c r="AP184" s="77">
        <v>0</v>
      </c>
      <c r="AQ184" s="77"/>
      <c r="AR184" s="27">
        <v>0</v>
      </c>
    </row>
    <row r="185" spans="1:44">
      <c r="A185" s="18" t="s">
        <v>563</v>
      </c>
      <c r="B185" s="18" t="s">
        <v>564</v>
      </c>
      <c r="C185" s="7" t="s">
        <v>674</v>
      </c>
      <c r="D185" s="7" t="s">
        <v>708</v>
      </c>
      <c r="E185" s="7"/>
      <c r="F185" s="7"/>
      <c r="G185" s="7"/>
      <c r="H185" s="7" t="s">
        <v>717</v>
      </c>
      <c r="I185" s="7" t="s">
        <v>724</v>
      </c>
      <c r="J185" s="7" t="s">
        <v>718</v>
      </c>
      <c r="K185" s="13">
        <v>0</v>
      </c>
      <c r="L185" s="13">
        <f t="shared" si="6"/>
        <v>0</v>
      </c>
      <c r="M185" s="13">
        <v>62.31</v>
      </c>
      <c r="N185" s="13"/>
      <c r="O185" s="13"/>
      <c r="P185" s="13" t="s">
        <v>804</v>
      </c>
      <c r="Q185" s="13" t="s">
        <v>802</v>
      </c>
      <c r="R185" s="7">
        <v>4</v>
      </c>
      <c r="S185" s="7">
        <v>4</v>
      </c>
      <c r="T185" s="7">
        <v>1</v>
      </c>
      <c r="U185" s="13">
        <v>45</v>
      </c>
      <c r="V185" s="13">
        <v>45</v>
      </c>
      <c r="W185" s="13">
        <f>Tabla17[[#This Row],[CONSUMO TOTAL PRO VALO]]/52</f>
        <v>0.86538461538461542</v>
      </c>
      <c r="X185" s="21">
        <v>0</v>
      </c>
      <c r="Y185" s="13">
        <v>0</v>
      </c>
      <c r="Z185" s="13">
        <f>Tabla17[[#This Row],[CONSUMO TOTAL TODAS]]/52</f>
        <v>0</v>
      </c>
      <c r="AA185" s="25">
        <f>Tabla17[[#This Row],[CONSUMO PROMEDIO PROPIO]]+Tabla17[[#This Row],[CONSUMO PROMEDIO TODAS]]</f>
        <v>0.86538461538461542</v>
      </c>
      <c r="AB185" s="26">
        <f>Tabla17[[#This Row],[CONSUMO PROMEDIO TOTAL]]*(Tabla17[[#This Row],[FRECUENCIA]]+Tabla17[[#This Row],[TIEMPO REPOSICION ]])*1.7</f>
        <v>11.76923076923077</v>
      </c>
      <c r="AC185" s="26">
        <v>10</v>
      </c>
      <c r="AD185" s="26">
        <v>15</v>
      </c>
      <c r="AE185" s="3" t="e">
        <f>VLOOKUP(Tabla17[[#This Row],[CODIGO ]],#REF!,2,0)</f>
        <v>#REF!</v>
      </c>
      <c r="AF185" s="2">
        <f>IFERROR(VLOOKUP(Tabla17[[#This Row],[CODIGO ]],#REF!,2,0),0)</f>
        <v>0</v>
      </c>
      <c r="AG185" s="80" t="e">
        <f>Tabla17[[#This Row],[INVENTARIO FISICO ]]-Tabla17[[#This Row],[BUFFER REAL]]</f>
        <v>#REF!</v>
      </c>
      <c r="AH185" s="27"/>
      <c r="AI185" s="80"/>
      <c r="AJ185" s="80">
        <f>Tabla17[[#This Row],[SINOCHEM EN TRANSITO  ]]+Tabla17[[#This Row],[TRANSITO LOCAL]]</f>
        <v>0</v>
      </c>
      <c r="AK185" s="80">
        <v>0</v>
      </c>
      <c r="AL185" s="80"/>
      <c r="AM185" s="124" t="e">
        <f>Tabla17[[#This Row],[INVENTARIO FISICO ]]-Tabla17[[#This Row],[BUFFER REAL]]+Tabla17[[#This Row],[SINOCHEM EN TRANSITO  ]]+Tabla17[[#This Row],[TRANSITO LOCAL]]</f>
        <v>#REF!</v>
      </c>
      <c r="AN185" s="128">
        <f>Tabla17[[#This Row],[BUFFER REAL]]/((Tabla17[[#This Row],[TIEMPO REPOSICION ]]/Tabla17[[#This Row],[FRECUENCIA]])+1)</f>
        <v>7.5</v>
      </c>
      <c r="AO185" s="80">
        <v>11</v>
      </c>
      <c r="AP185" s="77">
        <v>0</v>
      </c>
      <c r="AQ185" s="77"/>
      <c r="AR185" s="27">
        <v>7</v>
      </c>
    </row>
    <row r="186" spans="1:44">
      <c r="A186" s="18" t="s">
        <v>565</v>
      </c>
      <c r="B186" s="18" t="s">
        <v>566</v>
      </c>
      <c r="C186" s="7" t="s">
        <v>675</v>
      </c>
      <c r="D186" s="7" t="s">
        <v>708</v>
      </c>
      <c r="E186" s="7"/>
      <c r="F186" s="7"/>
      <c r="G186" s="7"/>
      <c r="H186" s="7" t="s">
        <v>717</v>
      </c>
      <c r="I186" s="7" t="s">
        <v>724</v>
      </c>
      <c r="J186" s="7" t="s">
        <v>718</v>
      </c>
      <c r="K186" s="13">
        <v>0</v>
      </c>
      <c r="L186" s="13">
        <f t="shared" si="6"/>
        <v>0</v>
      </c>
      <c r="M186" s="13">
        <v>620</v>
      </c>
      <c r="N186" s="13"/>
      <c r="O186" s="13">
        <v>1</v>
      </c>
      <c r="P186" s="13" t="s">
        <v>804</v>
      </c>
      <c r="Q186" s="13" t="s">
        <v>802</v>
      </c>
      <c r="R186" s="7">
        <v>4</v>
      </c>
      <c r="S186" s="7">
        <v>4</v>
      </c>
      <c r="T186" s="7">
        <v>1</v>
      </c>
      <c r="U186" s="13">
        <v>9.6840000000000011</v>
      </c>
      <c r="V186" s="13">
        <v>9.6840000000000011</v>
      </c>
      <c r="W186" s="13">
        <f>Tabla17[[#This Row],[CONSUMO TOTAL PRO VALO]]/52</f>
        <v>0.18623076923076926</v>
      </c>
      <c r="X186" s="21">
        <v>0</v>
      </c>
      <c r="Y186" s="13">
        <v>0</v>
      </c>
      <c r="Z186" s="13">
        <f>Tabla17[[#This Row],[CONSUMO TOTAL TODAS]]/52</f>
        <v>0</v>
      </c>
      <c r="AA186" s="25">
        <f>Tabla17[[#This Row],[CONSUMO PROMEDIO PROPIO]]+Tabla17[[#This Row],[CONSUMO PROMEDIO TODAS]]</f>
        <v>0.18623076923076926</v>
      </c>
      <c r="AB186" s="26">
        <v>4</v>
      </c>
      <c r="AC186" s="26">
        <v>3</v>
      </c>
      <c r="AD186" s="26">
        <v>4</v>
      </c>
      <c r="AE186" s="3" t="e">
        <f>VLOOKUP(Tabla17[[#This Row],[CODIGO ]],#REF!,2,0)</f>
        <v>#REF!</v>
      </c>
      <c r="AF186" s="2">
        <f>IFERROR(VLOOKUP(Tabla17[[#This Row],[CODIGO ]],#REF!,2,0),0)</f>
        <v>0</v>
      </c>
      <c r="AG186" s="80" t="e">
        <f>Tabla17[[#This Row],[INVENTARIO FISICO ]]-Tabla17[[#This Row],[BUFFER REAL]]</f>
        <v>#REF!</v>
      </c>
      <c r="AH186" s="27"/>
      <c r="AI186" s="80"/>
      <c r="AJ186" s="80">
        <f>Tabla17[[#This Row],[SINOCHEM EN TRANSITO  ]]+Tabla17[[#This Row],[TRANSITO LOCAL]]</f>
        <v>0</v>
      </c>
      <c r="AK186" s="80">
        <v>1</v>
      </c>
      <c r="AL186" s="80"/>
      <c r="AM186" s="124" t="e">
        <f>Tabla17[[#This Row],[INVENTARIO FISICO ]]-Tabla17[[#This Row],[BUFFER REAL]]+Tabla17[[#This Row],[SINOCHEM EN TRANSITO  ]]+Tabla17[[#This Row],[TRANSITO LOCAL]]</f>
        <v>#REF!</v>
      </c>
      <c r="AN186" s="128">
        <f>Tabla17[[#This Row],[BUFFER REAL]]/((Tabla17[[#This Row],[TIEMPO REPOSICION ]]/Tabla17[[#This Row],[FRECUENCIA]])+1)</f>
        <v>2</v>
      </c>
      <c r="AO186" s="80">
        <v>-2</v>
      </c>
      <c r="AP186" s="77">
        <v>0</v>
      </c>
      <c r="AQ186" s="77"/>
      <c r="AR186" s="27">
        <v>0</v>
      </c>
    </row>
    <row r="187" spans="1:44">
      <c r="A187" s="18" t="s">
        <v>567</v>
      </c>
      <c r="B187" s="18" t="s">
        <v>568</v>
      </c>
      <c r="C187" s="7" t="s">
        <v>676</v>
      </c>
      <c r="D187" s="7" t="s">
        <v>707</v>
      </c>
      <c r="E187" s="7"/>
      <c r="F187" s="7"/>
      <c r="G187" s="7"/>
      <c r="H187" s="7" t="s">
        <v>761</v>
      </c>
      <c r="I187" s="7" t="s">
        <v>724</v>
      </c>
      <c r="J187" s="7" t="s">
        <v>718</v>
      </c>
      <c r="K187" s="13">
        <v>0</v>
      </c>
      <c r="L187" s="13">
        <f t="shared" si="6"/>
        <v>0</v>
      </c>
      <c r="M187" s="13">
        <v>22.75</v>
      </c>
      <c r="N187" s="13"/>
      <c r="O187" s="13"/>
      <c r="P187" s="13" t="s">
        <v>805</v>
      </c>
      <c r="Q187" s="13" t="s">
        <v>802</v>
      </c>
      <c r="R187" s="7">
        <v>4</v>
      </c>
      <c r="S187" s="7">
        <v>4</v>
      </c>
      <c r="T187" s="7">
        <v>1</v>
      </c>
      <c r="U187" s="13">
        <v>0</v>
      </c>
      <c r="V187" s="13">
        <v>0</v>
      </c>
      <c r="W187" s="13">
        <f>Tabla17[[#This Row],[CONSUMO TOTAL PRO VALO]]/52</f>
        <v>0</v>
      </c>
      <c r="X187" s="21">
        <v>0</v>
      </c>
      <c r="Y187" s="13">
        <v>0</v>
      </c>
      <c r="Z187" s="13">
        <f>Tabla17[[#This Row],[CONSUMO TOTAL TODAS]]/52</f>
        <v>0</v>
      </c>
      <c r="AA187" s="25">
        <f>Tabla17[[#This Row],[CONSUMO PROMEDIO PROPIO]]+Tabla17[[#This Row],[CONSUMO PROMEDIO TODAS]]</f>
        <v>0</v>
      </c>
      <c r="AB187" s="26">
        <f>Tabla17[[#This Row],[CONSUMO PROMEDIO TOTAL]]*(Tabla17[[#This Row],[FRECUENCIA]]+Tabla17[[#This Row],[TIEMPO REPOSICION ]])*1.7</f>
        <v>0</v>
      </c>
      <c r="AC187" s="26">
        <v>30</v>
      </c>
      <c r="AD187" s="26">
        <v>50</v>
      </c>
      <c r="AE187" s="133" t="e">
        <f>VLOOKUP(Tabla17[[#This Row],[CODIGO ]],#REF!,2,0)</f>
        <v>#REF!</v>
      </c>
      <c r="AF187" s="2">
        <f>IFERROR(VLOOKUP(Tabla17[[#This Row],[CODIGO ]],#REF!,2,0),0)</f>
        <v>0</v>
      </c>
      <c r="AG187" s="80" t="e">
        <f>Tabla17[[#This Row],[INVENTARIO FISICO ]]-Tabla17[[#This Row],[BUFFER REAL]]</f>
        <v>#REF!</v>
      </c>
      <c r="AH187" s="27"/>
      <c r="AI187" s="80"/>
      <c r="AJ187" s="80">
        <f>Tabla17[[#This Row],[SINOCHEM EN TRANSITO  ]]+Tabla17[[#This Row],[TRANSITO LOCAL]]</f>
        <v>0</v>
      </c>
      <c r="AK187" s="80">
        <v>0</v>
      </c>
      <c r="AL187" s="80"/>
      <c r="AM187" s="124" t="e">
        <f>Tabla17[[#This Row],[INVENTARIO FISICO ]]-Tabla17[[#This Row],[BUFFER REAL]]+Tabla17[[#This Row],[SINOCHEM EN TRANSITO  ]]+Tabla17[[#This Row],[TRANSITO LOCAL]]</f>
        <v>#REF!</v>
      </c>
      <c r="AN187" s="128">
        <f>Tabla17[[#This Row],[BUFFER REAL]]/((Tabla17[[#This Row],[TIEMPO REPOSICION ]]/Tabla17[[#This Row],[FRECUENCIA]])+1)</f>
        <v>25</v>
      </c>
      <c r="AO187" s="80">
        <v>23</v>
      </c>
      <c r="AP187" s="77">
        <v>0</v>
      </c>
      <c r="AQ187" s="77"/>
      <c r="AR187" s="27">
        <v>0</v>
      </c>
    </row>
    <row r="188" spans="1:44">
      <c r="A188" s="130" t="s">
        <v>569</v>
      </c>
      <c r="B188" s="130" t="s">
        <v>868</v>
      </c>
      <c r="C188" s="141" t="s">
        <v>706</v>
      </c>
      <c r="D188" s="20" t="s">
        <v>712</v>
      </c>
      <c r="E188" s="7"/>
      <c r="F188" s="7"/>
      <c r="G188" s="7"/>
      <c r="H188" s="7" t="s">
        <v>869</v>
      </c>
      <c r="I188" s="7" t="s">
        <v>767</v>
      </c>
      <c r="J188" s="7" t="s">
        <v>718</v>
      </c>
      <c r="K188" s="13">
        <v>0</v>
      </c>
      <c r="L188" s="13">
        <f t="shared" si="6"/>
        <v>0</v>
      </c>
      <c r="M188" s="13">
        <v>2400</v>
      </c>
      <c r="N188" s="13"/>
      <c r="O188" s="13"/>
      <c r="P188" s="13" t="s">
        <v>816</v>
      </c>
      <c r="Q188" s="13" t="s">
        <v>802</v>
      </c>
      <c r="R188" s="7">
        <v>4</v>
      </c>
      <c r="S188" s="7">
        <v>4</v>
      </c>
      <c r="T188" s="7">
        <v>1</v>
      </c>
      <c r="U188" s="13"/>
      <c r="V188" s="13"/>
      <c r="W188" s="13">
        <f>Tabla17[[#This Row],[CONSUMO TOTAL PRO VALO]]/52</f>
        <v>0</v>
      </c>
      <c r="X188" s="13" t="e">
        <f>Tabla2[[#This Row],[CONSUMO TOTAL ]]+Tabla3[[#This Row],[CONSUMO TOTAL]]+#REF!+#REF!</f>
        <v>#VALUE!</v>
      </c>
      <c r="Y188" s="13"/>
      <c r="Z188" s="13">
        <f>Tabla17[[#This Row],[CONSUMO TOTAL TODAS]]/52</f>
        <v>0</v>
      </c>
      <c r="AA188" s="40">
        <f>Tabla17[[#This Row],[CONSUMO PROMEDIO PROPIO]]+Tabla17[[#This Row],[CONSUMO PROMEDIO TODAS]]</f>
        <v>0</v>
      </c>
      <c r="AB188" s="26">
        <f>Tabla17[[#This Row],[CONSUMO PROMEDIO TOTAL]]*(Tabla17[[#This Row],[FRECUENCIA]]+Tabla17[[#This Row],[TIEMPO REPOSICION ]])*1.7</f>
        <v>0</v>
      </c>
      <c r="AC188" s="26">
        <v>0.5</v>
      </c>
      <c r="AD188" s="26">
        <v>2</v>
      </c>
      <c r="AE188" s="134" t="e">
        <f>VLOOKUP(Tabla17[[#This Row],[CODIGO ]],#REF!,2,0)</f>
        <v>#REF!</v>
      </c>
      <c r="AF188" s="2">
        <f>IFERROR(VLOOKUP(Tabla17[[#This Row],[CODIGO ]],#REF!,2,0),0)</f>
        <v>0</v>
      </c>
      <c r="AG188" s="80" t="e">
        <f>Tabla17[[#This Row],[INVENTARIO FISICO ]]-Tabla17[[#This Row],[BUFFER REAL]]</f>
        <v>#REF!</v>
      </c>
      <c r="AH188" s="77"/>
      <c r="AI188" s="77"/>
      <c r="AJ188" s="80">
        <f>Tabla17[[#This Row],[SINOCHEM EN TRANSITO  ]]+Tabla17[[#This Row],[TRANSITO LOCAL]]</f>
        <v>0</v>
      </c>
      <c r="AK188" s="80"/>
      <c r="AL188" s="80"/>
      <c r="AM188" s="124" t="e">
        <f>Tabla17[[#This Row],[INVENTARIO FISICO ]]-Tabla17[[#This Row],[BUFFER REAL]]+Tabla17[[#This Row],[SINOCHEM EN TRANSITO  ]]+Tabla17[[#This Row],[TRANSITO LOCAL]]</f>
        <v>#REF!</v>
      </c>
      <c r="AN188" s="80">
        <f>Tabla17[[#This Row],[BUFFER REAL]]/((Tabla17[[#This Row],[TIEMPO REPOSICION ]]/Tabla17[[#This Row],[FRECUENCIA]])+1)</f>
        <v>1</v>
      </c>
      <c r="AO188" s="80"/>
      <c r="AP188" s="77"/>
      <c r="AQ188" s="77"/>
      <c r="AR188" s="27">
        <v>0</v>
      </c>
    </row>
    <row r="189" spans="1:44">
      <c r="A189" s="18" t="s">
        <v>570</v>
      </c>
      <c r="B189" s="18" t="s">
        <v>571</v>
      </c>
      <c r="C189" s="7" t="s">
        <v>671</v>
      </c>
      <c r="D189" s="7" t="s">
        <v>712</v>
      </c>
      <c r="E189" s="7"/>
      <c r="F189" s="7"/>
      <c r="G189" s="7"/>
      <c r="H189" s="7" t="s">
        <v>717</v>
      </c>
      <c r="I189" s="7" t="s">
        <v>724</v>
      </c>
      <c r="J189" s="7" t="s">
        <v>718</v>
      </c>
      <c r="K189" s="13">
        <v>0</v>
      </c>
      <c r="L189" s="13">
        <f t="shared" si="6"/>
        <v>0</v>
      </c>
      <c r="M189" s="13">
        <v>4.75</v>
      </c>
      <c r="N189" s="13"/>
      <c r="O189" s="13"/>
      <c r="P189" s="13" t="s">
        <v>713</v>
      </c>
      <c r="Q189" s="13" t="s">
        <v>802</v>
      </c>
      <c r="R189" s="7">
        <v>4</v>
      </c>
      <c r="S189" s="7">
        <v>4</v>
      </c>
      <c r="T189" s="7">
        <v>1</v>
      </c>
      <c r="U189" s="13">
        <v>1716</v>
      </c>
      <c r="V189" s="13">
        <v>1716</v>
      </c>
      <c r="W189" s="13">
        <f>Tabla17[[#This Row],[CONSUMO TOTAL PRO VALO]]/52</f>
        <v>33</v>
      </c>
      <c r="X189" s="21">
        <v>0</v>
      </c>
      <c r="Y189" s="13">
        <v>0</v>
      </c>
      <c r="Z189" s="13">
        <f>Tabla17[[#This Row],[CONSUMO TOTAL TODAS]]/52</f>
        <v>0</v>
      </c>
      <c r="AA189" s="25">
        <f>Tabla17[[#This Row],[CONSUMO PROMEDIO PROPIO]]+Tabla17[[#This Row],[CONSUMO PROMEDIO TODAS]]</f>
        <v>33</v>
      </c>
      <c r="AB189" s="26">
        <f>Tabla17[[#This Row],[CONSUMO PROMEDIO TOTAL]]*(Tabla17[[#This Row],[FRECUENCIA]]+Tabla17[[#This Row],[TIEMPO REPOSICION ]])*1.7</f>
        <v>448.8</v>
      </c>
      <c r="AC189" s="26">
        <v>449</v>
      </c>
      <c r="AD189" s="26">
        <v>700</v>
      </c>
      <c r="AE189" s="133" t="e">
        <f>VLOOKUP(Tabla17[[#This Row],[CODIGO ]],#REF!,2,0)</f>
        <v>#REF!</v>
      </c>
      <c r="AF189" s="2">
        <f>IFERROR(VLOOKUP(Tabla17[[#This Row],[CODIGO ]],#REF!,2,0),0)</f>
        <v>0</v>
      </c>
      <c r="AG189" s="90" t="e">
        <f>Tabla17[[#This Row],[INVENTARIO FISICO ]]-Tabla17[[#This Row],[BUFFER REAL]]</f>
        <v>#REF!</v>
      </c>
      <c r="AH189" s="27"/>
      <c r="AI189" s="120"/>
      <c r="AJ189" s="120">
        <f>Tabla17[[#This Row],[SINOCHEM EN TRANSITO  ]]+Tabla17[[#This Row],[TRANSITO LOCAL]]</f>
        <v>0</v>
      </c>
      <c r="AK189" s="90"/>
      <c r="AL189" s="90"/>
      <c r="AM189" s="124" t="e">
        <f>Tabla17[[#This Row],[INVENTARIO FISICO ]]-Tabla17[[#This Row],[BUFFER REAL]]+Tabla17[[#This Row],[SINOCHEM EN TRANSITO  ]]+Tabla17[[#This Row],[TRANSITO LOCAL]]</f>
        <v>#REF!</v>
      </c>
      <c r="AN189" s="128">
        <f>Tabla17[[#This Row],[BUFFER REAL]]/((Tabla17[[#This Row],[TIEMPO REPOSICION ]]/Tabla17[[#This Row],[FRECUENCIA]])+1)</f>
        <v>350</v>
      </c>
      <c r="AO189" s="90">
        <v>26</v>
      </c>
      <c r="AP189" s="77">
        <v>449</v>
      </c>
      <c r="AQ189" s="77"/>
      <c r="AR189" s="27">
        <v>300</v>
      </c>
    </row>
    <row r="190" spans="1:44">
      <c r="A190" s="18" t="s">
        <v>572</v>
      </c>
      <c r="B190" s="18" t="s">
        <v>573</v>
      </c>
      <c r="C190" s="7" t="s">
        <v>675</v>
      </c>
      <c r="D190" s="7" t="s">
        <v>707</v>
      </c>
      <c r="E190" s="7"/>
      <c r="F190" s="7"/>
      <c r="G190" s="7"/>
      <c r="H190" s="7" t="s">
        <v>717</v>
      </c>
      <c r="I190" s="7" t="s">
        <v>724</v>
      </c>
      <c r="J190" s="7" t="s">
        <v>718</v>
      </c>
      <c r="K190" s="13">
        <v>0</v>
      </c>
      <c r="L190" s="13">
        <f t="shared" si="6"/>
        <v>0</v>
      </c>
      <c r="M190" s="13">
        <v>12.168369999999999</v>
      </c>
      <c r="N190" s="13"/>
      <c r="O190" s="13">
        <v>1</v>
      </c>
      <c r="P190" s="13" t="s">
        <v>804</v>
      </c>
      <c r="Q190" s="13" t="s">
        <v>802</v>
      </c>
      <c r="R190" s="7">
        <v>4</v>
      </c>
      <c r="S190" s="7">
        <v>4</v>
      </c>
      <c r="T190" s="7">
        <v>1</v>
      </c>
      <c r="U190" s="13">
        <v>7.8169999999999984</v>
      </c>
      <c r="V190" s="13">
        <v>7.8169999999999984</v>
      </c>
      <c r="W190" s="13">
        <f>Tabla17[[#This Row],[CONSUMO TOTAL PRO VALO]]/52</f>
        <v>0.15032692307692305</v>
      </c>
      <c r="X190" s="21">
        <v>0</v>
      </c>
      <c r="Y190" s="13">
        <v>0</v>
      </c>
      <c r="Z190" s="13">
        <f>Tabla17[[#This Row],[CONSUMO TOTAL TODAS]]/52</f>
        <v>0</v>
      </c>
      <c r="AA190" s="25">
        <f>Tabla17[[#This Row],[CONSUMO PROMEDIO PROPIO]]+Tabla17[[#This Row],[CONSUMO PROMEDIO TODAS]]</f>
        <v>0.15032692307692305</v>
      </c>
      <c r="AB190" s="26">
        <f>Tabla17[[#This Row],[CONSUMO PROMEDIO TOTAL]]*(Tabla17[[#This Row],[FRECUENCIA]]+Tabla17[[#This Row],[TIEMPO REPOSICION ]])*1.7</f>
        <v>2.0444461538461534</v>
      </c>
      <c r="AC190" s="26">
        <v>2</v>
      </c>
      <c r="AD190" s="26">
        <v>2</v>
      </c>
      <c r="AE190" s="133" t="e">
        <f>VLOOKUP(Tabla17[[#This Row],[CODIGO ]],#REF!,2,0)</f>
        <v>#REF!</v>
      </c>
      <c r="AF190" s="2">
        <f>IFERROR(VLOOKUP(Tabla17[[#This Row],[CODIGO ]],#REF!,2,0),0)</f>
        <v>0</v>
      </c>
      <c r="AG190" s="80" t="e">
        <f>Tabla17[[#This Row],[INVENTARIO FISICO ]]-Tabla17[[#This Row],[BUFFER REAL]]</f>
        <v>#REF!</v>
      </c>
      <c r="AH190" s="27"/>
      <c r="AI190" s="80"/>
      <c r="AJ190" s="80">
        <f>Tabla17[[#This Row],[SINOCHEM EN TRANSITO  ]]+Tabla17[[#This Row],[TRANSITO LOCAL]]</f>
        <v>0</v>
      </c>
      <c r="AK190" s="80">
        <v>1</v>
      </c>
      <c r="AL190" s="80"/>
      <c r="AM190" s="124" t="e">
        <f>Tabla17[[#This Row],[INVENTARIO FISICO ]]-Tabla17[[#This Row],[BUFFER REAL]]+Tabla17[[#This Row],[SINOCHEM EN TRANSITO  ]]+Tabla17[[#This Row],[TRANSITO LOCAL]]</f>
        <v>#REF!</v>
      </c>
      <c r="AN190" s="128">
        <f>Tabla17[[#This Row],[BUFFER REAL]]/((Tabla17[[#This Row],[TIEMPO REPOSICION ]]/Tabla17[[#This Row],[FRECUENCIA]])+1)</f>
        <v>1</v>
      </c>
      <c r="AO190" s="80">
        <v>0</v>
      </c>
      <c r="AP190" s="77">
        <v>1</v>
      </c>
      <c r="AQ190" s="77"/>
      <c r="AR190" s="27">
        <v>1</v>
      </c>
    </row>
    <row r="191" spans="1:44">
      <c r="A191" s="144" t="s">
        <v>838</v>
      </c>
      <c r="B191" s="145" t="s">
        <v>889</v>
      </c>
      <c r="C191" s="20" t="s">
        <v>689</v>
      </c>
      <c r="D191" s="20" t="s">
        <v>707</v>
      </c>
      <c r="E191" s="20"/>
      <c r="F191" s="20"/>
      <c r="G191" s="20"/>
      <c r="H191" s="20" t="s">
        <v>910</v>
      </c>
      <c r="I191" s="7" t="s">
        <v>767</v>
      </c>
      <c r="J191" s="7" t="s">
        <v>718</v>
      </c>
      <c r="K191" s="21"/>
      <c r="L191" s="21">
        <f t="shared" si="6"/>
        <v>0</v>
      </c>
      <c r="M191" s="21"/>
      <c r="N191" s="21"/>
      <c r="O191" s="21"/>
      <c r="P191" s="21"/>
      <c r="Q191" s="13" t="s">
        <v>802</v>
      </c>
      <c r="R191" s="7">
        <v>4</v>
      </c>
      <c r="S191" s="7">
        <v>4</v>
      </c>
      <c r="T191" s="7">
        <v>1</v>
      </c>
      <c r="U191" s="21"/>
      <c r="V191" s="21"/>
      <c r="W191" s="21">
        <f>Tabla17[[#This Row],[CONSUMO TOTAL PRO VALO]]/52</f>
        <v>0</v>
      </c>
      <c r="X191" s="21" t="e">
        <f>Tabla2[[#This Row],[CONSUMO TOTAL ]]+Tabla3[[#This Row],[CONSUMO TOTAL]]+#REF!+#REF!</f>
        <v>#VALUE!</v>
      </c>
      <c r="Y191" s="21"/>
      <c r="Z191" s="21">
        <f>Tabla17[[#This Row],[CONSUMO TOTAL TODAS]]/52</f>
        <v>0</v>
      </c>
      <c r="AA191" s="28">
        <f>Tabla17[[#This Row],[CONSUMO PROMEDIO PROPIO]]+Tabla17[[#This Row],[CONSUMO PROMEDIO TODAS]]</f>
        <v>0</v>
      </c>
      <c r="AB191" s="33">
        <f>Tabla17[[#This Row],[CONSUMO PROMEDIO TOTAL]]*(Tabla17[[#This Row],[FRECUENCIA]]+Tabla17[[#This Row],[TIEMPO REPOSICION ]])*1.7</f>
        <v>0</v>
      </c>
      <c r="AC191" s="33"/>
      <c r="AD191" s="33">
        <v>500</v>
      </c>
      <c r="AE191" s="135" t="e">
        <f>VLOOKUP(Tabla17[[#This Row],[CODIGO ]],#REF!,2,0)</f>
        <v>#REF!</v>
      </c>
      <c r="AF191" s="116">
        <f>IFERROR(VLOOKUP(Tabla17[[#This Row],[CODIGO ]],#REF!,2,0),0)</f>
        <v>0</v>
      </c>
      <c r="AG191" s="117" t="e">
        <f>Tabla17[[#This Row],[INVENTARIO FISICO ]]-Tabla17[[#This Row],[BUFFER REAL]]</f>
        <v>#REF!</v>
      </c>
      <c r="AH191" s="110"/>
      <c r="AI191" s="110"/>
      <c r="AJ191" s="117">
        <f>Tabla17[[#This Row],[SINOCHEM EN TRANSITO  ]]+Tabla17[[#This Row],[TRANSITO LOCAL]]</f>
        <v>0</v>
      </c>
      <c r="AK191" s="117"/>
      <c r="AL191" s="117"/>
      <c r="AM191" s="142" t="e">
        <f>Tabla17[[#This Row],[INVENTARIO FISICO ]]-Tabla17[[#This Row],[BUFFER REAL]]+Tabla17[[#This Row],[SINOCHEM EN TRANSITO  ]]+Tabla17[[#This Row],[TRANSITO LOCAL]]</f>
        <v>#REF!</v>
      </c>
      <c r="AN191" s="117">
        <f>Tabla17[[#This Row],[BUFFER REAL]]/((Tabla17[[#This Row],[TIEMPO REPOSICION ]]/Tabla17[[#This Row],[FRECUENCIA]])+1)</f>
        <v>250</v>
      </c>
      <c r="AO191" s="117"/>
      <c r="AP191" s="110"/>
      <c r="AQ191" s="110"/>
      <c r="AR191" s="30"/>
    </row>
    <row r="192" spans="1:44">
      <c r="A192" s="149" t="s">
        <v>921</v>
      </c>
      <c r="B192" s="146" t="s">
        <v>923</v>
      </c>
      <c r="C192" s="20" t="s">
        <v>689</v>
      </c>
      <c r="D192" s="20" t="s">
        <v>716</v>
      </c>
      <c r="E192" s="20"/>
      <c r="F192" s="20"/>
      <c r="G192" s="20"/>
      <c r="H192" s="20" t="s">
        <v>718</v>
      </c>
      <c r="I192" s="7" t="s">
        <v>767</v>
      </c>
      <c r="J192" s="20" t="s">
        <v>718</v>
      </c>
      <c r="K192" s="21">
        <v>0</v>
      </c>
      <c r="L192" s="21">
        <f t="shared" si="6"/>
        <v>0</v>
      </c>
      <c r="M192" s="21">
        <v>0</v>
      </c>
      <c r="N192" s="21"/>
      <c r="O192" s="21"/>
      <c r="P192" s="21" t="s">
        <v>808</v>
      </c>
      <c r="Q192" s="13" t="s">
        <v>802</v>
      </c>
      <c r="R192" s="20">
        <v>4</v>
      </c>
      <c r="S192" s="20">
        <v>4</v>
      </c>
      <c r="T192" s="20">
        <v>1</v>
      </c>
      <c r="U192" s="21"/>
      <c r="V192" s="21"/>
      <c r="W192" s="21">
        <f>Tabla17[[#This Row],[CONSUMO TOTAL PRO VALO]]/52</f>
        <v>0</v>
      </c>
      <c r="X192" s="21" t="e">
        <f>Tabla2[[#This Row],[CONSUMO TOTAL ]]+Tabla3[[#This Row],[CONSUMO TOTAL]]+#REF!+#REF!</f>
        <v>#VALUE!</v>
      </c>
      <c r="Y192" s="21"/>
      <c r="Z192" s="21">
        <f>Tabla17[[#This Row],[CONSUMO TOTAL TODAS]]/52</f>
        <v>0</v>
      </c>
      <c r="AA192" s="28">
        <f>Tabla17[[#This Row],[CONSUMO PROMEDIO PROPIO]]+Tabla17[[#This Row],[CONSUMO PROMEDIO TODAS]]</f>
        <v>0</v>
      </c>
      <c r="AB192" s="33">
        <f>Tabla17[[#This Row],[CONSUMO PROMEDIO TOTAL]]*(Tabla17[[#This Row],[FRECUENCIA]]+Tabla17[[#This Row],[TIEMPO REPOSICION ]])*1.7</f>
        <v>0</v>
      </c>
      <c r="AC192" s="33"/>
      <c r="AD192" s="33">
        <v>2800</v>
      </c>
      <c r="AE192" s="135" t="e">
        <f>VLOOKUP(Tabla17[[#This Row],[CODIGO ]],#REF!,2,0)</f>
        <v>#REF!</v>
      </c>
      <c r="AF192" s="116">
        <f>IFERROR(VLOOKUP(Tabla17[[#This Row],[CODIGO ]],#REF!,2,0),0)</f>
        <v>0</v>
      </c>
      <c r="AG192" s="117" t="e">
        <f>Tabla17[[#This Row],[INVENTARIO FISICO ]]-Tabla17[[#This Row],[BUFFER REAL]]</f>
        <v>#REF!</v>
      </c>
      <c r="AH192" s="110"/>
      <c r="AI192" s="110"/>
      <c r="AJ192" s="117">
        <f>Tabla17[[#This Row],[SINOCHEM EN TRANSITO  ]]+Tabla17[[#This Row],[TRANSITO LOCAL]]</f>
        <v>0</v>
      </c>
      <c r="AK192" s="117"/>
      <c r="AL192" s="117"/>
      <c r="AM192" s="142" t="e">
        <f>Tabla17[[#This Row],[INVENTARIO FISICO ]]-Tabla17[[#This Row],[BUFFER REAL]]+Tabla17[[#This Row],[SINOCHEM EN TRANSITO  ]]+Tabla17[[#This Row],[TRANSITO LOCAL]]</f>
        <v>#REF!</v>
      </c>
      <c r="AN192" s="117">
        <f>Tabla17[[#This Row],[BUFFER REAL]]/((Tabla17[[#This Row],[TIEMPO REPOSICION ]]/Tabla17[[#This Row],[FRECUENCIA]])+1)</f>
        <v>1400</v>
      </c>
      <c r="AO192" s="117"/>
      <c r="AP192" s="110"/>
      <c r="AQ192" s="110"/>
      <c r="AR192" s="30"/>
    </row>
    <row r="193" spans="1:44">
      <c r="A193" s="18" t="s">
        <v>643</v>
      </c>
      <c r="B193" s="18" t="s">
        <v>644</v>
      </c>
      <c r="C193" s="7" t="s">
        <v>675</v>
      </c>
      <c r="D193" s="7" t="s">
        <v>712</v>
      </c>
      <c r="E193" s="7"/>
      <c r="F193" s="7"/>
      <c r="G193" s="7"/>
      <c r="H193" s="7" t="s">
        <v>717</v>
      </c>
      <c r="I193" s="7" t="s">
        <v>724</v>
      </c>
      <c r="J193" s="7" t="s">
        <v>718</v>
      </c>
      <c r="K193" s="13">
        <v>0</v>
      </c>
      <c r="L193" s="13">
        <f t="shared" si="6"/>
        <v>0</v>
      </c>
      <c r="M193" s="13">
        <v>1096.77323</v>
      </c>
      <c r="N193" s="13"/>
      <c r="O193" s="13">
        <v>1</v>
      </c>
      <c r="P193" s="13" t="s">
        <v>817</v>
      </c>
      <c r="Q193" s="13" t="s">
        <v>802</v>
      </c>
      <c r="R193" s="7">
        <v>4</v>
      </c>
      <c r="S193" s="7">
        <v>4</v>
      </c>
      <c r="T193" s="7">
        <v>1</v>
      </c>
      <c r="U193" s="13">
        <v>4.6349999999999998</v>
      </c>
      <c r="V193" s="13">
        <v>4.6349999999999998</v>
      </c>
      <c r="W193" s="13">
        <f>Tabla17[[#This Row],[CONSUMO TOTAL PRO VALO]]/52</f>
        <v>8.9134615384615382E-2</v>
      </c>
      <c r="X193" s="21">
        <v>0</v>
      </c>
      <c r="Y193" s="13">
        <v>0</v>
      </c>
      <c r="Z193" s="13">
        <f>Tabla17[[#This Row],[CONSUMO TOTAL TODAS]]/52</f>
        <v>0</v>
      </c>
      <c r="AA193" s="25">
        <f>Tabla17[[#This Row],[CONSUMO PROMEDIO PROPIO]]+Tabla17[[#This Row],[CONSUMO PROMEDIO TODAS]]</f>
        <v>8.9134615384615382E-2</v>
      </c>
      <c r="AB193" s="26">
        <f>Tabla17[[#This Row],[CONSUMO PROMEDIO TOTAL]]*(Tabla17[[#This Row],[FRECUENCIA]]+Tabla17[[#This Row],[TIEMPO REPOSICION ]])*1.7</f>
        <v>1.2122307692307692</v>
      </c>
      <c r="AC193" s="26">
        <v>3</v>
      </c>
      <c r="AD193" s="26">
        <v>4</v>
      </c>
      <c r="AE193" s="133" t="e">
        <f>VLOOKUP(Tabla17[[#This Row],[CODIGO ]],#REF!,2,0)</f>
        <v>#REF!</v>
      </c>
      <c r="AF193" s="2">
        <f>IFERROR(VLOOKUP(Tabla17[[#This Row],[CODIGO ]],#REF!,2,0),0)</f>
        <v>0</v>
      </c>
      <c r="AG193" s="80" t="e">
        <f>Tabla17[[#This Row],[INVENTARIO FISICO ]]-Tabla17[[#This Row],[BUFFER REAL]]</f>
        <v>#REF!</v>
      </c>
      <c r="AH193" s="27"/>
      <c r="AI193" s="80"/>
      <c r="AJ193" s="80">
        <f>Tabla17[[#This Row],[SINOCHEM EN TRANSITO  ]]+Tabla17[[#This Row],[TRANSITO LOCAL]]</f>
        <v>0</v>
      </c>
      <c r="AK193" s="80"/>
      <c r="AL193" s="80"/>
      <c r="AM193" s="124" t="e">
        <f>Tabla17[[#This Row],[INVENTARIO FISICO ]]-Tabla17[[#This Row],[BUFFER REAL]]+Tabla17[[#This Row],[SINOCHEM EN TRANSITO  ]]+Tabla17[[#This Row],[TRANSITO LOCAL]]</f>
        <v>#REF!</v>
      </c>
      <c r="AN193" s="128">
        <f>Tabla17[[#This Row],[BUFFER REAL]]/((Tabla17[[#This Row],[TIEMPO REPOSICION ]]/Tabla17[[#This Row],[FRECUENCIA]])+1)</f>
        <v>2</v>
      </c>
      <c r="AO193" s="80">
        <v>0</v>
      </c>
      <c r="AP193" s="77">
        <v>0</v>
      </c>
      <c r="AQ193" s="77"/>
      <c r="AR193" s="27">
        <v>1</v>
      </c>
    </row>
    <row r="194" spans="1:44">
      <c r="A194" s="18" t="s">
        <v>645</v>
      </c>
      <c r="B194" s="18" t="s">
        <v>646</v>
      </c>
      <c r="C194" s="7" t="s">
        <v>675</v>
      </c>
      <c r="D194" s="7" t="s">
        <v>707</v>
      </c>
      <c r="E194" s="7"/>
      <c r="F194" s="7"/>
      <c r="G194" s="7"/>
      <c r="H194" s="7" t="s">
        <v>717</v>
      </c>
      <c r="I194" s="7" t="s">
        <v>724</v>
      </c>
      <c r="J194" s="7" t="s">
        <v>718</v>
      </c>
      <c r="K194" s="13">
        <v>0</v>
      </c>
      <c r="L194" s="13">
        <f t="shared" si="6"/>
        <v>0</v>
      </c>
      <c r="M194" s="13">
        <v>263.38454000000002</v>
      </c>
      <c r="N194" s="13"/>
      <c r="O194" s="13">
        <v>1</v>
      </c>
      <c r="P194" s="13" t="s">
        <v>804</v>
      </c>
      <c r="Q194" s="13" t="s">
        <v>802</v>
      </c>
      <c r="R194" s="7">
        <v>4</v>
      </c>
      <c r="S194" s="7">
        <v>4</v>
      </c>
      <c r="T194" s="7">
        <v>1</v>
      </c>
      <c r="U194" s="13">
        <v>7.1672500000000001</v>
      </c>
      <c r="V194" s="13">
        <v>7.1672500000000001</v>
      </c>
      <c r="W194" s="13">
        <f>Tabla17[[#This Row],[CONSUMO TOTAL PRO VALO]]/52</f>
        <v>0.13783173076923078</v>
      </c>
      <c r="X194" s="21">
        <v>0</v>
      </c>
      <c r="Y194" s="13">
        <v>0</v>
      </c>
      <c r="Z194" s="13">
        <f>Tabla17[[#This Row],[CONSUMO TOTAL TODAS]]/52</f>
        <v>0</v>
      </c>
      <c r="AA194" s="25">
        <f>Tabla17[[#This Row],[CONSUMO PROMEDIO PROPIO]]+Tabla17[[#This Row],[CONSUMO PROMEDIO TODAS]]</f>
        <v>0.13783173076923078</v>
      </c>
      <c r="AB194" s="26">
        <f>Tabla17[[#This Row],[CONSUMO PROMEDIO TOTAL]]*(Tabla17[[#This Row],[FRECUENCIA]]+Tabla17[[#This Row],[TIEMPO REPOSICION ]])*1.7</f>
        <v>1.8745115384615385</v>
      </c>
      <c r="AC194" s="26">
        <v>2</v>
      </c>
      <c r="AD194" s="26">
        <v>2</v>
      </c>
      <c r="AE194" s="133" t="e">
        <f>VLOOKUP(Tabla17[[#This Row],[CODIGO ]],#REF!,2,0)</f>
        <v>#REF!</v>
      </c>
      <c r="AF194" s="2">
        <f>IFERROR(VLOOKUP(Tabla17[[#This Row],[CODIGO ]],#REF!,2,0),0)</f>
        <v>0</v>
      </c>
      <c r="AG194" s="80" t="e">
        <f>Tabla17[[#This Row],[INVENTARIO FISICO ]]-Tabla17[[#This Row],[BUFFER REAL]]</f>
        <v>#REF!</v>
      </c>
      <c r="AH194" s="27"/>
      <c r="AI194" s="80"/>
      <c r="AJ194" s="80">
        <f>Tabla17[[#This Row],[SINOCHEM EN TRANSITO  ]]+Tabla17[[#This Row],[TRANSITO LOCAL]]</f>
        <v>0</v>
      </c>
      <c r="AK194" s="80">
        <v>1</v>
      </c>
      <c r="AL194" s="80"/>
      <c r="AM194" s="124" t="e">
        <f>Tabla17[[#This Row],[INVENTARIO FISICO ]]-Tabla17[[#This Row],[BUFFER REAL]]+Tabla17[[#This Row],[SINOCHEM EN TRANSITO  ]]+Tabla17[[#This Row],[TRANSITO LOCAL]]</f>
        <v>#REF!</v>
      </c>
      <c r="AN194" s="128">
        <f>Tabla17[[#This Row],[BUFFER REAL]]/((Tabla17[[#This Row],[TIEMPO REPOSICION ]]/Tabla17[[#This Row],[FRECUENCIA]])+1)</f>
        <v>1</v>
      </c>
      <c r="AO194" s="80">
        <v>0</v>
      </c>
      <c r="AP194" s="77">
        <v>1</v>
      </c>
      <c r="AQ194" s="77"/>
      <c r="AR194" s="27">
        <v>1</v>
      </c>
    </row>
    <row r="195" spans="1:44">
      <c r="A195" s="18" t="s">
        <v>653</v>
      </c>
      <c r="B195" s="18" t="s">
        <v>654</v>
      </c>
      <c r="C195" s="7" t="s">
        <v>687</v>
      </c>
      <c r="D195" s="7" t="s">
        <v>707</v>
      </c>
      <c r="E195" s="7"/>
      <c r="F195" s="7"/>
      <c r="G195" s="7"/>
      <c r="H195" s="7" t="s">
        <v>761</v>
      </c>
      <c r="I195" s="7" t="s">
        <v>724</v>
      </c>
      <c r="J195" s="7" t="s">
        <v>718</v>
      </c>
      <c r="K195" s="13">
        <v>0</v>
      </c>
      <c r="L195" s="13">
        <f t="shared" si="6"/>
        <v>0</v>
      </c>
      <c r="M195" s="13">
        <v>120.27273</v>
      </c>
      <c r="N195" s="13"/>
      <c r="O195" s="13"/>
      <c r="P195" s="13" t="s">
        <v>805</v>
      </c>
      <c r="Q195" s="13" t="s">
        <v>802</v>
      </c>
      <c r="R195" s="7">
        <v>4</v>
      </c>
      <c r="S195" s="7">
        <v>4</v>
      </c>
      <c r="T195" s="7">
        <v>1</v>
      </c>
      <c r="U195" s="13">
        <v>5</v>
      </c>
      <c r="V195" s="13">
        <v>5</v>
      </c>
      <c r="W195" s="13">
        <f>Tabla17[[#This Row],[CONSUMO TOTAL PRO VALO]]/52</f>
        <v>9.6153846153846159E-2</v>
      </c>
      <c r="X195" s="21">
        <v>0</v>
      </c>
      <c r="Y195" s="13">
        <v>0</v>
      </c>
      <c r="Z195" s="13">
        <f>Tabla17[[#This Row],[CONSUMO TOTAL TODAS]]/52</f>
        <v>0</v>
      </c>
      <c r="AA195" s="25">
        <f>Tabla17[[#This Row],[CONSUMO PROMEDIO PROPIO]]+Tabla17[[#This Row],[CONSUMO PROMEDIO TODAS]]</f>
        <v>9.6153846153846159E-2</v>
      </c>
      <c r="AB195" s="26">
        <f>Tabla17[[#This Row],[CONSUMO PROMEDIO TOTAL]]*(Tabla17[[#This Row],[FRECUENCIA]]+Tabla17[[#This Row],[TIEMPO REPOSICION ]])*1.7</f>
        <v>1.3076923076923077</v>
      </c>
      <c r="AC195" s="26">
        <v>2</v>
      </c>
      <c r="AD195" s="26">
        <v>2</v>
      </c>
      <c r="AE195" s="133" t="e">
        <f>VLOOKUP(Tabla17[[#This Row],[CODIGO ]],#REF!,2,0)</f>
        <v>#REF!</v>
      </c>
      <c r="AF195" s="2">
        <f>IFERROR(VLOOKUP(Tabla17[[#This Row],[CODIGO ]],#REF!,2,0),0)</f>
        <v>0</v>
      </c>
      <c r="AG195" s="80" t="e">
        <f>Tabla17[[#This Row],[INVENTARIO FISICO ]]-Tabla17[[#This Row],[BUFFER REAL]]</f>
        <v>#REF!</v>
      </c>
      <c r="AH195" s="27"/>
      <c r="AI195" s="80"/>
      <c r="AJ195" s="80">
        <f>Tabla17[[#This Row],[SINOCHEM EN TRANSITO  ]]+Tabla17[[#This Row],[TRANSITO LOCAL]]</f>
        <v>0</v>
      </c>
      <c r="AK195" s="80">
        <v>0</v>
      </c>
      <c r="AL195" s="80"/>
      <c r="AM195" s="124" t="e">
        <f>Tabla17[[#This Row],[INVENTARIO FISICO ]]-Tabla17[[#This Row],[BUFFER REAL]]+Tabla17[[#This Row],[SINOCHEM EN TRANSITO  ]]+Tabla17[[#This Row],[TRANSITO LOCAL]]</f>
        <v>#REF!</v>
      </c>
      <c r="AN195" s="128">
        <f>Tabla17[[#This Row],[BUFFER REAL]]/((Tabla17[[#This Row],[TIEMPO REPOSICION ]]/Tabla17[[#This Row],[FRECUENCIA]])+1)</f>
        <v>1</v>
      </c>
      <c r="AO195" s="80">
        <v>0</v>
      </c>
      <c r="AP195" s="77">
        <v>2</v>
      </c>
      <c r="AQ195" s="77"/>
      <c r="AR195" s="27">
        <v>0</v>
      </c>
    </row>
    <row r="196" spans="1:44">
      <c r="A196" s="18" t="s">
        <v>655</v>
      </c>
      <c r="B196" s="18" t="s">
        <v>656</v>
      </c>
      <c r="C196" s="7" t="s">
        <v>681</v>
      </c>
      <c r="D196" s="7" t="s">
        <v>707</v>
      </c>
      <c r="E196" s="7"/>
      <c r="F196" s="7"/>
      <c r="G196" s="7"/>
      <c r="H196" s="7" t="s">
        <v>761</v>
      </c>
      <c r="I196" s="7" t="s">
        <v>724</v>
      </c>
      <c r="J196" s="7" t="s">
        <v>718</v>
      </c>
      <c r="K196" s="13">
        <v>0</v>
      </c>
      <c r="L196" s="13">
        <f t="shared" si="6"/>
        <v>0</v>
      </c>
      <c r="M196" s="13">
        <v>24.6</v>
      </c>
      <c r="N196" s="13"/>
      <c r="O196" s="13"/>
      <c r="P196" s="13" t="s">
        <v>805</v>
      </c>
      <c r="Q196" s="13" t="s">
        <v>802</v>
      </c>
      <c r="R196" s="7">
        <v>4</v>
      </c>
      <c r="S196" s="7">
        <v>4</v>
      </c>
      <c r="T196" s="7">
        <v>1</v>
      </c>
      <c r="U196" s="13">
        <v>0</v>
      </c>
      <c r="V196" s="13">
        <v>0</v>
      </c>
      <c r="W196" s="13">
        <f>Tabla17[[#This Row],[CONSUMO TOTAL PRO VALO]]/52</f>
        <v>0</v>
      </c>
      <c r="X196" s="21">
        <v>0</v>
      </c>
      <c r="Y196" s="13">
        <v>0</v>
      </c>
      <c r="Z196" s="13">
        <f>Tabla17[[#This Row],[CONSUMO TOTAL TODAS]]/52</f>
        <v>0</v>
      </c>
      <c r="AA196" s="25">
        <f>Tabla17[[#This Row],[CONSUMO PROMEDIO PROPIO]]+Tabla17[[#This Row],[CONSUMO PROMEDIO TODAS]]</f>
        <v>0</v>
      </c>
      <c r="AB196" s="26">
        <f>Tabla17[[#This Row],[CONSUMO PROMEDIO TOTAL]]*(Tabla17[[#This Row],[FRECUENCIA]]+Tabla17[[#This Row],[TIEMPO REPOSICION ]])*1.7</f>
        <v>0</v>
      </c>
      <c r="AC196" s="26">
        <v>0</v>
      </c>
      <c r="AD196" s="26">
        <v>0</v>
      </c>
      <c r="AE196" s="133" t="e">
        <f>VLOOKUP(Tabla17[[#This Row],[CODIGO ]],#REF!,2,0)</f>
        <v>#REF!</v>
      </c>
      <c r="AF196" s="2">
        <f>IFERROR(VLOOKUP(Tabla17[[#This Row],[CODIGO ]],#REF!,2,0),0)</f>
        <v>0</v>
      </c>
      <c r="AG196" s="80" t="e">
        <f>Tabla17[[#This Row],[INVENTARIO FISICO ]]-Tabla17[[#This Row],[BUFFER REAL]]</f>
        <v>#REF!</v>
      </c>
      <c r="AH196" s="27"/>
      <c r="AI196" s="80"/>
      <c r="AJ196" s="80">
        <f>Tabla17[[#This Row],[SINOCHEM EN TRANSITO  ]]+Tabla17[[#This Row],[TRANSITO LOCAL]]</f>
        <v>0</v>
      </c>
      <c r="AK196" s="80">
        <v>0</v>
      </c>
      <c r="AL196" s="80"/>
      <c r="AM196" s="124" t="e">
        <f>Tabla17[[#This Row],[INVENTARIO FISICO ]]-Tabla17[[#This Row],[BUFFER REAL]]+Tabla17[[#This Row],[SINOCHEM EN TRANSITO  ]]+Tabla17[[#This Row],[TRANSITO LOCAL]]</f>
        <v>#REF!</v>
      </c>
      <c r="AN196" s="128">
        <f>Tabla17[[#This Row],[BUFFER REAL]]/((Tabla17[[#This Row],[TIEMPO REPOSICION ]]/Tabla17[[#This Row],[FRECUENCIA]])+1)</f>
        <v>0</v>
      </c>
      <c r="AO196" s="80">
        <v>0</v>
      </c>
      <c r="AP196" s="77">
        <v>0</v>
      </c>
      <c r="AQ196" s="77"/>
      <c r="AR196" s="27">
        <v>0</v>
      </c>
    </row>
    <row r="197" spans="1:44">
      <c r="A197" s="18" t="s">
        <v>657</v>
      </c>
      <c r="B197" s="18" t="s">
        <v>658</v>
      </c>
      <c r="C197" s="7" t="s">
        <v>676</v>
      </c>
      <c r="D197" s="7" t="s">
        <v>707</v>
      </c>
      <c r="E197" s="7"/>
      <c r="F197" s="7"/>
      <c r="G197" s="7"/>
      <c r="H197" s="7" t="s">
        <v>761</v>
      </c>
      <c r="I197" s="7" t="s">
        <v>724</v>
      </c>
      <c r="J197" s="7" t="s">
        <v>718</v>
      </c>
      <c r="K197" s="21">
        <v>0</v>
      </c>
      <c r="L197" s="21">
        <f t="shared" si="6"/>
        <v>0</v>
      </c>
      <c r="M197" s="21">
        <v>6.15</v>
      </c>
      <c r="N197" s="21"/>
      <c r="O197" s="21"/>
      <c r="P197" s="13" t="s">
        <v>805</v>
      </c>
      <c r="Q197" s="13" t="s">
        <v>802</v>
      </c>
      <c r="R197" s="7">
        <v>4</v>
      </c>
      <c r="S197" s="20">
        <v>4</v>
      </c>
      <c r="T197" s="7">
        <v>1</v>
      </c>
      <c r="U197" s="21">
        <v>0</v>
      </c>
      <c r="V197" s="21">
        <v>0</v>
      </c>
      <c r="W197" s="13">
        <f>Tabla17[[#This Row],[CONSUMO TOTAL PRO VALO]]/52</f>
        <v>0</v>
      </c>
      <c r="X197" s="21">
        <v>0</v>
      </c>
      <c r="Y197" s="13">
        <v>0</v>
      </c>
      <c r="Z197" s="13">
        <f>Tabla17[[#This Row],[CONSUMO TOTAL TODAS]]/52</f>
        <v>0</v>
      </c>
      <c r="AA197" s="29">
        <f>Tabla17[[#This Row],[CONSUMO PROMEDIO PROPIO]]+Tabla17[[#This Row],[CONSUMO PROMEDIO TODAS]]</f>
        <v>0</v>
      </c>
      <c r="AB197" s="33">
        <f>Tabla17[[#This Row],[CONSUMO PROMEDIO TOTAL]]*(Tabla17[[#This Row],[FRECUENCIA]]+Tabla17[[#This Row],[TIEMPO REPOSICION ]])*1.7</f>
        <v>0</v>
      </c>
      <c r="AC197" s="33">
        <v>0</v>
      </c>
      <c r="AD197" s="33">
        <v>0</v>
      </c>
      <c r="AE197" s="133" t="e">
        <f>VLOOKUP(Tabla17[[#This Row],[CODIGO ]],#REF!,2,0)</f>
        <v>#REF!</v>
      </c>
      <c r="AF197" s="2">
        <f>IFERROR(VLOOKUP(Tabla17[[#This Row],[CODIGO ]],#REF!,2,0),0)</f>
        <v>0</v>
      </c>
      <c r="AG197" s="80" t="e">
        <f>Tabla17[[#This Row],[INVENTARIO FISICO ]]-Tabla17[[#This Row],[BUFFER REAL]]</f>
        <v>#REF!</v>
      </c>
      <c r="AH197" s="27"/>
      <c r="AI197" s="80"/>
      <c r="AJ197" s="80">
        <f>Tabla17[[#This Row],[SINOCHEM EN TRANSITO  ]]+Tabla17[[#This Row],[TRANSITO LOCAL]]</f>
        <v>0</v>
      </c>
      <c r="AK197" s="80">
        <v>0</v>
      </c>
      <c r="AL197" s="80"/>
      <c r="AM197" s="124" t="e">
        <f>Tabla17[[#This Row],[INVENTARIO FISICO ]]-Tabla17[[#This Row],[BUFFER REAL]]+Tabla17[[#This Row],[SINOCHEM EN TRANSITO  ]]+Tabla17[[#This Row],[TRANSITO LOCAL]]</f>
        <v>#REF!</v>
      </c>
      <c r="AN197" s="128">
        <f>Tabla17[[#This Row],[BUFFER REAL]]/((Tabla17[[#This Row],[TIEMPO REPOSICION ]]/Tabla17[[#This Row],[FRECUENCIA]])+1)</f>
        <v>0</v>
      </c>
      <c r="AO197" s="80">
        <v>0</v>
      </c>
      <c r="AP197" s="77">
        <v>0</v>
      </c>
      <c r="AQ197" s="77"/>
      <c r="AR197" s="27">
        <v>0</v>
      </c>
    </row>
    <row r="198" spans="1:44">
      <c r="A198" s="18" t="s">
        <v>852</v>
      </c>
      <c r="B198" s="147" t="s">
        <v>928</v>
      </c>
      <c r="C198" s="20" t="s">
        <v>929</v>
      </c>
      <c r="D198" s="7" t="s">
        <v>707</v>
      </c>
      <c r="E198" s="20"/>
      <c r="F198" s="20"/>
      <c r="G198" s="20"/>
      <c r="H198" s="20" t="s">
        <v>718</v>
      </c>
      <c r="I198" s="20" t="s">
        <v>767</v>
      </c>
      <c r="J198" s="20" t="s">
        <v>718</v>
      </c>
      <c r="K198" s="21"/>
      <c r="L198" s="21">
        <f t="shared" ref="L198:L203" si="7">+K198*75%</f>
        <v>0</v>
      </c>
      <c r="M198" s="21"/>
      <c r="N198" s="21"/>
      <c r="O198" s="21"/>
      <c r="P198" s="21"/>
      <c r="Q198" s="21" t="s">
        <v>802</v>
      </c>
      <c r="R198" s="20">
        <v>4</v>
      </c>
      <c r="S198" s="20">
        <v>4</v>
      </c>
      <c r="T198" s="20">
        <v>1</v>
      </c>
      <c r="U198" s="21"/>
      <c r="V198" s="21"/>
      <c r="W198" s="21">
        <f>Tabla17[[#This Row],[CONSUMO TOTAL PRO VALO]]/52</f>
        <v>0</v>
      </c>
      <c r="X198" s="21" t="e">
        <f>Tabla2[[#This Row],[CONSUMO TOTAL ]]+Tabla3[[#This Row],[CONSUMO TOTAL]]+#REF!+#REF!</f>
        <v>#VALUE!</v>
      </c>
      <c r="Y198" s="21"/>
      <c r="Z198" s="21">
        <f>Tabla17[[#This Row],[CONSUMO TOTAL TODAS]]/52</f>
        <v>0</v>
      </c>
      <c r="AA198" s="28">
        <f>Tabla17[[#This Row],[CONSUMO PROMEDIO PROPIO]]+Tabla17[[#This Row],[CONSUMO PROMEDIO TODAS]]</f>
        <v>0</v>
      </c>
      <c r="AB198" s="33">
        <f>Tabla17[[#This Row],[CONSUMO PROMEDIO TOTAL]]*(Tabla17[[#This Row],[FRECUENCIA]]+Tabla17[[#This Row],[TIEMPO REPOSICION ]])*1.7</f>
        <v>0</v>
      </c>
      <c r="AC198" s="33"/>
      <c r="AD198" s="33">
        <v>1500</v>
      </c>
      <c r="AE198" s="135" t="e">
        <f>VLOOKUP(Tabla17[[#This Row],[CODIGO ]],#REF!,2,0)</f>
        <v>#REF!</v>
      </c>
      <c r="AF198" s="116">
        <f>IFERROR(VLOOKUP(Tabla17[[#This Row],[CODIGO ]],#REF!,2,0),0)</f>
        <v>0</v>
      </c>
      <c r="AG198" s="117" t="e">
        <f>Tabla17[[#This Row],[INVENTARIO FISICO ]]-Tabla17[[#This Row],[BUFFER REAL]]</f>
        <v>#REF!</v>
      </c>
      <c r="AH198" s="110"/>
      <c r="AI198" s="110"/>
      <c r="AJ198" s="117">
        <f>Tabla17[[#This Row],[SINOCHEM EN TRANSITO  ]]+Tabla17[[#This Row],[TRANSITO LOCAL]]</f>
        <v>0</v>
      </c>
      <c r="AK198" s="117"/>
      <c r="AL198" s="117"/>
      <c r="AM198" s="142" t="e">
        <f>Tabla17[[#This Row],[INVENTARIO FISICO ]]-Tabla17[[#This Row],[BUFFER REAL]]+Tabla17[[#This Row],[SINOCHEM EN TRANSITO  ]]+Tabla17[[#This Row],[TRANSITO LOCAL]]</f>
        <v>#REF!</v>
      </c>
      <c r="AN198" s="117">
        <f>Tabla17[[#This Row],[BUFFER REAL]]/((Tabla17[[#This Row],[TIEMPO REPOSICION ]]/Tabla17[[#This Row],[FRECUENCIA]])+1)</f>
        <v>750</v>
      </c>
      <c r="AO198" s="117"/>
      <c r="AP198" s="110"/>
      <c r="AQ198" s="110"/>
      <c r="AR198" s="30"/>
    </row>
    <row r="199" spans="1:44">
      <c r="A199" s="18" t="s">
        <v>829</v>
      </c>
      <c r="B199" s="147" t="s">
        <v>888</v>
      </c>
      <c r="C199" s="20" t="s">
        <v>705</v>
      </c>
      <c r="D199" s="7" t="s">
        <v>707</v>
      </c>
      <c r="E199" s="20"/>
      <c r="F199" s="20"/>
      <c r="G199" s="20"/>
      <c r="H199" s="20" t="s">
        <v>718</v>
      </c>
      <c r="I199" s="20" t="s">
        <v>767</v>
      </c>
      <c r="J199" s="20" t="s">
        <v>718</v>
      </c>
      <c r="K199" s="21"/>
      <c r="L199" s="21">
        <f t="shared" si="7"/>
        <v>0</v>
      </c>
      <c r="M199" s="21"/>
      <c r="N199" s="21"/>
      <c r="O199" s="21"/>
      <c r="P199" s="21"/>
      <c r="Q199" s="21" t="s">
        <v>802</v>
      </c>
      <c r="R199" s="20">
        <v>4</v>
      </c>
      <c r="S199" s="20">
        <v>4</v>
      </c>
      <c r="T199" s="20">
        <v>1</v>
      </c>
      <c r="U199" s="21"/>
      <c r="V199" s="21"/>
      <c r="W199" s="21">
        <f>Tabla17[[#This Row],[CONSUMO TOTAL PRO VALO]]/52</f>
        <v>0</v>
      </c>
      <c r="X199" s="21" t="e">
        <f>Tabla2[[#This Row],[CONSUMO TOTAL ]]+Tabla3[[#This Row],[CONSUMO TOTAL]]+#REF!+#REF!</f>
        <v>#VALUE!</v>
      </c>
      <c r="Y199" s="21"/>
      <c r="Z199" s="21">
        <f>Tabla17[[#This Row],[CONSUMO TOTAL TODAS]]/52</f>
        <v>0</v>
      </c>
      <c r="AA199" s="28">
        <f>Tabla17[[#This Row],[CONSUMO PROMEDIO PROPIO]]+Tabla17[[#This Row],[CONSUMO PROMEDIO TODAS]]</f>
        <v>0</v>
      </c>
      <c r="AB199" s="33">
        <f>Tabla17[[#This Row],[CONSUMO PROMEDIO TOTAL]]*(Tabla17[[#This Row],[FRECUENCIA]]+Tabla17[[#This Row],[TIEMPO REPOSICION ]])*1.7</f>
        <v>0</v>
      </c>
      <c r="AC199" s="33"/>
      <c r="AD199" s="33">
        <v>1000</v>
      </c>
      <c r="AE199" s="135" t="e">
        <f>VLOOKUP(Tabla17[[#This Row],[CODIGO ]],#REF!,2,0)</f>
        <v>#REF!</v>
      </c>
      <c r="AF199" s="116">
        <f>IFERROR(VLOOKUP(Tabla17[[#This Row],[CODIGO ]],#REF!,2,0),0)</f>
        <v>0</v>
      </c>
      <c r="AG199" s="117" t="e">
        <f>Tabla17[[#This Row],[INVENTARIO FISICO ]]-Tabla17[[#This Row],[BUFFER REAL]]</f>
        <v>#REF!</v>
      </c>
      <c r="AH199" s="110"/>
      <c r="AI199" s="110"/>
      <c r="AJ199" s="117">
        <f>Tabla17[[#This Row],[SINOCHEM EN TRANSITO  ]]+Tabla17[[#This Row],[TRANSITO LOCAL]]</f>
        <v>0</v>
      </c>
      <c r="AK199" s="117"/>
      <c r="AL199" s="117"/>
      <c r="AM199" s="142" t="e">
        <f>Tabla17[[#This Row],[INVENTARIO FISICO ]]-Tabla17[[#This Row],[BUFFER REAL]]+Tabla17[[#This Row],[SINOCHEM EN TRANSITO  ]]+Tabla17[[#This Row],[TRANSITO LOCAL]]</f>
        <v>#REF!</v>
      </c>
      <c r="AN199" s="117">
        <f>Tabla17[[#This Row],[BUFFER REAL]]/((Tabla17[[#This Row],[TIEMPO REPOSICION ]]/Tabla17[[#This Row],[FRECUENCIA]])+1)</f>
        <v>500</v>
      </c>
      <c r="AO199" s="117"/>
      <c r="AP199" s="110"/>
      <c r="AQ199" s="110"/>
      <c r="AR199" s="30"/>
    </row>
    <row r="200" spans="1:44">
      <c r="A200" s="148" t="s">
        <v>924</v>
      </c>
      <c r="B200" s="148" t="s">
        <v>930</v>
      </c>
      <c r="C200" s="20" t="s">
        <v>680</v>
      </c>
      <c r="D200" s="7" t="s">
        <v>707</v>
      </c>
      <c r="E200" s="133"/>
      <c r="F200" s="20"/>
      <c r="G200" s="20"/>
      <c r="H200" s="20" t="s">
        <v>718</v>
      </c>
      <c r="I200" s="20" t="s">
        <v>767</v>
      </c>
      <c r="J200" s="20" t="s">
        <v>718</v>
      </c>
      <c r="K200" s="21"/>
      <c r="L200" s="21">
        <f t="shared" si="7"/>
        <v>0</v>
      </c>
      <c r="M200" s="21"/>
      <c r="N200" s="21"/>
      <c r="O200" s="21"/>
      <c r="P200" s="21"/>
      <c r="Q200" s="21" t="s">
        <v>802</v>
      </c>
      <c r="R200" s="20">
        <v>4</v>
      </c>
      <c r="S200" s="20">
        <v>4</v>
      </c>
      <c r="T200" s="20">
        <v>1</v>
      </c>
      <c r="U200" s="21"/>
      <c r="V200" s="21"/>
      <c r="W200" s="21">
        <f>Tabla17[[#This Row],[CONSUMO TOTAL PRO VALO]]/52</f>
        <v>0</v>
      </c>
      <c r="X200" s="21" t="e">
        <f>Tabla2[[#This Row],[CONSUMO TOTAL ]]+Tabla3[[#This Row],[CONSUMO TOTAL]]+#REF!+#REF!</f>
        <v>#VALUE!</v>
      </c>
      <c r="Y200" s="21"/>
      <c r="Z200" s="21">
        <f>Tabla17[[#This Row],[CONSUMO TOTAL TODAS]]/52</f>
        <v>0</v>
      </c>
      <c r="AA200" s="28">
        <f>Tabla17[[#This Row],[CONSUMO PROMEDIO PROPIO]]+Tabla17[[#This Row],[CONSUMO PROMEDIO TODAS]]</f>
        <v>0</v>
      </c>
      <c r="AB200" s="33">
        <f>Tabla17[[#This Row],[CONSUMO PROMEDIO TOTAL]]*(Tabla17[[#This Row],[FRECUENCIA]]+Tabla17[[#This Row],[TIEMPO REPOSICION ]])*1.7</f>
        <v>0</v>
      </c>
      <c r="AC200" s="33"/>
      <c r="AD200" s="33">
        <v>5</v>
      </c>
      <c r="AE200" s="135" t="e">
        <f>VLOOKUP(Tabla17[[#This Row],[CODIGO ]],#REF!,2,0)</f>
        <v>#REF!</v>
      </c>
      <c r="AF200" s="116">
        <f>IFERROR(VLOOKUP(Tabla17[[#This Row],[CODIGO ]],#REF!,2,0),0)</f>
        <v>0</v>
      </c>
      <c r="AG200" s="117" t="e">
        <f>Tabla17[[#This Row],[INVENTARIO FISICO ]]-Tabla17[[#This Row],[BUFFER REAL]]</f>
        <v>#REF!</v>
      </c>
      <c r="AH200" s="110"/>
      <c r="AI200" s="110"/>
      <c r="AJ200" s="117">
        <f>Tabla17[[#This Row],[SINOCHEM EN TRANSITO  ]]+Tabla17[[#This Row],[TRANSITO LOCAL]]</f>
        <v>0</v>
      </c>
      <c r="AK200" s="117"/>
      <c r="AL200" s="117"/>
      <c r="AM200" s="142" t="e">
        <f>Tabla17[[#This Row],[INVENTARIO FISICO ]]-Tabla17[[#This Row],[BUFFER REAL]]+Tabla17[[#This Row],[SINOCHEM EN TRANSITO  ]]+Tabla17[[#This Row],[TRANSITO LOCAL]]</f>
        <v>#REF!</v>
      </c>
      <c r="AN200" s="117">
        <f>Tabla17[[#This Row],[BUFFER REAL]]/((Tabla17[[#This Row],[TIEMPO REPOSICION ]]/Tabla17[[#This Row],[FRECUENCIA]])+1)</f>
        <v>2.5</v>
      </c>
      <c r="AO200" s="117"/>
      <c r="AP200" s="110"/>
      <c r="AQ200" s="110"/>
      <c r="AR200" s="30"/>
    </row>
    <row r="201" spans="1:44">
      <c r="A201" s="133" t="s">
        <v>411</v>
      </c>
      <c r="B201" s="133" t="s">
        <v>412</v>
      </c>
      <c r="C201" s="20" t="s">
        <v>931</v>
      </c>
      <c r="D201" s="7" t="s">
        <v>707</v>
      </c>
      <c r="E201" s="20"/>
      <c r="F201" s="20"/>
      <c r="G201" s="20"/>
      <c r="H201" s="20" t="s">
        <v>718</v>
      </c>
      <c r="I201" s="20" t="s">
        <v>767</v>
      </c>
      <c r="J201" s="20" t="s">
        <v>718</v>
      </c>
      <c r="K201" s="21"/>
      <c r="L201" s="21">
        <f t="shared" si="7"/>
        <v>0</v>
      </c>
      <c r="M201" s="21"/>
      <c r="N201" s="21"/>
      <c r="O201" s="21"/>
      <c r="P201" s="21"/>
      <c r="Q201" s="21" t="s">
        <v>802</v>
      </c>
      <c r="R201" s="20">
        <v>4</v>
      </c>
      <c r="S201" s="20">
        <v>4</v>
      </c>
      <c r="T201" s="20">
        <v>1</v>
      </c>
      <c r="U201" s="21"/>
      <c r="V201" s="21"/>
      <c r="W201" s="21">
        <f>Tabla17[[#This Row],[CONSUMO TOTAL PRO VALO]]/52</f>
        <v>0</v>
      </c>
      <c r="X201" s="21" t="e">
        <f>Tabla2[[#This Row],[CONSUMO TOTAL ]]+Tabla3[[#This Row],[CONSUMO TOTAL]]+#REF!+#REF!</f>
        <v>#VALUE!</v>
      </c>
      <c r="Y201" s="21"/>
      <c r="Z201" s="21">
        <f>Tabla17[[#This Row],[CONSUMO TOTAL TODAS]]/52</f>
        <v>0</v>
      </c>
      <c r="AA201" s="28">
        <f>Tabla17[[#This Row],[CONSUMO PROMEDIO PROPIO]]+Tabla17[[#This Row],[CONSUMO PROMEDIO TODAS]]</f>
        <v>0</v>
      </c>
      <c r="AB201" s="33">
        <f>Tabla17[[#This Row],[CONSUMO PROMEDIO TOTAL]]*(Tabla17[[#This Row],[FRECUENCIA]]+Tabla17[[#This Row],[TIEMPO REPOSICION ]])*1.7</f>
        <v>0</v>
      </c>
      <c r="AC201" s="33"/>
      <c r="AD201" s="33">
        <v>1000</v>
      </c>
      <c r="AE201" s="135" t="e">
        <f>VLOOKUP(Tabla17[[#This Row],[CODIGO ]],#REF!,2,0)</f>
        <v>#REF!</v>
      </c>
      <c r="AF201" s="116">
        <f>IFERROR(VLOOKUP(Tabla17[[#This Row],[CODIGO ]],#REF!,2,0),0)</f>
        <v>0</v>
      </c>
      <c r="AG201" s="117" t="e">
        <f>Tabla17[[#This Row],[INVENTARIO FISICO ]]-Tabla17[[#This Row],[BUFFER REAL]]</f>
        <v>#REF!</v>
      </c>
      <c r="AH201" s="110"/>
      <c r="AI201" s="110"/>
      <c r="AJ201" s="117">
        <f>Tabla17[[#This Row],[SINOCHEM EN TRANSITO  ]]+Tabla17[[#This Row],[TRANSITO LOCAL]]</f>
        <v>0</v>
      </c>
      <c r="AK201" s="117"/>
      <c r="AL201" s="117"/>
      <c r="AM201" s="142" t="e">
        <f>Tabla17[[#This Row],[INVENTARIO FISICO ]]-Tabla17[[#This Row],[BUFFER REAL]]+Tabla17[[#This Row],[SINOCHEM EN TRANSITO  ]]+Tabla17[[#This Row],[TRANSITO LOCAL]]</f>
        <v>#REF!</v>
      </c>
      <c r="AN201" s="117">
        <f>Tabla17[[#This Row],[BUFFER REAL]]/((Tabla17[[#This Row],[TIEMPO REPOSICION ]]/Tabla17[[#This Row],[FRECUENCIA]])+1)</f>
        <v>500</v>
      </c>
      <c r="AO201" s="117"/>
      <c r="AP201" s="110"/>
      <c r="AQ201" s="110"/>
      <c r="AR201" s="30"/>
    </row>
    <row r="202" spans="1:44">
      <c r="A202" s="133" t="s">
        <v>255</v>
      </c>
      <c r="B202" s="133" t="s">
        <v>256</v>
      </c>
      <c r="C202" s="20" t="s">
        <v>932</v>
      </c>
      <c r="D202" s="7" t="s">
        <v>707</v>
      </c>
      <c r="E202" s="20"/>
      <c r="F202" s="20"/>
      <c r="G202" s="20"/>
      <c r="H202" s="20" t="s">
        <v>718</v>
      </c>
      <c r="I202" s="20" t="s">
        <v>767</v>
      </c>
      <c r="J202" s="20" t="s">
        <v>718</v>
      </c>
      <c r="K202" s="21"/>
      <c r="L202" s="21">
        <f t="shared" si="7"/>
        <v>0</v>
      </c>
      <c r="M202" s="21"/>
      <c r="N202" s="21"/>
      <c r="O202" s="21"/>
      <c r="P202" s="21"/>
      <c r="Q202" s="21" t="s">
        <v>802</v>
      </c>
      <c r="R202" s="20">
        <v>4</v>
      </c>
      <c r="S202" s="20">
        <v>4</v>
      </c>
      <c r="T202" s="20">
        <v>1</v>
      </c>
      <c r="U202" s="21"/>
      <c r="V202" s="21"/>
      <c r="W202" s="21">
        <f>Tabla17[[#This Row],[CONSUMO TOTAL PRO VALO]]/52</f>
        <v>0</v>
      </c>
      <c r="X202" s="21" t="e">
        <f>Tabla2[[#This Row],[CONSUMO TOTAL ]]+Tabla3[[#This Row],[CONSUMO TOTAL]]+#REF!+#REF!</f>
        <v>#VALUE!</v>
      </c>
      <c r="Y202" s="21"/>
      <c r="Z202" s="21">
        <f>Tabla17[[#This Row],[CONSUMO TOTAL TODAS]]/52</f>
        <v>0</v>
      </c>
      <c r="AA202" s="28">
        <f>Tabla17[[#This Row],[CONSUMO PROMEDIO PROPIO]]+Tabla17[[#This Row],[CONSUMO PROMEDIO TODAS]]</f>
        <v>0</v>
      </c>
      <c r="AB202" s="33">
        <f>Tabla17[[#This Row],[CONSUMO PROMEDIO TOTAL]]*(Tabla17[[#This Row],[FRECUENCIA]]+Tabla17[[#This Row],[TIEMPO REPOSICION ]])*1.7</f>
        <v>0</v>
      </c>
      <c r="AC202" s="33"/>
      <c r="AD202" s="33">
        <v>1000</v>
      </c>
      <c r="AE202" s="135" t="e">
        <f>VLOOKUP(Tabla17[[#This Row],[CODIGO ]],#REF!,2,0)</f>
        <v>#REF!</v>
      </c>
      <c r="AF202" s="116">
        <f>IFERROR(VLOOKUP(Tabla17[[#This Row],[CODIGO ]],#REF!,2,0),0)</f>
        <v>0</v>
      </c>
      <c r="AG202" s="117" t="e">
        <f>Tabla17[[#This Row],[INVENTARIO FISICO ]]-Tabla17[[#This Row],[BUFFER REAL]]</f>
        <v>#REF!</v>
      </c>
      <c r="AH202" s="110"/>
      <c r="AI202" s="110"/>
      <c r="AJ202" s="117">
        <f>Tabla17[[#This Row],[SINOCHEM EN TRANSITO  ]]+Tabla17[[#This Row],[TRANSITO LOCAL]]</f>
        <v>0</v>
      </c>
      <c r="AK202" s="117"/>
      <c r="AL202" s="117"/>
      <c r="AM202" s="142" t="e">
        <f>Tabla17[[#This Row],[INVENTARIO FISICO ]]-Tabla17[[#This Row],[BUFFER REAL]]+Tabla17[[#This Row],[SINOCHEM EN TRANSITO  ]]+Tabla17[[#This Row],[TRANSITO LOCAL]]</f>
        <v>#REF!</v>
      </c>
      <c r="AN202" s="117">
        <f>Tabla17[[#This Row],[BUFFER REAL]]/((Tabla17[[#This Row],[TIEMPO REPOSICION ]]/Tabla17[[#This Row],[FRECUENCIA]])+1)</f>
        <v>500</v>
      </c>
      <c r="AO202" s="117"/>
      <c r="AP202" s="110"/>
      <c r="AQ202" s="110"/>
      <c r="AR202" s="30"/>
    </row>
    <row r="203" spans="1:44">
      <c r="A203" s="133" t="s">
        <v>877</v>
      </c>
      <c r="B203" s="147" t="s">
        <v>933</v>
      </c>
      <c r="C203" s="20" t="s">
        <v>705</v>
      </c>
      <c r="D203" s="7" t="s">
        <v>707</v>
      </c>
      <c r="E203" s="20"/>
      <c r="F203" s="20"/>
      <c r="G203" s="20"/>
      <c r="H203" s="146" t="s">
        <v>718</v>
      </c>
      <c r="I203" s="20" t="s">
        <v>767</v>
      </c>
      <c r="J203" s="20" t="s">
        <v>718</v>
      </c>
      <c r="K203" s="21"/>
      <c r="L203" s="21">
        <f t="shared" si="7"/>
        <v>0</v>
      </c>
      <c r="M203" s="21"/>
      <c r="N203" s="21"/>
      <c r="O203" s="21"/>
      <c r="P203" s="21"/>
      <c r="Q203" s="21" t="s">
        <v>802</v>
      </c>
      <c r="R203" s="20">
        <v>4</v>
      </c>
      <c r="S203" s="20">
        <v>4</v>
      </c>
      <c r="T203" s="20">
        <v>1</v>
      </c>
      <c r="U203" s="21"/>
      <c r="V203" s="21"/>
      <c r="W203" s="21">
        <f>Tabla17[[#This Row],[CONSUMO TOTAL PRO VALO]]/52</f>
        <v>0</v>
      </c>
      <c r="X203" s="21" t="e">
        <f>Tabla2[[#This Row],[CONSUMO TOTAL ]]+Tabla3[[#This Row],[CONSUMO TOTAL]]+#REF!+#REF!</f>
        <v>#VALUE!</v>
      </c>
      <c r="Y203" s="21"/>
      <c r="Z203" s="21">
        <f>Tabla17[[#This Row],[CONSUMO TOTAL TODAS]]/52</f>
        <v>0</v>
      </c>
      <c r="AA203" s="28">
        <f>Tabla17[[#This Row],[CONSUMO PROMEDIO PROPIO]]+Tabla17[[#This Row],[CONSUMO PROMEDIO TODAS]]</f>
        <v>0</v>
      </c>
      <c r="AB203" s="33">
        <f>Tabla17[[#This Row],[CONSUMO PROMEDIO TOTAL]]*(Tabla17[[#This Row],[FRECUENCIA]]+Tabla17[[#This Row],[TIEMPO REPOSICION ]])*1.7</f>
        <v>0</v>
      </c>
      <c r="AC203" s="33"/>
      <c r="AD203" s="33">
        <v>200</v>
      </c>
      <c r="AE203" s="135" t="e">
        <f>VLOOKUP(Tabla17[[#This Row],[CODIGO ]],#REF!,2,0)</f>
        <v>#REF!</v>
      </c>
      <c r="AF203" s="116">
        <f>IFERROR(VLOOKUP(Tabla17[[#This Row],[CODIGO ]],#REF!,2,0),0)</f>
        <v>0</v>
      </c>
      <c r="AG203" s="117" t="e">
        <f>Tabla17[[#This Row],[INVENTARIO FISICO ]]-Tabla17[[#This Row],[BUFFER REAL]]</f>
        <v>#REF!</v>
      </c>
      <c r="AH203" s="110"/>
      <c r="AI203" s="110"/>
      <c r="AJ203" s="117">
        <f>Tabla17[[#This Row],[SINOCHEM EN TRANSITO  ]]+Tabla17[[#This Row],[TRANSITO LOCAL]]</f>
        <v>0</v>
      </c>
      <c r="AK203" s="117"/>
      <c r="AL203" s="117"/>
      <c r="AM203" s="142" t="e">
        <f>Tabla17[[#This Row],[INVENTARIO FISICO ]]-Tabla17[[#This Row],[BUFFER REAL]]+Tabla17[[#This Row],[SINOCHEM EN TRANSITO  ]]+Tabla17[[#This Row],[TRANSITO LOCAL]]</f>
        <v>#REF!</v>
      </c>
      <c r="AN203" s="117">
        <f>Tabla17[[#This Row],[BUFFER REAL]]/((Tabla17[[#This Row],[TIEMPO REPOSICION ]]/Tabla17[[#This Row],[FRECUENCIA]])+1)</f>
        <v>100</v>
      </c>
      <c r="AO203" s="117"/>
      <c r="AP203" s="110"/>
      <c r="AQ203" s="110"/>
      <c r="AR203" s="30"/>
    </row>
    <row r="204" spans="1:44">
      <c r="A204" s="150" t="s">
        <v>934</v>
      </c>
      <c r="B204" s="150" t="s">
        <v>935</v>
      </c>
      <c r="C204" s="20" t="s">
        <v>2</v>
      </c>
      <c r="D204" s="20" t="s">
        <v>710</v>
      </c>
      <c r="E204" s="20"/>
      <c r="F204" s="20"/>
      <c r="G204" s="20"/>
      <c r="H204" s="146" t="s">
        <v>718</v>
      </c>
      <c r="I204" s="20" t="s">
        <v>767</v>
      </c>
      <c r="J204" s="20" t="s">
        <v>718</v>
      </c>
      <c r="K204" s="21"/>
      <c r="L204" s="21">
        <f t="shared" ref="L204:L209" si="8">+K204*75%</f>
        <v>0</v>
      </c>
      <c r="M204" s="21"/>
      <c r="N204" s="21"/>
      <c r="O204" s="21"/>
      <c r="P204" s="21"/>
      <c r="Q204" s="21" t="s">
        <v>873</v>
      </c>
      <c r="R204" s="20">
        <v>12</v>
      </c>
      <c r="S204" s="20">
        <v>6</v>
      </c>
      <c r="T204" s="20">
        <v>2</v>
      </c>
      <c r="U204" s="21"/>
      <c r="V204" s="21"/>
      <c r="W204" s="21">
        <f>Tabla17[[#This Row],[CONSUMO TOTAL PRO VALO]]/52</f>
        <v>0</v>
      </c>
      <c r="X204" s="21" t="e">
        <f>Tabla2[[#This Row],[CONSUMO TOTAL ]]+Tabla3[[#This Row],[CONSUMO TOTAL]]+#REF!+#REF!</f>
        <v>#VALUE!</v>
      </c>
      <c r="Y204" s="21"/>
      <c r="Z204" s="21">
        <f>Tabla17[[#This Row],[CONSUMO TOTAL TODAS]]/52</f>
        <v>0</v>
      </c>
      <c r="AA204" s="28">
        <f>Tabla17[[#This Row],[CONSUMO PROMEDIO PROPIO]]+Tabla17[[#This Row],[CONSUMO PROMEDIO TODAS]]</f>
        <v>0</v>
      </c>
      <c r="AB204" s="33">
        <f>Tabla17[[#This Row],[CONSUMO PROMEDIO TOTAL]]*(Tabla17[[#This Row],[FRECUENCIA]]+Tabla17[[#This Row],[TIEMPO REPOSICION ]])*1.7</f>
        <v>0</v>
      </c>
      <c r="AC204" s="33"/>
      <c r="AD204" s="33">
        <v>3000</v>
      </c>
      <c r="AE204" s="135" t="e">
        <f>VLOOKUP(Tabla17[[#This Row],[CODIGO ]],#REF!,2,0)</f>
        <v>#REF!</v>
      </c>
      <c r="AF204" s="116">
        <f>IFERROR(VLOOKUP(Tabla17[[#This Row],[CODIGO ]],#REF!,2,0),0)</f>
        <v>0</v>
      </c>
      <c r="AG204" s="117" t="e">
        <f>Tabla17[[#This Row],[INVENTARIO FISICO ]]-Tabla17[[#This Row],[BUFFER REAL]]</f>
        <v>#REF!</v>
      </c>
      <c r="AH204" s="110"/>
      <c r="AI204" s="110"/>
      <c r="AJ204" s="117">
        <f>Tabla17[[#This Row],[SINOCHEM EN TRANSITO  ]]+Tabla17[[#This Row],[TRANSITO LOCAL]]</f>
        <v>0</v>
      </c>
      <c r="AK204" s="117"/>
      <c r="AL204" s="117"/>
      <c r="AM204" s="142" t="e">
        <f>Tabla17[[#This Row],[INVENTARIO FISICO ]]-Tabla17[[#This Row],[BUFFER REAL]]+Tabla17[[#This Row],[SINOCHEM EN TRANSITO  ]]+Tabla17[[#This Row],[TRANSITO LOCAL]]</f>
        <v>#REF!</v>
      </c>
      <c r="AN204" s="117">
        <f>Tabla17[[#This Row],[BUFFER REAL]]/((Tabla17[[#This Row],[TIEMPO REPOSICION ]]/Tabla17[[#This Row],[FRECUENCIA]])+1)</f>
        <v>2000</v>
      </c>
      <c r="AO204" s="117"/>
      <c r="AP204" s="110"/>
      <c r="AQ204" s="110"/>
      <c r="AR204" s="30"/>
    </row>
    <row r="205" spans="1:44">
      <c r="A205" s="162" t="s">
        <v>1089</v>
      </c>
      <c r="B205" s="163" t="s">
        <v>1090</v>
      </c>
      <c r="C205" s="159" t="s">
        <v>712</v>
      </c>
      <c r="D205" s="159" t="s">
        <v>1094</v>
      </c>
      <c r="E205" s="7"/>
      <c r="F205" s="7"/>
      <c r="G205" s="7"/>
      <c r="H205" s="146" t="s">
        <v>718</v>
      </c>
      <c r="I205" s="20" t="s">
        <v>767</v>
      </c>
      <c r="J205" s="20" t="s">
        <v>718</v>
      </c>
      <c r="K205" s="13"/>
      <c r="L205" s="13">
        <f t="shared" si="8"/>
        <v>0</v>
      </c>
      <c r="M205" s="13"/>
      <c r="N205" s="13"/>
      <c r="O205" s="13"/>
      <c r="P205" s="13"/>
      <c r="Q205" s="21" t="s">
        <v>873</v>
      </c>
      <c r="R205" s="20">
        <v>12</v>
      </c>
      <c r="S205" s="20">
        <v>6</v>
      </c>
      <c r="T205" s="20">
        <v>2</v>
      </c>
      <c r="U205" s="13"/>
      <c r="V205" s="13"/>
      <c r="W205" s="13">
        <f>Tabla17[[#This Row],[CONSUMO TOTAL PRO VALO]]/52</f>
        <v>0</v>
      </c>
      <c r="X205" s="13" t="e">
        <f>Tabla2[[#This Row],[CONSUMO TOTAL ]]+Tabla3[[#This Row],[CONSUMO TOTAL]]+#REF!+#REF!</f>
        <v>#VALUE!</v>
      </c>
      <c r="Y205" s="13"/>
      <c r="Z205" s="13">
        <f>Tabla17[[#This Row],[CONSUMO TOTAL TODAS]]/52</f>
        <v>0</v>
      </c>
      <c r="AA205" s="40">
        <f>Tabla17[[#This Row],[CONSUMO PROMEDIO PROPIO]]+Tabla17[[#This Row],[CONSUMO PROMEDIO TODAS]]</f>
        <v>0</v>
      </c>
      <c r="AB205" s="26">
        <f>Tabla17[[#This Row],[CONSUMO PROMEDIO TOTAL]]*(Tabla17[[#This Row],[FRECUENCIA]]+Tabla17[[#This Row],[TIEMPO REPOSICION ]])*1.7</f>
        <v>0</v>
      </c>
      <c r="AC205" s="26"/>
      <c r="AD205" s="164">
        <v>3000</v>
      </c>
      <c r="AE205" s="134" t="e">
        <f>VLOOKUP(Tabla17[[#This Row],[CODIGO ]],#REF!,2,0)</f>
        <v>#REF!</v>
      </c>
      <c r="AF205" s="2">
        <f>IFERROR(VLOOKUP(Tabla17[[#This Row],[CODIGO ]],#REF!,2,0),0)</f>
        <v>0</v>
      </c>
      <c r="AG205" s="80" t="e">
        <f>Tabla17[[#This Row],[INVENTARIO FISICO ]]-Tabla17[[#This Row],[BUFFER REAL]]</f>
        <v>#REF!</v>
      </c>
      <c r="AH205" s="77"/>
      <c r="AI205" s="77"/>
      <c r="AJ205" s="80">
        <f>Tabla17[[#This Row],[SINOCHEM EN TRANSITO  ]]+Tabla17[[#This Row],[TRANSITO LOCAL]]</f>
        <v>0</v>
      </c>
      <c r="AK205" s="80"/>
      <c r="AL205" s="80"/>
      <c r="AM205" s="124" t="e">
        <f>Tabla17[[#This Row],[INVENTARIO FISICO ]]-Tabla17[[#This Row],[BUFFER REAL]]+Tabla17[[#This Row],[SINOCHEM EN TRANSITO  ]]+Tabla17[[#This Row],[TRANSITO LOCAL]]</f>
        <v>#REF!</v>
      </c>
      <c r="AN205" s="80">
        <f>Tabla17[[#This Row],[BUFFER REAL]]/((Tabla17[[#This Row],[TIEMPO REPOSICION ]]/Tabla17[[#This Row],[FRECUENCIA]])+1)</f>
        <v>2000</v>
      </c>
      <c r="AO205" s="80"/>
      <c r="AP205" s="77"/>
      <c r="AQ205" s="77"/>
      <c r="AR205" s="27"/>
    </row>
    <row r="206" spans="1:44">
      <c r="A206" s="162" t="s">
        <v>156</v>
      </c>
      <c r="B206" s="163" t="s">
        <v>1091</v>
      </c>
      <c r="C206" s="159" t="s">
        <v>712</v>
      </c>
      <c r="D206" s="159" t="s">
        <v>1094</v>
      </c>
      <c r="E206" s="7"/>
      <c r="F206" s="7"/>
      <c r="G206" s="7"/>
      <c r="H206" s="146" t="s">
        <v>718</v>
      </c>
      <c r="I206" s="20" t="s">
        <v>767</v>
      </c>
      <c r="J206" s="20" t="s">
        <v>718</v>
      </c>
      <c r="K206" s="13"/>
      <c r="L206" s="13">
        <f t="shared" si="8"/>
        <v>0</v>
      </c>
      <c r="M206" s="13"/>
      <c r="N206" s="13"/>
      <c r="O206" s="13"/>
      <c r="P206" s="13"/>
      <c r="Q206" s="21" t="s">
        <v>873</v>
      </c>
      <c r="R206" s="20">
        <v>12</v>
      </c>
      <c r="S206" s="20">
        <v>6</v>
      </c>
      <c r="T206" s="20">
        <v>2</v>
      </c>
      <c r="U206" s="13"/>
      <c r="V206" s="13"/>
      <c r="W206" s="13">
        <f>Tabla17[[#This Row],[CONSUMO TOTAL PRO VALO]]/52</f>
        <v>0</v>
      </c>
      <c r="X206" s="13" t="e">
        <f>Tabla2[[#This Row],[CONSUMO TOTAL ]]+Tabla3[[#This Row],[CONSUMO TOTAL]]+#REF!+#REF!</f>
        <v>#VALUE!</v>
      </c>
      <c r="Y206" s="13"/>
      <c r="Z206" s="13">
        <f>Tabla17[[#This Row],[CONSUMO TOTAL TODAS]]/52</f>
        <v>0</v>
      </c>
      <c r="AA206" s="40">
        <f>Tabla17[[#This Row],[CONSUMO PROMEDIO PROPIO]]+Tabla17[[#This Row],[CONSUMO PROMEDIO TODAS]]</f>
        <v>0</v>
      </c>
      <c r="AB206" s="26">
        <f>Tabla17[[#This Row],[CONSUMO PROMEDIO TOTAL]]*(Tabla17[[#This Row],[FRECUENCIA]]+Tabla17[[#This Row],[TIEMPO REPOSICION ]])*1.7</f>
        <v>0</v>
      </c>
      <c r="AC206" s="26"/>
      <c r="AD206" s="164">
        <v>2000</v>
      </c>
      <c r="AE206" s="134" t="e">
        <f>VLOOKUP(Tabla17[[#This Row],[CODIGO ]],#REF!,2,0)</f>
        <v>#REF!</v>
      </c>
      <c r="AF206" s="2">
        <f>IFERROR(VLOOKUP(Tabla17[[#This Row],[CODIGO ]],#REF!,2,0),0)</f>
        <v>0</v>
      </c>
      <c r="AG206" s="80" t="e">
        <f>Tabla17[[#This Row],[INVENTARIO FISICO ]]-Tabla17[[#This Row],[BUFFER REAL]]</f>
        <v>#REF!</v>
      </c>
      <c r="AH206" s="77"/>
      <c r="AI206" s="77"/>
      <c r="AJ206" s="80">
        <f>Tabla17[[#This Row],[SINOCHEM EN TRANSITO  ]]+Tabla17[[#This Row],[TRANSITO LOCAL]]</f>
        <v>0</v>
      </c>
      <c r="AK206" s="80"/>
      <c r="AL206" s="80"/>
      <c r="AM206" s="124" t="e">
        <f>Tabla17[[#This Row],[INVENTARIO FISICO ]]-Tabla17[[#This Row],[BUFFER REAL]]+Tabla17[[#This Row],[SINOCHEM EN TRANSITO  ]]+Tabla17[[#This Row],[TRANSITO LOCAL]]</f>
        <v>#REF!</v>
      </c>
      <c r="AN206" s="80">
        <f>Tabla17[[#This Row],[BUFFER REAL]]/((Tabla17[[#This Row],[TIEMPO REPOSICION ]]/Tabla17[[#This Row],[FRECUENCIA]])+1)</f>
        <v>1333.3333333333333</v>
      </c>
      <c r="AO206" s="80"/>
      <c r="AP206" s="77"/>
      <c r="AQ206" s="77"/>
      <c r="AR206" s="27"/>
    </row>
    <row r="207" spans="1:44">
      <c r="A207" s="162" t="s">
        <v>1092</v>
      </c>
      <c r="B207" s="163" t="s">
        <v>1093</v>
      </c>
      <c r="C207" s="159" t="s">
        <v>1095</v>
      </c>
      <c r="D207" s="159" t="s">
        <v>720</v>
      </c>
      <c r="E207" s="20"/>
      <c r="F207" s="20"/>
      <c r="G207" s="20"/>
      <c r="H207" s="146" t="s">
        <v>718</v>
      </c>
      <c r="I207" s="20" t="s">
        <v>767</v>
      </c>
      <c r="J207" s="20" t="s">
        <v>718</v>
      </c>
      <c r="K207" s="21"/>
      <c r="L207" s="21">
        <f t="shared" si="8"/>
        <v>0</v>
      </c>
      <c r="M207" s="21"/>
      <c r="N207" s="21"/>
      <c r="O207" s="21"/>
      <c r="P207" s="21"/>
      <c r="Q207" s="21"/>
      <c r="R207" s="20"/>
      <c r="S207" s="20"/>
      <c r="T207" s="20"/>
      <c r="U207" s="21"/>
      <c r="V207" s="21"/>
      <c r="W207" s="21">
        <f>Tabla17[[#This Row],[CONSUMO TOTAL PRO VALO]]/52</f>
        <v>0</v>
      </c>
      <c r="X207" s="21" t="e">
        <f>Tabla2[[#This Row],[CONSUMO TOTAL ]]+Tabla3[[#This Row],[CONSUMO TOTAL]]+#REF!+#REF!</f>
        <v>#VALUE!</v>
      </c>
      <c r="Y207" s="21"/>
      <c r="Z207" s="21">
        <f>Tabla17[[#This Row],[CONSUMO TOTAL TODAS]]/52</f>
        <v>0</v>
      </c>
      <c r="AA207" s="28">
        <f>Tabla17[[#This Row],[CONSUMO PROMEDIO PROPIO]]+Tabla17[[#This Row],[CONSUMO PROMEDIO TODAS]]</f>
        <v>0</v>
      </c>
      <c r="AB207" s="33">
        <f>Tabla17[[#This Row],[CONSUMO PROMEDIO TOTAL]]*(Tabla17[[#This Row],[FRECUENCIA]]+Tabla17[[#This Row],[TIEMPO REPOSICION ]])*1.7</f>
        <v>0</v>
      </c>
      <c r="AC207" s="33"/>
      <c r="AD207" s="164">
        <v>3000</v>
      </c>
      <c r="AE207" s="135" t="e">
        <f>VLOOKUP(Tabla17[[#This Row],[CODIGO ]],#REF!,2,0)</f>
        <v>#REF!</v>
      </c>
      <c r="AF207" s="116">
        <f>IFERROR(VLOOKUP(Tabla17[[#This Row],[CODIGO ]],#REF!,2,0),0)</f>
        <v>0</v>
      </c>
      <c r="AG207" s="117" t="e">
        <f>Tabla17[[#This Row],[INVENTARIO FISICO ]]-Tabla17[[#This Row],[BUFFER REAL]]</f>
        <v>#REF!</v>
      </c>
      <c r="AH207" s="110"/>
      <c r="AI207" s="110"/>
      <c r="AJ207" s="117">
        <f>Tabla17[[#This Row],[SINOCHEM EN TRANSITO  ]]+Tabla17[[#This Row],[TRANSITO LOCAL]]</f>
        <v>0</v>
      </c>
      <c r="AK207" s="117"/>
      <c r="AL207" s="117"/>
      <c r="AM207" s="142" t="e">
        <f>Tabla17[[#This Row],[INVENTARIO FISICO ]]-Tabla17[[#This Row],[BUFFER REAL]]+Tabla17[[#This Row],[SINOCHEM EN TRANSITO  ]]+Tabla17[[#This Row],[TRANSITO LOCAL]]</f>
        <v>#REF!</v>
      </c>
      <c r="AN207" s="117" t="e">
        <f>Tabla17[[#This Row],[BUFFER REAL]]/((Tabla17[[#This Row],[TIEMPO REPOSICION ]]/Tabla17[[#This Row],[FRECUENCIA]])+1)</f>
        <v>#DIV/0!</v>
      </c>
      <c r="AO207" s="117"/>
      <c r="AP207" s="110"/>
      <c r="AQ207" s="110"/>
      <c r="AR207" s="30"/>
    </row>
    <row r="208" spans="1:44">
      <c r="A208" s="166" t="s">
        <v>1097</v>
      </c>
      <c r="B208" s="166" t="s">
        <v>1098</v>
      </c>
      <c r="C208" s="7" t="s">
        <v>2</v>
      </c>
      <c r="D208" s="20" t="s">
        <v>787</v>
      </c>
      <c r="E208" s="20"/>
      <c r="F208" s="20"/>
      <c r="G208" s="20"/>
      <c r="H208" s="146" t="s">
        <v>718</v>
      </c>
      <c r="I208" s="20" t="s">
        <v>767</v>
      </c>
      <c r="J208" s="20" t="s">
        <v>718</v>
      </c>
      <c r="K208" s="21"/>
      <c r="L208" s="21">
        <f t="shared" si="8"/>
        <v>0</v>
      </c>
      <c r="M208" s="21"/>
      <c r="N208" s="21"/>
      <c r="O208" s="21"/>
      <c r="P208" s="21" t="s">
        <v>1099</v>
      </c>
      <c r="Q208" s="21" t="s">
        <v>802</v>
      </c>
      <c r="R208" s="20"/>
      <c r="S208" s="20"/>
      <c r="T208" s="20"/>
      <c r="U208" s="21"/>
      <c r="V208" s="21"/>
      <c r="W208" s="21">
        <f>Tabla17[[#This Row],[CONSUMO TOTAL PRO VALO]]/52</f>
        <v>0</v>
      </c>
      <c r="X208" s="21" t="e">
        <f>Tabla2[[#This Row],[CONSUMO TOTAL ]]+Tabla3[[#This Row],[CONSUMO TOTAL]]+#REF!+#REF!</f>
        <v>#VALUE!</v>
      </c>
      <c r="Y208" s="21"/>
      <c r="Z208" s="21">
        <f>Tabla17[[#This Row],[CONSUMO TOTAL TODAS]]/52</f>
        <v>0</v>
      </c>
      <c r="AA208" s="28">
        <f>Tabla17[[#This Row],[CONSUMO PROMEDIO PROPIO]]+Tabla17[[#This Row],[CONSUMO PROMEDIO TODAS]]</f>
        <v>0</v>
      </c>
      <c r="AB208" s="33">
        <f>Tabla17[[#This Row],[CONSUMO PROMEDIO TOTAL]]*(Tabla17[[#This Row],[FRECUENCIA]]+Tabla17[[#This Row],[TIEMPO REPOSICION ]])*1.7</f>
        <v>0</v>
      </c>
      <c r="AC208" s="33"/>
      <c r="AD208" s="33"/>
      <c r="AE208" s="135" t="e">
        <f>VLOOKUP(Tabla17[[#This Row],[CODIGO ]],#REF!,2,0)</f>
        <v>#REF!</v>
      </c>
      <c r="AF208" s="116">
        <f>IFERROR(VLOOKUP(Tabla17[[#This Row],[CODIGO ]],#REF!,2,0),0)</f>
        <v>0</v>
      </c>
      <c r="AG208" s="117" t="e">
        <f>Tabla17[[#This Row],[INVENTARIO FISICO ]]-Tabla17[[#This Row],[BUFFER REAL]]</f>
        <v>#REF!</v>
      </c>
      <c r="AH208" s="110"/>
      <c r="AI208" s="110"/>
      <c r="AJ208" s="117">
        <f>Tabla17[[#This Row],[SINOCHEM EN TRANSITO  ]]+Tabla17[[#This Row],[TRANSITO LOCAL]]</f>
        <v>0</v>
      </c>
      <c r="AK208" s="117"/>
      <c r="AL208" s="117"/>
      <c r="AM208" s="142" t="e">
        <f>Tabla17[[#This Row],[INVENTARIO FISICO ]]-Tabla17[[#This Row],[BUFFER REAL]]+Tabla17[[#This Row],[SINOCHEM EN TRANSITO  ]]+Tabla17[[#This Row],[TRANSITO LOCAL]]</f>
        <v>#REF!</v>
      </c>
      <c r="AN208" s="117" t="e">
        <f>Tabla17[[#This Row],[BUFFER REAL]]/((Tabla17[[#This Row],[TIEMPO REPOSICION ]]/Tabla17[[#This Row],[FRECUENCIA]])+1)</f>
        <v>#DIV/0!</v>
      </c>
      <c r="AO208" s="117"/>
      <c r="AP208" s="110"/>
      <c r="AQ208" s="110"/>
      <c r="AR208" s="30"/>
    </row>
    <row r="209" spans="1:44">
      <c r="A209" s="166" t="s">
        <v>1100</v>
      </c>
      <c r="B209" s="166" t="s">
        <v>1101</v>
      </c>
      <c r="C209" s="7" t="s">
        <v>2</v>
      </c>
      <c r="D209" s="20" t="s">
        <v>787</v>
      </c>
      <c r="E209" s="20"/>
      <c r="F209" s="20"/>
      <c r="G209" s="20"/>
      <c r="H209" s="20" t="s">
        <v>718</v>
      </c>
      <c r="I209" s="20" t="s">
        <v>767</v>
      </c>
      <c r="J209" s="20" t="s">
        <v>718</v>
      </c>
      <c r="K209" s="21"/>
      <c r="L209" s="21">
        <f t="shared" si="8"/>
        <v>0</v>
      </c>
      <c r="M209" s="21"/>
      <c r="N209" s="21"/>
      <c r="O209" s="21"/>
      <c r="P209" s="21" t="s">
        <v>1099</v>
      </c>
      <c r="Q209" s="21" t="s">
        <v>802</v>
      </c>
      <c r="R209" s="20"/>
      <c r="S209" s="20"/>
      <c r="T209" s="20"/>
      <c r="U209" s="21"/>
      <c r="V209" s="21"/>
      <c r="W209" s="21">
        <f>Tabla17[[#This Row],[CONSUMO TOTAL PRO VALO]]/52</f>
        <v>0</v>
      </c>
      <c r="X209" s="21" t="e">
        <f>Tabla2[[#This Row],[CONSUMO TOTAL ]]+Tabla3[[#This Row],[CONSUMO TOTAL]]+#REF!+#REF!</f>
        <v>#VALUE!</v>
      </c>
      <c r="Y209" s="21"/>
      <c r="Z209" s="21">
        <f>Tabla17[[#This Row],[CONSUMO TOTAL TODAS]]/52</f>
        <v>0</v>
      </c>
      <c r="AA209" s="28">
        <f>Tabla17[[#This Row],[CONSUMO PROMEDIO PROPIO]]+Tabla17[[#This Row],[CONSUMO PROMEDIO TODAS]]</f>
        <v>0</v>
      </c>
      <c r="AB209" s="33">
        <f>Tabla17[[#This Row],[CONSUMO PROMEDIO TOTAL]]*(Tabla17[[#This Row],[FRECUENCIA]]+Tabla17[[#This Row],[TIEMPO REPOSICION ]])*1.7</f>
        <v>0</v>
      </c>
      <c r="AC209" s="33"/>
      <c r="AD209" s="33"/>
      <c r="AE209" s="135" t="e">
        <f>VLOOKUP(Tabla17[[#This Row],[CODIGO ]],#REF!,2,0)</f>
        <v>#REF!</v>
      </c>
      <c r="AF209" s="116">
        <f>IFERROR(VLOOKUP(Tabla17[[#This Row],[CODIGO ]],#REF!,2,0),0)</f>
        <v>0</v>
      </c>
      <c r="AG209" s="117" t="e">
        <f>Tabla17[[#This Row],[INVENTARIO FISICO ]]-Tabla17[[#This Row],[BUFFER REAL]]</f>
        <v>#REF!</v>
      </c>
      <c r="AH209" s="110"/>
      <c r="AI209" s="110"/>
      <c r="AJ209" s="117">
        <f>Tabla17[[#This Row],[SINOCHEM EN TRANSITO  ]]+Tabla17[[#This Row],[TRANSITO LOCAL]]</f>
        <v>0</v>
      </c>
      <c r="AK209" s="117"/>
      <c r="AL209" s="117"/>
      <c r="AM209" s="142" t="e">
        <f>Tabla17[[#This Row],[INVENTARIO FISICO ]]-Tabla17[[#This Row],[BUFFER REAL]]+Tabla17[[#This Row],[SINOCHEM EN TRANSITO  ]]+Tabla17[[#This Row],[TRANSITO LOCAL]]</f>
        <v>#REF!</v>
      </c>
      <c r="AN209" s="117" t="e">
        <f>Tabla17[[#This Row],[BUFFER REAL]]/((Tabla17[[#This Row],[TIEMPO REPOSICION ]]/Tabla17[[#This Row],[FRECUENCIA]])+1)</f>
        <v>#DIV/0!</v>
      </c>
      <c r="AO209" s="117"/>
      <c r="AP209" s="110"/>
      <c r="AQ209" s="110"/>
      <c r="AR209" s="30"/>
    </row>
  </sheetData>
  <conditionalFormatting sqref="AE2:AE209">
    <cfRule type="expression" dxfId="181" priority="1">
      <formula>AE2=0</formula>
    </cfRule>
    <cfRule type="expression" dxfId="180" priority="2">
      <formula>AND(AE2&gt;0,AE2&lt;AD2*33%)</formula>
    </cfRule>
    <cfRule type="expression" dxfId="179" priority="3">
      <formula>AND(AE2&gt;=AD2*33%,AE2&lt;AD2*66%)</formula>
    </cfRule>
    <cfRule type="expression" dxfId="178" priority="4">
      <formula>AND(AE2&gt;=AD2*66%,AE2&lt;=AD2)</formula>
    </cfRule>
    <cfRule type="expression" dxfId="177" priority="5">
      <formula>AE2&gt;AD2</formula>
    </cfRule>
  </conditionalFormatting>
  <dataValidations count="1">
    <dataValidation type="decimal" allowBlank="1" showErrorMessage="1" errorTitle="Validación" error="Esta celda sólo puede alojar números mayores a cero, vuelva a intentar" promptTitle="Validación" sqref="AD118:AD120 AD142:AD145 AD205:AD207">
      <formula1>0</formula1>
      <formula2>1.11111111111111E+21</formula2>
    </dataValidation>
  </dataValidations>
  <pageMargins left="0.7" right="0.7" top="0.75" bottom="0.75" header="0.3" footer="0.3"/>
  <pageSetup orientation="portrait" horizontalDpi="120" verticalDpi="72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CK121"/>
  <sheetViews>
    <sheetView showGridLines="0" workbookViewId="0">
      <pane xSplit="2" topLeftCell="CB1" activePane="topRight" state="frozen"/>
      <selection pane="topRight" activeCell="CC4" sqref="CC4"/>
    </sheetView>
  </sheetViews>
  <sheetFormatPr baseColWidth="10" defaultColWidth="11.42578125" defaultRowHeight="15"/>
  <cols>
    <col min="1" max="1" width="11.42578125" style="7"/>
    <col min="2" max="2" width="46.7109375" style="7" bestFit="1" customWidth="1"/>
    <col min="3" max="3" width="10.42578125" style="7" customWidth="1"/>
    <col min="4" max="4" width="11.42578125" style="7"/>
    <col min="5" max="5" width="27" style="7" bestFit="1" customWidth="1"/>
    <col min="6" max="6" width="14.28515625" style="7" customWidth="1"/>
    <col min="7" max="7" width="22.42578125" style="7" bestFit="1" customWidth="1"/>
    <col min="8" max="10" width="11.42578125" style="7"/>
    <col min="11" max="11" width="14.28515625" style="7" customWidth="1"/>
    <col min="12" max="12" width="21.85546875" style="7" customWidth="1"/>
    <col min="13" max="18" width="15.28515625" style="7" customWidth="1"/>
    <col min="19" max="19" width="15.7109375" style="7" customWidth="1"/>
    <col min="20" max="21" width="15.28515625" style="7" customWidth="1"/>
    <col min="22" max="22" width="15.85546875" style="7" customWidth="1"/>
    <col min="23" max="29" width="15.28515625" style="7" customWidth="1"/>
    <col min="30" max="30" width="16.28515625" style="7" customWidth="1"/>
    <col min="31" max="45" width="15.28515625" style="7" customWidth="1"/>
    <col min="46" max="46" width="15.7109375" style="7" customWidth="1"/>
    <col min="47" max="49" width="15.28515625" style="7" customWidth="1"/>
    <col min="50" max="50" width="15.7109375" style="7" customWidth="1"/>
    <col min="51" max="51" width="15.28515625" style="7" customWidth="1"/>
    <col min="52" max="52" width="15.7109375" style="7" customWidth="1"/>
    <col min="53" max="64" width="15.28515625" style="7" customWidth="1"/>
    <col min="65" max="66" width="11.42578125" style="7"/>
    <col min="67" max="67" width="13.5703125" style="7" customWidth="1"/>
    <col min="68" max="68" width="12.28515625" style="7" customWidth="1"/>
    <col min="69" max="69" width="15.7109375" style="7" customWidth="1"/>
    <col min="70" max="70" width="16.42578125" style="7" customWidth="1"/>
    <col min="71" max="71" width="11.42578125" style="7"/>
    <col min="72" max="72" width="11.42578125" style="31"/>
    <col min="73" max="73" width="11.42578125" style="7"/>
    <col min="74" max="79" width="12.28515625" style="7" customWidth="1"/>
    <col min="80" max="82" width="11.42578125" style="7"/>
    <col min="83" max="83" width="11.42578125" style="13"/>
    <col min="84" max="16384" width="11.42578125" style="7"/>
  </cols>
  <sheetData>
    <row r="1" spans="1:89" ht="60.75" thickBot="1">
      <c r="A1" s="14" t="s">
        <v>0</v>
      </c>
      <c r="B1" s="14" t="s">
        <v>1</v>
      </c>
      <c r="C1" s="14" t="s">
        <v>2</v>
      </c>
      <c r="D1" s="14" t="s">
        <v>6</v>
      </c>
      <c r="E1" s="14" t="s">
        <v>7</v>
      </c>
      <c r="F1" s="14" t="s">
        <v>723</v>
      </c>
      <c r="G1" s="14" t="s">
        <v>728</v>
      </c>
      <c r="H1" s="15" t="s">
        <v>3</v>
      </c>
      <c r="I1" s="15" t="s">
        <v>4</v>
      </c>
      <c r="J1" s="15" t="s">
        <v>5</v>
      </c>
      <c r="K1" s="14" t="s">
        <v>8</v>
      </c>
      <c r="L1" s="14" t="s">
        <v>785</v>
      </c>
      <c r="M1" s="16" t="s">
        <v>10</v>
      </c>
      <c r="N1" s="16" t="s">
        <v>11</v>
      </c>
      <c r="O1" s="16" t="s">
        <v>12</v>
      </c>
      <c r="P1" s="16" t="s">
        <v>13</v>
      </c>
      <c r="Q1" s="16" t="s">
        <v>14</v>
      </c>
      <c r="R1" s="16" t="s">
        <v>15</v>
      </c>
      <c r="S1" s="16" t="s">
        <v>16</v>
      </c>
      <c r="T1" s="16" t="s">
        <v>17</v>
      </c>
      <c r="U1" s="16" t="s">
        <v>18</v>
      </c>
      <c r="V1" s="16" t="s">
        <v>19</v>
      </c>
      <c r="W1" s="16" t="s">
        <v>20</v>
      </c>
      <c r="X1" s="16" t="s">
        <v>21</v>
      </c>
      <c r="Y1" s="16" t="s">
        <v>22</v>
      </c>
      <c r="Z1" s="16" t="s">
        <v>23</v>
      </c>
      <c r="AA1" s="16" t="s">
        <v>24</v>
      </c>
      <c r="AB1" s="16" t="s">
        <v>25</v>
      </c>
      <c r="AC1" s="16" t="s">
        <v>26</v>
      </c>
      <c r="AD1" s="16" t="s">
        <v>27</v>
      </c>
      <c r="AE1" s="16" t="s">
        <v>28</v>
      </c>
      <c r="AF1" s="16" t="s">
        <v>29</v>
      </c>
      <c r="AG1" s="16" t="s">
        <v>30</v>
      </c>
      <c r="AH1" s="16" t="s">
        <v>31</v>
      </c>
      <c r="AI1" s="16" t="s">
        <v>32</v>
      </c>
      <c r="AJ1" s="16" t="s">
        <v>33</v>
      </c>
      <c r="AK1" s="16" t="s">
        <v>34</v>
      </c>
      <c r="AL1" s="16" t="s">
        <v>35</v>
      </c>
      <c r="AM1" s="16" t="s">
        <v>36</v>
      </c>
      <c r="AN1" s="16" t="s">
        <v>37</v>
      </c>
      <c r="AO1" s="16" t="s">
        <v>38</v>
      </c>
      <c r="AP1" s="16" t="s">
        <v>39</v>
      </c>
      <c r="AQ1" s="16" t="s">
        <v>40</v>
      </c>
      <c r="AR1" s="16" t="s">
        <v>41</v>
      </c>
      <c r="AS1" s="16" t="s">
        <v>42</v>
      </c>
      <c r="AT1" s="16" t="s">
        <v>43</v>
      </c>
      <c r="AU1" s="16" t="s">
        <v>44</v>
      </c>
      <c r="AV1" s="16" t="s">
        <v>45</v>
      </c>
      <c r="AW1" s="16" t="s">
        <v>46</v>
      </c>
      <c r="AX1" s="16" t="s">
        <v>47</v>
      </c>
      <c r="AY1" s="16" t="s">
        <v>48</v>
      </c>
      <c r="AZ1" s="16" t="s">
        <v>49</v>
      </c>
      <c r="BA1" s="16" t="s">
        <v>50</v>
      </c>
      <c r="BB1" s="16" t="s">
        <v>51</v>
      </c>
      <c r="BC1" s="16" t="s">
        <v>52</v>
      </c>
      <c r="BD1" s="16" t="s">
        <v>53</v>
      </c>
      <c r="BE1" s="16" t="s">
        <v>54</v>
      </c>
      <c r="BF1" s="16" t="s">
        <v>55</v>
      </c>
      <c r="BG1" s="16" t="s">
        <v>56</v>
      </c>
      <c r="BH1" s="16" t="s">
        <v>57</v>
      </c>
      <c r="BI1" s="16" t="s">
        <v>58</v>
      </c>
      <c r="BJ1" s="16" t="s">
        <v>59</v>
      </c>
      <c r="BK1" s="16" t="s">
        <v>60</v>
      </c>
      <c r="BL1" s="16" t="s">
        <v>61</v>
      </c>
      <c r="BM1" s="17" t="s">
        <v>749</v>
      </c>
      <c r="BN1" s="14" t="s">
        <v>750</v>
      </c>
      <c r="BO1" s="14" t="s">
        <v>756</v>
      </c>
      <c r="BP1" s="14" t="s">
        <v>754</v>
      </c>
      <c r="BQ1" s="14" t="s">
        <v>755</v>
      </c>
      <c r="BR1" s="62" t="s">
        <v>757</v>
      </c>
      <c r="BS1" s="14" t="s">
        <v>758</v>
      </c>
      <c r="BT1" s="32" t="s">
        <v>759</v>
      </c>
      <c r="BU1" s="14" t="s">
        <v>760</v>
      </c>
      <c r="BV1" s="14" t="s">
        <v>769</v>
      </c>
      <c r="BW1" s="65" t="s">
        <v>781</v>
      </c>
      <c r="BX1" s="65" t="s">
        <v>782</v>
      </c>
      <c r="BY1" s="65" t="s">
        <v>783</v>
      </c>
      <c r="BZ1" s="65" t="s">
        <v>784</v>
      </c>
      <c r="CA1" s="63" t="s">
        <v>770</v>
      </c>
      <c r="CB1" s="64" t="s">
        <v>771</v>
      </c>
      <c r="CC1" s="63" t="s">
        <v>772</v>
      </c>
      <c r="CD1" s="66" t="s">
        <v>773</v>
      </c>
      <c r="CE1" s="72" t="s">
        <v>774</v>
      </c>
      <c r="CF1" s="67" t="s">
        <v>775</v>
      </c>
      <c r="CG1" s="67" t="s">
        <v>776</v>
      </c>
      <c r="CH1" s="67" t="s">
        <v>777</v>
      </c>
      <c r="CI1" s="67" t="s">
        <v>778</v>
      </c>
      <c r="CJ1" s="67" t="s">
        <v>779</v>
      </c>
      <c r="CK1" s="67" t="s">
        <v>780</v>
      </c>
    </row>
    <row r="2" spans="1:89">
      <c r="A2" s="7" t="s">
        <v>85</v>
      </c>
      <c r="B2" s="7" t="s">
        <v>86</v>
      </c>
      <c r="C2" s="7" t="s">
        <v>682</v>
      </c>
      <c r="D2" s="7" t="s">
        <v>707</v>
      </c>
      <c r="E2" s="7" t="s">
        <v>715</v>
      </c>
      <c r="F2" s="7" t="s">
        <v>724</v>
      </c>
      <c r="G2" s="7" t="s">
        <v>729</v>
      </c>
      <c r="H2" s="13">
        <v>0.84</v>
      </c>
      <c r="I2" s="13">
        <f>+H2*75%</f>
        <v>0.63</v>
      </c>
      <c r="J2" s="13">
        <v>0.50012999999999996</v>
      </c>
      <c r="K2" s="7">
        <v>8</v>
      </c>
      <c r="L2" s="7">
        <v>6</v>
      </c>
      <c r="BM2" s="13">
        <v>0</v>
      </c>
      <c r="BN2" s="13">
        <f>Tabla1[[#This Row],[CONSUMO TOTAL PROPIO]]/52</f>
        <v>0</v>
      </c>
      <c r="BO2" s="13">
        <v>2096</v>
      </c>
      <c r="BP2" s="31">
        <v>2096</v>
      </c>
      <c r="BQ2" s="13">
        <f>Tabla1[[#This Row],[CONSUMO TOTAL TODAS]]/52</f>
        <v>40.307692307692307</v>
      </c>
      <c r="BR2" s="25">
        <f>Tabla1[[#This Row],[CONSUMO PROMEDIO PROPIO]]+Tabla1[[#This Row],[CONSUMO PROMEDIO TODAS]]</f>
        <v>40.307692307692307</v>
      </c>
      <c r="BS2" s="26">
        <f>Tabla1[[#This Row],[CONSUMO PROMEDIO TOTAL]]*(Tabla1[[#This Row],[FRECUENCIA]]+Tabla1[[#This Row],[TIEMPO REPOSICION BUFFERS]])</f>
        <v>564.30769230769226</v>
      </c>
      <c r="BT2" s="26">
        <v>564</v>
      </c>
      <c r="BU2" s="27">
        <v>1</v>
      </c>
      <c r="BV2" s="27">
        <v>16</v>
      </c>
      <c r="BW2" s="27">
        <v>16</v>
      </c>
      <c r="BX2" s="69">
        <f>Tabla1[[#This Row],[BUFFER REAL]]*Tabla1[[#This Row],[COSTOS]]</f>
        <v>282.07331999999997</v>
      </c>
      <c r="BY2" s="69">
        <f>Tabla1[[#This Row],[PVP]]-Tabla1[[#This Row],[COSTOS]]</f>
        <v>0.33987000000000001</v>
      </c>
      <c r="BZ2" s="69">
        <f>Tabla1[[#This Row],[PVD]]-Tabla1[[#This Row],[COSTOS]]</f>
        <v>0.12987000000000004</v>
      </c>
      <c r="CA2" s="25">
        <f>Tabla1[[#This Row],[TRUPUD UNTITARIO PVD]]</f>
        <v>0.12987000000000004</v>
      </c>
      <c r="CB2" s="25">
        <f>Tabla1[[#This Row],[TRUPUT UNITARIO]]/Tabla1[[#This Row],[COSTOS]]</f>
        <v>0.2596724851538601</v>
      </c>
      <c r="CC2" s="40">
        <f>Tabla1[[#This Row],[BUFFER REAL]]/((Tabla1[[#This Row],[TIEMPO REPOSICION BUFFERS]])/1.5)</f>
        <v>141</v>
      </c>
      <c r="CD2" s="69">
        <f>Tabla1[[#This Row],[CONSUMO ESTIMADO]]*52*Tabla1[[#This Row],[TRUPUT UNITARIO]]</f>
        <v>952.20684000000028</v>
      </c>
      <c r="CE2" s="25">
        <f>Tabla1[[#This Row],[CONSUMO ESTIMADO]]*(Tabla1[[#This Row],[TIEMPO REPOSICION BUFFERS]]*1.5)+( Tabla1[[#This Row],[TRUPUT TOTAL ESTIMADO ANUAL]]*(Tabla1[[#This Row],[CRÉDITO CLIENTE]]-Tabla1[[#This Row],[CREDITO PROVEEDOR]]))</f>
        <v>1269</v>
      </c>
      <c r="CF2" s="25">
        <f>Tabla1[[#This Row],[INVERSION UNIDADES]]*Tabla1[[#This Row],[COSTOS]]</f>
        <v>634.66496999999993</v>
      </c>
      <c r="CG2" s="25">
        <f>Tabla1[[#This Row],[TRUPUT TOTAL ESTIMADO ANUAL]]/Tabla1[[#This Row],[INVERSION USD]]</f>
        <v>1.5003299142223028</v>
      </c>
      <c r="CH2" s="27"/>
      <c r="CI2" s="27"/>
      <c r="CJ2" s="27"/>
      <c r="CK2" s="27"/>
    </row>
    <row r="3" spans="1:89">
      <c r="A3" s="7" t="s">
        <v>87</v>
      </c>
      <c r="B3" s="7" t="s">
        <v>88</v>
      </c>
      <c r="C3" s="7" t="s">
        <v>682</v>
      </c>
      <c r="D3" s="7" t="s">
        <v>707</v>
      </c>
      <c r="E3" s="7" t="s">
        <v>715</v>
      </c>
      <c r="F3" s="7" t="s">
        <v>724</v>
      </c>
      <c r="G3" s="7" t="s">
        <v>729</v>
      </c>
      <c r="H3" s="13">
        <v>1.45</v>
      </c>
      <c r="I3" s="13">
        <f>+H3*75%</f>
        <v>1.0874999999999999</v>
      </c>
      <c r="J3" s="13">
        <v>0.73028999999999999</v>
      </c>
      <c r="K3" s="7">
        <f>+'BODEGA MATERIA PRIMA'!R175+'BODEGA MATERIA PRIMA'!S175</f>
        <v>26</v>
      </c>
      <c r="L3" s="7">
        <v>6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2</v>
      </c>
      <c r="Y3" s="7">
        <v>0</v>
      </c>
      <c r="Z3" s="7">
        <v>20</v>
      </c>
      <c r="AA3" s="7">
        <v>0</v>
      </c>
      <c r="AB3" s="7">
        <v>0</v>
      </c>
      <c r="AC3" s="7">
        <v>25</v>
      </c>
      <c r="AD3" s="7">
        <v>424</v>
      </c>
      <c r="AE3" s="7">
        <v>0</v>
      </c>
      <c r="AF3" s="7">
        <v>0</v>
      </c>
      <c r="AG3" s="7">
        <v>20</v>
      </c>
      <c r="AH3" s="7">
        <v>275</v>
      </c>
      <c r="AI3" s="7">
        <v>0</v>
      </c>
      <c r="AJ3" s="7">
        <v>90</v>
      </c>
      <c r="AK3" s="7">
        <v>127</v>
      </c>
      <c r="AL3" s="7">
        <v>0</v>
      </c>
      <c r="AM3" s="7">
        <v>1</v>
      </c>
      <c r="AN3" s="7">
        <v>0</v>
      </c>
      <c r="AO3" s="7">
        <v>0</v>
      </c>
      <c r="AP3" s="7">
        <v>0</v>
      </c>
      <c r="AQ3" s="7">
        <v>0</v>
      </c>
      <c r="AR3" s="7">
        <v>100</v>
      </c>
      <c r="AS3" s="7">
        <v>300</v>
      </c>
      <c r="AT3" s="7">
        <v>10</v>
      </c>
      <c r="AU3" s="7">
        <v>0</v>
      </c>
      <c r="AV3" s="7">
        <v>50</v>
      </c>
      <c r="AW3" s="7">
        <v>100</v>
      </c>
      <c r="AX3" s="7">
        <v>212</v>
      </c>
      <c r="AY3" s="7">
        <v>10</v>
      </c>
      <c r="AZ3" s="7">
        <v>0</v>
      </c>
      <c r="BA3" s="7">
        <v>0</v>
      </c>
      <c r="BB3" s="7">
        <v>0</v>
      </c>
      <c r="BC3" s="7">
        <v>0</v>
      </c>
      <c r="BD3" s="7">
        <v>0</v>
      </c>
      <c r="BE3" s="7">
        <v>0</v>
      </c>
      <c r="BF3" s="7">
        <v>10</v>
      </c>
      <c r="BG3" s="7">
        <v>1</v>
      </c>
      <c r="BH3" s="7">
        <v>1</v>
      </c>
      <c r="BI3" s="7">
        <v>0</v>
      </c>
      <c r="BJ3" s="7">
        <v>0</v>
      </c>
      <c r="BK3" s="7">
        <v>5</v>
      </c>
      <c r="BL3" s="7">
        <v>0</v>
      </c>
      <c r="BM3" s="13">
        <v>1783</v>
      </c>
      <c r="BN3" s="13">
        <f>Tabla1[[#This Row],[CONSUMO TOTAL PROPIO]]/52</f>
        <v>34.28846153846154</v>
      </c>
      <c r="BO3" s="13" t="e">
        <f>SUM(Tabla3[[#This Row],[CONSUMO TOTAL V]]+Tabla2[[#This Row],[CONSUMO TOTAL VALORES]]+#REF!+#REF!)</f>
        <v>#REF!</v>
      </c>
      <c r="BP3" s="31">
        <v>6</v>
      </c>
      <c r="BQ3" s="13">
        <f>Tabla1[[#This Row],[CONSUMO TOTAL TODAS]]/52</f>
        <v>0.11538461538461539</v>
      </c>
      <c r="BR3" s="25">
        <f>Tabla1[[#This Row],[CONSUMO PROMEDIO PROPIO]]+Tabla1[[#This Row],[CONSUMO PROMEDIO TODAS]]</f>
        <v>34.403846153846153</v>
      </c>
      <c r="BS3" s="26">
        <f>Tabla1[[#This Row],[CONSUMO PROMEDIO TOTAL]]*(Tabla1[[#This Row],[FRECUENCIA]]+Tabla1[[#This Row],[TIEMPO REPOSICION BUFFERS]])</f>
        <v>1100.9230769230769</v>
      </c>
      <c r="BT3" s="26">
        <v>400</v>
      </c>
      <c r="BU3" s="27">
        <v>1</v>
      </c>
      <c r="BV3" s="27">
        <v>16</v>
      </c>
      <c r="BW3" s="27">
        <v>16</v>
      </c>
      <c r="BX3" s="69">
        <f>Tabla1[[#This Row],[BUFFER REAL]]*Tabla1[[#This Row],[COSTOS]]</f>
        <v>292.11599999999999</v>
      </c>
      <c r="BY3" s="69">
        <f>Tabla1[[#This Row],[PVP]]-Tabla1[[#This Row],[COSTOS]]</f>
        <v>0.71970999999999996</v>
      </c>
      <c r="BZ3" s="69">
        <f>Tabla1[[#This Row],[PVD]]-Tabla1[[#This Row],[COSTOS]]</f>
        <v>0.35720999999999992</v>
      </c>
      <c r="CA3" s="25">
        <f>Tabla1[[#This Row],[TRUPUD UNTITARIO PVD]]</f>
        <v>0.35720999999999992</v>
      </c>
      <c r="CB3" s="25">
        <f>Tabla1[[#This Row],[TRUPUT UNITARIO]]/Tabla1[[#This Row],[COSTOS]]</f>
        <v>0.48913445343630602</v>
      </c>
      <c r="CC3" s="40">
        <f>Tabla1[[#This Row],[BUFFER REAL]]/((Tabla1[[#This Row],[TIEMPO REPOSICION BUFFERS]])/1.5)</f>
        <v>100</v>
      </c>
      <c r="CD3" s="69">
        <f>Tabla1[[#This Row],[CONSUMO ESTIMADO]]*52*Tabla1[[#This Row],[TRUPUT UNITARIO]]</f>
        <v>1857.4919999999995</v>
      </c>
      <c r="CE3" s="25">
        <f>Tabla1[[#This Row],[CONSUMO ESTIMADO]]*(Tabla1[[#This Row],[TIEMPO REPOSICION BUFFERS]]*1.5)+( Tabla1[[#This Row],[TRUPUT TOTAL ESTIMADO ANUAL]]*(Tabla1[[#This Row],[CRÉDITO CLIENTE]]-Tabla1[[#This Row],[CREDITO PROVEEDOR]]))</f>
        <v>900</v>
      </c>
      <c r="CF3" s="25">
        <f>Tabla1[[#This Row],[INVERSION UNIDADES]]*Tabla1[[#This Row],[COSTOS]]</f>
        <v>657.26099999999997</v>
      </c>
      <c r="CG3" s="25">
        <f>Tabla1[[#This Row],[TRUPUT TOTAL ESTIMADO ANUAL]]/Tabla1[[#This Row],[INVERSION USD]]</f>
        <v>2.8261101754097679</v>
      </c>
      <c r="CH3" s="27"/>
      <c r="CI3" s="27"/>
      <c r="CJ3" s="27"/>
      <c r="CK3" s="27"/>
    </row>
    <row r="4" spans="1:89">
      <c r="A4" s="7" t="s">
        <v>89</v>
      </c>
      <c r="B4" s="7" t="s">
        <v>90</v>
      </c>
      <c r="C4" s="7" t="s">
        <v>2</v>
      </c>
      <c r="D4" s="7" t="s">
        <v>707</v>
      </c>
      <c r="E4" s="7" t="s">
        <v>715</v>
      </c>
      <c r="F4" s="7" t="s">
        <v>724</v>
      </c>
      <c r="G4" s="7" t="s">
        <v>729</v>
      </c>
      <c r="H4" s="13">
        <v>4.05</v>
      </c>
      <c r="I4" s="13">
        <f>+H4*75%</f>
        <v>3.0374999999999996</v>
      </c>
      <c r="J4" s="13">
        <v>2.46251</v>
      </c>
      <c r="K4" s="7">
        <v>8</v>
      </c>
      <c r="L4" s="7">
        <v>6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40</v>
      </c>
      <c r="Y4" s="7">
        <v>6</v>
      </c>
      <c r="Z4" s="7">
        <v>2</v>
      </c>
      <c r="AA4" s="7">
        <v>39</v>
      </c>
      <c r="AB4" s="7">
        <v>0</v>
      </c>
      <c r="AC4" s="7">
        <v>0</v>
      </c>
      <c r="AD4" s="7">
        <v>15</v>
      </c>
      <c r="AE4" s="7">
        <v>0</v>
      </c>
      <c r="AF4" s="7">
        <v>0</v>
      </c>
      <c r="AG4" s="7">
        <v>0</v>
      </c>
      <c r="AH4" s="7">
        <v>60</v>
      </c>
      <c r="AI4" s="7">
        <v>0</v>
      </c>
      <c r="AJ4" s="7">
        <v>0</v>
      </c>
      <c r="AK4" s="7">
        <v>0</v>
      </c>
      <c r="AL4" s="7">
        <v>0</v>
      </c>
      <c r="AM4" s="7">
        <v>0</v>
      </c>
      <c r="AN4" s="7">
        <v>0</v>
      </c>
      <c r="AO4" s="7">
        <v>0</v>
      </c>
      <c r="AP4" s="7">
        <v>0</v>
      </c>
      <c r="AQ4" s="7">
        <v>0</v>
      </c>
      <c r="AR4" s="7">
        <v>0</v>
      </c>
      <c r="AS4" s="7">
        <v>0</v>
      </c>
      <c r="AT4" s="7">
        <v>16</v>
      </c>
      <c r="AU4" s="7">
        <v>0</v>
      </c>
      <c r="AV4" s="7">
        <v>0</v>
      </c>
      <c r="AW4" s="7">
        <v>0</v>
      </c>
      <c r="AX4" s="7">
        <v>0</v>
      </c>
      <c r="AY4" s="7">
        <v>0</v>
      </c>
      <c r="AZ4" s="7">
        <v>0</v>
      </c>
      <c r="BA4" s="7">
        <v>0</v>
      </c>
      <c r="BB4" s="7">
        <v>0</v>
      </c>
      <c r="BC4" s="7">
        <v>0</v>
      </c>
      <c r="BD4" s="7">
        <v>6</v>
      </c>
      <c r="BE4" s="7">
        <v>0</v>
      </c>
      <c r="BF4" s="7">
        <v>0</v>
      </c>
      <c r="BG4" s="7">
        <v>0</v>
      </c>
      <c r="BH4" s="7">
        <v>0</v>
      </c>
      <c r="BI4" s="7">
        <v>0</v>
      </c>
      <c r="BJ4" s="7">
        <v>0</v>
      </c>
      <c r="BK4" s="7">
        <v>0</v>
      </c>
      <c r="BL4" s="7">
        <v>8</v>
      </c>
      <c r="BM4" s="13">
        <v>192</v>
      </c>
      <c r="BN4" s="13">
        <f>Tabla1[[#This Row],[CONSUMO TOTAL PROPIO]]/52</f>
        <v>3.6923076923076925</v>
      </c>
      <c r="BO4" s="13" t="e">
        <f>SUM(Tabla3[[#This Row],[CONSUMO TOTAL V]]+Tabla2[[#This Row],[CONSUMO TOTAL VALORES]]+#REF!+#REF!)</f>
        <v>#REF!</v>
      </c>
      <c r="BP4" s="31">
        <v>135</v>
      </c>
      <c r="BQ4" s="13">
        <f>Tabla1[[#This Row],[CONSUMO TOTAL TODAS]]/52</f>
        <v>2.5961538461538463</v>
      </c>
      <c r="BR4" s="25">
        <f>Tabla1[[#This Row],[CONSUMO PROMEDIO PROPIO]]+Tabla1[[#This Row],[CONSUMO PROMEDIO TODAS]]</f>
        <v>6.2884615384615383</v>
      </c>
      <c r="BS4" s="26">
        <f>Tabla1[[#This Row],[CONSUMO PROMEDIO TOTAL]]*(Tabla1[[#This Row],[FRECUENCIA]]+Tabla1[[#This Row],[TIEMPO REPOSICION BUFFERS]])</f>
        <v>88.038461538461533</v>
      </c>
      <c r="BT4" s="26">
        <v>113</v>
      </c>
      <c r="BU4" s="27">
        <v>1</v>
      </c>
      <c r="BV4" s="27">
        <v>16</v>
      </c>
      <c r="BW4" s="27">
        <v>16</v>
      </c>
      <c r="BX4" s="69">
        <f>Tabla1[[#This Row],[BUFFER REAL]]*Tabla1[[#This Row],[COSTOS]]</f>
        <v>278.26362999999998</v>
      </c>
      <c r="BY4" s="69">
        <f>Tabla1[[#This Row],[PVP]]-Tabla1[[#This Row],[COSTOS]]</f>
        <v>1.5874899999999998</v>
      </c>
      <c r="BZ4" s="69">
        <f>Tabla1[[#This Row],[PVD]]-Tabla1[[#This Row],[COSTOS]]</f>
        <v>0.57498999999999967</v>
      </c>
      <c r="CA4" s="25">
        <f>Tabla1[[#This Row],[TRUPUD UNTITARIO PVD]]</f>
        <v>0.57498999999999967</v>
      </c>
      <c r="CB4" s="25">
        <f>Tabla1[[#This Row],[TRUPUT UNITARIO]]/Tabla1[[#This Row],[COSTOS]]</f>
        <v>0.23349752894404477</v>
      </c>
      <c r="CC4" s="40">
        <f>Tabla1[[#This Row],[BUFFER REAL]]/((Tabla1[[#This Row],[TIEMPO REPOSICION BUFFERS]])/1.5)</f>
        <v>28.25</v>
      </c>
      <c r="CD4" s="69">
        <f>Tabla1[[#This Row],[CONSUMO ESTIMADO]]*52*Tabla1[[#This Row],[TRUPUT UNITARIO]]</f>
        <v>844.66030999999953</v>
      </c>
      <c r="CE4" s="25">
        <f>Tabla1[[#This Row],[CONSUMO ESTIMADO]]*(Tabla1[[#This Row],[TIEMPO REPOSICION BUFFERS]]*1.5)+( Tabla1[[#This Row],[TRUPUT TOTAL ESTIMADO ANUAL]]*(Tabla1[[#This Row],[CRÉDITO CLIENTE]]-Tabla1[[#This Row],[CREDITO PROVEEDOR]]))</f>
        <v>254.25</v>
      </c>
      <c r="CF4" s="25">
        <f>Tabla1[[#This Row],[INVERSION UNIDADES]]*Tabla1[[#This Row],[COSTOS]]</f>
        <v>626.09316750000005</v>
      </c>
      <c r="CG4" s="25">
        <f>Tabla1[[#This Row],[TRUPUT TOTAL ESTIMADO ANUAL]]/Tabla1[[#This Row],[INVERSION USD]]</f>
        <v>1.3490968338989253</v>
      </c>
      <c r="CH4" s="27"/>
      <c r="CI4" s="27"/>
      <c r="CJ4" s="27"/>
      <c r="CK4" s="27"/>
    </row>
    <row r="5" spans="1:89">
      <c r="A5" s="7" t="s">
        <v>91</v>
      </c>
      <c r="B5" s="7" t="s">
        <v>92</v>
      </c>
      <c r="C5" s="7" t="s">
        <v>683</v>
      </c>
      <c r="D5" s="7" t="s">
        <v>707</v>
      </c>
      <c r="E5" s="7" t="s">
        <v>715</v>
      </c>
      <c r="F5" s="7" t="s">
        <v>724</v>
      </c>
      <c r="G5" s="7" t="s">
        <v>729</v>
      </c>
      <c r="H5" s="13">
        <v>3.29</v>
      </c>
      <c r="I5" s="13">
        <f t="shared" ref="I5:I25" si="0">+H5*74%</f>
        <v>2.4346000000000001</v>
      </c>
      <c r="J5" s="13">
        <v>1.96801</v>
      </c>
      <c r="K5" s="7">
        <v>8</v>
      </c>
      <c r="L5" s="7">
        <v>6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7">
        <v>0</v>
      </c>
      <c r="T5" s="7">
        <v>0</v>
      </c>
      <c r="U5" s="7">
        <v>0</v>
      </c>
      <c r="V5" s="7">
        <v>0</v>
      </c>
      <c r="W5" s="7">
        <v>0</v>
      </c>
      <c r="X5" s="7">
        <v>0</v>
      </c>
      <c r="Y5" s="7">
        <v>0</v>
      </c>
      <c r="Z5" s="7">
        <v>0</v>
      </c>
      <c r="AA5" s="7">
        <v>0</v>
      </c>
      <c r="AB5" s="7">
        <v>0</v>
      </c>
      <c r="AC5" s="7">
        <v>0</v>
      </c>
      <c r="AD5" s="7">
        <v>0</v>
      </c>
      <c r="AE5" s="7">
        <v>0</v>
      </c>
      <c r="AF5" s="7">
        <v>0</v>
      </c>
      <c r="AG5" s="7">
        <v>1</v>
      </c>
      <c r="AH5" s="7">
        <v>0</v>
      </c>
      <c r="AI5" s="7">
        <v>0</v>
      </c>
      <c r="AJ5" s="7">
        <v>0</v>
      </c>
      <c r="AK5" s="7">
        <v>0</v>
      </c>
      <c r="AL5" s="7">
        <v>0</v>
      </c>
      <c r="AM5" s="7">
        <v>0</v>
      </c>
      <c r="AN5" s="7">
        <v>1</v>
      </c>
      <c r="AO5" s="7">
        <v>0</v>
      </c>
      <c r="AP5" s="7">
        <v>0</v>
      </c>
      <c r="AQ5" s="7">
        <v>0</v>
      </c>
      <c r="AR5" s="7">
        <v>0</v>
      </c>
      <c r="AS5" s="7">
        <v>0</v>
      </c>
      <c r="AT5" s="7">
        <v>0</v>
      </c>
      <c r="AU5" s="7">
        <v>0</v>
      </c>
      <c r="AV5" s="7">
        <v>0</v>
      </c>
      <c r="AW5" s="7">
        <v>8</v>
      </c>
      <c r="AX5" s="7">
        <v>0</v>
      </c>
      <c r="AY5" s="7">
        <v>0</v>
      </c>
      <c r="AZ5" s="7">
        <v>0</v>
      </c>
      <c r="BA5" s="7">
        <v>0</v>
      </c>
      <c r="BB5" s="7">
        <v>0</v>
      </c>
      <c r="BC5" s="7">
        <v>0</v>
      </c>
      <c r="BD5" s="7">
        <v>0</v>
      </c>
      <c r="BE5" s="7">
        <v>0</v>
      </c>
      <c r="BF5" s="7">
        <v>0</v>
      </c>
      <c r="BG5" s="7">
        <v>0</v>
      </c>
      <c r="BH5" s="7">
        <v>0</v>
      </c>
      <c r="BI5" s="7">
        <v>0</v>
      </c>
      <c r="BJ5" s="7">
        <v>0</v>
      </c>
      <c r="BK5" s="7">
        <v>0</v>
      </c>
      <c r="BL5" s="7">
        <v>0</v>
      </c>
      <c r="BM5" s="13">
        <v>10</v>
      </c>
      <c r="BN5" s="13">
        <f>Tabla1[[#This Row],[CONSUMO TOTAL PROPIO]]/52</f>
        <v>0.19230769230769232</v>
      </c>
      <c r="BO5" s="13" t="e">
        <f>SUM(Tabla3[[#This Row],[CONSUMO TOTAL V]]+Tabla2[[#This Row],[CONSUMO TOTAL VALORES]]+#REF!+#REF!)</f>
        <v>#REF!</v>
      </c>
      <c r="BP5" s="31">
        <v>125</v>
      </c>
      <c r="BQ5" s="13">
        <f>Tabla1[[#This Row],[CONSUMO TOTAL TODAS]]/52</f>
        <v>2.4038461538461537</v>
      </c>
      <c r="BR5" s="25">
        <f>Tabla1[[#This Row],[CONSUMO PROMEDIO PROPIO]]+Tabla1[[#This Row],[CONSUMO PROMEDIO TODAS]]</f>
        <v>2.5961538461538463</v>
      </c>
      <c r="BS5" s="26">
        <f>Tabla1[[#This Row],[CONSUMO PROMEDIO TOTAL]]*(Tabla1[[#This Row],[FRECUENCIA]]+Tabla1[[#This Row],[TIEMPO REPOSICION BUFFERS]])</f>
        <v>36.346153846153847</v>
      </c>
      <c r="BT5" s="26">
        <v>47</v>
      </c>
      <c r="BU5" s="27">
        <v>1</v>
      </c>
      <c r="BV5" s="27">
        <v>16</v>
      </c>
      <c r="BW5" s="27">
        <v>16</v>
      </c>
      <c r="BX5" s="69">
        <f>Tabla1[[#This Row],[BUFFER REAL]]*Tabla1[[#This Row],[COSTOS]]</f>
        <v>92.496470000000002</v>
      </c>
      <c r="BY5" s="69">
        <f>Tabla1[[#This Row],[PVP]]-Tabla1[[#This Row],[COSTOS]]</f>
        <v>1.32199</v>
      </c>
      <c r="BZ5" s="69">
        <f>Tabla1[[#This Row],[PVD]]-Tabla1[[#This Row],[COSTOS]]</f>
        <v>0.46659000000000006</v>
      </c>
      <c r="CA5" s="25">
        <f>Tabla1[[#This Row],[TRUPUD UNTITARIO PVD]]</f>
        <v>0.46659000000000006</v>
      </c>
      <c r="CB5" s="25">
        <f>Tabla1[[#This Row],[TRUPUT UNITARIO]]/Tabla1[[#This Row],[COSTOS]]</f>
        <v>0.23708720992271384</v>
      </c>
      <c r="CC5" s="40">
        <f>Tabla1[[#This Row],[BUFFER REAL]]/((Tabla1[[#This Row],[TIEMPO REPOSICION BUFFERS]])/1.5)</f>
        <v>11.75</v>
      </c>
      <c r="CD5" s="69">
        <f>Tabla1[[#This Row],[CONSUMO ESTIMADO]]*52*Tabla1[[#This Row],[TRUPUT UNITARIO]]</f>
        <v>285.08649000000003</v>
      </c>
      <c r="CE5" s="25">
        <f>Tabla1[[#This Row],[CONSUMO ESTIMADO]]*(Tabla1[[#This Row],[TIEMPO REPOSICION BUFFERS]]*1.5)+( Tabla1[[#This Row],[TRUPUT TOTAL ESTIMADO ANUAL]]*(Tabla1[[#This Row],[CRÉDITO CLIENTE]]-Tabla1[[#This Row],[CREDITO PROVEEDOR]]))</f>
        <v>105.75</v>
      </c>
      <c r="CF5" s="25">
        <f>Tabla1[[#This Row],[INVERSION UNIDADES]]*Tabla1[[#This Row],[COSTOS]]</f>
        <v>208.11705750000002</v>
      </c>
      <c r="CG5" s="25">
        <f>Tabla1[[#This Row],[TRUPUT TOTAL ESTIMADO ANUAL]]/Tabla1[[#This Row],[INVERSION USD]]</f>
        <v>1.3698372128867908</v>
      </c>
      <c r="CH5" s="27"/>
      <c r="CI5" s="27"/>
      <c r="CJ5" s="27"/>
      <c r="CK5" s="27"/>
    </row>
    <row r="6" spans="1:89">
      <c r="A6" s="7" t="s">
        <v>93</v>
      </c>
      <c r="B6" s="7" t="s">
        <v>94</v>
      </c>
      <c r="C6" s="7" t="s">
        <v>672</v>
      </c>
      <c r="D6" s="7" t="s">
        <v>707</v>
      </c>
      <c r="E6" s="7" t="s">
        <v>715</v>
      </c>
      <c r="F6" s="7" t="s">
        <v>724</v>
      </c>
      <c r="G6" s="7" t="s">
        <v>729</v>
      </c>
      <c r="H6" s="13">
        <v>4.99</v>
      </c>
      <c r="I6" s="13">
        <f t="shared" si="0"/>
        <v>3.6926000000000001</v>
      </c>
      <c r="J6" s="13">
        <v>2.1820200000000001</v>
      </c>
      <c r="K6" s="7">
        <v>8</v>
      </c>
      <c r="L6" s="7">
        <v>6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0</v>
      </c>
      <c r="Y6" s="7">
        <v>40</v>
      </c>
      <c r="Z6" s="7">
        <v>10</v>
      </c>
      <c r="AA6" s="7">
        <v>0</v>
      </c>
      <c r="AB6" s="7">
        <v>0</v>
      </c>
      <c r="AC6" s="7">
        <v>0</v>
      </c>
      <c r="AD6" s="7">
        <v>20</v>
      </c>
      <c r="AE6" s="7">
        <v>10</v>
      </c>
      <c r="AF6" s="7">
        <v>0</v>
      </c>
      <c r="AG6" s="7">
        <v>12</v>
      </c>
      <c r="AH6" s="7">
        <v>0</v>
      </c>
      <c r="AI6" s="7">
        <v>0</v>
      </c>
      <c r="AJ6" s="7">
        <v>0</v>
      </c>
      <c r="AK6" s="7">
        <v>0</v>
      </c>
      <c r="AL6" s="7">
        <v>0</v>
      </c>
      <c r="AM6" s="7">
        <v>0</v>
      </c>
      <c r="AN6" s="7">
        <v>100</v>
      </c>
      <c r="AO6" s="7">
        <v>0</v>
      </c>
      <c r="AP6" s="7">
        <v>45</v>
      </c>
      <c r="AQ6" s="7">
        <v>0</v>
      </c>
      <c r="AR6" s="7">
        <v>0</v>
      </c>
      <c r="AS6" s="7">
        <v>0</v>
      </c>
      <c r="AT6" s="7">
        <v>12</v>
      </c>
      <c r="AU6" s="7">
        <v>0</v>
      </c>
      <c r="AV6" s="7">
        <v>18</v>
      </c>
      <c r="AW6" s="7">
        <v>0</v>
      </c>
      <c r="AX6" s="7">
        <v>0</v>
      </c>
      <c r="AY6" s="7">
        <v>0</v>
      </c>
      <c r="AZ6" s="7">
        <v>0</v>
      </c>
      <c r="BA6" s="7">
        <v>0</v>
      </c>
      <c r="BB6" s="7">
        <v>0</v>
      </c>
      <c r="BC6" s="7">
        <v>1</v>
      </c>
      <c r="BD6" s="7">
        <v>0</v>
      </c>
      <c r="BE6" s="7">
        <v>0</v>
      </c>
      <c r="BF6" s="7">
        <v>0</v>
      </c>
      <c r="BG6" s="7">
        <v>0</v>
      </c>
      <c r="BH6" s="7">
        <v>4</v>
      </c>
      <c r="BI6" s="7">
        <v>10</v>
      </c>
      <c r="BJ6" s="7">
        <v>0</v>
      </c>
      <c r="BK6" s="7">
        <v>0</v>
      </c>
      <c r="BL6" s="7">
        <v>0</v>
      </c>
      <c r="BM6" s="13">
        <v>282</v>
      </c>
      <c r="BN6" s="13">
        <f>Tabla1[[#This Row],[CONSUMO TOTAL PROPIO]]/52</f>
        <v>5.4230769230769234</v>
      </c>
      <c r="BO6" s="13" t="e">
        <f>SUM(Tabla3[[#This Row],[CONSUMO TOTAL V]]+Tabla2[[#This Row],[CONSUMO TOTAL VALORES]]+#REF!+#REF!)</f>
        <v>#REF!</v>
      </c>
      <c r="BP6" s="31">
        <v>681</v>
      </c>
      <c r="BQ6" s="13">
        <f>Tabla1[[#This Row],[CONSUMO TOTAL TODAS]]/52</f>
        <v>13.096153846153847</v>
      </c>
      <c r="BR6" s="25">
        <f>Tabla1[[#This Row],[CONSUMO PROMEDIO PROPIO]]+Tabla1[[#This Row],[CONSUMO PROMEDIO TODAS]]</f>
        <v>18.51923076923077</v>
      </c>
      <c r="BS6" s="26">
        <f>Tabla1[[#This Row],[CONSUMO PROMEDIO TOTAL]]*(Tabla1[[#This Row],[FRECUENCIA]]+Tabla1[[#This Row],[TIEMPO REPOSICION BUFFERS]])</f>
        <v>259.26923076923077</v>
      </c>
      <c r="BT6" s="26">
        <v>200</v>
      </c>
      <c r="BU6" s="27">
        <v>1</v>
      </c>
      <c r="BV6" s="27">
        <v>16</v>
      </c>
      <c r="BW6" s="27">
        <v>16</v>
      </c>
      <c r="BX6" s="69">
        <f>Tabla1[[#This Row],[BUFFER REAL]]*Tabla1[[#This Row],[COSTOS]]</f>
        <v>436.404</v>
      </c>
      <c r="BY6" s="69">
        <f>Tabla1[[#This Row],[PVP]]-Tabla1[[#This Row],[COSTOS]]</f>
        <v>2.8079800000000001</v>
      </c>
      <c r="BZ6" s="69">
        <f>Tabla1[[#This Row],[PVD]]-Tabla1[[#This Row],[COSTOS]]</f>
        <v>1.51058</v>
      </c>
      <c r="CA6" s="25">
        <f>Tabla1[[#This Row],[TRUPUD UNTITARIO PVD]]</f>
        <v>1.51058</v>
      </c>
      <c r="CB6" s="25">
        <f>Tabla1[[#This Row],[TRUPUT UNITARIO]]/Tabla1[[#This Row],[COSTOS]]</f>
        <v>0.69228513029211469</v>
      </c>
      <c r="CC6" s="40">
        <f>Tabla1[[#This Row],[BUFFER REAL]]/((Tabla1[[#This Row],[TIEMPO REPOSICION BUFFERS]])/1.5)</f>
        <v>50</v>
      </c>
      <c r="CD6" s="69">
        <f>Tabla1[[#This Row],[CONSUMO ESTIMADO]]*52*Tabla1[[#This Row],[TRUPUT UNITARIO]]</f>
        <v>3927.5080000000003</v>
      </c>
      <c r="CE6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6" s="25">
        <f>Tabla1[[#This Row],[INVERSION UNIDADES]]*Tabla1[[#This Row],[COSTOS]]</f>
        <v>981.90899999999999</v>
      </c>
      <c r="CG6" s="25">
        <f>Tabla1[[#This Row],[TRUPUT TOTAL ESTIMADO ANUAL]]/Tabla1[[#This Row],[INVERSION USD]]</f>
        <v>3.9998696416877739</v>
      </c>
      <c r="CH6" s="27"/>
      <c r="CI6" s="27"/>
      <c r="CJ6" s="27"/>
      <c r="CK6" s="27"/>
    </row>
    <row r="7" spans="1:89">
      <c r="A7" s="7" t="s">
        <v>95</v>
      </c>
      <c r="B7" s="7" t="s">
        <v>96</v>
      </c>
      <c r="C7" s="7" t="s">
        <v>672</v>
      </c>
      <c r="D7" s="7" t="s">
        <v>707</v>
      </c>
      <c r="E7" s="7" t="s">
        <v>715</v>
      </c>
      <c r="F7" s="7" t="s">
        <v>724</v>
      </c>
      <c r="G7" s="7" t="s">
        <v>729</v>
      </c>
      <c r="H7" s="13">
        <v>5.49</v>
      </c>
      <c r="I7" s="13">
        <f t="shared" si="0"/>
        <v>4.0625999999999998</v>
      </c>
      <c r="J7" s="13">
        <v>2.4620600000000001</v>
      </c>
      <c r="K7" s="7">
        <v>8</v>
      </c>
      <c r="L7" s="7">
        <v>6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0</v>
      </c>
      <c r="Y7" s="7">
        <v>2</v>
      </c>
      <c r="Z7" s="7">
        <v>0</v>
      </c>
      <c r="AA7" s="7">
        <v>0</v>
      </c>
      <c r="AB7" s="7">
        <v>0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H7" s="7">
        <v>0</v>
      </c>
      <c r="AI7" s="7">
        <v>0</v>
      </c>
      <c r="AJ7" s="7">
        <v>0</v>
      </c>
      <c r="AK7" s="7">
        <v>0</v>
      </c>
      <c r="AL7" s="7">
        <v>0</v>
      </c>
      <c r="AM7" s="7">
        <v>0</v>
      </c>
      <c r="AN7" s="7">
        <v>0</v>
      </c>
      <c r="AO7" s="7">
        <v>0</v>
      </c>
      <c r="AP7" s="7">
        <v>45</v>
      </c>
      <c r="AQ7" s="7">
        <v>0</v>
      </c>
      <c r="AR7" s="7">
        <v>0</v>
      </c>
      <c r="AS7" s="7">
        <v>0</v>
      </c>
      <c r="AT7" s="7">
        <v>0</v>
      </c>
      <c r="AU7" s="7">
        <v>0</v>
      </c>
      <c r="AV7" s="7">
        <v>0</v>
      </c>
      <c r="AW7" s="7">
        <v>0</v>
      </c>
      <c r="AX7" s="7">
        <v>0</v>
      </c>
      <c r="AY7" s="7">
        <v>0</v>
      </c>
      <c r="AZ7" s="7">
        <v>0</v>
      </c>
      <c r="BA7" s="7">
        <v>0</v>
      </c>
      <c r="BB7" s="7">
        <v>20</v>
      </c>
      <c r="BC7" s="7">
        <v>0</v>
      </c>
      <c r="BD7" s="7">
        <v>0</v>
      </c>
      <c r="BE7" s="7">
        <v>21</v>
      </c>
      <c r="BF7" s="7">
        <v>0</v>
      </c>
      <c r="BG7" s="7">
        <v>0</v>
      </c>
      <c r="BH7" s="7">
        <v>0</v>
      </c>
      <c r="BI7" s="7">
        <v>0</v>
      </c>
      <c r="BJ7" s="7">
        <v>0</v>
      </c>
      <c r="BK7" s="7">
        <v>0</v>
      </c>
      <c r="BL7" s="7">
        <v>0</v>
      </c>
      <c r="BM7" s="13">
        <v>88</v>
      </c>
      <c r="BN7" s="13">
        <f>Tabla1[[#This Row],[CONSUMO TOTAL PROPIO]]/52</f>
        <v>1.6923076923076923</v>
      </c>
      <c r="BO7" s="13" t="e">
        <f>SUM(Tabla3[[#This Row],[CONSUMO TOTAL V]]+Tabla2[[#This Row],[CONSUMO TOTAL VALORES]]+#REF!+#REF!)</f>
        <v>#REF!</v>
      </c>
      <c r="BP7" s="31">
        <v>404</v>
      </c>
      <c r="BQ7" s="13">
        <f>Tabla1[[#This Row],[CONSUMO TOTAL TODAS]]/52</f>
        <v>7.7692307692307692</v>
      </c>
      <c r="BR7" s="25">
        <f>Tabla1[[#This Row],[CONSUMO PROMEDIO PROPIO]]+Tabla1[[#This Row],[CONSUMO PROMEDIO TODAS]]</f>
        <v>9.4615384615384617</v>
      </c>
      <c r="BS7" s="26">
        <f>Tabla1[[#This Row],[CONSUMO PROMEDIO TOTAL]]*(Tabla1[[#This Row],[FRECUENCIA]]+Tabla1[[#This Row],[TIEMPO REPOSICION BUFFERS]])</f>
        <v>132.46153846153845</v>
      </c>
      <c r="BT7" s="26">
        <v>200</v>
      </c>
      <c r="BU7" s="27">
        <v>1</v>
      </c>
      <c r="BV7" s="27">
        <v>16</v>
      </c>
      <c r="BW7" s="27">
        <v>16</v>
      </c>
      <c r="BX7" s="69">
        <f>Tabla1[[#This Row],[BUFFER REAL]]*Tabla1[[#This Row],[COSTOS]]</f>
        <v>492.41200000000003</v>
      </c>
      <c r="BY7" s="69">
        <f>Tabla1[[#This Row],[PVP]]-Tabla1[[#This Row],[COSTOS]]</f>
        <v>3.0279400000000001</v>
      </c>
      <c r="BZ7" s="69">
        <f>Tabla1[[#This Row],[PVD]]-Tabla1[[#This Row],[COSTOS]]</f>
        <v>1.6005399999999996</v>
      </c>
      <c r="CA7" s="25">
        <f>Tabla1[[#This Row],[TRUPUD UNTITARIO PVD]]</f>
        <v>1.6005399999999996</v>
      </c>
      <c r="CB7" s="25">
        <f>Tabla1[[#This Row],[TRUPUT UNITARIO]]/Tabla1[[#This Row],[COSTOS]]</f>
        <v>0.65008163895274673</v>
      </c>
      <c r="CC7" s="40">
        <f>Tabla1[[#This Row],[BUFFER REAL]]/((Tabla1[[#This Row],[TIEMPO REPOSICION BUFFERS]])/1.5)</f>
        <v>50</v>
      </c>
      <c r="CD7" s="69">
        <f>Tabla1[[#This Row],[CONSUMO ESTIMADO]]*52*Tabla1[[#This Row],[TRUPUT UNITARIO]]</f>
        <v>4161.4039999999986</v>
      </c>
      <c r="CE7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7" s="25">
        <f>Tabla1[[#This Row],[INVERSION UNIDADES]]*Tabla1[[#This Row],[COSTOS]]</f>
        <v>1107.9270000000001</v>
      </c>
      <c r="CG7" s="25">
        <f>Tabla1[[#This Row],[TRUPUT TOTAL ESTIMADO ANUAL]]/Tabla1[[#This Row],[INVERSION USD]]</f>
        <v>3.7560272472825358</v>
      </c>
      <c r="CH7" s="27"/>
      <c r="CI7" s="27"/>
      <c r="CJ7" s="27"/>
      <c r="CK7" s="27"/>
    </row>
    <row r="8" spans="1:89">
      <c r="A8" s="7" t="s">
        <v>97</v>
      </c>
      <c r="B8" s="7" t="s">
        <v>98</v>
      </c>
      <c r="C8" s="7" t="s">
        <v>672</v>
      </c>
      <c r="D8" s="7" t="s">
        <v>707</v>
      </c>
      <c r="E8" s="7" t="s">
        <v>715</v>
      </c>
      <c r="F8" s="7" t="s">
        <v>724</v>
      </c>
      <c r="G8" s="7" t="s">
        <v>729</v>
      </c>
      <c r="H8" s="13">
        <v>4.99</v>
      </c>
      <c r="I8" s="13">
        <f t="shared" si="0"/>
        <v>3.6926000000000001</v>
      </c>
      <c r="J8" s="13">
        <v>2.2353399999999999</v>
      </c>
      <c r="K8" s="7">
        <v>8</v>
      </c>
      <c r="L8" s="7">
        <v>6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40</v>
      </c>
      <c r="Z8" s="7">
        <v>2</v>
      </c>
      <c r="AA8" s="7">
        <v>0</v>
      </c>
      <c r="AB8" s="7">
        <v>0</v>
      </c>
      <c r="AC8" s="7">
        <v>0</v>
      </c>
      <c r="AD8" s="7">
        <v>20</v>
      </c>
      <c r="AE8" s="7">
        <v>10</v>
      </c>
      <c r="AF8" s="7">
        <v>0</v>
      </c>
      <c r="AG8" s="7">
        <v>70</v>
      </c>
      <c r="AH8" s="7">
        <v>0</v>
      </c>
      <c r="AI8" s="7">
        <v>0</v>
      </c>
      <c r="AJ8" s="7">
        <v>24</v>
      </c>
      <c r="AK8" s="7">
        <v>0</v>
      </c>
      <c r="AL8" s="7">
        <v>0</v>
      </c>
      <c r="AM8" s="7">
        <v>0</v>
      </c>
      <c r="AN8" s="7">
        <v>0</v>
      </c>
      <c r="AO8" s="7">
        <v>2</v>
      </c>
      <c r="AP8" s="7">
        <v>45</v>
      </c>
      <c r="AQ8" s="7">
        <v>0</v>
      </c>
      <c r="AR8" s="7">
        <v>0</v>
      </c>
      <c r="AS8" s="7">
        <v>0</v>
      </c>
      <c r="AT8" s="7">
        <v>0</v>
      </c>
      <c r="AU8" s="7">
        <v>0</v>
      </c>
      <c r="AV8" s="7">
        <v>50</v>
      </c>
      <c r="AW8" s="7">
        <v>0</v>
      </c>
      <c r="AX8" s="7">
        <v>0</v>
      </c>
      <c r="AY8" s="7">
        <v>0</v>
      </c>
      <c r="AZ8" s="7">
        <v>0</v>
      </c>
      <c r="BA8" s="7">
        <v>0</v>
      </c>
      <c r="BB8" s="7">
        <v>0</v>
      </c>
      <c r="BC8" s="7">
        <v>0</v>
      </c>
      <c r="BD8" s="7">
        <v>0</v>
      </c>
      <c r="BE8" s="7">
        <v>0</v>
      </c>
      <c r="BF8" s="7">
        <v>0</v>
      </c>
      <c r="BG8" s="7">
        <v>0</v>
      </c>
      <c r="BH8" s="7">
        <v>0</v>
      </c>
      <c r="BI8" s="7">
        <v>10</v>
      </c>
      <c r="BJ8" s="7">
        <v>0</v>
      </c>
      <c r="BK8" s="7">
        <v>15</v>
      </c>
      <c r="BL8" s="7">
        <v>0</v>
      </c>
      <c r="BM8" s="13">
        <v>288</v>
      </c>
      <c r="BN8" s="13">
        <f>Tabla1[[#This Row],[CONSUMO TOTAL PROPIO]]/52</f>
        <v>5.5384615384615383</v>
      </c>
      <c r="BO8" s="13" t="e">
        <f>SUM(Tabla3[[#This Row],[CONSUMO TOTAL V]]+Tabla2[[#This Row],[CONSUMO TOTAL VALORES]]+#REF!+#REF!)</f>
        <v>#REF!</v>
      </c>
      <c r="BP8" s="31">
        <v>667</v>
      </c>
      <c r="BQ8" s="13">
        <f>Tabla1[[#This Row],[CONSUMO TOTAL TODAS]]/52</f>
        <v>12.826923076923077</v>
      </c>
      <c r="BR8" s="25">
        <f>Tabla1[[#This Row],[CONSUMO PROMEDIO PROPIO]]+Tabla1[[#This Row],[CONSUMO PROMEDIO TODAS]]</f>
        <v>18.365384615384613</v>
      </c>
      <c r="BS8" s="26">
        <f>Tabla1[[#This Row],[CONSUMO PROMEDIO TOTAL]]*(Tabla1[[#This Row],[FRECUENCIA]]+Tabla1[[#This Row],[TIEMPO REPOSICION BUFFERS]])</f>
        <v>257.11538461538458</v>
      </c>
      <c r="BT8" s="26">
        <v>200</v>
      </c>
      <c r="BU8" s="27">
        <v>1</v>
      </c>
      <c r="BV8" s="27">
        <v>16</v>
      </c>
      <c r="BW8" s="27">
        <v>16</v>
      </c>
      <c r="BX8" s="69">
        <f>Tabla1[[#This Row],[BUFFER REAL]]*Tabla1[[#This Row],[COSTOS]]</f>
        <v>447.06799999999998</v>
      </c>
      <c r="BY8" s="69">
        <f>Tabla1[[#This Row],[PVP]]-Tabla1[[#This Row],[COSTOS]]</f>
        <v>2.7546600000000003</v>
      </c>
      <c r="BZ8" s="69">
        <f>Tabla1[[#This Row],[PVD]]-Tabla1[[#This Row],[COSTOS]]</f>
        <v>1.4572600000000002</v>
      </c>
      <c r="CA8" s="25">
        <f>Tabla1[[#This Row],[TRUPUD UNTITARIO PVD]]</f>
        <v>1.4572600000000002</v>
      </c>
      <c r="CB8" s="25">
        <f>Tabla1[[#This Row],[TRUPUT UNITARIO]]/Tabla1[[#This Row],[COSTOS]]</f>
        <v>0.65191872377356475</v>
      </c>
      <c r="CC8" s="40">
        <f>Tabla1[[#This Row],[BUFFER REAL]]/((Tabla1[[#This Row],[TIEMPO REPOSICION BUFFERS]])/1.5)</f>
        <v>50</v>
      </c>
      <c r="CD8" s="69">
        <f>Tabla1[[#This Row],[CONSUMO ESTIMADO]]*52*Tabla1[[#This Row],[TRUPUT UNITARIO]]</f>
        <v>3788.8760000000007</v>
      </c>
      <c r="CE8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8" s="25">
        <f>Tabla1[[#This Row],[INVERSION UNIDADES]]*Tabla1[[#This Row],[COSTOS]]</f>
        <v>1005.9029999999999</v>
      </c>
      <c r="CG8" s="25">
        <f>Tabla1[[#This Row],[TRUPUT TOTAL ESTIMADO ANUAL]]/Tabla1[[#This Row],[INVERSION USD]]</f>
        <v>3.7666415151361523</v>
      </c>
      <c r="CH8" s="27"/>
      <c r="CI8" s="27"/>
      <c r="CJ8" s="27"/>
      <c r="CK8" s="27"/>
    </row>
    <row r="9" spans="1:89">
      <c r="A9" s="7" t="s">
        <v>99</v>
      </c>
      <c r="B9" s="7" t="s">
        <v>100</v>
      </c>
      <c r="C9" s="7" t="s">
        <v>672</v>
      </c>
      <c r="D9" s="7" t="s">
        <v>707</v>
      </c>
      <c r="E9" s="7" t="s">
        <v>715</v>
      </c>
      <c r="F9" s="7" t="s">
        <v>724</v>
      </c>
      <c r="G9" s="7" t="s">
        <v>729</v>
      </c>
      <c r="H9" s="13">
        <v>4.99</v>
      </c>
      <c r="I9" s="13">
        <f t="shared" si="0"/>
        <v>3.6926000000000001</v>
      </c>
      <c r="J9" s="13">
        <v>2.8702399999999999</v>
      </c>
      <c r="K9" s="7">
        <v>8</v>
      </c>
      <c r="L9" s="7">
        <v>6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Y9" s="7">
        <v>69</v>
      </c>
      <c r="Z9" s="7">
        <v>0</v>
      </c>
      <c r="AA9" s="7">
        <v>2</v>
      </c>
      <c r="AB9" s="7">
        <v>0</v>
      </c>
      <c r="AC9" s="7">
        <v>0</v>
      </c>
      <c r="AD9" s="7">
        <v>20</v>
      </c>
      <c r="AE9" s="7">
        <v>10</v>
      </c>
      <c r="AF9" s="7">
        <v>0</v>
      </c>
      <c r="AG9" s="7">
        <v>60</v>
      </c>
      <c r="AH9" s="7">
        <v>0</v>
      </c>
      <c r="AI9" s="7">
        <v>20</v>
      </c>
      <c r="AJ9" s="7">
        <v>0</v>
      </c>
      <c r="AK9" s="7">
        <v>0</v>
      </c>
      <c r="AL9" s="7">
        <v>0</v>
      </c>
      <c r="AM9" s="7">
        <v>0</v>
      </c>
      <c r="AN9" s="7">
        <v>0</v>
      </c>
      <c r="AO9" s="7">
        <v>0</v>
      </c>
      <c r="AP9" s="7">
        <v>45</v>
      </c>
      <c r="AQ9" s="7">
        <v>0</v>
      </c>
      <c r="AR9" s="7">
        <v>0</v>
      </c>
      <c r="AS9" s="7">
        <v>0</v>
      </c>
      <c r="AT9" s="7">
        <v>0</v>
      </c>
      <c r="AU9" s="7">
        <v>0</v>
      </c>
      <c r="AV9" s="7">
        <v>25</v>
      </c>
      <c r="AW9" s="7">
        <v>0</v>
      </c>
      <c r="AX9" s="7">
        <v>0</v>
      </c>
      <c r="AY9" s="7">
        <v>0</v>
      </c>
      <c r="AZ9" s="7">
        <v>0</v>
      </c>
      <c r="BA9" s="7">
        <v>0</v>
      </c>
      <c r="BB9" s="7">
        <v>0</v>
      </c>
      <c r="BC9" s="7">
        <v>0</v>
      </c>
      <c r="BD9" s="7">
        <v>0</v>
      </c>
      <c r="BE9" s="7">
        <v>0</v>
      </c>
      <c r="BF9" s="7">
        <v>0</v>
      </c>
      <c r="BG9" s="7">
        <v>21</v>
      </c>
      <c r="BH9" s="7">
        <v>0</v>
      </c>
      <c r="BI9" s="7">
        <v>0</v>
      </c>
      <c r="BJ9" s="7">
        <v>0</v>
      </c>
      <c r="BK9" s="7">
        <v>21</v>
      </c>
      <c r="BL9" s="7">
        <v>0</v>
      </c>
      <c r="BM9" s="13">
        <v>293</v>
      </c>
      <c r="BN9" s="13">
        <f>Tabla1[[#This Row],[CONSUMO TOTAL PROPIO]]/52</f>
        <v>5.634615384615385</v>
      </c>
      <c r="BO9" s="13" t="e">
        <f>SUM(Tabla3[[#This Row],[CONSUMO TOTAL V]]+Tabla2[[#This Row],[CONSUMO TOTAL VALORES]]+#REF!+#REF!)</f>
        <v>#REF!</v>
      </c>
      <c r="BP9" s="31">
        <v>169</v>
      </c>
      <c r="BQ9" s="13">
        <f>Tabla1[[#This Row],[CONSUMO TOTAL TODAS]]/52</f>
        <v>3.25</v>
      </c>
      <c r="BR9" s="25">
        <f>Tabla1[[#This Row],[CONSUMO PROMEDIO PROPIO]]+Tabla1[[#This Row],[CONSUMO PROMEDIO TODAS]]</f>
        <v>8.884615384615385</v>
      </c>
      <c r="BS9" s="26">
        <f>Tabla1[[#This Row],[CONSUMO PROMEDIO TOTAL]]*(Tabla1[[#This Row],[FRECUENCIA]]+Tabla1[[#This Row],[TIEMPO REPOSICION BUFFERS]])</f>
        <v>124.38461538461539</v>
      </c>
      <c r="BT9" s="26">
        <v>200</v>
      </c>
      <c r="BU9" s="27">
        <v>1</v>
      </c>
      <c r="BV9" s="27">
        <v>16</v>
      </c>
      <c r="BW9" s="27">
        <v>16</v>
      </c>
      <c r="BX9" s="69">
        <f>Tabla1[[#This Row],[BUFFER REAL]]*Tabla1[[#This Row],[COSTOS]]</f>
        <v>574.048</v>
      </c>
      <c r="BY9" s="69">
        <f>Tabla1[[#This Row],[PVP]]-Tabla1[[#This Row],[COSTOS]]</f>
        <v>2.1197600000000003</v>
      </c>
      <c r="BZ9" s="69">
        <f>Tabla1[[#This Row],[PVD]]-Tabla1[[#This Row],[COSTOS]]</f>
        <v>0.8223600000000002</v>
      </c>
      <c r="CA9" s="25">
        <f>Tabla1[[#This Row],[TRUPUD UNTITARIO PVD]]</f>
        <v>0.8223600000000002</v>
      </c>
      <c r="CB9" s="25">
        <f>Tabla1[[#This Row],[TRUPUT UNITARIO]]/Tabla1[[#This Row],[COSTOS]]</f>
        <v>0.28651262612185746</v>
      </c>
      <c r="CC9" s="40">
        <f>Tabla1[[#This Row],[BUFFER REAL]]/((Tabla1[[#This Row],[TIEMPO REPOSICION BUFFERS]])/1.5)</f>
        <v>50</v>
      </c>
      <c r="CD9" s="69">
        <f>Tabla1[[#This Row],[CONSUMO ESTIMADO]]*52*Tabla1[[#This Row],[TRUPUT UNITARIO]]</f>
        <v>2138.1360000000004</v>
      </c>
      <c r="CE9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9" s="25">
        <f>Tabla1[[#This Row],[INVERSION UNIDADES]]*Tabla1[[#This Row],[COSTOS]]</f>
        <v>1291.6079999999999</v>
      </c>
      <c r="CG9" s="25">
        <f>Tabla1[[#This Row],[TRUPUT TOTAL ESTIMADO ANUAL]]/Tabla1[[#This Row],[INVERSION USD]]</f>
        <v>1.6554062842596209</v>
      </c>
      <c r="CH9" s="27"/>
      <c r="CI9" s="27"/>
      <c r="CJ9" s="27"/>
      <c r="CK9" s="27"/>
    </row>
    <row r="10" spans="1:89">
      <c r="A10" s="7" t="s">
        <v>101</v>
      </c>
      <c r="B10" s="7" t="s">
        <v>102</v>
      </c>
      <c r="C10" s="7" t="s">
        <v>2</v>
      </c>
      <c r="D10" s="7" t="s">
        <v>707</v>
      </c>
      <c r="E10" s="7" t="s">
        <v>715</v>
      </c>
      <c r="F10" s="7" t="s">
        <v>724</v>
      </c>
      <c r="G10" s="7" t="s">
        <v>729</v>
      </c>
      <c r="H10" s="13">
        <v>2.29</v>
      </c>
      <c r="I10" s="13">
        <f t="shared" si="0"/>
        <v>1.6946000000000001</v>
      </c>
      <c r="J10" s="13">
        <v>0.83140999999999998</v>
      </c>
      <c r="K10" s="7">
        <v>8</v>
      </c>
      <c r="L10" s="7">
        <v>6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7">
        <v>0</v>
      </c>
      <c r="AH10" s="7">
        <v>0</v>
      </c>
      <c r="AI10" s="7">
        <v>0</v>
      </c>
      <c r="AJ10" s="7">
        <v>0</v>
      </c>
      <c r="AK10" s="7">
        <v>0</v>
      </c>
      <c r="AL10" s="7">
        <v>0</v>
      </c>
      <c r="AM10" s="7">
        <v>0</v>
      </c>
      <c r="AN10" s="7">
        <v>0</v>
      </c>
      <c r="AO10" s="7">
        <v>0</v>
      </c>
      <c r="AP10" s="7">
        <v>1</v>
      </c>
      <c r="AQ10" s="7">
        <v>0</v>
      </c>
      <c r="AR10" s="7">
        <v>0</v>
      </c>
      <c r="AS10" s="7">
        <v>0</v>
      </c>
      <c r="AT10" s="7">
        <v>0</v>
      </c>
      <c r="AU10" s="7">
        <v>0</v>
      </c>
      <c r="AV10" s="7">
        <v>0</v>
      </c>
      <c r="AW10" s="7">
        <v>0</v>
      </c>
      <c r="AX10" s="7">
        <v>0</v>
      </c>
      <c r="AY10" s="7">
        <v>0</v>
      </c>
      <c r="AZ10" s="7">
        <v>0</v>
      </c>
      <c r="BA10" s="7">
        <v>0</v>
      </c>
      <c r="BB10" s="7">
        <v>0</v>
      </c>
      <c r="BC10" s="7">
        <v>0</v>
      </c>
      <c r="BD10" s="7">
        <v>0</v>
      </c>
      <c r="BE10" s="7">
        <v>0</v>
      </c>
      <c r="BF10" s="7">
        <v>0</v>
      </c>
      <c r="BG10" s="7">
        <v>0</v>
      </c>
      <c r="BH10" s="7">
        <v>0</v>
      </c>
      <c r="BI10" s="7">
        <v>0</v>
      </c>
      <c r="BJ10" s="7">
        <v>0</v>
      </c>
      <c r="BK10" s="7">
        <v>0</v>
      </c>
      <c r="BL10" s="7">
        <v>0</v>
      </c>
      <c r="BM10" s="13">
        <v>1</v>
      </c>
      <c r="BN10" s="13">
        <f>Tabla1[[#This Row],[CONSUMO TOTAL PROPIO]]/52</f>
        <v>1.9230769230769232E-2</v>
      </c>
      <c r="BO10" s="13" t="e">
        <f>SUM(Tabla3[[#This Row],[CONSUMO TOTAL V]]+Tabla2[[#This Row],[CONSUMO TOTAL VALORES]]+#REF!+#REF!)</f>
        <v>#REF!</v>
      </c>
      <c r="BP10" s="31">
        <v>833</v>
      </c>
      <c r="BQ10" s="13">
        <f>Tabla1[[#This Row],[CONSUMO TOTAL TODAS]]/52</f>
        <v>16.01923076923077</v>
      </c>
      <c r="BR10" s="25">
        <f>Tabla1[[#This Row],[CONSUMO PROMEDIO PROPIO]]+Tabla1[[#This Row],[CONSUMO PROMEDIO TODAS]]</f>
        <v>16.03846153846154</v>
      </c>
      <c r="BS10" s="26">
        <f>Tabla1[[#This Row],[CONSUMO PROMEDIO TOTAL]]*(Tabla1[[#This Row],[FRECUENCIA]]+Tabla1[[#This Row],[TIEMPO REPOSICION BUFFERS]])</f>
        <v>224.53846153846155</v>
      </c>
      <c r="BT10" s="26">
        <v>200</v>
      </c>
      <c r="BU10" s="27">
        <v>1</v>
      </c>
      <c r="BV10" s="27">
        <v>16</v>
      </c>
      <c r="BW10" s="27">
        <v>16</v>
      </c>
      <c r="BX10" s="69">
        <f>Tabla1[[#This Row],[BUFFER REAL]]*Tabla1[[#This Row],[COSTOS]]</f>
        <v>166.28199999999998</v>
      </c>
      <c r="BY10" s="69">
        <f>Tabla1[[#This Row],[PVP]]-Tabla1[[#This Row],[COSTOS]]</f>
        <v>1.4585900000000001</v>
      </c>
      <c r="BZ10" s="69">
        <f>Tabla1[[#This Row],[PVD]]-Tabla1[[#This Row],[COSTOS]]</f>
        <v>0.86319000000000012</v>
      </c>
      <c r="CA10" s="25">
        <f>Tabla1[[#This Row],[TRUPUD UNTITARIO PVD]]</f>
        <v>0.86319000000000012</v>
      </c>
      <c r="CB10" s="25">
        <f>Tabla1[[#This Row],[TRUPUT UNITARIO]]/Tabla1[[#This Row],[COSTOS]]</f>
        <v>1.0382242215032296</v>
      </c>
      <c r="CC10" s="40">
        <f>Tabla1[[#This Row],[BUFFER REAL]]/((Tabla1[[#This Row],[TIEMPO REPOSICION BUFFERS]])/1.5)</f>
        <v>50</v>
      </c>
      <c r="CD10" s="69">
        <f>Tabla1[[#This Row],[CONSUMO ESTIMADO]]*52*Tabla1[[#This Row],[TRUPUT UNITARIO]]</f>
        <v>2244.2940000000003</v>
      </c>
      <c r="CE10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10" s="25">
        <f>Tabla1[[#This Row],[INVERSION UNIDADES]]*Tabla1[[#This Row],[COSTOS]]</f>
        <v>374.1345</v>
      </c>
      <c r="CG10" s="25">
        <f>Tabla1[[#This Row],[TRUPUT TOTAL ESTIMADO ANUAL]]/Tabla1[[#This Row],[INVERSION USD]]</f>
        <v>5.998628835351993</v>
      </c>
      <c r="CH10" s="27"/>
      <c r="CI10" s="27"/>
      <c r="CJ10" s="27"/>
      <c r="CK10" s="27"/>
    </row>
    <row r="11" spans="1:89">
      <c r="A11" s="7" t="s">
        <v>103</v>
      </c>
      <c r="B11" s="7" t="s">
        <v>104</v>
      </c>
      <c r="C11" s="7" t="s">
        <v>682</v>
      </c>
      <c r="D11" s="7" t="s">
        <v>707</v>
      </c>
      <c r="E11" s="7" t="s">
        <v>715</v>
      </c>
      <c r="F11" s="7" t="s">
        <v>724</v>
      </c>
      <c r="G11" s="7" t="s">
        <v>729</v>
      </c>
      <c r="H11" s="13">
        <v>3.59</v>
      </c>
      <c r="I11" s="13">
        <f t="shared" si="0"/>
        <v>2.6566000000000001</v>
      </c>
      <c r="J11" s="13">
        <v>1.47041</v>
      </c>
      <c r="K11" s="7">
        <v>8</v>
      </c>
      <c r="L11" s="7">
        <v>6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  <c r="AD11" s="7">
        <v>0</v>
      </c>
      <c r="AE11" s="7">
        <v>0</v>
      </c>
      <c r="AF11" s="7">
        <v>0</v>
      </c>
      <c r="AG11" s="7">
        <v>0</v>
      </c>
      <c r="AH11" s="7">
        <v>0</v>
      </c>
      <c r="AI11" s="7">
        <v>0</v>
      </c>
      <c r="AJ11" s="7">
        <v>0</v>
      </c>
      <c r="AK11" s="7">
        <v>32</v>
      </c>
      <c r="AL11" s="7">
        <v>0</v>
      </c>
      <c r="AM11" s="7">
        <v>0</v>
      </c>
      <c r="AN11" s="7">
        <v>0</v>
      </c>
      <c r="AO11" s="7">
        <v>0</v>
      </c>
      <c r="AP11" s="7">
        <v>0</v>
      </c>
      <c r="AQ11" s="7">
        <v>0</v>
      </c>
      <c r="AR11" s="7">
        <v>0</v>
      </c>
      <c r="AS11" s="7">
        <v>0</v>
      </c>
      <c r="AT11" s="7">
        <v>0</v>
      </c>
      <c r="AU11" s="7">
        <v>0</v>
      </c>
      <c r="AV11" s="7">
        <v>0</v>
      </c>
      <c r="AW11" s="7">
        <v>0</v>
      </c>
      <c r="AX11" s="7">
        <v>0</v>
      </c>
      <c r="AY11" s="7">
        <v>0</v>
      </c>
      <c r="AZ11" s="7">
        <v>0</v>
      </c>
      <c r="BA11" s="7">
        <v>0</v>
      </c>
      <c r="BB11" s="7">
        <v>0</v>
      </c>
      <c r="BC11" s="7">
        <v>0</v>
      </c>
      <c r="BD11" s="7">
        <v>6</v>
      </c>
      <c r="BE11" s="7">
        <v>0</v>
      </c>
      <c r="BF11" s="7">
        <v>0</v>
      </c>
      <c r="BG11" s="7">
        <v>0</v>
      </c>
      <c r="BH11" s="7">
        <v>0</v>
      </c>
      <c r="BI11" s="7">
        <v>0</v>
      </c>
      <c r="BJ11" s="7">
        <v>0</v>
      </c>
      <c r="BK11" s="7">
        <v>0</v>
      </c>
      <c r="BL11" s="7">
        <v>1</v>
      </c>
      <c r="BM11" s="13">
        <v>39</v>
      </c>
      <c r="BN11" s="13">
        <f>Tabla1[[#This Row],[CONSUMO TOTAL PROPIO]]/52</f>
        <v>0.75</v>
      </c>
      <c r="BO11" s="13" t="e">
        <f>SUM(Tabla3[[#This Row],[CONSUMO TOTAL V]]+Tabla2[[#This Row],[CONSUMO TOTAL VALORES]]+#REF!+#REF!)</f>
        <v>#REF!</v>
      </c>
      <c r="BP11" s="31">
        <v>451</v>
      </c>
      <c r="BQ11" s="13">
        <f>Tabla1[[#This Row],[CONSUMO TOTAL TODAS]]/52</f>
        <v>8.6730769230769234</v>
      </c>
      <c r="BR11" s="25">
        <f>Tabla1[[#This Row],[CONSUMO PROMEDIO PROPIO]]+Tabla1[[#This Row],[CONSUMO PROMEDIO TODAS]]</f>
        <v>9.4230769230769234</v>
      </c>
      <c r="BS11" s="26">
        <f>Tabla1[[#This Row],[CONSUMO PROMEDIO TOTAL]]*(Tabla1[[#This Row],[FRECUENCIA]]+Tabla1[[#This Row],[TIEMPO REPOSICION BUFFERS]])</f>
        <v>131.92307692307693</v>
      </c>
      <c r="BT11" s="26">
        <v>240</v>
      </c>
      <c r="BU11" s="27">
        <v>1</v>
      </c>
      <c r="BV11" s="27">
        <v>16</v>
      </c>
      <c r="BW11" s="27">
        <v>16</v>
      </c>
      <c r="BX11" s="69">
        <f>Tabla1[[#This Row],[BUFFER REAL]]*Tabla1[[#This Row],[COSTOS]]</f>
        <v>352.89839999999998</v>
      </c>
      <c r="BY11" s="69">
        <f>Tabla1[[#This Row],[PVP]]-Tabla1[[#This Row],[COSTOS]]</f>
        <v>2.1195899999999996</v>
      </c>
      <c r="BZ11" s="69">
        <f>Tabla1[[#This Row],[PVD]]-Tabla1[[#This Row],[COSTOS]]</f>
        <v>1.1861900000000001</v>
      </c>
      <c r="CA11" s="25">
        <f>Tabla1[[#This Row],[TRUPUD UNTITARIO PVD]]</f>
        <v>1.1861900000000001</v>
      </c>
      <c r="CB11" s="25">
        <f>Tabla1[[#This Row],[TRUPUT UNITARIO]]/Tabla1[[#This Row],[COSTOS]]</f>
        <v>0.80670697288511373</v>
      </c>
      <c r="CC11" s="40">
        <f>Tabla1[[#This Row],[BUFFER REAL]]/((Tabla1[[#This Row],[TIEMPO REPOSICION BUFFERS]])/1.5)</f>
        <v>60</v>
      </c>
      <c r="CD11" s="69">
        <f>Tabla1[[#This Row],[CONSUMO ESTIMADO]]*52*Tabla1[[#This Row],[TRUPUT UNITARIO]]</f>
        <v>3700.9128000000001</v>
      </c>
      <c r="CE11" s="25">
        <f>Tabla1[[#This Row],[CONSUMO ESTIMADO]]*(Tabla1[[#This Row],[TIEMPO REPOSICION BUFFERS]]*1.5)+( Tabla1[[#This Row],[TRUPUT TOTAL ESTIMADO ANUAL]]*(Tabla1[[#This Row],[CRÉDITO CLIENTE]]-Tabla1[[#This Row],[CREDITO PROVEEDOR]]))</f>
        <v>540</v>
      </c>
      <c r="CF11" s="25">
        <f>Tabla1[[#This Row],[INVERSION UNIDADES]]*Tabla1[[#This Row],[COSTOS]]</f>
        <v>794.02139999999997</v>
      </c>
      <c r="CG11" s="25">
        <f>Tabla1[[#This Row],[TRUPUT TOTAL ESTIMADO ANUAL]]/Tabla1[[#This Row],[INVERSION USD]]</f>
        <v>4.6609736211139907</v>
      </c>
      <c r="CH11" s="27"/>
      <c r="CI11" s="27"/>
      <c r="CJ11" s="27"/>
      <c r="CK11" s="27"/>
    </row>
    <row r="12" spans="1:89">
      <c r="A12" s="7" t="s">
        <v>105</v>
      </c>
      <c r="B12" s="7" t="s">
        <v>106</v>
      </c>
      <c r="C12" s="7" t="s">
        <v>685</v>
      </c>
      <c r="D12" s="7" t="s">
        <v>707</v>
      </c>
      <c r="E12" s="7" t="s">
        <v>715</v>
      </c>
      <c r="F12" s="7" t="s">
        <v>724</v>
      </c>
      <c r="G12" s="7" t="s">
        <v>729</v>
      </c>
      <c r="H12" s="13">
        <v>21.89</v>
      </c>
      <c r="I12" s="13">
        <f t="shared" si="0"/>
        <v>16.198599999999999</v>
      </c>
      <c r="J12" s="13">
        <v>8.3870000000000005</v>
      </c>
      <c r="K12" s="7">
        <v>8</v>
      </c>
      <c r="L12" s="7">
        <v>6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H12" s="7">
        <v>0</v>
      </c>
      <c r="AI12" s="7">
        <v>0</v>
      </c>
      <c r="AJ12" s="7">
        <v>0</v>
      </c>
      <c r="AK12" s="7">
        <v>0</v>
      </c>
      <c r="AL12" s="7">
        <v>0</v>
      </c>
      <c r="AM12" s="7">
        <v>0</v>
      </c>
      <c r="AN12" s="7">
        <v>0</v>
      </c>
      <c r="AO12" s="7">
        <v>0</v>
      </c>
      <c r="AP12" s="7">
        <v>0</v>
      </c>
      <c r="AQ12" s="7">
        <v>0</v>
      </c>
      <c r="AR12" s="7">
        <v>0</v>
      </c>
      <c r="AS12" s="7">
        <v>0</v>
      </c>
      <c r="AT12" s="7">
        <v>0</v>
      </c>
      <c r="AU12" s="7">
        <v>0</v>
      </c>
      <c r="AV12" s="7">
        <v>0</v>
      </c>
      <c r="AW12" s="7">
        <v>0</v>
      </c>
      <c r="AX12" s="7">
        <v>0</v>
      </c>
      <c r="AY12" s="7">
        <v>0</v>
      </c>
      <c r="AZ12" s="7">
        <v>0</v>
      </c>
      <c r="BA12" s="7">
        <v>0</v>
      </c>
      <c r="BB12" s="7">
        <v>0</v>
      </c>
      <c r="BC12" s="7">
        <v>0</v>
      </c>
      <c r="BD12" s="7">
        <v>0</v>
      </c>
      <c r="BE12" s="7">
        <v>0</v>
      </c>
      <c r="BF12" s="7">
        <v>0</v>
      </c>
      <c r="BG12" s="7">
        <v>0</v>
      </c>
      <c r="BH12" s="7">
        <v>0</v>
      </c>
      <c r="BI12" s="7">
        <v>0</v>
      </c>
      <c r="BJ12" s="7">
        <v>0</v>
      </c>
      <c r="BK12" s="7">
        <v>0</v>
      </c>
      <c r="BL12" s="7">
        <v>0</v>
      </c>
      <c r="BM12" s="13">
        <v>0</v>
      </c>
      <c r="BN12" s="13">
        <f>Tabla1[[#This Row],[CONSUMO TOTAL PROPIO]]/52</f>
        <v>0</v>
      </c>
      <c r="BO12" s="13" t="e">
        <f>SUM(Tabla3[[#This Row],[CONSUMO TOTAL V]]+Tabla2[[#This Row],[CONSUMO TOTAL VALORES]]+#REF!+#REF!)</f>
        <v>#REF!</v>
      </c>
      <c r="BP12" s="31">
        <v>2</v>
      </c>
      <c r="BQ12" s="13">
        <f>Tabla1[[#This Row],[CONSUMO TOTAL TODAS]]/52</f>
        <v>3.8461538461538464E-2</v>
      </c>
      <c r="BR12" s="25">
        <f>Tabla1[[#This Row],[CONSUMO PROMEDIO PROPIO]]+Tabla1[[#This Row],[CONSUMO PROMEDIO TODAS]]</f>
        <v>3.8461538461538464E-2</v>
      </c>
      <c r="BS12" s="26">
        <f>Tabla1[[#This Row],[CONSUMO PROMEDIO TOTAL]]*(Tabla1[[#This Row],[FRECUENCIA]]+Tabla1[[#This Row],[TIEMPO REPOSICION BUFFERS]])</f>
        <v>0.53846153846153855</v>
      </c>
      <c r="BT12" s="26">
        <v>0</v>
      </c>
      <c r="BU12" s="27">
        <v>1</v>
      </c>
      <c r="BV12" s="27">
        <v>16</v>
      </c>
      <c r="BW12" s="27">
        <v>16</v>
      </c>
      <c r="BX12" s="69">
        <f>Tabla1[[#This Row],[BUFFER REAL]]*Tabla1[[#This Row],[COSTOS]]</f>
        <v>0</v>
      </c>
      <c r="BY12" s="69">
        <f>Tabla1[[#This Row],[PVP]]-Tabla1[[#This Row],[COSTOS]]</f>
        <v>13.503</v>
      </c>
      <c r="BZ12" s="69">
        <f>Tabla1[[#This Row],[PVD]]-Tabla1[[#This Row],[COSTOS]]</f>
        <v>7.8115999999999985</v>
      </c>
      <c r="CA12" s="25">
        <f>Tabla1[[#This Row],[TRUPUD UNTITARIO PVD]]</f>
        <v>7.8115999999999985</v>
      </c>
      <c r="CB12" s="25">
        <f>Tabla1[[#This Row],[TRUPUT UNITARIO]]/Tabla1[[#This Row],[COSTOS]]</f>
        <v>0.93139382377488944</v>
      </c>
      <c r="CC12" s="40">
        <f>Tabla1[[#This Row],[BUFFER REAL]]/((Tabla1[[#This Row],[TIEMPO REPOSICION BUFFERS]])/1.5)</f>
        <v>0</v>
      </c>
      <c r="CD12" s="69">
        <f>Tabla1[[#This Row],[CONSUMO ESTIMADO]]*52*Tabla1[[#This Row],[TRUPUT UNITARIO]]</f>
        <v>0</v>
      </c>
      <c r="CE12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12" s="25">
        <f>Tabla1[[#This Row],[INVERSION UNIDADES]]*Tabla1[[#This Row],[COSTOS]]</f>
        <v>0</v>
      </c>
      <c r="CG12" s="25" t="e">
        <f>Tabla1[[#This Row],[TRUPUT TOTAL ESTIMADO ANUAL]]/Tabla1[[#This Row],[INVERSION USD]]</f>
        <v>#DIV/0!</v>
      </c>
      <c r="CH12" s="27"/>
      <c r="CI12" s="27"/>
      <c r="CJ12" s="27"/>
      <c r="CK12" s="27"/>
    </row>
    <row r="13" spans="1:89">
      <c r="A13" s="7" t="s">
        <v>107</v>
      </c>
      <c r="B13" s="7" t="s">
        <v>108</v>
      </c>
      <c r="C13" s="7" t="s">
        <v>2</v>
      </c>
      <c r="D13" s="7" t="s">
        <v>707</v>
      </c>
      <c r="E13" s="7" t="s">
        <v>715</v>
      </c>
      <c r="F13" s="7" t="s">
        <v>724</v>
      </c>
      <c r="G13" s="7" t="s">
        <v>729</v>
      </c>
      <c r="H13" s="13">
        <v>6.49</v>
      </c>
      <c r="I13" s="13">
        <f t="shared" si="0"/>
        <v>4.8026</v>
      </c>
      <c r="J13" s="13">
        <v>2.6114600000000001</v>
      </c>
      <c r="K13" s="7">
        <v>8</v>
      </c>
      <c r="L13" s="7">
        <v>6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  <c r="Z13" s="7">
        <v>0</v>
      </c>
      <c r="AA13" s="7">
        <v>0</v>
      </c>
      <c r="AB13" s="7">
        <v>0</v>
      </c>
      <c r="AC13" s="7">
        <v>0</v>
      </c>
      <c r="AD13" s="7">
        <v>0</v>
      </c>
      <c r="AE13" s="7">
        <v>0</v>
      </c>
      <c r="AF13" s="7">
        <v>0</v>
      </c>
      <c r="AG13" s="7">
        <v>0</v>
      </c>
      <c r="AH13" s="7">
        <v>0</v>
      </c>
      <c r="AI13" s="7">
        <v>0</v>
      </c>
      <c r="AJ13" s="7">
        <v>0</v>
      </c>
      <c r="AK13" s="7">
        <v>0</v>
      </c>
      <c r="AL13" s="7">
        <v>0</v>
      </c>
      <c r="AM13" s="7">
        <v>0</v>
      </c>
      <c r="AN13" s="7">
        <v>0</v>
      </c>
      <c r="AO13" s="7">
        <v>0</v>
      </c>
      <c r="AP13" s="7">
        <v>120</v>
      </c>
      <c r="AQ13" s="7">
        <v>0</v>
      </c>
      <c r="AR13" s="7">
        <v>0</v>
      </c>
      <c r="AS13" s="7">
        <v>0</v>
      </c>
      <c r="AT13" s="7">
        <v>0</v>
      </c>
      <c r="AU13" s="7">
        <v>0</v>
      </c>
      <c r="AV13" s="7">
        <v>0</v>
      </c>
      <c r="AW13" s="7">
        <v>0</v>
      </c>
      <c r="AX13" s="7">
        <v>0</v>
      </c>
      <c r="AY13" s="7">
        <v>0</v>
      </c>
      <c r="AZ13" s="7">
        <v>0</v>
      </c>
      <c r="BA13" s="7">
        <v>0</v>
      </c>
      <c r="BB13" s="7">
        <v>0</v>
      </c>
      <c r="BC13" s="7">
        <v>0</v>
      </c>
      <c r="BD13" s="7">
        <v>6</v>
      </c>
      <c r="BE13" s="7">
        <v>0</v>
      </c>
      <c r="BF13" s="7">
        <v>0</v>
      </c>
      <c r="BG13" s="7">
        <v>4</v>
      </c>
      <c r="BH13" s="7">
        <v>0</v>
      </c>
      <c r="BI13" s="7">
        <v>0</v>
      </c>
      <c r="BJ13" s="7">
        <v>0</v>
      </c>
      <c r="BK13" s="7">
        <v>0</v>
      </c>
      <c r="BL13" s="7">
        <v>0</v>
      </c>
      <c r="BM13" s="13">
        <v>130</v>
      </c>
      <c r="BN13" s="13">
        <f>Tabla1[[#This Row],[CONSUMO TOTAL PROPIO]]/52</f>
        <v>2.5</v>
      </c>
      <c r="BO13" s="13" t="e">
        <f>SUM(Tabla3[[#This Row],[CONSUMO TOTAL V]]+Tabla2[[#This Row],[CONSUMO TOTAL VALORES]]+#REF!+#REF!)</f>
        <v>#REF!</v>
      </c>
      <c r="BP13" s="31">
        <v>84</v>
      </c>
      <c r="BQ13" s="13">
        <f>Tabla1[[#This Row],[CONSUMO TOTAL TODAS]]/52</f>
        <v>1.6153846153846154</v>
      </c>
      <c r="BR13" s="25">
        <f>Tabla1[[#This Row],[CONSUMO PROMEDIO PROPIO]]+Tabla1[[#This Row],[CONSUMO PROMEDIO TODAS]]</f>
        <v>4.115384615384615</v>
      </c>
      <c r="BS13" s="26">
        <f>Tabla1[[#This Row],[CONSUMO PROMEDIO TOTAL]]*(Tabla1[[#This Row],[FRECUENCIA]]+Tabla1[[#This Row],[TIEMPO REPOSICION BUFFERS]])</f>
        <v>57.615384615384613</v>
      </c>
      <c r="BT13" s="26">
        <v>40</v>
      </c>
      <c r="BU13" s="27">
        <v>1</v>
      </c>
      <c r="BV13" s="27">
        <v>16</v>
      </c>
      <c r="BW13" s="27">
        <v>16</v>
      </c>
      <c r="BX13" s="69">
        <f>Tabla1[[#This Row],[BUFFER REAL]]*Tabla1[[#This Row],[COSTOS]]</f>
        <v>104.45840000000001</v>
      </c>
      <c r="BY13" s="69">
        <f>Tabla1[[#This Row],[PVP]]-Tabla1[[#This Row],[COSTOS]]</f>
        <v>3.8785400000000001</v>
      </c>
      <c r="BZ13" s="69">
        <f>Tabla1[[#This Row],[PVD]]-Tabla1[[#This Row],[COSTOS]]</f>
        <v>2.1911399999999999</v>
      </c>
      <c r="CA13" s="25">
        <f>Tabla1[[#This Row],[TRUPUD UNTITARIO PVD]]</f>
        <v>2.1911399999999999</v>
      </c>
      <c r="CB13" s="25">
        <f>Tabla1[[#This Row],[TRUPUT UNITARIO]]/Tabla1[[#This Row],[COSTOS]]</f>
        <v>0.83904788892037396</v>
      </c>
      <c r="CC13" s="40">
        <f>Tabla1[[#This Row],[BUFFER REAL]]/((Tabla1[[#This Row],[TIEMPO REPOSICION BUFFERS]])/1.5)</f>
        <v>10</v>
      </c>
      <c r="CD13" s="69">
        <f>Tabla1[[#This Row],[CONSUMO ESTIMADO]]*52*Tabla1[[#This Row],[TRUPUT UNITARIO]]</f>
        <v>1139.3927999999999</v>
      </c>
      <c r="CE13" s="25">
        <f>Tabla1[[#This Row],[CONSUMO ESTIMADO]]*(Tabla1[[#This Row],[TIEMPO REPOSICION BUFFERS]]*1.5)+( Tabla1[[#This Row],[TRUPUT TOTAL ESTIMADO ANUAL]]*(Tabla1[[#This Row],[CRÉDITO CLIENTE]]-Tabla1[[#This Row],[CREDITO PROVEEDOR]]))</f>
        <v>90</v>
      </c>
      <c r="CF13" s="25">
        <f>Tabla1[[#This Row],[INVERSION UNIDADES]]*Tabla1[[#This Row],[COSTOS]]</f>
        <v>235.03140000000002</v>
      </c>
      <c r="CG13" s="25">
        <f>Tabla1[[#This Row],[TRUPUT TOTAL ESTIMADO ANUAL]]/Tabla1[[#This Row],[INVERSION USD]]</f>
        <v>4.8478322470954938</v>
      </c>
      <c r="CH13" s="27"/>
      <c r="CI13" s="27"/>
      <c r="CJ13" s="27"/>
      <c r="CK13" s="27"/>
    </row>
    <row r="14" spans="1:89">
      <c r="A14" s="7" t="s">
        <v>109</v>
      </c>
      <c r="B14" s="7" t="s">
        <v>110</v>
      </c>
      <c r="C14" s="7" t="s">
        <v>686</v>
      </c>
      <c r="D14" s="7" t="s">
        <v>707</v>
      </c>
      <c r="E14" s="7" t="s">
        <v>715</v>
      </c>
      <c r="F14" s="7" t="s">
        <v>724</v>
      </c>
      <c r="G14" s="7" t="s">
        <v>729</v>
      </c>
      <c r="H14" s="13">
        <v>2.75</v>
      </c>
      <c r="I14" s="13">
        <f t="shared" si="0"/>
        <v>2.0350000000000001</v>
      </c>
      <c r="J14" s="13">
        <v>1.4165300000000001</v>
      </c>
      <c r="K14" s="7">
        <v>8</v>
      </c>
      <c r="L14" s="7">
        <v>6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25</v>
      </c>
      <c r="Z14" s="7">
        <v>0</v>
      </c>
      <c r="AA14" s="7">
        <v>350</v>
      </c>
      <c r="AB14" s="7">
        <v>0</v>
      </c>
      <c r="AC14" s="7">
        <v>0</v>
      </c>
      <c r="AD14" s="7">
        <v>0</v>
      </c>
      <c r="AE14" s="7">
        <v>320</v>
      </c>
      <c r="AF14" s="7">
        <v>0</v>
      </c>
      <c r="AG14" s="7">
        <v>100</v>
      </c>
      <c r="AH14" s="7">
        <v>20</v>
      </c>
      <c r="AI14" s="7">
        <v>0</v>
      </c>
      <c r="AJ14" s="7">
        <v>0</v>
      </c>
      <c r="AK14" s="7">
        <v>0</v>
      </c>
      <c r="AL14" s="7">
        <v>0</v>
      </c>
      <c r="AM14" s="7">
        <v>0</v>
      </c>
      <c r="AN14" s="7">
        <v>50</v>
      </c>
      <c r="AO14" s="7">
        <v>0</v>
      </c>
      <c r="AP14" s="7">
        <v>140</v>
      </c>
      <c r="AQ14" s="7">
        <v>0</v>
      </c>
      <c r="AR14" s="7">
        <v>0</v>
      </c>
      <c r="AS14" s="7">
        <v>0</v>
      </c>
      <c r="AT14" s="7">
        <v>0</v>
      </c>
      <c r="AU14" s="7">
        <v>0</v>
      </c>
      <c r="AV14" s="7">
        <v>50</v>
      </c>
      <c r="AW14" s="7">
        <v>50</v>
      </c>
      <c r="AX14" s="7">
        <v>0</v>
      </c>
      <c r="AY14" s="7">
        <v>0</v>
      </c>
      <c r="AZ14" s="7">
        <v>0</v>
      </c>
      <c r="BA14" s="7">
        <v>0</v>
      </c>
      <c r="BB14" s="7">
        <v>26</v>
      </c>
      <c r="BC14" s="7">
        <v>200</v>
      </c>
      <c r="BD14" s="7">
        <v>0</v>
      </c>
      <c r="BE14" s="7">
        <v>0</v>
      </c>
      <c r="BF14" s="7">
        <v>150</v>
      </c>
      <c r="BG14" s="7">
        <v>0</v>
      </c>
      <c r="BH14" s="7">
        <v>4</v>
      </c>
      <c r="BI14" s="7">
        <v>70</v>
      </c>
      <c r="BJ14" s="7">
        <v>0</v>
      </c>
      <c r="BK14" s="7">
        <v>5</v>
      </c>
      <c r="BL14" s="7">
        <v>0</v>
      </c>
      <c r="BM14" s="13">
        <v>1560</v>
      </c>
      <c r="BN14" s="13">
        <f>Tabla1[[#This Row],[CONSUMO TOTAL PROPIO]]/52</f>
        <v>30</v>
      </c>
      <c r="BO14" s="13" t="e">
        <f>SUM(Tabla3[[#This Row],[CONSUMO TOTAL V]]+Tabla2[[#This Row],[CONSUMO TOTAL VALORES]]+#REF!+#REF!)</f>
        <v>#REF!</v>
      </c>
      <c r="BP14" s="31">
        <v>2355</v>
      </c>
      <c r="BQ14" s="13">
        <f>Tabla1[[#This Row],[CONSUMO TOTAL TODAS]]/52</f>
        <v>45.28846153846154</v>
      </c>
      <c r="BR14" s="25">
        <f>Tabla1[[#This Row],[CONSUMO PROMEDIO PROPIO]]+Tabla1[[#This Row],[CONSUMO PROMEDIO TODAS]]</f>
        <v>75.288461538461547</v>
      </c>
      <c r="BS14" s="26">
        <f>Tabla1[[#This Row],[CONSUMO PROMEDIO TOTAL]]*(Tabla1[[#This Row],[FRECUENCIA]]+Tabla1[[#This Row],[TIEMPO REPOSICION BUFFERS]])</f>
        <v>1054.0384615384617</v>
      </c>
      <c r="BT14" s="26">
        <v>1000</v>
      </c>
      <c r="BU14" s="27">
        <v>1</v>
      </c>
      <c r="BV14" s="27">
        <v>16</v>
      </c>
      <c r="BW14" s="27">
        <v>16</v>
      </c>
      <c r="BX14" s="69">
        <f>Tabla1[[#This Row],[BUFFER REAL]]*Tabla1[[#This Row],[COSTOS]]</f>
        <v>1416.53</v>
      </c>
      <c r="BY14" s="69">
        <f>Tabla1[[#This Row],[PVP]]-Tabla1[[#This Row],[COSTOS]]</f>
        <v>1.3334699999999999</v>
      </c>
      <c r="BZ14" s="69">
        <f>Tabla1[[#This Row],[PVD]]-Tabla1[[#This Row],[COSTOS]]</f>
        <v>0.61847000000000008</v>
      </c>
      <c r="CA14" s="25">
        <f>Tabla1[[#This Row],[TRUPUD UNTITARIO PVD]]</f>
        <v>0.61847000000000008</v>
      </c>
      <c r="CB14" s="25">
        <f>Tabla1[[#This Row],[TRUPUT UNITARIO]]/Tabla1[[#This Row],[COSTOS]]</f>
        <v>0.43660917876783412</v>
      </c>
      <c r="CC14" s="40">
        <f>Tabla1[[#This Row],[BUFFER REAL]]/((Tabla1[[#This Row],[TIEMPO REPOSICION BUFFERS]])/1.5)</f>
        <v>250</v>
      </c>
      <c r="CD14" s="69">
        <f>Tabla1[[#This Row],[CONSUMO ESTIMADO]]*52*Tabla1[[#This Row],[TRUPUT UNITARIO]]</f>
        <v>8040.1100000000006</v>
      </c>
      <c r="CE14" s="25">
        <f>Tabla1[[#This Row],[CONSUMO ESTIMADO]]*(Tabla1[[#This Row],[TIEMPO REPOSICION BUFFERS]]*1.5)+( Tabla1[[#This Row],[TRUPUT TOTAL ESTIMADO ANUAL]]*(Tabla1[[#This Row],[CRÉDITO CLIENTE]]-Tabla1[[#This Row],[CREDITO PROVEEDOR]]))</f>
        <v>2250</v>
      </c>
      <c r="CF14" s="25">
        <f>Tabla1[[#This Row],[INVERSION UNIDADES]]*Tabla1[[#This Row],[COSTOS]]</f>
        <v>3187.1925000000001</v>
      </c>
      <c r="CG14" s="25">
        <f>Tabla1[[#This Row],[TRUPUT TOTAL ESTIMADO ANUAL]]/Tabla1[[#This Row],[INVERSION USD]]</f>
        <v>2.5226308106585971</v>
      </c>
      <c r="CH14" s="27"/>
      <c r="CI14" s="27"/>
      <c r="CJ14" s="27"/>
      <c r="CK14" s="27"/>
    </row>
    <row r="15" spans="1:89">
      <c r="A15" s="7" t="s">
        <v>111</v>
      </c>
      <c r="B15" s="7" t="s">
        <v>112</v>
      </c>
      <c r="C15" s="7" t="s">
        <v>682</v>
      </c>
      <c r="D15" s="7" t="s">
        <v>707</v>
      </c>
      <c r="E15" s="7" t="s">
        <v>715</v>
      </c>
      <c r="F15" s="7" t="s">
        <v>724</v>
      </c>
      <c r="G15" s="7" t="s">
        <v>729</v>
      </c>
      <c r="H15" s="13">
        <v>5.84</v>
      </c>
      <c r="I15" s="13">
        <f t="shared" si="0"/>
        <v>4.3216000000000001</v>
      </c>
      <c r="J15" s="13">
        <v>2.5375299999999998</v>
      </c>
      <c r="K15" s="7">
        <v>8</v>
      </c>
      <c r="L15" s="7">
        <v>6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>
        <v>2</v>
      </c>
      <c r="AE15" s="7">
        <v>0</v>
      </c>
      <c r="AF15" s="7">
        <v>0</v>
      </c>
      <c r="AG15" s="7">
        <v>0</v>
      </c>
      <c r="AH15" s="7">
        <v>0</v>
      </c>
      <c r="AI15" s="7">
        <v>0</v>
      </c>
      <c r="AJ15" s="7">
        <v>0</v>
      </c>
      <c r="AK15" s="7">
        <v>80</v>
      </c>
      <c r="AL15" s="7">
        <v>40</v>
      </c>
      <c r="AM15" s="7">
        <v>36</v>
      </c>
      <c r="AN15" s="7">
        <v>60</v>
      </c>
      <c r="AO15" s="7">
        <v>0</v>
      </c>
      <c r="AP15" s="7">
        <v>0</v>
      </c>
      <c r="AQ15" s="7">
        <v>0</v>
      </c>
      <c r="AR15" s="7">
        <v>0</v>
      </c>
      <c r="AS15" s="7">
        <v>0</v>
      </c>
      <c r="AT15" s="7">
        <v>0</v>
      </c>
      <c r="AU15" s="7">
        <v>0</v>
      </c>
      <c r="AV15" s="7">
        <v>0</v>
      </c>
      <c r="AW15" s="7">
        <v>0</v>
      </c>
      <c r="AX15" s="7">
        <v>0</v>
      </c>
      <c r="AY15" s="7">
        <v>0</v>
      </c>
      <c r="AZ15" s="7">
        <v>0</v>
      </c>
      <c r="BA15" s="7">
        <v>0</v>
      </c>
      <c r="BB15" s="7">
        <v>0</v>
      </c>
      <c r="BC15" s="7">
        <v>10</v>
      </c>
      <c r="BD15" s="7">
        <v>0</v>
      </c>
      <c r="BE15" s="7">
        <v>0</v>
      </c>
      <c r="BF15" s="7">
        <v>0</v>
      </c>
      <c r="BG15" s="7">
        <v>0</v>
      </c>
      <c r="BH15" s="7">
        <v>0</v>
      </c>
      <c r="BI15" s="7">
        <v>0</v>
      </c>
      <c r="BJ15" s="7">
        <v>0</v>
      </c>
      <c r="BK15" s="7">
        <v>0</v>
      </c>
      <c r="BL15" s="7">
        <v>0</v>
      </c>
      <c r="BM15" s="13">
        <v>228</v>
      </c>
      <c r="BN15" s="13">
        <f>Tabla1[[#This Row],[CONSUMO TOTAL PROPIO]]/52</f>
        <v>4.384615384615385</v>
      </c>
      <c r="BO15" s="13" t="e">
        <f>SUM(Tabla3[[#This Row],[CONSUMO TOTAL V]]+Tabla2[[#This Row],[CONSUMO TOTAL VALORES]]+#REF!+#REF!)</f>
        <v>#REF!</v>
      </c>
      <c r="BP15" s="31">
        <v>2202</v>
      </c>
      <c r="BQ15" s="13">
        <f>Tabla1[[#This Row],[CONSUMO TOTAL TODAS]]/52</f>
        <v>42.346153846153847</v>
      </c>
      <c r="BR15" s="25">
        <f>Tabla1[[#This Row],[CONSUMO PROMEDIO PROPIO]]+Tabla1[[#This Row],[CONSUMO PROMEDIO TODAS]]</f>
        <v>46.730769230769234</v>
      </c>
      <c r="BS15" s="26">
        <f>Tabla1[[#This Row],[CONSUMO PROMEDIO TOTAL]]*(Tabla1[[#This Row],[FRECUENCIA]]+Tabla1[[#This Row],[TIEMPO REPOSICION BUFFERS]])</f>
        <v>654.23076923076928</v>
      </c>
      <c r="BT15" s="26">
        <v>400</v>
      </c>
      <c r="BU15" s="27">
        <v>1</v>
      </c>
      <c r="BV15" s="27">
        <v>16</v>
      </c>
      <c r="BW15" s="27">
        <v>16</v>
      </c>
      <c r="BX15" s="69">
        <f>Tabla1[[#This Row],[BUFFER REAL]]*Tabla1[[#This Row],[COSTOS]]</f>
        <v>1015.0119999999999</v>
      </c>
      <c r="BY15" s="69">
        <f>Tabla1[[#This Row],[PVP]]-Tabla1[[#This Row],[COSTOS]]</f>
        <v>3.30247</v>
      </c>
      <c r="BZ15" s="69">
        <f>Tabla1[[#This Row],[PVD]]-Tabla1[[#This Row],[COSTOS]]</f>
        <v>1.7840700000000003</v>
      </c>
      <c r="CA15" s="25">
        <f>Tabla1[[#This Row],[TRUPUD UNTITARIO PVD]]</f>
        <v>1.7840700000000003</v>
      </c>
      <c r="CB15" s="25">
        <f>Tabla1[[#This Row],[TRUPUT UNITARIO]]/Tabla1[[#This Row],[COSTOS]]</f>
        <v>0.70307346120045888</v>
      </c>
      <c r="CC15" s="40">
        <f>Tabla1[[#This Row],[BUFFER REAL]]/((Tabla1[[#This Row],[TIEMPO REPOSICION BUFFERS]])/1.5)</f>
        <v>100</v>
      </c>
      <c r="CD15" s="69">
        <f>Tabla1[[#This Row],[CONSUMO ESTIMADO]]*52*Tabla1[[#This Row],[TRUPUT UNITARIO]]</f>
        <v>9277.1640000000007</v>
      </c>
      <c r="CE15" s="25">
        <f>Tabla1[[#This Row],[CONSUMO ESTIMADO]]*(Tabla1[[#This Row],[TIEMPO REPOSICION BUFFERS]]*1.5)+( Tabla1[[#This Row],[TRUPUT TOTAL ESTIMADO ANUAL]]*(Tabla1[[#This Row],[CRÉDITO CLIENTE]]-Tabla1[[#This Row],[CREDITO PROVEEDOR]]))</f>
        <v>900</v>
      </c>
      <c r="CF15" s="25">
        <f>Tabla1[[#This Row],[INVERSION UNIDADES]]*Tabla1[[#This Row],[COSTOS]]</f>
        <v>2283.777</v>
      </c>
      <c r="CG15" s="25">
        <f>Tabla1[[#This Row],[TRUPUT TOTAL ESTIMADO ANUAL]]/Tabla1[[#This Row],[INVERSION USD]]</f>
        <v>4.0622022202693175</v>
      </c>
      <c r="CH15" s="27"/>
      <c r="CI15" s="27"/>
      <c r="CJ15" s="27"/>
      <c r="CK15" s="27"/>
    </row>
    <row r="16" spans="1:89">
      <c r="A16" s="7" t="s">
        <v>113</v>
      </c>
      <c r="B16" s="7" t="s">
        <v>114</v>
      </c>
      <c r="C16" s="7" t="s">
        <v>2</v>
      </c>
      <c r="D16" s="7" t="s">
        <v>707</v>
      </c>
      <c r="E16" s="7" t="s">
        <v>715</v>
      </c>
      <c r="F16" s="7" t="s">
        <v>724</v>
      </c>
      <c r="G16" s="7" t="s">
        <v>729</v>
      </c>
      <c r="H16" s="13">
        <v>9.49</v>
      </c>
      <c r="I16" s="13">
        <f t="shared" si="0"/>
        <v>7.0225999999999997</v>
      </c>
      <c r="J16" s="13">
        <v>4.6144999999999996</v>
      </c>
      <c r="K16" s="7">
        <v>8</v>
      </c>
      <c r="L16" s="7">
        <v>6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1</v>
      </c>
      <c r="Z16" s="7">
        <v>20</v>
      </c>
      <c r="AA16" s="7">
        <v>0</v>
      </c>
      <c r="AB16" s="7">
        <v>2</v>
      </c>
      <c r="AC16" s="7">
        <v>0</v>
      </c>
      <c r="AD16" s="7">
        <v>0</v>
      </c>
      <c r="AE16" s="7">
        <v>0</v>
      </c>
      <c r="AF16" s="7">
        <v>6</v>
      </c>
      <c r="AG16" s="7">
        <v>3</v>
      </c>
      <c r="AH16" s="7">
        <v>20</v>
      </c>
      <c r="AI16" s="7">
        <v>0</v>
      </c>
      <c r="AJ16" s="7">
        <v>0</v>
      </c>
      <c r="AK16" s="7">
        <v>0</v>
      </c>
      <c r="AL16" s="7">
        <v>0</v>
      </c>
      <c r="AM16" s="7">
        <v>0</v>
      </c>
      <c r="AN16" s="7">
        <v>0</v>
      </c>
      <c r="AO16" s="7">
        <v>0</v>
      </c>
      <c r="AP16" s="7">
        <v>100</v>
      </c>
      <c r="AQ16" s="7">
        <v>0</v>
      </c>
      <c r="AR16" s="7">
        <v>0</v>
      </c>
      <c r="AS16" s="7">
        <v>0</v>
      </c>
      <c r="AT16" s="7">
        <v>0</v>
      </c>
      <c r="AU16" s="7">
        <v>0</v>
      </c>
      <c r="AV16" s="7">
        <v>0</v>
      </c>
      <c r="AW16" s="7">
        <v>0</v>
      </c>
      <c r="AX16" s="7">
        <v>0</v>
      </c>
      <c r="AY16" s="7">
        <v>0</v>
      </c>
      <c r="AZ16" s="7">
        <v>0</v>
      </c>
      <c r="BA16" s="7">
        <v>0</v>
      </c>
      <c r="BB16" s="7">
        <v>0</v>
      </c>
      <c r="BC16" s="7">
        <v>0</v>
      </c>
      <c r="BD16" s="7">
        <v>0</v>
      </c>
      <c r="BE16" s="7">
        <v>0</v>
      </c>
      <c r="BF16" s="7">
        <v>0</v>
      </c>
      <c r="BG16" s="7">
        <v>0</v>
      </c>
      <c r="BH16" s="7">
        <v>0</v>
      </c>
      <c r="BI16" s="7">
        <v>0</v>
      </c>
      <c r="BJ16" s="7">
        <v>0</v>
      </c>
      <c r="BK16" s="7">
        <v>0</v>
      </c>
      <c r="BL16" s="7">
        <v>40</v>
      </c>
      <c r="BM16" s="13">
        <v>192</v>
      </c>
      <c r="BN16" s="13">
        <f>Tabla1[[#This Row],[CONSUMO TOTAL PROPIO]]/52</f>
        <v>3.6923076923076925</v>
      </c>
      <c r="BO16" s="13" t="e">
        <f>SUM(Tabla3[[#This Row],[CONSUMO TOTAL V]]+Tabla2[[#This Row],[CONSUMO TOTAL VALORES]]+#REF!+#REF!)</f>
        <v>#REF!</v>
      </c>
      <c r="BP16" s="31">
        <v>114</v>
      </c>
      <c r="BQ16" s="13">
        <f>Tabla1[[#This Row],[CONSUMO TOTAL TODAS]]/52</f>
        <v>2.1923076923076925</v>
      </c>
      <c r="BR16" s="25">
        <f>Tabla1[[#This Row],[CONSUMO PROMEDIO PROPIO]]+Tabla1[[#This Row],[CONSUMO PROMEDIO TODAS]]</f>
        <v>5.884615384615385</v>
      </c>
      <c r="BS16" s="26">
        <f>Tabla1[[#This Row],[CONSUMO PROMEDIO TOTAL]]*(Tabla1[[#This Row],[FRECUENCIA]]+Tabla1[[#This Row],[TIEMPO REPOSICION BUFFERS]])</f>
        <v>82.384615384615387</v>
      </c>
      <c r="BT16" s="26">
        <v>40</v>
      </c>
      <c r="BU16" s="27">
        <v>1</v>
      </c>
      <c r="BV16" s="27">
        <v>16</v>
      </c>
      <c r="BW16" s="27">
        <v>16</v>
      </c>
      <c r="BX16" s="69">
        <f>Tabla1[[#This Row],[BUFFER REAL]]*Tabla1[[#This Row],[COSTOS]]</f>
        <v>184.57999999999998</v>
      </c>
      <c r="BY16" s="69">
        <f>Tabla1[[#This Row],[PVP]]-Tabla1[[#This Row],[COSTOS]]</f>
        <v>4.8755000000000006</v>
      </c>
      <c r="BZ16" s="69">
        <f>Tabla1[[#This Row],[PVD]]-Tabla1[[#This Row],[COSTOS]]</f>
        <v>2.4081000000000001</v>
      </c>
      <c r="CA16" s="25">
        <f>Tabla1[[#This Row],[TRUPUD UNTITARIO PVD]]</f>
        <v>2.4081000000000001</v>
      </c>
      <c r="CB16" s="25">
        <f>Tabla1[[#This Row],[TRUPUT UNITARIO]]/Tabla1[[#This Row],[COSTOS]]</f>
        <v>0.52185502221259084</v>
      </c>
      <c r="CC16" s="40">
        <f>Tabla1[[#This Row],[BUFFER REAL]]/((Tabla1[[#This Row],[TIEMPO REPOSICION BUFFERS]])/1.5)</f>
        <v>10</v>
      </c>
      <c r="CD16" s="69">
        <f>Tabla1[[#This Row],[CONSUMO ESTIMADO]]*52*Tabla1[[#This Row],[TRUPUT UNITARIO]]</f>
        <v>1252.212</v>
      </c>
      <c r="CE16" s="25">
        <f>Tabla1[[#This Row],[CONSUMO ESTIMADO]]*(Tabla1[[#This Row],[TIEMPO REPOSICION BUFFERS]]*1.5)+( Tabla1[[#This Row],[TRUPUT TOTAL ESTIMADO ANUAL]]*(Tabla1[[#This Row],[CRÉDITO CLIENTE]]-Tabla1[[#This Row],[CREDITO PROVEEDOR]]))</f>
        <v>90</v>
      </c>
      <c r="CF16" s="25">
        <f>Tabla1[[#This Row],[INVERSION UNIDADES]]*Tabla1[[#This Row],[COSTOS]]</f>
        <v>415.30499999999995</v>
      </c>
      <c r="CG16" s="25">
        <f>Tabla1[[#This Row],[TRUPUT TOTAL ESTIMADO ANUAL]]/Tabla1[[#This Row],[INVERSION USD]]</f>
        <v>3.0151623505616358</v>
      </c>
      <c r="CH16" s="27"/>
      <c r="CI16" s="27"/>
      <c r="CJ16" s="27"/>
      <c r="CK16" s="27"/>
    </row>
    <row r="17" spans="1:89">
      <c r="A17" s="7" t="s">
        <v>115</v>
      </c>
      <c r="B17" s="7" t="s">
        <v>116</v>
      </c>
      <c r="C17" s="7" t="s">
        <v>682</v>
      </c>
      <c r="D17" s="7" t="s">
        <v>707</v>
      </c>
      <c r="E17" s="7" t="s">
        <v>715</v>
      </c>
      <c r="F17" s="7" t="s">
        <v>724</v>
      </c>
      <c r="G17" s="7" t="s">
        <v>729</v>
      </c>
      <c r="H17" s="13">
        <v>3.69</v>
      </c>
      <c r="I17" s="13">
        <f t="shared" si="0"/>
        <v>2.7305999999999999</v>
      </c>
      <c r="J17" s="13">
        <v>1.6554500000000001</v>
      </c>
      <c r="K17" s="7">
        <v>8</v>
      </c>
      <c r="L17" s="7">
        <v>6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H17" s="7">
        <v>0</v>
      </c>
      <c r="AI17" s="7">
        <v>0</v>
      </c>
      <c r="AJ17" s="7">
        <v>0</v>
      </c>
      <c r="AK17" s="7">
        <v>0</v>
      </c>
      <c r="AL17" s="7">
        <v>0</v>
      </c>
      <c r="AM17" s="7">
        <v>21</v>
      </c>
      <c r="AN17" s="7">
        <v>0</v>
      </c>
      <c r="AO17" s="7">
        <v>0</v>
      </c>
      <c r="AP17" s="7">
        <v>0</v>
      </c>
      <c r="AQ17" s="7">
        <v>0</v>
      </c>
      <c r="AR17" s="7">
        <v>0</v>
      </c>
      <c r="AS17" s="7">
        <v>0</v>
      </c>
      <c r="AT17" s="7">
        <v>0</v>
      </c>
      <c r="AU17" s="7">
        <v>0</v>
      </c>
      <c r="AV17" s="7">
        <v>0</v>
      </c>
      <c r="AW17" s="7">
        <v>0</v>
      </c>
      <c r="AX17" s="7">
        <v>0</v>
      </c>
      <c r="AY17" s="7">
        <v>0</v>
      </c>
      <c r="AZ17" s="7">
        <v>0</v>
      </c>
      <c r="BA17" s="7">
        <v>0</v>
      </c>
      <c r="BB17" s="7">
        <v>0</v>
      </c>
      <c r="BC17" s="7">
        <v>0</v>
      </c>
      <c r="BD17" s="7">
        <v>0</v>
      </c>
      <c r="BE17" s="7">
        <v>0</v>
      </c>
      <c r="BF17" s="7">
        <v>0</v>
      </c>
      <c r="BG17" s="7">
        <v>0</v>
      </c>
      <c r="BH17" s="7">
        <v>0</v>
      </c>
      <c r="BI17" s="7">
        <v>0</v>
      </c>
      <c r="BJ17" s="7">
        <v>0</v>
      </c>
      <c r="BK17" s="7">
        <v>0</v>
      </c>
      <c r="BL17" s="7">
        <v>0</v>
      </c>
      <c r="BM17" s="13">
        <v>21</v>
      </c>
      <c r="BN17" s="13">
        <f>Tabla1[[#This Row],[CONSUMO TOTAL PROPIO]]/52</f>
        <v>0.40384615384615385</v>
      </c>
      <c r="BO17" s="13" t="e">
        <f>SUM(Tabla3[[#This Row],[CONSUMO TOTAL V]]+Tabla2[[#This Row],[CONSUMO TOTAL VALORES]]+#REF!+#REF!)</f>
        <v>#REF!</v>
      </c>
      <c r="BP17" s="31">
        <v>871</v>
      </c>
      <c r="BQ17" s="13">
        <f>Tabla1[[#This Row],[CONSUMO TOTAL TODAS]]/52</f>
        <v>16.75</v>
      </c>
      <c r="BR17" s="25">
        <f>Tabla1[[#This Row],[CONSUMO PROMEDIO PROPIO]]+Tabla1[[#This Row],[CONSUMO PROMEDIO TODAS]]</f>
        <v>17.153846153846153</v>
      </c>
      <c r="BS17" s="26">
        <f>Tabla1[[#This Row],[CONSUMO PROMEDIO TOTAL]]*(Tabla1[[#This Row],[FRECUENCIA]]+Tabla1[[#This Row],[TIEMPO REPOSICION BUFFERS]])</f>
        <v>240.15384615384613</v>
      </c>
      <c r="BT17" s="26">
        <v>160</v>
      </c>
      <c r="BU17" s="27">
        <v>1</v>
      </c>
      <c r="BV17" s="27">
        <v>16</v>
      </c>
      <c r="BW17" s="27">
        <v>16</v>
      </c>
      <c r="BX17" s="69">
        <f>Tabla1[[#This Row],[BUFFER REAL]]*Tabla1[[#This Row],[COSTOS]]</f>
        <v>264.87200000000001</v>
      </c>
      <c r="BY17" s="69">
        <f>Tabla1[[#This Row],[PVP]]-Tabla1[[#This Row],[COSTOS]]</f>
        <v>2.0345499999999999</v>
      </c>
      <c r="BZ17" s="69">
        <f>Tabla1[[#This Row],[PVD]]-Tabla1[[#This Row],[COSTOS]]</f>
        <v>1.0751499999999998</v>
      </c>
      <c r="CA17" s="25">
        <f>Tabla1[[#This Row],[TRUPUD UNTITARIO PVD]]</f>
        <v>1.0751499999999998</v>
      </c>
      <c r="CB17" s="25">
        <f>Tabla1[[#This Row],[TRUPUT UNITARIO]]/Tabla1[[#This Row],[COSTOS]]</f>
        <v>0.64946087166631417</v>
      </c>
      <c r="CC17" s="40">
        <f>Tabla1[[#This Row],[BUFFER REAL]]/((Tabla1[[#This Row],[TIEMPO REPOSICION BUFFERS]])/1.5)</f>
        <v>40</v>
      </c>
      <c r="CD17" s="69">
        <f>Tabla1[[#This Row],[CONSUMO ESTIMADO]]*52*Tabla1[[#This Row],[TRUPUT UNITARIO]]</f>
        <v>2236.3119999999994</v>
      </c>
      <c r="CE17" s="25">
        <f>Tabla1[[#This Row],[CONSUMO ESTIMADO]]*(Tabla1[[#This Row],[TIEMPO REPOSICION BUFFERS]]*1.5)+( Tabla1[[#This Row],[TRUPUT TOTAL ESTIMADO ANUAL]]*(Tabla1[[#This Row],[CRÉDITO CLIENTE]]-Tabla1[[#This Row],[CREDITO PROVEEDOR]]))</f>
        <v>360</v>
      </c>
      <c r="CF17" s="25">
        <f>Tabla1[[#This Row],[INVERSION UNIDADES]]*Tabla1[[#This Row],[COSTOS]]</f>
        <v>595.96199999999999</v>
      </c>
      <c r="CG17" s="25">
        <f>Tabla1[[#This Row],[TRUPUT TOTAL ESTIMADO ANUAL]]/Tabla1[[#This Row],[INVERSION USD]]</f>
        <v>3.7524405918498149</v>
      </c>
      <c r="CH17" s="27"/>
      <c r="CI17" s="27"/>
      <c r="CJ17" s="27"/>
      <c r="CK17" s="27"/>
    </row>
    <row r="18" spans="1:89">
      <c r="A18" s="7" t="s">
        <v>117</v>
      </c>
      <c r="B18" s="7" t="s">
        <v>118</v>
      </c>
      <c r="C18" s="7" t="s">
        <v>2</v>
      </c>
      <c r="D18" s="7" t="s">
        <v>707</v>
      </c>
      <c r="E18" s="7" t="s">
        <v>727</v>
      </c>
      <c r="F18" s="7" t="s">
        <v>724</v>
      </c>
      <c r="G18" s="7" t="s">
        <v>729</v>
      </c>
      <c r="H18" s="13">
        <v>6.69</v>
      </c>
      <c r="I18" s="13">
        <f t="shared" si="0"/>
        <v>4.9506000000000006</v>
      </c>
      <c r="J18" s="13">
        <v>3.6382699999999999</v>
      </c>
      <c r="K18" s="7">
        <v>8</v>
      </c>
      <c r="L18" s="7">
        <v>6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1</v>
      </c>
      <c r="Z18" s="7">
        <v>1</v>
      </c>
      <c r="AA18" s="7">
        <v>0</v>
      </c>
      <c r="AB18" s="7">
        <v>0</v>
      </c>
      <c r="AC18" s="7">
        <v>0</v>
      </c>
      <c r="AD18" s="7">
        <v>7</v>
      </c>
      <c r="AE18" s="7">
        <v>0</v>
      </c>
      <c r="AF18" s="7">
        <v>16</v>
      </c>
      <c r="AG18" s="7">
        <v>9</v>
      </c>
      <c r="AH18" s="7">
        <v>25</v>
      </c>
      <c r="AI18" s="7">
        <v>0</v>
      </c>
      <c r="AJ18" s="7">
        <v>0</v>
      </c>
      <c r="AK18" s="7">
        <v>0</v>
      </c>
      <c r="AL18" s="7">
        <v>20</v>
      </c>
      <c r="AM18" s="7">
        <v>0</v>
      </c>
      <c r="AN18" s="7">
        <v>0</v>
      </c>
      <c r="AO18" s="7">
        <v>0</v>
      </c>
      <c r="AP18" s="7">
        <v>59</v>
      </c>
      <c r="AQ18" s="7">
        <v>61</v>
      </c>
      <c r="AR18" s="7">
        <v>0</v>
      </c>
      <c r="AS18" s="7">
        <v>0</v>
      </c>
      <c r="AT18" s="7">
        <v>0</v>
      </c>
      <c r="AU18" s="7">
        <v>0</v>
      </c>
      <c r="AV18" s="7">
        <v>0</v>
      </c>
      <c r="AW18" s="7">
        <v>21</v>
      </c>
      <c r="AX18" s="7">
        <v>0</v>
      </c>
      <c r="AY18" s="7">
        <v>0</v>
      </c>
      <c r="AZ18" s="7">
        <v>0</v>
      </c>
      <c r="BA18" s="7">
        <v>0</v>
      </c>
      <c r="BB18" s="7">
        <v>0</v>
      </c>
      <c r="BC18" s="7">
        <v>0</v>
      </c>
      <c r="BD18" s="7">
        <v>0</v>
      </c>
      <c r="BE18" s="7">
        <v>0</v>
      </c>
      <c r="BF18" s="7">
        <v>0</v>
      </c>
      <c r="BG18" s="7">
        <v>10</v>
      </c>
      <c r="BH18" s="7">
        <v>21</v>
      </c>
      <c r="BI18" s="7">
        <v>0</v>
      </c>
      <c r="BJ18" s="7">
        <v>0</v>
      </c>
      <c r="BK18" s="7">
        <v>21</v>
      </c>
      <c r="BL18" s="7">
        <v>3</v>
      </c>
      <c r="BM18" s="13">
        <v>275</v>
      </c>
      <c r="BN18" s="13">
        <f>Tabla1[[#This Row],[CONSUMO TOTAL PROPIO]]/52</f>
        <v>5.2884615384615383</v>
      </c>
      <c r="BO18" s="13" t="e">
        <f>SUM(Tabla3[[#This Row],[CONSUMO TOTAL V]]+Tabla2[[#This Row],[CONSUMO TOTAL VALORES]]+#REF!+#REF!)</f>
        <v>#REF!</v>
      </c>
      <c r="BP18" s="31">
        <v>94</v>
      </c>
      <c r="BQ18" s="13">
        <f>Tabla1[[#This Row],[CONSUMO TOTAL TODAS]]/52</f>
        <v>1.8076923076923077</v>
      </c>
      <c r="BR18" s="25">
        <f>Tabla1[[#This Row],[CONSUMO PROMEDIO PROPIO]]+Tabla1[[#This Row],[CONSUMO PROMEDIO TODAS]]</f>
        <v>7.0961538461538458</v>
      </c>
      <c r="BS18" s="26">
        <f>Tabla1[[#This Row],[CONSUMO PROMEDIO TOTAL]]*(Tabla1[[#This Row],[FRECUENCIA]]+Tabla1[[#This Row],[TIEMPO REPOSICION BUFFERS]])</f>
        <v>99.34615384615384</v>
      </c>
      <c r="BT18" s="26">
        <v>40</v>
      </c>
      <c r="BU18" s="27">
        <v>1</v>
      </c>
      <c r="BV18" s="27">
        <v>16</v>
      </c>
      <c r="BW18" s="27">
        <v>16</v>
      </c>
      <c r="BX18" s="69">
        <f>Tabla1[[#This Row],[BUFFER REAL]]*Tabla1[[#This Row],[COSTOS]]</f>
        <v>145.5308</v>
      </c>
      <c r="BY18" s="69">
        <f>Tabla1[[#This Row],[PVP]]-Tabla1[[#This Row],[COSTOS]]</f>
        <v>3.0517300000000005</v>
      </c>
      <c r="BZ18" s="69">
        <f>Tabla1[[#This Row],[PVD]]-Tabla1[[#This Row],[COSTOS]]</f>
        <v>1.3123300000000007</v>
      </c>
      <c r="CA18" s="25">
        <f>Tabla1[[#This Row],[TRUPUD UNTITARIO PVD]]</f>
        <v>1.3123300000000007</v>
      </c>
      <c r="CB18" s="25">
        <f>Tabla1[[#This Row],[TRUPUT UNITARIO]]/Tabla1[[#This Row],[COSTOS]]</f>
        <v>0.36070165215885591</v>
      </c>
      <c r="CC18" s="40">
        <f>Tabla1[[#This Row],[BUFFER REAL]]/((Tabla1[[#This Row],[TIEMPO REPOSICION BUFFERS]])/1.5)</f>
        <v>10</v>
      </c>
      <c r="CD18" s="69">
        <f>Tabla1[[#This Row],[CONSUMO ESTIMADO]]*52*Tabla1[[#This Row],[TRUPUT UNITARIO]]</f>
        <v>682.41160000000036</v>
      </c>
      <c r="CE18" s="25">
        <f>Tabla1[[#This Row],[CONSUMO ESTIMADO]]*(Tabla1[[#This Row],[TIEMPO REPOSICION BUFFERS]]*1.5)+( Tabla1[[#This Row],[TRUPUT TOTAL ESTIMADO ANUAL]]*(Tabla1[[#This Row],[CRÉDITO CLIENTE]]-Tabla1[[#This Row],[CREDITO PROVEEDOR]]))</f>
        <v>90</v>
      </c>
      <c r="CF18" s="25">
        <f>Tabla1[[#This Row],[INVERSION UNIDADES]]*Tabla1[[#This Row],[COSTOS]]</f>
        <v>327.4443</v>
      </c>
      <c r="CG18" s="25">
        <f>Tabla1[[#This Row],[TRUPUT TOTAL ESTIMADO ANUAL]]/Tabla1[[#This Row],[INVERSION USD]]</f>
        <v>2.0840539902511677</v>
      </c>
      <c r="CH18" s="27"/>
      <c r="CI18" s="27"/>
      <c r="CJ18" s="27"/>
      <c r="CK18" s="27"/>
    </row>
    <row r="19" spans="1:89">
      <c r="A19" s="7" t="s">
        <v>119</v>
      </c>
      <c r="B19" s="7" t="s">
        <v>120</v>
      </c>
      <c r="C19" s="7" t="s">
        <v>672</v>
      </c>
      <c r="D19" s="7" t="s">
        <v>707</v>
      </c>
      <c r="E19" s="7" t="s">
        <v>715</v>
      </c>
      <c r="F19" s="7" t="s">
        <v>724</v>
      </c>
      <c r="G19" s="7" t="s">
        <v>729</v>
      </c>
      <c r="H19" s="13">
        <v>5.49</v>
      </c>
      <c r="I19" s="13">
        <f t="shared" si="0"/>
        <v>4.0625999999999998</v>
      </c>
      <c r="J19" s="13">
        <v>2.5527600000000001</v>
      </c>
      <c r="K19" s="7">
        <v>8</v>
      </c>
      <c r="L19" s="7">
        <v>6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20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H19" s="7">
        <v>0</v>
      </c>
      <c r="AI19" s="7">
        <v>0</v>
      </c>
      <c r="AJ19" s="7">
        <v>0</v>
      </c>
      <c r="AK19" s="7">
        <v>0</v>
      </c>
      <c r="AL19" s="7">
        <v>0</v>
      </c>
      <c r="AM19" s="7">
        <v>0</v>
      </c>
      <c r="AN19" s="7">
        <v>0</v>
      </c>
      <c r="AO19" s="7">
        <v>0</v>
      </c>
      <c r="AP19" s="7">
        <v>0</v>
      </c>
      <c r="AQ19" s="7">
        <v>0</v>
      </c>
      <c r="AR19" s="7">
        <v>0</v>
      </c>
      <c r="AS19" s="7">
        <v>0</v>
      </c>
      <c r="AT19" s="7">
        <v>0</v>
      </c>
      <c r="AU19" s="7">
        <v>0</v>
      </c>
      <c r="AV19" s="7">
        <v>25</v>
      </c>
      <c r="AW19" s="7">
        <v>0</v>
      </c>
      <c r="AX19" s="7">
        <v>0</v>
      </c>
      <c r="AY19" s="7">
        <v>0</v>
      </c>
      <c r="AZ19" s="7">
        <v>0</v>
      </c>
      <c r="BA19" s="7">
        <v>1</v>
      </c>
      <c r="BB19" s="7">
        <v>0</v>
      </c>
      <c r="BC19" s="7">
        <v>0</v>
      </c>
      <c r="BD19" s="7">
        <v>0</v>
      </c>
      <c r="BE19" s="7">
        <v>0</v>
      </c>
      <c r="BF19" s="7">
        <v>0</v>
      </c>
      <c r="BG19" s="7">
        <v>0</v>
      </c>
      <c r="BH19" s="7">
        <v>0</v>
      </c>
      <c r="BI19" s="7">
        <v>0</v>
      </c>
      <c r="BJ19" s="7">
        <v>0</v>
      </c>
      <c r="BK19" s="7">
        <v>0</v>
      </c>
      <c r="BL19" s="7">
        <v>0</v>
      </c>
      <c r="BM19" s="13">
        <v>46</v>
      </c>
      <c r="BN19" s="13">
        <f>Tabla1[[#This Row],[CONSUMO TOTAL PROPIO]]/52</f>
        <v>0.88461538461538458</v>
      </c>
      <c r="BO19" s="13" t="e">
        <f>SUM(Tabla3[[#This Row],[CONSUMO TOTAL V]]+Tabla2[[#This Row],[CONSUMO TOTAL VALORES]]+#REF!+#REF!)</f>
        <v>#REF!</v>
      </c>
      <c r="BP19" s="31">
        <v>1217</v>
      </c>
      <c r="BQ19" s="13">
        <f>Tabla1[[#This Row],[CONSUMO TOTAL TODAS]]/52</f>
        <v>23.403846153846153</v>
      </c>
      <c r="BR19" s="25">
        <f>Tabla1[[#This Row],[CONSUMO PROMEDIO PROPIO]]+Tabla1[[#This Row],[CONSUMO PROMEDIO TODAS]]</f>
        <v>24.288461538461537</v>
      </c>
      <c r="BS19" s="26">
        <f>Tabla1[[#This Row],[CONSUMO PROMEDIO TOTAL]]*(Tabla1[[#This Row],[FRECUENCIA]]+Tabla1[[#This Row],[TIEMPO REPOSICION BUFFERS]])</f>
        <v>340.03846153846149</v>
      </c>
      <c r="BT19" s="26">
        <v>200</v>
      </c>
      <c r="BU19" s="27">
        <v>1</v>
      </c>
      <c r="BV19" s="27">
        <v>16</v>
      </c>
      <c r="BW19" s="27">
        <v>16</v>
      </c>
      <c r="BX19" s="69">
        <f>Tabla1[[#This Row],[BUFFER REAL]]*Tabla1[[#This Row],[COSTOS]]</f>
        <v>510.55200000000002</v>
      </c>
      <c r="BY19" s="69">
        <f>Tabla1[[#This Row],[PVP]]-Tabla1[[#This Row],[COSTOS]]</f>
        <v>2.9372400000000001</v>
      </c>
      <c r="BZ19" s="69">
        <f>Tabla1[[#This Row],[PVD]]-Tabla1[[#This Row],[COSTOS]]</f>
        <v>1.5098399999999996</v>
      </c>
      <c r="CA19" s="25">
        <f>Tabla1[[#This Row],[TRUPUD UNTITARIO PVD]]</f>
        <v>1.5098399999999996</v>
      </c>
      <c r="CB19" s="25">
        <f>Tabla1[[#This Row],[TRUPUT UNITARIO]]/Tabla1[[#This Row],[COSTOS]]</f>
        <v>0.59145395571851622</v>
      </c>
      <c r="CC19" s="40">
        <f>Tabla1[[#This Row],[BUFFER REAL]]/((Tabla1[[#This Row],[TIEMPO REPOSICION BUFFERS]])/1.5)</f>
        <v>50</v>
      </c>
      <c r="CD19" s="69">
        <f>Tabla1[[#This Row],[CONSUMO ESTIMADO]]*52*Tabla1[[#This Row],[TRUPUT UNITARIO]]</f>
        <v>3925.5839999999989</v>
      </c>
      <c r="CE19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19" s="25">
        <f>Tabla1[[#This Row],[INVERSION UNIDADES]]*Tabla1[[#This Row],[COSTOS]]</f>
        <v>1148.742</v>
      </c>
      <c r="CG19" s="25">
        <f>Tabla1[[#This Row],[TRUPUT TOTAL ESTIMADO ANUAL]]/Tabla1[[#This Row],[INVERSION USD]]</f>
        <v>3.4172895219292054</v>
      </c>
      <c r="CH19" s="27"/>
      <c r="CI19" s="27"/>
      <c r="CJ19" s="27"/>
      <c r="CK19" s="27"/>
    </row>
    <row r="20" spans="1:89">
      <c r="A20" s="7" t="s">
        <v>121</v>
      </c>
      <c r="B20" s="7" t="s">
        <v>122</v>
      </c>
      <c r="C20" s="7" t="s">
        <v>682</v>
      </c>
      <c r="D20" s="7" t="s">
        <v>707</v>
      </c>
      <c r="E20" s="7" t="s">
        <v>715</v>
      </c>
      <c r="F20" s="7" t="s">
        <v>724</v>
      </c>
      <c r="G20" s="7" t="s">
        <v>729</v>
      </c>
      <c r="H20" s="13">
        <v>2.79</v>
      </c>
      <c r="I20" s="13">
        <f t="shared" si="0"/>
        <v>2.0646</v>
      </c>
      <c r="J20" s="13">
        <v>1.4903299999999999</v>
      </c>
      <c r="K20" s="7">
        <v>8</v>
      </c>
      <c r="L20" s="7">
        <v>6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7">
        <v>0</v>
      </c>
      <c r="AR20" s="7">
        <v>0</v>
      </c>
      <c r="AS20" s="7">
        <v>0</v>
      </c>
      <c r="AT20" s="7">
        <v>0</v>
      </c>
      <c r="AU20" s="7">
        <v>0</v>
      </c>
      <c r="AV20" s="7">
        <v>0</v>
      </c>
      <c r="AW20" s="7">
        <v>0</v>
      </c>
      <c r="AX20" s="7">
        <v>0</v>
      </c>
      <c r="AY20" s="7">
        <v>0</v>
      </c>
      <c r="AZ20" s="7">
        <v>0</v>
      </c>
      <c r="BA20" s="7">
        <v>0</v>
      </c>
      <c r="BB20" s="7">
        <v>0</v>
      </c>
      <c r="BC20" s="7">
        <v>0</v>
      </c>
      <c r="BD20" s="7">
        <v>0</v>
      </c>
      <c r="BE20" s="7">
        <v>0</v>
      </c>
      <c r="BF20" s="7">
        <v>0</v>
      </c>
      <c r="BG20" s="7">
        <v>0</v>
      </c>
      <c r="BH20" s="7">
        <v>0</v>
      </c>
      <c r="BI20" s="7">
        <v>0</v>
      </c>
      <c r="BJ20" s="7">
        <v>0</v>
      </c>
      <c r="BK20" s="7">
        <v>0</v>
      </c>
      <c r="BL20" s="7">
        <v>0</v>
      </c>
      <c r="BM20" s="13">
        <v>0</v>
      </c>
      <c r="BN20" s="13">
        <f>Tabla1[[#This Row],[CONSUMO TOTAL PROPIO]]/52</f>
        <v>0</v>
      </c>
      <c r="BO20" s="13" t="e">
        <f>SUM(Tabla3[[#This Row],[CONSUMO TOTAL V]]+Tabla2[[#This Row],[CONSUMO TOTAL VALORES]]+#REF!+#REF!)</f>
        <v>#REF!</v>
      </c>
      <c r="BP20" s="31">
        <v>129</v>
      </c>
      <c r="BQ20" s="13">
        <f>Tabla1[[#This Row],[CONSUMO TOTAL TODAS]]/52</f>
        <v>2.4807692307692308</v>
      </c>
      <c r="BR20" s="25">
        <f>Tabla1[[#This Row],[CONSUMO PROMEDIO PROPIO]]+Tabla1[[#This Row],[CONSUMO PROMEDIO TODAS]]</f>
        <v>2.4807692307692308</v>
      </c>
      <c r="BS20" s="26">
        <f>Tabla1[[#This Row],[CONSUMO PROMEDIO TOTAL]]*(Tabla1[[#This Row],[FRECUENCIA]]+Tabla1[[#This Row],[TIEMPO REPOSICION BUFFERS]])</f>
        <v>34.730769230769234</v>
      </c>
      <c r="BT20" s="26">
        <v>0</v>
      </c>
      <c r="BU20" s="27">
        <v>1</v>
      </c>
      <c r="BV20" s="27">
        <v>16</v>
      </c>
      <c r="BW20" s="27">
        <v>16</v>
      </c>
      <c r="BX20" s="69">
        <f>Tabla1[[#This Row],[BUFFER REAL]]*Tabla1[[#This Row],[COSTOS]]</f>
        <v>0</v>
      </c>
      <c r="BY20" s="69">
        <f>Tabla1[[#This Row],[PVP]]-Tabla1[[#This Row],[COSTOS]]</f>
        <v>1.2996700000000001</v>
      </c>
      <c r="BZ20" s="69">
        <f>Tabla1[[#This Row],[PVD]]-Tabla1[[#This Row],[COSTOS]]</f>
        <v>0.57427000000000006</v>
      </c>
      <c r="CA20" s="25">
        <f>Tabla1[[#This Row],[TRUPUD UNTITARIO PVD]]</f>
        <v>0.57427000000000006</v>
      </c>
      <c r="CB20" s="25">
        <f>Tabla1[[#This Row],[TRUPUT UNITARIO]]/Tabla1[[#This Row],[COSTOS]]</f>
        <v>0.38533076566934843</v>
      </c>
      <c r="CC20" s="40">
        <f>Tabla1[[#This Row],[BUFFER REAL]]/((Tabla1[[#This Row],[TIEMPO REPOSICION BUFFERS]])/1.5)</f>
        <v>0</v>
      </c>
      <c r="CD20" s="69">
        <f>Tabla1[[#This Row],[CONSUMO ESTIMADO]]*52*Tabla1[[#This Row],[TRUPUT UNITARIO]]</f>
        <v>0</v>
      </c>
      <c r="CE20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20" s="25">
        <f>Tabla1[[#This Row],[INVERSION UNIDADES]]*Tabla1[[#This Row],[COSTOS]]</f>
        <v>0</v>
      </c>
      <c r="CG20" s="25" t="e">
        <f>Tabla1[[#This Row],[TRUPUT TOTAL ESTIMADO ANUAL]]/Tabla1[[#This Row],[INVERSION USD]]</f>
        <v>#DIV/0!</v>
      </c>
      <c r="CH20" s="27"/>
      <c r="CI20" s="27"/>
      <c r="CJ20" s="27"/>
      <c r="CK20" s="27"/>
    </row>
    <row r="21" spans="1:89">
      <c r="A21" s="7" t="s">
        <v>123</v>
      </c>
      <c r="B21" s="7" t="s">
        <v>124</v>
      </c>
      <c r="C21" s="7" t="s">
        <v>681</v>
      </c>
      <c r="D21" s="7" t="s">
        <v>707</v>
      </c>
      <c r="E21" s="7" t="s">
        <v>715</v>
      </c>
      <c r="F21" s="7" t="s">
        <v>724</v>
      </c>
      <c r="G21" s="7" t="s">
        <v>729</v>
      </c>
      <c r="H21" s="13">
        <v>16.989999999999998</v>
      </c>
      <c r="I21" s="13">
        <f t="shared" si="0"/>
        <v>12.5726</v>
      </c>
      <c r="J21" s="13">
        <v>8.3179999999999996</v>
      </c>
      <c r="K21" s="7">
        <v>8</v>
      </c>
      <c r="L21" s="7">
        <v>6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12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  <c r="AF21" s="7">
        <v>0</v>
      </c>
      <c r="AG21" s="7">
        <v>0</v>
      </c>
      <c r="AH21" s="7">
        <v>0</v>
      </c>
      <c r="AI21" s="7">
        <v>0</v>
      </c>
      <c r="AJ21" s="7">
        <v>0</v>
      </c>
      <c r="AK21" s="7">
        <v>0</v>
      </c>
      <c r="AL21" s="7">
        <v>0</v>
      </c>
      <c r="AM21" s="7">
        <v>0</v>
      </c>
      <c r="AN21" s="7">
        <v>0</v>
      </c>
      <c r="AO21" s="7">
        <v>0</v>
      </c>
      <c r="AP21" s="7">
        <v>0</v>
      </c>
      <c r="AQ21" s="7">
        <v>0</v>
      </c>
      <c r="AR21" s="7">
        <v>0</v>
      </c>
      <c r="AS21" s="7">
        <v>0</v>
      </c>
      <c r="AT21" s="7">
        <v>0</v>
      </c>
      <c r="AU21" s="7">
        <v>0</v>
      </c>
      <c r="AV21" s="7">
        <v>0</v>
      </c>
      <c r="AW21" s="7">
        <v>0</v>
      </c>
      <c r="AX21" s="7">
        <v>0</v>
      </c>
      <c r="AY21" s="7">
        <v>0</v>
      </c>
      <c r="AZ21" s="7">
        <v>0</v>
      </c>
      <c r="BA21" s="7">
        <v>0</v>
      </c>
      <c r="BB21" s="7">
        <v>0</v>
      </c>
      <c r="BC21" s="7">
        <v>0</v>
      </c>
      <c r="BD21" s="7">
        <v>0</v>
      </c>
      <c r="BE21" s="7">
        <v>0</v>
      </c>
      <c r="BF21" s="7">
        <v>0</v>
      </c>
      <c r="BG21" s="7">
        <v>0</v>
      </c>
      <c r="BH21" s="7">
        <v>0</v>
      </c>
      <c r="BI21" s="7">
        <v>0</v>
      </c>
      <c r="BJ21" s="7">
        <v>0</v>
      </c>
      <c r="BK21" s="7">
        <v>0</v>
      </c>
      <c r="BL21" s="7">
        <v>0</v>
      </c>
      <c r="BM21" s="13">
        <v>12</v>
      </c>
      <c r="BN21" s="13">
        <f>Tabla1[[#This Row],[CONSUMO TOTAL PROPIO]]/52</f>
        <v>0.23076923076923078</v>
      </c>
      <c r="BO21" s="13" t="e">
        <f>SUM(Tabla3[[#This Row],[CONSUMO TOTAL V]]+Tabla2[[#This Row],[CONSUMO TOTAL VALORES]]+#REF!+#REF!)</f>
        <v>#REF!</v>
      </c>
      <c r="BP21" s="31">
        <v>5</v>
      </c>
      <c r="BQ21" s="13">
        <f>Tabla1[[#This Row],[CONSUMO TOTAL TODAS]]/52</f>
        <v>9.6153846153846159E-2</v>
      </c>
      <c r="BR21" s="25">
        <f>Tabla1[[#This Row],[CONSUMO PROMEDIO PROPIO]]+Tabla1[[#This Row],[CONSUMO PROMEDIO TODAS]]</f>
        <v>0.32692307692307693</v>
      </c>
      <c r="BS21" s="26">
        <f>Tabla1[[#This Row],[CONSUMO PROMEDIO TOTAL]]*(Tabla1[[#This Row],[FRECUENCIA]]+Tabla1[[#This Row],[TIEMPO REPOSICION BUFFERS]])</f>
        <v>4.5769230769230766</v>
      </c>
      <c r="BT21" s="26">
        <v>6</v>
      </c>
      <c r="BU21" s="27">
        <v>1</v>
      </c>
      <c r="BV21" s="27">
        <v>16</v>
      </c>
      <c r="BW21" s="27">
        <v>16</v>
      </c>
      <c r="BX21" s="69">
        <f>Tabla1[[#This Row],[BUFFER REAL]]*Tabla1[[#This Row],[COSTOS]]</f>
        <v>49.908000000000001</v>
      </c>
      <c r="BY21" s="69">
        <f>Tabla1[[#This Row],[PVP]]-Tabla1[[#This Row],[COSTOS]]</f>
        <v>8.6719999999999988</v>
      </c>
      <c r="BZ21" s="69">
        <f>Tabla1[[#This Row],[PVD]]-Tabla1[[#This Row],[COSTOS]]</f>
        <v>4.2545999999999999</v>
      </c>
      <c r="CA21" s="25">
        <f>Tabla1[[#This Row],[TRUPUD UNTITARIO PVD]]</f>
        <v>4.2545999999999999</v>
      </c>
      <c r="CB21" s="25">
        <f>Tabla1[[#This Row],[TRUPUT UNITARIO]]/Tabla1[[#This Row],[COSTOS]]</f>
        <v>0.51149314739119978</v>
      </c>
      <c r="CC21" s="40">
        <f>Tabla1[[#This Row],[BUFFER REAL]]/((Tabla1[[#This Row],[TIEMPO REPOSICION BUFFERS]])/1.5)</f>
        <v>1.5</v>
      </c>
      <c r="CD21" s="69">
        <f>Tabla1[[#This Row],[CONSUMO ESTIMADO]]*52*Tabla1[[#This Row],[TRUPUT UNITARIO]]</f>
        <v>331.85879999999997</v>
      </c>
      <c r="CE21" s="25">
        <f>Tabla1[[#This Row],[CONSUMO ESTIMADO]]*(Tabla1[[#This Row],[TIEMPO REPOSICION BUFFERS]]*1.5)+( Tabla1[[#This Row],[TRUPUT TOTAL ESTIMADO ANUAL]]*(Tabla1[[#This Row],[CRÉDITO CLIENTE]]-Tabla1[[#This Row],[CREDITO PROVEEDOR]]))</f>
        <v>13.5</v>
      </c>
      <c r="CF21" s="25">
        <f>Tabla1[[#This Row],[INVERSION UNIDADES]]*Tabla1[[#This Row],[COSTOS]]</f>
        <v>112.29299999999999</v>
      </c>
      <c r="CG21" s="25">
        <f>Tabla1[[#This Row],[TRUPUT TOTAL ESTIMADO ANUAL]]/Tabla1[[#This Row],[INVERSION USD]]</f>
        <v>2.9552937404824879</v>
      </c>
      <c r="CH21" s="27"/>
      <c r="CI21" s="27"/>
      <c r="CJ21" s="27"/>
      <c r="CK21" s="27"/>
    </row>
    <row r="22" spans="1:89">
      <c r="A22" s="7" t="s">
        <v>125</v>
      </c>
      <c r="B22" s="7" t="s">
        <v>126</v>
      </c>
      <c r="C22" s="7" t="s">
        <v>676</v>
      </c>
      <c r="D22" s="7" t="s">
        <v>707</v>
      </c>
      <c r="E22" s="7" t="s">
        <v>715</v>
      </c>
      <c r="F22" s="7" t="s">
        <v>724</v>
      </c>
      <c r="G22" s="7" t="s">
        <v>729</v>
      </c>
      <c r="H22" s="13">
        <v>4.99</v>
      </c>
      <c r="I22" s="13">
        <f t="shared" si="0"/>
        <v>3.6926000000000001</v>
      </c>
      <c r="J22" s="13">
        <v>1.98929</v>
      </c>
      <c r="K22" s="7">
        <v>8</v>
      </c>
      <c r="L22" s="7">
        <v>6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10</v>
      </c>
      <c r="AA22" s="7">
        <v>180</v>
      </c>
      <c r="AB22" s="7">
        <v>120</v>
      </c>
      <c r="AC22" s="7">
        <v>20</v>
      </c>
      <c r="AD22" s="7">
        <v>35</v>
      </c>
      <c r="AE22" s="7">
        <v>0</v>
      </c>
      <c r="AF22" s="7">
        <v>2</v>
      </c>
      <c r="AG22" s="7">
        <v>20</v>
      </c>
      <c r="AH22" s="7">
        <v>0</v>
      </c>
      <c r="AI22" s="7">
        <v>0</v>
      </c>
      <c r="AJ22" s="7">
        <v>0</v>
      </c>
      <c r="AK22" s="7">
        <v>0</v>
      </c>
      <c r="AL22" s="7">
        <v>0</v>
      </c>
      <c r="AM22" s="7">
        <v>0</v>
      </c>
      <c r="AN22" s="7">
        <v>0</v>
      </c>
      <c r="AO22" s="7">
        <v>0</v>
      </c>
      <c r="AP22" s="7">
        <v>70</v>
      </c>
      <c r="AQ22" s="7">
        <v>0</v>
      </c>
      <c r="AR22" s="7">
        <v>0</v>
      </c>
      <c r="AS22" s="7">
        <v>0</v>
      </c>
      <c r="AT22" s="7">
        <v>2</v>
      </c>
      <c r="AU22" s="7">
        <v>0</v>
      </c>
      <c r="AV22" s="7">
        <v>0</v>
      </c>
      <c r="AW22" s="7">
        <v>4</v>
      </c>
      <c r="AX22" s="7">
        <v>0</v>
      </c>
      <c r="AY22" s="7">
        <v>0</v>
      </c>
      <c r="AZ22" s="7">
        <v>0</v>
      </c>
      <c r="BA22" s="7">
        <v>0</v>
      </c>
      <c r="BB22" s="7">
        <v>0</v>
      </c>
      <c r="BC22" s="7">
        <v>0</v>
      </c>
      <c r="BD22" s="7">
        <v>6</v>
      </c>
      <c r="BE22" s="7">
        <v>0</v>
      </c>
      <c r="BF22" s="7">
        <v>150</v>
      </c>
      <c r="BG22" s="7">
        <v>0</v>
      </c>
      <c r="BH22" s="7">
        <v>2</v>
      </c>
      <c r="BI22" s="7">
        <v>70</v>
      </c>
      <c r="BJ22" s="7">
        <v>0</v>
      </c>
      <c r="BK22" s="7">
        <v>5</v>
      </c>
      <c r="BL22" s="7">
        <v>0</v>
      </c>
      <c r="BM22" s="13">
        <v>696</v>
      </c>
      <c r="BN22" s="13">
        <f>Tabla1[[#This Row],[CONSUMO TOTAL PROPIO]]/52</f>
        <v>13.384615384615385</v>
      </c>
      <c r="BO22" s="13" t="e">
        <f>SUM(Tabla3[[#This Row],[CONSUMO TOTAL V]]+Tabla2[[#This Row],[CONSUMO TOTAL VALORES]]+#REF!+#REF!)</f>
        <v>#REF!</v>
      </c>
      <c r="BP22" s="31">
        <v>90</v>
      </c>
      <c r="BQ22" s="13">
        <f>Tabla1[[#This Row],[CONSUMO TOTAL TODAS]]/52</f>
        <v>1.7307692307692308</v>
      </c>
      <c r="BR22" s="25">
        <f>Tabla1[[#This Row],[CONSUMO PROMEDIO PROPIO]]+Tabla1[[#This Row],[CONSUMO PROMEDIO TODAS]]</f>
        <v>15.115384615384617</v>
      </c>
      <c r="BS22" s="26">
        <f>Tabla1[[#This Row],[CONSUMO PROMEDIO TOTAL]]*(Tabla1[[#This Row],[FRECUENCIA]]+Tabla1[[#This Row],[TIEMPO REPOSICION BUFFERS]])</f>
        <v>211.61538461538464</v>
      </c>
      <c r="BT22" s="26">
        <v>100</v>
      </c>
      <c r="BU22" s="27">
        <v>1</v>
      </c>
      <c r="BV22" s="27">
        <v>16</v>
      </c>
      <c r="BW22" s="27">
        <v>16</v>
      </c>
      <c r="BX22" s="69">
        <f>Tabla1[[#This Row],[BUFFER REAL]]*Tabla1[[#This Row],[COSTOS]]</f>
        <v>198.929</v>
      </c>
      <c r="BY22" s="69">
        <f>Tabla1[[#This Row],[PVP]]-Tabla1[[#This Row],[COSTOS]]</f>
        <v>3.0007100000000002</v>
      </c>
      <c r="BZ22" s="69">
        <f>Tabla1[[#This Row],[PVD]]-Tabla1[[#This Row],[COSTOS]]</f>
        <v>1.7033100000000001</v>
      </c>
      <c r="CA22" s="25">
        <f>Tabla1[[#This Row],[TRUPUD UNTITARIO PVD]]</f>
        <v>1.7033100000000001</v>
      </c>
      <c r="CB22" s="25">
        <f>Tabla1[[#This Row],[TRUPUT UNITARIO]]/Tabla1[[#This Row],[COSTOS]]</f>
        <v>0.85624016608940878</v>
      </c>
      <c r="CC22" s="40">
        <f>Tabla1[[#This Row],[BUFFER REAL]]/((Tabla1[[#This Row],[TIEMPO REPOSICION BUFFERS]])/1.5)</f>
        <v>25</v>
      </c>
      <c r="CD22" s="69">
        <f>Tabla1[[#This Row],[CONSUMO ESTIMADO]]*52*Tabla1[[#This Row],[TRUPUT UNITARIO]]</f>
        <v>2214.3030000000003</v>
      </c>
      <c r="CE22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22" s="25">
        <f>Tabla1[[#This Row],[INVERSION UNIDADES]]*Tabla1[[#This Row],[COSTOS]]</f>
        <v>447.59025000000003</v>
      </c>
      <c r="CG22" s="25">
        <f>Tabla1[[#This Row],[TRUPUT TOTAL ESTIMADO ANUAL]]/Tabla1[[#This Row],[INVERSION USD]]</f>
        <v>4.9471654040721402</v>
      </c>
      <c r="CH22" s="27"/>
      <c r="CI22" s="27"/>
      <c r="CJ22" s="27"/>
      <c r="CK22" s="27"/>
    </row>
    <row r="23" spans="1:89">
      <c r="A23" s="7" t="s">
        <v>130</v>
      </c>
      <c r="B23" s="7" t="s">
        <v>131</v>
      </c>
      <c r="C23" s="7" t="s">
        <v>673</v>
      </c>
      <c r="D23" s="7" t="s">
        <v>707</v>
      </c>
      <c r="E23" s="7" t="s">
        <v>715</v>
      </c>
      <c r="F23" s="7" t="s">
        <v>724</v>
      </c>
      <c r="G23" s="7" t="s">
        <v>729</v>
      </c>
      <c r="H23" s="13">
        <v>4.25</v>
      </c>
      <c r="I23" s="13">
        <f t="shared" si="0"/>
        <v>3.145</v>
      </c>
      <c r="J23" s="13">
        <v>1.7721800000000001</v>
      </c>
      <c r="K23" s="7">
        <v>8</v>
      </c>
      <c r="L23" s="7">
        <v>6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25</v>
      </c>
      <c r="Z23" s="7">
        <v>0</v>
      </c>
      <c r="AA23" s="7">
        <v>40</v>
      </c>
      <c r="AB23" s="7">
        <v>0</v>
      </c>
      <c r="AC23" s="7">
        <v>0</v>
      </c>
      <c r="AD23" s="7">
        <v>10</v>
      </c>
      <c r="AE23" s="7">
        <v>0</v>
      </c>
      <c r="AF23" s="7">
        <v>0</v>
      </c>
      <c r="AG23" s="7">
        <v>0</v>
      </c>
      <c r="AH23" s="7">
        <v>0</v>
      </c>
      <c r="AI23" s="7">
        <v>0</v>
      </c>
      <c r="AJ23" s="7">
        <v>0</v>
      </c>
      <c r="AK23" s="7">
        <v>0</v>
      </c>
      <c r="AL23" s="7">
        <v>0</v>
      </c>
      <c r="AM23" s="7">
        <v>0</v>
      </c>
      <c r="AN23" s="7">
        <v>0</v>
      </c>
      <c r="AO23" s="7">
        <v>0</v>
      </c>
      <c r="AP23" s="7">
        <v>0</v>
      </c>
      <c r="AQ23" s="7">
        <v>0</v>
      </c>
      <c r="AR23" s="7">
        <v>0</v>
      </c>
      <c r="AS23" s="7">
        <v>99</v>
      </c>
      <c r="AT23" s="7">
        <v>0</v>
      </c>
      <c r="AU23" s="7">
        <v>62</v>
      </c>
      <c r="AV23" s="7">
        <v>0</v>
      </c>
      <c r="AW23" s="7">
        <v>14</v>
      </c>
      <c r="AX23" s="7">
        <v>0</v>
      </c>
      <c r="AY23" s="7">
        <v>0</v>
      </c>
      <c r="AZ23" s="7">
        <v>0</v>
      </c>
      <c r="BA23" s="7">
        <v>0</v>
      </c>
      <c r="BB23" s="7">
        <v>30</v>
      </c>
      <c r="BC23" s="7">
        <v>0</v>
      </c>
      <c r="BD23" s="7">
        <v>230</v>
      </c>
      <c r="BE23" s="7">
        <v>0</v>
      </c>
      <c r="BF23" s="7">
        <v>170</v>
      </c>
      <c r="BG23" s="7">
        <v>6</v>
      </c>
      <c r="BH23" s="7">
        <v>42</v>
      </c>
      <c r="BI23" s="7">
        <v>170</v>
      </c>
      <c r="BJ23" s="7">
        <v>0</v>
      </c>
      <c r="BK23" s="7">
        <v>50</v>
      </c>
      <c r="BL23" s="7">
        <v>80</v>
      </c>
      <c r="BM23" s="13">
        <v>1028</v>
      </c>
      <c r="BN23" s="13">
        <f>Tabla1[[#This Row],[CONSUMO TOTAL PROPIO]]/52</f>
        <v>19.76923076923077</v>
      </c>
      <c r="BO23" s="13" t="e">
        <f>SUM(Tabla3[[#This Row],[CONSUMO TOTAL V]]+Tabla2[[#This Row],[CONSUMO TOTAL VALORES]]+#REF!+#REF!)</f>
        <v>#REF!</v>
      </c>
      <c r="BP23" s="31">
        <v>1231</v>
      </c>
      <c r="BQ23" s="13">
        <f>Tabla1[[#This Row],[CONSUMO TOTAL TODAS]]/52</f>
        <v>23.673076923076923</v>
      </c>
      <c r="BR23" s="25">
        <f>Tabla1[[#This Row],[CONSUMO PROMEDIO PROPIO]]+Tabla1[[#This Row],[CONSUMO PROMEDIO TODAS]]</f>
        <v>43.442307692307693</v>
      </c>
      <c r="BS23" s="26">
        <f>Tabla1[[#This Row],[CONSUMO PROMEDIO TOTAL]]*(Tabla1[[#This Row],[FRECUENCIA]]+Tabla1[[#This Row],[TIEMPO REPOSICION BUFFERS]])</f>
        <v>608.19230769230774</v>
      </c>
      <c r="BT23" s="26">
        <v>600</v>
      </c>
      <c r="BU23" s="27">
        <v>1</v>
      </c>
      <c r="BV23" s="27">
        <v>16</v>
      </c>
      <c r="BW23" s="27">
        <v>16</v>
      </c>
      <c r="BX23" s="69">
        <f>Tabla1[[#This Row],[BUFFER REAL]]*Tabla1[[#This Row],[COSTOS]]</f>
        <v>1063.308</v>
      </c>
      <c r="BY23" s="69">
        <f>Tabla1[[#This Row],[PVP]]-Tabla1[[#This Row],[COSTOS]]</f>
        <v>2.4778199999999999</v>
      </c>
      <c r="BZ23" s="69">
        <f>Tabla1[[#This Row],[PVD]]-Tabla1[[#This Row],[COSTOS]]</f>
        <v>1.3728199999999999</v>
      </c>
      <c r="CA23" s="25">
        <f>Tabla1[[#This Row],[TRUPUD UNTITARIO PVD]]</f>
        <v>1.3728199999999999</v>
      </c>
      <c r="CB23" s="25">
        <f>Tabla1[[#This Row],[TRUPUT UNITARIO]]/Tabla1[[#This Row],[COSTOS]]</f>
        <v>0.77465043054317273</v>
      </c>
      <c r="CC23" s="40">
        <f>Tabla1[[#This Row],[BUFFER REAL]]/((Tabla1[[#This Row],[TIEMPO REPOSICION BUFFERS]])/1.5)</f>
        <v>150</v>
      </c>
      <c r="CD23" s="69">
        <f>Tabla1[[#This Row],[CONSUMO ESTIMADO]]*52*Tabla1[[#This Row],[TRUPUT UNITARIO]]</f>
        <v>10707.995999999999</v>
      </c>
      <c r="CE23" s="25">
        <f>Tabla1[[#This Row],[CONSUMO ESTIMADO]]*(Tabla1[[#This Row],[TIEMPO REPOSICION BUFFERS]]*1.5)+( Tabla1[[#This Row],[TRUPUT TOTAL ESTIMADO ANUAL]]*(Tabla1[[#This Row],[CRÉDITO CLIENTE]]-Tabla1[[#This Row],[CREDITO PROVEEDOR]]))</f>
        <v>1350</v>
      </c>
      <c r="CF23" s="25">
        <f>Tabla1[[#This Row],[INVERSION UNIDADES]]*Tabla1[[#This Row],[COSTOS]]</f>
        <v>2392.4430000000002</v>
      </c>
      <c r="CG23" s="25">
        <f>Tabla1[[#This Row],[TRUPUT TOTAL ESTIMADO ANUAL]]/Tabla1[[#This Row],[INVERSION USD]]</f>
        <v>4.475758043138331</v>
      </c>
      <c r="CH23" s="27"/>
      <c r="CI23" s="27"/>
      <c r="CJ23" s="27"/>
      <c r="CK23" s="27"/>
    </row>
    <row r="24" spans="1:89">
      <c r="A24" s="7" t="s">
        <v>132</v>
      </c>
      <c r="B24" s="7" t="s">
        <v>133</v>
      </c>
      <c r="C24" s="7" t="s">
        <v>681</v>
      </c>
      <c r="D24" s="7" t="s">
        <v>707</v>
      </c>
      <c r="E24" s="7" t="s">
        <v>715</v>
      </c>
      <c r="F24" s="7" t="s">
        <v>724</v>
      </c>
      <c r="G24" s="7" t="s">
        <v>729</v>
      </c>
      <c r="H24" s="13">
        <v>26.99</v>
      </c>
      <c r="I24" s="13">
        <f t="shared" si="0"/>
        <v>19.9726</v>
      </c>
      <c r="J24" s="13">
        <v>13.186500000000001</v>
      </c>
      <c r="K24" s="7">
        <v>8</v>
      </c>
      <c r="L24" s="7">
        <v>6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>
        <v>0</v>
      </c>
      <c r="AE24" s="7">
        <v>0</v>
      </c>
      <c r="AF24" s="7">
        <v>0</v>
      </c>
      <c r="AG24" s="7">
        <v>0</v>
      </c>
      <c r="AH24" s="7">
        <v>0</v>
      </c>
      <c r="AI24" s="7">
        <v>0</v>
      </c>
      <c r="AJ24" s="7">
        <v>0</v>
      </c>
      <c r="AK24" s="7">
        <v>0</v>
      </c>
      <c r="AL24" s="7">
        <v>0</v>
      </c>
      <c r="AM24" s="7">
        <v>0</v>
      </c>
      <c r="AN24" s="7">
        <v>0</v>
      </c>
      <c r="AO24" s="7">
        <v>0</v>
      </c>
      <c r="AP24" s="7">
        <v>0</v>
      </c>
      <c r="AQ24" s="7">
        <v>0</v>
      </c>
      <c r="AR24" s="7">
        <v>0</v>
      </c>
      <c r="AS24" s="7">
        <v>0</v>
      </c>
      <c r="AT24" s="7">
        <v>0</v>
      </c>
      <c r="AU24" s="7">
        <v>0</v>
      </c>
      <c r="AV24" s="7">
        <v>0</v>
      </c>
      <c r="AW24" s="7">
        <v>0</v>
      </c>
      <c r="AX24" s="7">
        <v>0</v>
      </c>
      <c r="AY24" s="7">
        <v>0</v>
      </c>
      <c r="AZ24" s="7">
        <v>0</v>
      </c>
      <c r="BA24" s="7">
        <v>0</v>
      </c>
      <c r="BB24" s="7">
        <v>0</v>
      </c>
      <c r="BC24" s="7">
        <v>0</v>
      </c>
      <c r="BD24" s="7">
        <v>0</v>
      </c>
      <c r="BE24" s="7">
        <v>0</v>
      </c>
      <c r="BF24" s="7">
        <v>0</v>
      </c>
      <c r="BG24" s="7">
        <v>0</v>
      </c>
      <c r="BH24" s="7">
        <v>0</v>
      </c>
      <c r="BI24" s="7">
        <v>0</v>
      </c>
      <c r="BJ24" s="7">
        <v>0</v>
      </c>
      <c r="BK24" s="7">
        <v>0</v>
      </c>
      <c r="BL24" s="7">
        <v>0</v>
      </c>
      <c r="BM24" s="13">
        <v>0</v>
      </c>
      <c r="BN24" s="13">
        <f>Tabla1[[#This Row],[CONSUMO TOTAL PROPIO]]/52</f>
        <v>0</v>
      </c>
      <c r="BO24" s="13" t="e">
        <f>SUM(Tabla3[[#This Row],[CONSUMO TOTAL V]]+Tabla2[[#This Row],[CONSUMO TOTAL VALORES]]+#REF!+#REF!)</f>
        <v>#REF!</v>
      </c>
      <c r="BP24" s="31">
        <v>20</v>
      </c>
      <c r="BQ24" s="13">
        <f>Tabla1[[#This Row],[CONSUMO TOTAL TODAS]]/52</f>
        <v>0.38461538461538464</v>
      </c>
      <c r="BR24" s="25">
        <f>Tabla1[[#This Row],[CONSUMO PROMEDIO PROPIO]]+Tabla1[[#This Row],[CONSUMO PROMEDIO TODAS]]</f>
        <v>0.38461538461538464</v>
      </c>
      <c r="BS24" s="26">
        <f>Tabla1[[#This Row],[CONSUMO PROMEDIO TOTAL]]*(Tabla1[[#This Row],[FRECUENCIA]]+Tabla1[[#This Row],[TIEMPO REPOSICION BUFFERS]])</f>
        <v>5.384615384615385</v>
      </c>
      <c r="BT24" s="26">
        <v>0</v>
      </c>
      <c r="BU24" s="27">
        <v>1</v>
      </c>
      <c r="BV24" s="27">
        <v>16</v>
      </c>
      <c r="BW24" s="27">
        <v>16</v>
      </c>
      <c r="BX24" s="69">
        <f>Tabla1[[#This Row],[BUFFER REAL]]*Tabla1[[#This Row],[COSTOS]]</f>
        <v>0</v>
      </c>
      <c r="BY24" s="69">
        <f>Tabla1[[#This Row],[PVP]]-Tabla1[[#This Row],[COSTOS]]</f>
        <v>13.803499999999998</v>
      </c>
      <c r="BZ24" s="69">
        <f>Tabla1[[#This Row],[PVD]]-Tabla1[[#This Row],[COSTOS]]</f>
        <v>6.7860999999999994</v>
      </c>
      <c r="CA24" s="25">
        <f>Tabla1[[#This Row],[TRUPUD UNTITARIO PVD]]</f>
        <v>6.7860999999999994</v>
      </c>
      <c r="CB24" s="25">
        <f>Tabla1[[#This Row],[TRUPUT UNITARIO]]/Tabla1[[#This Row],[COSTOS]]</f>
        <v>0.51462480567246793</v>
      </c>
      <c r="CC24" s="40">
        <f>Tabla1[[#This Row],[BUFFER REAL]]/((Tabla1[[#This Row],[TIEMPO REPOSICION BUFFERS]])/1.5)</f>
        <v>0</v>
      </c>
      <c r="CD24" s="69">
        <f>Tabla1[[#This Row],[CONSUMO ESTIMADO]]*52*Tabla1[[#This Row],[TRUPUT UNITARIO]]</f>
        <v>0</v>
      </c>
      <c r="CE24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24" s="25">
        <f>Tabla1[[#This Row],[INVERSION UNIDADES]]*Tabla1[[#This Row],[COSTOS]]</f>
        <v>0</v>
      </c>
      <c r="CG24" s="25" t="e">
        <f>Tabla1[[#This Row],[TRUPUT TOTAL ESTIMADO ANUAL]]/Tabla1[[#This Row],[INVERSION USD]]</f>
        <v>#DIV/0!</v>
      </c>
      <c r="CH24" s="27"/>
      <c r="CI24" s="27"/>
      <c r="CJ24" s="27"/>
      <c r="CK24" s="27"/>
    </row>
    <row r="25" spans="1:89">
      <c r="A25" s="7" t="s">
        <v>134</v>
      </c>
      <c r="B25" s="7" t="s">
        <v>135</v>
      </c>
      <c r="C25" s="7" t="s">
        <v>676</v>
      </c>
      <c r="D25" s="7" t="s">
        <v>707</v>
      </c>
      <c r="E25" s="7" t="s">
        <v>715</v>
      </c>
      <c r="F25" s="7" t="s">
        <v>724</v>
      </c>
      <c r="G25" s="7" t="s">
        <v>729</v>
      </c>
      <c r="H25" s="13">
        <v>7.59</v>
      </c>
      <c r="I25" s="13">
        <f t="shared" si="0"/>
        <v>5.6166</v>
      </c>
      <c r="J25" s="13">
        <v>3.00095</v>
      </c>
      <c r="K25" s="7">
        <v>8</v>
      </c>
      <c r="L25" s="7">
        <v>6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  <c r="W25" s="7">
        <v>0</v>
      </c>
      <c r="X25" s="7">
        <v>0</v>
      </c>
      <c r="Y25" s="7">
        <v>100</v>
      </c>
      <c r="Z25" s="7">
        <v>0</v>
      </c>
      <c r="AA25" s="7">
        <v>0</v>
      </c>
      <c r="AB25" s="7">
        <v>0</v>
      </c>
      <c r="AC25" s="7">
        <v>0</v>
      </c>
      <c r="AD25" s="7">
        <v>0</v>
      </c>
      <c r="AE25" s="7">
        <v>20</v>
      </c>
      <c r="AF25" s="7">
        <v>0</v>
      </c>
      <c r="AG25" s="7">
        <v>20</v>
      </c>
      <c r="AH25" s="7">
        <v>80</v>
      </c>
      <c r="AI25" s="7">
        <v>0</v>
      </c>
      <c r="AJ25" s="7">
        <v>0</v>
      </c>
      <c r="AK25" s="7">
        <v>0</v>
      </c>
      <c r="AL25" s="7">
        <v>0</v>
      </c>
      <c r="AM25" s="7">
        <v>0</v>
      </c>
      <c r="AN25" s="7">
        <v>0</v>
      </c>
      <c r="AO25" s="7">
        <v>2</v>
      </c>
      <c r="AP25" s="7">
        <v>50</v>
      </c>
      <c r="AQ25" s="7">
        <v>0</v>
      </c>
      <c r="AR25" s="7">
        <v>0</v>
      </c>
      <c r="AS25" s="7">
        <v>38</v>
      </c>
      <c r="AT25" s="7">
        <v>0</v>
      </c>
      <c r="AU25" s="7">
        <v>0</v>
      </c>
      <c r="AV25" s="7">
        <v>0</v>
      </c>
      <c r="AW25" s="7">
        <v>20</v>
      </c>
      <c r="AX25" s="7">
        <v>0</v>
      </c>
      <c r="AY25" s="7">
        <v>0</v>
      </c>
      <c r="AZ25" s="7">
        <v>0</v>
      </c>
      <c r="BA25" s="7">
        <v>0</v>
      </c>
      <c r="BB25" s="7">
        <v>18</v>
      </c>
      <c r="BC25" s="7">
        <v>0</v>
      </c>
      <c r="BD25" s="7">
        <v>0</v>
      </c>
      <c r="BE25" s="7">
        <v>0</v>
      </c>
      <c r="BF25" s="7">
        <v>10</v>
      </c>
      <c r="BG25" s="7">
        <v>0</v>
      </c>
      <c r="BH25" s="7">
        <v>0</v>
      </c>
      <c r="BI25" s="7">
        <v>0</v>
      </c>
      <c r="BJ25" s="7">
        <v>0</v>
      </c>
      <c r="BK25" s="7">
        <v>20</v>
      </c>
      <c r="BL25" s="7">
        <v>140</v>
      </c>
      <c r="BM25" s="13">
        <v>518</v>
      </c>
      <c r="BN25" s="13">
        <f>Tabla1[[#This Row],[CONSUMO TOTAL PROPIO]]/52</f>
        <v>9.9615384615384617</v>
      </c>
      <c r="BO25" s="13" t="e">
        <f>SUM(Tabla3[[#This Row],[CONSUMO TOTAL V]]+Tabla2[[#This Row],[CONSUMO TOTAL VALORES]]+#REF!+#REF!)</f>
        <v>#REF!</v>
      </c>
      <c r="BP25" s="31">
        <v>109</v>
      </c>
      <c r="BQ25" s="13">
        <f>Tabla1[[#This Row],[CONSUMO TOTAL TODAS]]/52</f>
        <v>2.0961538461538463</v>
      </c>
      <c r="BR25" s="25">
        <f>Tabla1[[#This Row],[CONSUMO PROMEDIO PROPIO]]+Tabla1[[#This Row],[CONSUMO PROMEDIO TODAS]]</f>
        <v>12.057692307692308</v>
      </c>
      <c r="BS25" s="26">
        <f>Tabla1[[#This Row],[CONSUMO PROMEDIO TOTAL]]*(Tabla1[[#This Row],[FRECUENCIA]]+Tabla1[[#This Row],[TIEMPO REPOSICION BUFFERS]])</f>
        <v>168.80769230769232</v>
      </c>
      <c r="BT25" s="26">
        <v>109</v>
      </c>
      <c r="BU25" s="27">
        <v>1</v>
      </c>
      <c r="BV25" s="27">
        <v>16</v>
      </c>
      <c r="BW25" s="27">
        <v>16</v>
      </c>
      <c r="BX25" s="69">
        <f>Tabla1[[#This Row],[BUFFER REAL]]*Tabla1[[#This Row],[COSTOS]]</f>
        <v>327.10354999999998</v>
      </c>
      <c r="BY25" s="69">
        <f>Tabla1[[#This Row],[PVP]]-Tabla1[[#This Row],[COSTOS]]</f>
        <v>4.5890500000000003</v>
      </c>
      <c r="BZ25" s="69">
        <f>Tabla1[[#This Row],[PVD]]-Tabla1[[#This Row],[COSTOS]]</f>
        <v>2.61565</v>
      </c>
      <c r="CA25" s="25">
        <f>Tabla1[[#This Row],[TRUPUD UNTITARIO PVD]]</f>
        <v>2.61565</v>
      </c>
      <c r="CB25" s="25">
        <f>Tabla1[[#This Row],[TRUPUT UNITARIO]]/Tabla1[[#This Row],[COSTOS]]</f>
        <v>0.87160732434729005</v>
      </c>
      <c r="CC25" s="40">
        <f>Tabla1[[#This Row],[BUFFER REAL]]/((Tabla1[[#This Row],[TIEMPO REPOSICION BUFFERS]])/1.5)</f>
        <v>27.25</v>
      </c>
      <c r="CD25" s="69">
        <f>Tabla1[[#This Row],[CONSUMO ESTIMADO]]*52*Tabla1[[#This Row],[TRUPUT UNITARIO]]</f>
        <v>3706.3760499999999</v>
      </c>
      <c r="CE25" s="25">
        <f>Tabla1[[#This Row],[CONSUMO ESTIMADO]]*(Tabla1[[#This Row],[TIEMPO REPOSICION BUFFERS]]*1.5)+( Tabla1[[#This Row],[TRUPUT TOTAL ESTIMADO ANUAL]]*(Tabla1[[#This Row],[CRÉDITO CLIENTE]]-Tabla1[[#This Row],[CREDITO PROVEEDOR]]))</f>
        <v>245.25</v>
      </c>
      <c r="CF25" s="25">
        <f>Tabla1[[#This Row],[INVERSION UNIDADES]]*Tabla1[[#This Row],[COSTOS]]</f>
        <v>735.98298750000004</v>
      </c>
      <c r="CG25" s="25">
        <f>Tabla1[[#This Row],[TRUPUT TOTAL ESTIMADO ANUAL]]/Tabla1[[#This Row],[INVERSION USD]]</f>
        <v>5.0359534295621193</v>
      </c>
      <c r="CH25" s="27"/>
      <c r="CI25" s="27"/>
      <c r="CJ25" s="27"/>
      <c r="CK25" s="27"/>
    </row>
    <row r="26" spans="1:89">
      <c r="A26" s="7" t="s">
        <v>138</v>
      </c>
      <c r="B26" s="7" t="s">
        <v>139</v>
      </c>
      <c r="C26" s="7" t="s">
        <v>676</v>
      </c>
      <c r="D26" s="7" t="s">
        <v>707</v>
      </c>
      <c r="E26" s="7" t="s">
        <v>732</v>
      </c>
      <c r="F26" s="7" t="s">
        <v>724</v>
      </c>
      <c r="G26" s="7" t="s">
        <v>729</v>
      </c>
      <c r="H26" s="13">
        <v>25</v>
      </c>
      <c r="I26" s="13">
        <f>+H26*85%</f>
        <v>21.25</v>
      </c>
      <c r="J26" s="13">
        <v>15.11</v>
      </c>
      <c r="K26" s="7">
        <v>8</v>
      </c>
      <c r="L26" s="7">
        <v>4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0</v>
      </c>
      <c r="AM26" s="7">
        <v>0</v>
      </c>
      <c r="AN26" s="7">
        <v>0</v>
      </c>
      <c r="AO26" s="7">
        <v>0</v>
      </c>
      <c r="AP26" s="7">
        <v>0</v>
      </c>
      <c r="AQ26" s="7">
        <v>0</v>
      </c>
      <c r="AR26" s="7">
        <v>0</v>
      </c>
      <c r="AS26" s="7">
        <v>0</v>
      </c>
      <c r="AT26" s="7">
        <v>0</v>
      </c>
      <c r="AU26" s="7">
        <v>0</v>
      </c>
      <c r="AV26" s="7">
        <v>0</v>
      </c>
      <c r="AW26" s="7">
        <v>0</v>
      </c>
      <c r="AX26" s="7">
        <v>0</v>
      </c>
      <c r="AY26" s="7">
        <v>0</v>
      </c>
      <c r="AZ26" s="7">
        <v>0</v>
      </c>
      <c r="BA26" s="7">
        <v>0</v>
      </c>
      <c r="BB26" s="7">
        <v>0</v>
      </c>
      <c r="BC26" s="7">
        <v>0</v>
      </c>
      <c r="BD26" s="7">
        <v>0</v>
      </c>
      <c r="BE26" s="7">
        <v>0</v>
      </c>
      <c r="BF26" s="7">
        <v>0</v>
      </c>
      <c r="BG26" s="7">
        <v>0</v>
      </c>
      <c r="BH26" s="7">
        <v>0</v>
      </c>
      <c r="BI26" s="7">
        <v>0</v>
      </c>
      <c r="BJ26" s="7">
        <v>0</v>
      </c>
      <c r="BK26" s="7">
        <v>0</v>
      </c>
      <c r="BL26" s="7">
        <v>0</v>
      </c>
      <c r="BM26" s="13">
        <v>0</v>
      </c>
      <c r="BN26" s="13">
        <f>Tabla1[[#This Row],[CONSUMO TOTAL PROPIO]]/52</f>
        <v>0</v>
      </c>
      <c r="BO26" s="13" t="e">
        <f>SUM(Tabla3[[#This Row],[CONSUMO TOTAL V]]+Tabla2[[#This Row],[CONSUMO TOTAL VALORES]]+#REF!+#REF!)</f>
        <v>#REF!</v>
      </c>
      <c r="BP26" s="31">
        <v>0</v>
      </c>
      <c r="BQ26" s="13">
        <f>Tabla1[[#This Row],[CONSUMO TOTAL TODAS]]/52</f>
        <v>0</v>
      </c>
      <c r="BR26" s="25">
        <f>Tabla1[[#This Row],[CONSUMO PROMEDIO PROPIO]]+Tabla1[[#This Row],[CONSUMO PROMEDIO TODAS]]</f>
        <v>0</v>
      </c>
      <c r="BS26" s="26">
        <f>Tabla1[[#This Row],[CONSUMO PROMEDIO TOTAL]]*(Tabla1[[#This Row],[FRECUENCIA]]+Tabla1[[#This Row],[TIEMPO REPOSICION BUFFERS]])</f>
        <v>0</v>
      </c>
      <c r="BT26" s="26">
        <v>10</v>
      </c>
      <c r="BU26" s="27">
        <v>1</v>
      </c>
      <c r="BV26" s="27">
        <v>12</v>
      </c>
      <c r="BW26" s="27">
        <v>9</v>
      </c>
      <c r="BX26" s="69">
        <f>Tabla1[[#This Row],[BUFFER REAL]]*Tabla1[[#This Row],[COSTOS]]</f>
        <v>151.1</v>
      </c>
      <c r="BY26" s="69">
        <f>Tabla1[[#This Row],[PVP]]-Tabla1[[#This Row],[COSTOS]]</f>
        <v>9.89</v>
      </c>
      <c r="BZ26" s="69">
        <f>Tabla1[[#This Row],[PVD]]-Tabla1[[#This Row],[COSTOS]]</f>
        <v>6.1400000000000006</v>
      </c>
      <c r="CA26" s="69">
        <f>Tabla1[[#This Row],[TRUPUD UNITARIO PVP]]</f>
        <v>9.89</v>
      </c>
      <c r="CB26" s="68">
        <f>Tabla1[[#This Row],[TRUPUT UNITARIO]]/Tabla1[[#This Row],[COSTOS]]</f>
        <v>0.65453342157511585</v>
      </c>
      <c r="CC26" s="71">
        <f>Tabla1[[#This Row],[BUFFER REAL]]/((Tabla1[[#This Row],[TIEMPO REPOSICION BUFFERS]])/1.5)</f>
        <v>3.75</v>
      </c>
      <c r="CD26" s="68">
        <f>Tabla1[[#This Row],[CONSUMO ESTIMADO]]*52*Tabla1[[#This Row],[TRUPUT UNITARIO]]</f>
        <v>1928.5500000000002</v>
      </c>
      <c r="CE26" s="68">
        <f>Tabla1[[#This Row],[CONSUMO ESTIMADO]]*(Tabla1[[#This Row],[TIEMPO REPOSICION BUFFERS]]*1.5)+( Tabla1[[#This Row],[TRUPUT TOTAL ESTIMADO ANUAL]]*(Tabla1[[#This Row],[CRÉDITO CLIENTE]]-Tabla1[[#This Row],[CREDITO PROVEEDOR]]))</f>
        <v>-5763.1500000000005</v>
      </c>
      <c r="CF26" s="68">
        <f>Tabla1[[#This Row],[INVERSION UNIDADES]]*Tabla1[[#This Row],[COSTOS]]</f>
        <v>-87081.196500000005</v>
      </c>
      <c r="CG26" s="68">
        <f>Tabla1[[#This Row],[TRUPUT TOTAL ESTIMADO ANUAL]]/Tabla1[[#This Row],[INVERSION USD]]</f>
        <v>-2.2146572136270543E-2</v>
      </c>
      <c r="CH26" s="27"/>
      <c r="CI26" s="27"/>
      <c r="CJ26" s="27"/>
      <c r="CK26" s="27"/>
    </row>
    <row r="27" spans="1:89">
      <c r="A27" s="7" t="s">
        <v>140</v>
      </c>
      <c r="B27" s="7" t="s">
        <v>141</v>
      </c>
      <c r="C27" s="7" t="s">
        <v>674</v>
      </c>
      <c r="D27" s="7" t="s">
        <v>707</v>
      </c>
      <c r="E27" s="7" t="s">
        <v>732</v>
      </c>
      <c r="F27" s="7" t="s">
        <v>724</v>
      </c>
      <c r="G27" s="7" t="s">
        <v>729</v>
      </c>
      <c r="H27" s="13">
        <v>372</v>
      </c>
      <c r="I27" s="13">
        <f>+H27*85%</f>
        <v>316.2</v>
      </c>
      <c r="J27" s="13">
        <v>267</v>
      </c>
      <c r="K27" s="7">
        <v>8</v>
      </c>
      <c r="L27" s="7">
        <v>4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  <c r="W27" s="7">
        <v>0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v>0</v>
      </c>
      <c r="AL27" s="7">
        <v>0</v>
      </c>
      <c r="AM27" s="7">
        <v>0</v>
      </c>
      <c r="AN27" s="7">
        <v>0</v>
      </c>
      <c r="AO27" s="7">
        <v>0</v>
      </c>
      <c r="AP27" s="7">
        <v>0</v>
      </c>
      <c r="AQ27" s="7">
        <v>0</v>
      </c>
      <c r="AR27" s="7">
        <v>0</v>
      </c>
      <c r="AS27" s="7">
        <v>0</v>
      </c>
      <c r="AT27" s="7">
        <v>0</v>
      </c>
      <c r="AU27" s="7">
        <v>0</v>
      </c>
      <c r="AV27" s="7">
        <v>0</v>
      </c>
      <c r="AW27" s="7">
        <v>0</v>
      </c>
      <c r="AX27" s="7">
        <v>0</v>
      </c>
      <c r="AY27" s="7">
        <v>0</v>
      </c>
      <c r="AZ27" s="7">
        <v>0</v>
      </c>
      <c r="BA27" s="7">
        <v>0</v>
      </c>
      <c r="BB27" s="7">
        <v>0</v>
      </c>
      <c r="BC27" s="7">
        <v>0</v>
      </c>
      <c r="BD27" s="7">
        <v>0</v>
      </c>
      <c r="BE27" s="7">
        <v>0</v>
      </c>
      <c r="BF27" s="7">
        <v>0</v>
      </c>
      <c r="BG27" s="7">
        <v>0</v>
      </c>
      <c r="BH27" s="7">
        <v>0</v>
      </c>
      <c r="BI27" s="7">
        <v>0</v>
      </c>
      <c r="BJ27" s="7">
        <v>0</v>
      </c>
      <c r="BK27" s="7">
        <v>0</v>
      </c>
      <c r="BL27" s="7">
        <v>0</v>
      </c>
      <c r="BM27" s="13">
        <v>0</v>
      </c>
      <c r="BN27" s="13">
        <f>Tabla1[[#This Row],[CONSUMO TOTAL PROPIO]]/52</f>
        <v>0</v>
      </c>
      <c r="BO27" s="13" t="e">
        <f>SUM(Tabla3[[#This Row],[CONSUMO TOTAL V]]+Tabla2[[#This Row],[CONSUMO TOTAL VALORES]]+#REF!+#REF!)</f>
        <v>#REF!</v>
      </c>
      <c r="BP27" s="31">
        <v>0</v>
      </c>
      <c r="BQ27" s="13">
        <f>Tabla1[[#This Row],[CONSUMO TOTAL TODAS]]/52</f>
        <v>0</v>
      </c>
      <c r="BR27" s="25">
        <f>Tabla1[[#This Row],[CONSUMO PROMEDIO PROPIO]]+Tabla1[[#This Row],[CONSUMO PROMEDIO TODAS]]</f>
        <v>0</v>
      </c>
      <c r="BS27" s="26">
        <f>Tabla1[[#This Row],[CONSUMO PROMEDIO TOTAL]]*(Tabla1[[#This Row],[FRECUENCIA]]+Tabla1[[#This Row],[TIEMPO REPOSICION BUFFERS]])</f>
        <v>0</v>
      </c>
      <c r="BT27" s="26">
        <v>2</v>
      </c>
      <c r="BU27" s="27">
        <v>1</v>
      </c>
      <c r="BV27" s="27">
        <v>12</v>
      </c>
      <c r="BW27" s="27">
        <v>9</v>
      </c>
      <c r="BX27" s="69">
        <f>Tabla1[[#This Row],[BUFFER REAL]]*Tabla1[[#This Row],[COSTOS]]</f>
        <v>534</v>
      </c>
      <c r="BY27" s="69">
        <f>Tabla1[[#This Row],[PVP]]-Tabla1[[#This Row],[COSTOS]]</f>
        <v>105</v>
      </c>
      <c r="BZ27" s="69">
        <f>Tabla1[[#This Row],[PVD]]-Tabla1[[#This Row],[COSTOS]]</f>
        <v>49.199999999999989</v>
      </c>
      <c r="CA27" s="69">
        <f>Tabla1[[#This Row],[TRUPUD UNITARIO PVP]]</f>
        <v>105</v>
      </c>
      <c r="CB27" s="68">
        <f>Tabla1[[#This Row],[TRUPUT UNITARIO]]/Tabla1[[#This Row],[COSTOS]]</f>
        <v>0.39325842696629215</v>
      </c>
      <c r="CC27" s="71">
        <f>Tabla1[[#This Row],[BUFFER REAL]]/((Tabla1[[#This Row],[TIEMPO REPOSICION BUFFERS]])/1.5)</f>
        <v>0.75</v>
      </c>
      <c r="CD27" s="68">
        <f>Tabla1[[#This Row],[CONSUMO ESTIMADO]]*52*Tabla1[[#This Row],[TRUPUT UNITARIO]]</f>
        <v>4095</v>
      </c>
      <c r="CE27" s="68">
        <f>Tabla1[[#This Row],[CONSUMO ESTIMADO]]*(Tabla1[[#This Row],[TIEMPO REPOSICION BUFFERS]]*1.5)+( Tabla1[[#This Row],[TRUPUT TOTAL ESTIMADO ANUAL]]*(Tabla1[[#This Row],[CRÉDITO CLIENTE]]-Tabla1[[#This Row],[CREDITO PROVEEDOR]]))</f>
        <v>-12280.5</v>
      </c>
      <c r="CF27" s="68">
        <f>Tabla1[[#This Row],[INVERSION UNIDADES]]*Tabla1[[#This Row],[COSTOS]]</f>
        <v>-3278893.5</v>
      </c>
      <c r="CG27" s="68">
        <f>Tabla1[[#This Row],[TRUPUT TOTAL ESTIMADO ANUAL]]/Tabla1[[#This Row],[INVERSION USD]]</f>
        <v>-1.2488969220866735E-3</v>
      </c>
      <c r="CH27" s="27"/>
      <c r="CI27" s="27"/>
      <c r="CJ27" s="27"/>
      <c r="CK27" s="27"/>
    </row>
    <row r="28" spans="1:89">
      <c r="A28" s="7" t="s">
        <v>142</v>
      </c>
      <c r="B28" s="7" t="s">
        <v>143</v>
      </c>
      <c r="C28" s="7" t="s">
        <v>2</v>
      </c>
      <c r="D28" s="7" t="s">
        <v>709</v>
      </c>
      <c r="E28" s="7" t="s">
        <v>719</v>
      </c>
      <c r="F28" s="7" t="s">
        <v>724</v>
      </c>
      <c r="G28" s="7" t="s">
        <v>729</v>
      </c>
      <c r="H28" s="13">
        <v>3.2</v>
      </c>
      <c r="I28" s="13">
        <f>Tabla1[[#This Row],[PVP]]*74%</f>
        <v>2.3679999999999999</v>
      </c>
      <c r="J28" s="13">
        <v>1.2278500000000001</v>
      </c>
      <c r="K28" s="7">
        <v>26</v>
      </c>
      <c r="L28" s="7">
        <v>4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6</v>
      </c>
      <c r="Z28" s="7">
        <v>0</v>
      </c>
      <c r="AA28" s="7">
        <v>0</v>
      </c>
      <c r="AB28" s="7">
        <v>0</v>
      </c>
      <c r="AC28" s="7">
        <v>0</v>
      </c>
      <c r="AD28" s="7">
        <v>2</v>
      </c>
      <c r="AE28" s="7">
        <v>0</v>
      </c>
      <c r="AF28" s="7">
        <v>0</v>
      </c>
      <c r="AG28" s="7">
        <v>0</v>
      </c>
      <c r="AH28" s="7">
        <v>0</v>
      </c>
      <c r="AI28" s="7">
        <v>0</v>
      </c>
      <c r="AJ28" s="7">
        <v>5</v>
      </c>
      <c r="AK28" s="7">
        <v>0</v>
      </c>
      <c r="AL28" s="7">
        <v>0</v>
      </c>
      <c r="AM28" s="7">
        <v>5</v>
      </c>
      <c r="AN28" s="7">
        <v>0</v>
      </c>
      <c r="AO28" s="7">
        <v>0</v>
      </c>
      <c r="AP28" s="7">
        <v>0</v>
      </c>
      <c r="AQ28" s="7">
        <v>0</v>
      </c>
      <c r="AR28" s="7">
        <v>0</v>
      </c>
      <c r="AS28" s="7">
        <v>0</v>
      </c>
      <c r="AT28" s="7">
        <v>0</v>
      </c>
      <c r="AU28" s="7">
        <v>0</v>
      </c>
      <c r="AV28" s="7">
        <v>10</v>
      </c>
      <c r="AW28" s="7">
        <v>0</v>
      </c>
      <c r="AX28" s="7">
        <v>0</v>
      </c>
      <c r="AY28" s="7">
        <v>0</v>
      </c>
      <c r="AZ28" s="7">
        <v>0</v>
      </c>
      <c r="BA28" s="7">
        <v>0</v>
      </c>
      <c r="BB28" s="7">
        <v>0</v>
      </c>
      <c r="BC28" s="7">
        <v>16</v>
      </c>
      <c r="BD28" s="7">
        <v>0</v>
      </c>
      <c r="BE28" s="7">
        <v>12</v>
      </c>
      <c r="BF28" s="7">
        <v>0</v>
      </c>
      <c r="BG28" s="7">
        <v>12</v>
      </c>
      <c r="BH28" s="7">
        <v>0</v>
      </c>
      <c r="BI28" s="7">
        <v>0</v>
      </c>
      <c r="BJ28" s="7">
        <v>0</v>
      </c>
      <c r="BK28" s="7">
        <v>0</v>
      </c>
      <c r="BL28" s="7">
        <v>0</v>
      </c>
      <c r="BM28" s="13">
        <v>68</v>
      </c>
      <c r="BN28" s="13">
        <f>Tabla1[[#This Row],[CONSUMO TOTAL PROPIO]]/52</f>
        <v>1.3076923076923077</v>
      </c>
      <c r="BO28" s="13" t="e">
        <f>SUM(Tabla3[[#This Row],[CONSUMO TOTAL V]]+Tabla2[[#This Row],[CONSUMO TOTAL VALORES]]+#REF!+#REF!)</f>
        <v>#REF!</v>
      </c>
      <c r="BP28" s="31">
        <v>321</v>
      </c>
      <c r="BQ28" s="13">
        <f>Tabla1[[#This Row],[CONSUMO TOTAL TODAS]]/52</f>
        <v>6.1730769230769234</v>
      </c>
      <c r="BR28" s="25">
        <f>Tabla1[[#This Row],[CONSUMO PROMEDIO PROPIO]]+Tabla1[[#This Row],[CONSUMO PROMEDIO TODAS]]</f>
        <v>7.4807692307692308</v>
      </c>
      <c r="BS28" s="26">
        <f>Tabla1[[#This Row],[CONSUMO PROMEDIO TOTAL]]*(Tabla1[[#This Row],[FRECUENCIA]]+Tabla1[[#This Row],[TIEMPO REPOSICION BUFFERS]])</f>
        <v>224.42307692307693</v>
      </c>
      <c r="BT28" s="26">
        <v>112</v>
      </c>
      <c r="BU28" s="27">
        <v>1</v>
      </c>
      <c r="BV28" s="27">
        <v>16</v>
      </c>
      <c r="BW28" s="27">
        <v>16</v>
      </c>
      <c r="BX28" s="69">
        <f>Tabla1[[#This Row],[BUFFER REAL]]*Tabla1[[#This Row],[COSTOS]]</f>
        <v>137.51920000000001</v>
      </c>
      <c r="BY28" s="69">
        <f>Tabla1[[#This Row],[PVP]]-Tabla1[[#This Row],[COSTOS]]</f>
        <v>1.9721500000000001</v>
      </c>
      <c r="BZ28" s="69">
        <f>Tabla1[[#This Row],[PVD]]-Tabla1[[#This Row],[COSTOS]]</f>
        <v>1.1401499999999998</v>
      </c>
      <c r="CA28" s="25">
        <f>Tabla1[[#This Row],[TRUPUD UNTITARIO PVD]]</f>
        <v>1.1401499999999998</v>
      </c>
      <c r="CB28" s="25">
        <f>Tabla1[[#This Row],[TRUPUT UNITARIO]]/Tabla1[[#This Row],[COSTOS]]</f>
        <v>0.92857433725617922</v>
      </c>
      <c r="CC28" s="40">
        <f>Tabla1[[#This Row],[BUFFER REAL]]/((Tabla1[[#This Row],[TIEMPO REPOSICION BUFFERS]])/1.5)</f>
        <v>42</v>
      </c>
      <c r="CD28" s="69">
        <f>Tabla1[[#This Row],[CONSUMO ESTIMADO]]*52*Tabla1[[#This Row],[TRUPUT UNITARIO]]</f>
        <v>2490.0875999999994</v>
      </c>
      <c r="CE28" s="25">
        <f>Tabla1[[#This Row],[CONSUMO ESTIMADO]]*(Tabla1[[#This Row],[TIEMPO REPOSICION BUFFERS]]*1.5)+( Tabla1[[#This Row],[TRUPUT TOTAL ESTIMADO ANUAL]]*(Tabla1[[#This Row],[CRÉDITO CLIENTE]]-Tabla1[[#This Row],[CREDITO PROVEEDOR]]))</f>
        <v>252</v>
      </c>
      <c r="CF28" s="25">
        <f>Tabla1[[#This Row],[INVERSION UNIDADES]]*Tabla1[[#This Row],[COSTOS]]</f>
        <v>309.41820000000001</v>
      </c>
      <c r="CG28" s="25">
        <f>Tabla1[[#This Row],[TRUPUT TOTAL ESTIMADO ANUAL]]/Tabla1[[#This Row],[INVERSION USD]]</f>
        <v>8.0476442562202202</v>
      </c>
      <c r="CH28" s="27"/>
      <c r="CI28" s="27"/>
      <c r="CJ28" s="27"/>
      <c r="CK28" s="27"/>
    </row>
    <row r="29" spans="1:89">
      <c r="A29" s="7" t="s">
        <v>144</v>
      </c>
      <c r="B29" s="7" t="s">
        <v>145</v>
      </c>
      <c r="C29" s="7" t="s">
        <v>679</v>
      </c>
      <c r="D29" s="7" t="s">
        <v>709</v>
      </c>
      <c r="E29" s="7" t="s">
        <v>719</v>
      </c>
      <c r="F29" s="7" t="s">
        <v>724</v>
      </c>
      <c r="G29" s="7" t="s">
        <v>729</v>
      </c>
      <c r="H29" s="13">
        <v>6.69</v>
      </c>
      <c r="I29" s="13">
        <f>Tabla1[[#This Row],[PVP]]*74%</f>
        <v>4.9506000000000006</v>
      </c>
      <c r="J29" s="13">
        <v>2.9537499999999999</v>
      </c>
      <c r="K29" s="7">
        <v>26</v>
      </c>
      <c r="L29" s="7">
        <v>4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4</v>
      </c>
      <c r="Z29" s="7">
        <v>0</v>
      </c>
      <c r="AA29" s="7">
        <v>0</v>
      </c>
      <c r="AB29" s="7">
        <v>0</v>
      </c>
      <c r="AC29" s="7">
        <v>0</v>
      </c>
      <c r="AD29" s="7">
        <v>0</v>
      </c>
      <c r="AE29" s="7">
        <v>0</v>
      </c>
      <c r="AF29" s="7">
        <v>0</v>
      </c>
      <c r="AG29" s="7">
        <v>0</v>
      </c>
      <c r="AH29" s="7">
        <v>0</v>
      </c>
      <c r="AI29" s="7">
        <v>0</v>
      </c>
      <c r="AJ29" s="7">
        <v>0</v>
      </c>
      <c r="AK29" s="7">
        <v>0</v>
      </c>
      <c r="AL29" s="7">
        <v>0</v>
      </c>
      <c r="AM29" s="7">
        <v>0</v>
      </c>
      <c r="AN29" s="7">
        <v>0</v>
      </c>
      <c r="AO29" s="7">
        <v>0</v>
      </c>
      <c r="AP29" s="7">
        <v>0</v>
      </c>
      <c r="AQ29" s="7">
        <v>0</v>
      </c>
      <c r="AR29" s="7">
        <v>0</v>
      </c>
      <c r="AS29" s="7">
        <v>0</v>
      </c>
      <c r="AT29" s="7">
        <v>0</v>
      </c>
      <c r="AU29" s="7">
        <v>0</v>
      </c>
      <c r="AV29" s="7">
        <v>0</v>
      </c>
      <c r="AW29" s="7">
        <v>0</v>
      </c>
      <c r="AX29" s="7">
        <v>0</v>
      </c>
      <c r="AY29" s="7">
        <v>0</v>
      </c>
      <c r="AZ29" s="7">
        <v>0</v>
      </c>
      <c r="BA29" s="7">
        <v>0</v>
      </c>
      <c r="BB29" s="7">
        <v>0</v>
      </c>
      <c r="BC29" s="7">
        <v>6</v>
      </c>
      <c r="BD29" s="7">
        <v>0</v>
      </c>
      <c r="BE29" s="7">
        <v>0</v>
      </c>
      <c r="BF29" s="7">
        <v>0</v>
      </c>
      <c r="BG29" s="7">
        <v>0</v>
      </c>
      <c r="BH29" s="7">
        <v>0</v>
      </c>
      <c r="BI29" s="7">
        <v>0</v>
      </c>
      <c r="BJ29" s="7">
        <v>0</v>
      </c>
      <c r="BK29" s="7">
        <v>0</v>
      </c>
      <c r="BL29" s="7">
        <v>0</v>
      </c>
      <c r="BM29" s="13">
        <v>10</v>
      </c>
      <c r="BN29" s="13">
        <f>Tabla1[[#This Row],[CONSUMO TOTAL PROPIO]]/52</f>
        <v>0.19230769230769232</v>
      </c>
      <c r="BO29" s="13" t="e">
        <f>SUM(Tabla3[[#This Row],[CONSUMO TOTAL V]]+Tabla2[[#This Row],[CONSUMO TOTAL VALORES]]+#REF!+#REF!)</f>
        <v>#REF!</v>
      </c>
      <c r="BP29" s="31">
        <v>224</v>
      </c>
      <c r="BQ29" s="13">
        <f>Tabla1[[#This Row],[CONSUMO TOTAL TODAS]]/52</f>
        <v>4.3076923076923075</v>
      </c>
      <c r="BR29" s="25">
        <f>Tabla1[[#This Row],[CONSUMO PROMEDIO PROPIO]]+Tabla1[[#This Row],[CONSUMO PROMEDIO TODAS]]</f>
        <v>4.5</v>
      </c>
      <c r="BS29" s="26">
        <f>Tabla1[[#This Row],[CONSUMO PROMEDIO TOTAL]]*(Tabla1[[#This Row],[FRECUENCIA]]+Tabla1[[#This Row],[TIEMPO REPOSICION BUFFERS]])</f>
        <v>135</v>
      </c>
      <c r="BT29" s="26">
        <v>40</v>
      </c>
      <c r="BU29" s="27">
        <v>1</v>
      </c>
      <c r="BV29" s="27">
        <v>16</v>
      </c>
      <c r="BW29" s="27">
        <v>16</v>
      </c>
      <c r="BX29" s="69">
        <f>Tabla1[[#This Row],[BUFFER REAL]]*Tabla1[[#This Row],[COSTOS]]</f>
        <v>118.14999999999999</v>
      </c>
      <c r="BY29" s="69">
        <f>Tabla1[[#This Row],[PVP]]-Tabla1[[#This Row],[COSTOS]]</f>
        <v>3.7362500000000005</v>
      </c>
      <c r="BZ29" s="69">
        <f>Tabla1[[#This Row],[PVD]]-Tabla1[[#This Row],[COSTOS]]</f>
        <v>1.9968500000000007</v>
      </c>
      <c r="CA29" s="25">
        <f>Tabla1[[#This Row],[TRUPUD UNTITARIO PVD]]</f>
        <v>1.9968500000000007</v>
      </c>
      <c r="CB29" s="25">
        <f>Tabla1[[#This Row],[TRUPUT UNITARIO]]/Tabla1[[#This Row],[COSTOS]]</f>
        <v>0.67603893355903544</v>
      </c>
      <c r="CC29" s="40">
        <f>Tabla1[[#This Row],[BUFFER REAL]]/((Tabla1[[#This Row],[TIEMPO REPOSICION BUFFERS]])/1.5)</f>
        <v>15</v>
      </c>
      <c r="CD29" s="69">
        <f>Tabla1[[#This Row],[CONSUMO ESTIMADO]]*52*Tabla1[[#This Row],[TRUPUT UNITARIO]]</f>
        <v>1557.5430000000006</v>
      </c>
      <c r="CE29" s="25">
        <f>Tabla1[[#This Row],[CONSUMO ESTIMADO]]*(Tabla1[[#This Row],[TIEMPO REPOSICION BUFFERS]]*1.5)+( Tabla1[[#This Row],[TRUPUT TOTAL ESTIMADO ANUAL]]*(Tabla1[[#This Row],[CRÉDITO CLIENTE]]-Tabla1[[#This Row],[CREDITO PROVEEDOR]]))</f>
        <v>90</v>
      </c>
      <c r="CF29" s="25">
        <f>Tabla1[[#This Row],[INVERSION UNIDADES]]*Tabla1[[#This Row],[COSTOS]]</f>
        <v>265.83749999999998</v>
      </c>
      <c r="CG29" s="25">
        <f>Tabla1[[#This Row],[TRUPUT TOTAL ESTIMADO ANUAL]]/Tabla1[[#This Row],[INVERSION USD]]</f>
        <v>5.8590040908449739</v>
      </c>
      <c r="CH29" s="27"/>
      <c r="CI29" s="27"/>
      <c r="CJ29" s="27"/>
      <c r="CK29" s="27"/>
    </row>
    <row r="30" spans="1:89">
      <c r="A30" s="7" t="s">
        <v>146</v>
      </c>
      <c r="B30" s="7" t="s">
        <v>147</v>
      </c>
      <c r="C30" s="7" t="s">
        <v>673</v>
      </c>
      <c r="D30" s="7" t="s">
        <v>709</v>
      </c>
      <c r="E30" s="7" t="s">
        <v>719</v>
      </c>
      <c r="F30" s="7" t="s">
        <v>724</v>
      </c>
      <c r="G30" s="7" t="s">
        <v>729</v>
      </c>
      <c r="H30" s="13">
        <v>12.39</v>
      </c>
      <c r="I30" s="13">
        <f>Tabla1[[#This Row],[PVP]]*74%</f>
        <v>9.1685999999999996</v>
      </c>
      <c r="J30" s="13">
        <v>4.6379999999999999</v>
      </c>
      <c r="K30" s="7">
        <v>26</v>
      </c>
      <c r="L30" s="7">
        <v>4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>
        <v>0</v>
      </c>
      <c r="AE30" s="7">
        <v>0</v>
      </c>
      <c r="AF30" s="7">
        <v>0</v>
      </c>
      <c r="AG30" s="7">
        <v>0</v>
      </c>
      <c r="AH30" s="7">
        <v>0</v>
      </c>
      <c r="AI30" s="7">
        <v>0</v>
      </c>
      <c r="AJ30" s="7">
        <v>0</v>
      </c>
      <c r="AK30" s="7">
        <v>0</v>
      </c>
      <c r="AL30" s="7">
        <v>0</v>
      </c>
      <c r="AM30" s="7">
        <v>0</v>
      </c>
      <c r="AN30" s="7">
        <v>0</v>
      </c>
      <c r="AO30" s="7">
        <v>0</v>
      </c>
      <c r="AP30" s="7">
        <v>0</v>
      </c>
      <c r="AQ30" s="7">
        <v>0</v>
      </c>
      <c r="AR30" s="7">
        <v>0</v>
      </c>
      <c r="AS30" s="7">
        <v>0</v>
      </c>
      <c r="AT30" s="7">
        <v>0</v>
      </c>
      <c r="AU30" s="7">
        <v>0</v>
      </c>
      <c r="AV30" s="7">
        <v>0</v>
      </c>
      <c r="AW30" s="7">
        <v>0</v>
      </c>
      <c r="AX30" s="7">
        <v>0</v>
      </c>
      <c r="AY30" s="7">
        <v>40</v>
      </c>
      <c r="AZ30" s="7">
        <v>0</v>
      </c>
      <c r="BA30" s="7">
        <v>0</v>
      </c>
      <c r="BB30" s="7">
        <v>0</v>
      </c>
      <c r="BC30" s="7">
        <v>0</v>
      </c>
      <c r="BD30" s="7">
        <v>0</v>
      </c>
      <c r="BE30" s="7">
        <v>0</v>
      </c>
      <c r="BF30" s="7">
        <v>0</v>
      </c>
      <c r="BG30" s="7">
        <v>0</v>
      </c>
      <c r="BH30" s="7">
        <v>0</v>
      </c>
      <c r="BI30" s="7">
        <v>0</v>
      </c>
      <c r="BJ30" s="7">
        <v>0</v>
      </c>
      <c r="BK30" s="7">
        <v>0</v>
      </c>
      <c r="BL30" s="7">
        <v>0</v>
      </c>
      <c r="BM30" s="13">
        <v>40</v>
      </c>
      <c r="BN30" s="13">
        <f>Tabla1[[#This Row],[CONSUMO TOTAL PROPIO]]/52</f>
        <v>0.76923076923076927</v>
      </c>
      <c r="BO30" s="13" t="e">
        <f>SUM(Tabla3[[#This Row],[CONSUMO TOTAL V]]+Tabla2[[#This Row],[CONSUMO TOTAL VALORES]]+#REF!+#REF!)</f>
        <v>#REF!</v>
      </c>
      <c r="BP30" s="31">
        <v>0</v>
      </c>
      <c r="BQ30" s="13">
        <f>Tabla1[[#This Row],[CONSUMO TOTAL TODAS]]/52</f>
        <v>0</v>
      </c>
      <c r="BR30" s="25">
        <f>Tabla1[[#This Row],[CONSUMO PROMEDIO PROPIO]]+Tabla1[[#This Row],[CONSUMO PROMEDIO TODAS]]</f>
        <v>0.76923076923076927</v>
      </c>
      <c r="BS30" s="26">
        <f>Tabla1[[#This Row],[CONSUMO PROMEDIO TOTAL]]*(Tabla1[[#This Row],[FRECUENCIA]]+Tabla1[[#This Row],[TIEMPO REPOSICION BUFFERS]])</f>
        <v>23.076923076923077</v>
      </c>
      <c r="BT30" s="26">
        <v>20</v>
      </c>
      <c r="BU30" s="27">
        <v>1</v>
      </c>
      <c r="BV30" s="27">
        <v>16</v>
      </c>
      <c r="BW30" s="27">
        <v>16</v>
      </c>
      <c r="BX30" s="69">
        <f>Tabla1[[#This Row],[BUFFER REAL]]*Tabla1[[#This Row],[COSTOS]]</f>
        <v>92.759999999999991</v>
      </c>
      <c r="BY30" s="69">
        <f>Tabla1[[#This Row],[PVP]]-Tabla1[[#This Row],[COSTOS]]</f>
        <v>7.7520000000000007</v>
      </c>
      <c r="BZ30" s="69">
        <f>Tabla1[[#This Row],[PVD]]-Tabla1[[#This Row],[COSTOS]]</f>
        <v>4.5305999999999997</v>
      </c>
      <c r="CA30" s="25">
        <f>Tabla1[[#This Row],[TRUPUD UNTITARIO PVD]]</f>
        <v>4.5305999999999997</v>
      </c>
      <c r="CB30" s="25">
        <f>Tabla1[[#This Row],[TRUPUT UNITARIO]]/Tabla1[[#This Row],[COSTOS]]</f>
        <v>0.97684346701164293</v>
      </c>
      <c r="CC30" s="40">
        <f>Tabla1[[#This Row],[BUFFER REAL]]/((Tabla1[[#This Row],[TIEMPO REPOSICION BUFFERS]])/1.5)</f>
        <v>7.5</v>
      </c>
      <c r="CD30" s="69">
        <f>Tabla1[[#This Row],[CONSUMO ESTIMADO]]*52*Tabla1[[#This Row],[TRUPUT UNITARIO]]</f>
        <v>1766.934</v>
      </c>
      <c r="CE30" s="25">
        <f>Tabla1[[#This Row],[CONSUMO ESTIMADO]]*(Tabla1[[#This Row],[TIEMPO REPOSICION BUFFERS]]*1.5)+( Tabla1[[#This Row],[TRUPUT TOTAL ESTIMADO ANUAL]]*(Tabla1[[#This Row],[CRÉDITO CLIENTE]]-Tabla1[[#This Row],[CREDITO PROVEEDOR]]))</f>
        <v>45</v>
      </c>
      <c r="CF30" s="25">
        <f>Tabla1[[#This Row],[INVERSION UNIDADES]]*Tabla1[[#This Row],[COSTOS]]</f>
        <v>208.71</v>
      </c>
      <c r="CG30" s="25">
        <f>Tabla1[[#This Row],[TRUPUT TOTAL ESTIMADO ANUAL]]/Tabla1[[#This Row],[INVERSION USD]]</f>
        <v>8.4659767141009059</v>
      </c>
      <c r="CH30" s="27"/>
      <c r="CI30" s="27"/>
      <c r="CJ30" s="27"/>
      <c r="CK30" s="27"/>
    </row>
    <row r="31" spans="1:89">
      <c r="A31" s="7" t="s">
        <v>148</v>
      </c>
      <c r="B31" s="7" t="s">
        <v>149</v>
      </c>
      <c r="C31" s="7" t="s">
        <v>2</v>
      </c>
      <c r="D31" s="7" t="s">
        <v>709</v>
      </c>
      <c r="E31" s="7" t="s">
        <v>719</v>
      </c>
      <c r="F31" s="7" t="s">
        <v>724</v>
      </c>
      <c r="G31" s="7" t="s">
        <v>729</v>
      </c>
      <c r="H31" s="13">
        <v>23.9</v>
      </c>
      <c r="I31" s="13">
        <f>Tabla1[[#This Row],[PVP]]*74%</f>
        <v>17.686</v>
      </c>
      <c r="J31" s="13">
        <v>9.1568299999999994</v>
      </c>
      <c r="K31" s="7">
        <v>26</v>
      </c>
      <c r="L31" s="7">
        <v>4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>
        <v>20</v>
      </c>
      <c r="AE31" s="7">
        <v>0</v>
      </c>
      <c r="AF31" s="7">
        <v>0</v>
      </c>
      <c r="AG31" s="7">
        <v>0</v>
      </c>
      <c r="AH31" s="7">
        <v>0</v>
      </c>
      <c r="AI31" s="7">
        <v>0</v>
      </c>
      <c r="AJ31" s="7">
        <v>0</v>
      </c>
      <c r="AK31" s="7">
        <v>0</v>
      </c>
      <c r="AL31" s="7">
        <v>0</v>
      </c>
      <c r="AM31" s="7">
        <v>0</v>
      </c>
      <c r="AN31" s="7">
        <v>0</v>
      </c>
      <c r="AO31" s="7">
        <v>0</v>
      </c>
      <c r="AP31" s="7">
        <v>0</v>
      </c>
      <c r="AQ31" s="7">
        <v>0</v>
      </c>
      <c r="AR31" s="7">
        <v>0</v>
      </c>
      <c r="AS31" s="7">
        <v>0</v>
      </c>
      <c r="AT31" s="7">
        <v>0</v>
      </c>
      <c r="AU31" s="7">
        <v>0</v>
      </c>
      <c r="AV31" s="7">
        <v>0</v>
      </c>
      <c r="AW31" s="7">
        <v>0</v>
      </c>
      <c r="AX31" s="7">
        <v>0</v>
      </c>
      <c r="AY31" s="7">
        <v>20</v>
      </c>
      <c r="AZ31" s="7">
        <v>0</v>
      </c>
      <c r="BA31" s="7">
        <v>0</v>
      </c>
      <c r="BB31" s="7">
        <v>0</v>
      </c>
      <c r="BC31" s="7">
        <v>0</v>
      </c>
      <c r="BD31" s="7">
        <v>0</v>
      </c>
      <c r="BE31" s="7">
        <v>0</v>
      </c>
      <c r="BF31" s="7">
        <v>0</v>
      </c>
      <c r="BG31" s="7">
        <v>0</v>
      </c>
      <c r="BH31" s="7">
        <v>1</v>
      </c>
      <c r="BI31" s="7">
        <v>0</v>
      </c>
      <c r="BJ31" s="7">
        <v>0</v>
      </c>
      <c r="BK31" s="7">
        <v>0</v>
      </c>
      <c r="BL31" s="7">
        <v>0</v>
      </c>
      <c r="BM31" s="13">
        <v>41</v>
      </c>
      <c r="BN31" s="13">
        <f>Tabla1[[#This Row],[CONSUMO TOTAL PROPIO]]/52</f>
        <v>0.78846153846153844</v>
      </c>
      <c r="BO31" s="13" t="e">
        <f>SUM(Tabla3[[#This Row],[CONSUMO TOTAL V]]+Tabla2[[#This Row],[CONSUMO TOTAL VALORES]]+#REF!+#REF!)</f>
        <v>#REF!</v>
      </c>
      <c r="BP31" s="31">
        <v>145</v>
      </c>
      <c r="BQ31" s="13">
        <f>Tabla1[[#This Row],[CONSUMO TOTAL TODAS]]/52</f>
        <v>2.7884615384615383</v>
      </c>
      <c r="BR31" s="25">
        <f>Tabla1[[#This Row],[CONSUMO PROMEDIO PROPIO]]+Tabla1[[#This Row],[CONSUMO PROMEDIO TODAS]]</f>
        <v>3.5769230769230766</v>
      </c>
      <c r="BS31" s="26">
        <f>Tabla1[[#This Row],[CONSUMO PROMEDIO TOTAL]]*(Tabla1[[#This Row],[FRECUENCIA]]+Tabla1[[#This Row],[TIEMPO REPOSICION BUFFERS]])</f>
        <v>107.30769230769229</v>
      </c>
      <c r="BT31" s="26">
        <v>20</v>
      </c>
      <c r="BU31" s="27">
        <v>1</v>
      </c>
      <c r="BV31" s="27">
        <v>16</v>
      </c>
      <c r="BW31" s="27">
        <v>16</v>
      </c>
      <c r="BX31" s="69">
        <f>Tabla1[[#This Row],[BUFFER REAL]]*Tabla1[[#This Row],[COSTOS]]</f>
        <v>183.13659999999999</v>
      </c>
      <c r="BY31" s="69">
        <f>Tabla1[[#This Row],[PVP]]-Tabla1[[#This Row],[COSTOS]]</f>
        <v>14.743169999999999</v>
      </c>
      <c r="BZ31" s="69">
        <f>Tabla1[[#This Row],[PVD]]-Tabla1[[#This Row],[COSTOS]]</f>
        <v>8.5291700000000006</v>
      </c>
      <c r="CA31" s="25">
        <f>Tabla1[[#This Row],[TRUPUD UNTITARIO PVD]]</f>
        <v>8.5291700000000006</v>
      </c>
      <c r="CB31" s="25">
        <f>Tabla1[[#This Row],[TRUPUT UNITARIO]]/Tabla1[[#This Row],[COSTOS]]</f>
        <v>0.93145444438741365</v>
      </c>
      <c r="CC31" s="40">
        <f>Tabla1[[#This Row],[BUFFER REAL]]/((Tabla1[[#This Row],[TIEMPO REPOSICION BUFFERS]])/1.5)</f>
        <v>7.5</v>
      </c>
      <c r="CD31" s="69">
        <f>Tabla1[[#This Row],[CONSUMO ESTIMADO]]*52*Tabla1[[#This Row],[TRUPUT UNITARIO]]</f>
        <v>3326.3763000000004</v>
      </c>
      <c r="CE31" s="25">
        <f>Tabla1[[#This Row],[CONSUMO ESTIMADO]]*(Tabla1[[#This Row],[TIEMPO REPOSICION BUFFERS]]*1.5)+( Tabla1[[#This Row],[TRUPUT TOTAL ESTIMADO ANUAL]]*(Tabla1[[#This Row],[CRÉDITO CLIENTE]]-Tabla1[[#This Row],[CREDITO PROVEEDOR]]))</f>
        <v>45</v>
      </c>
      <c r="CF31" s="25">
        <f>Tabla1[[#This Row],[INVERSION UNIDADES]]*Tabla1[[#This Row],[COSTOS]]</f>
        <v>412.05734999999999</v>
      </c>
      <c r="CG31" s="25">
        <f>Tabla1[[#This Row],[TRUPUT TOTAL ESTIMADO ANUAL]]/Tabla1[[#This Row],[INVERSION USD]]</f>
        <v>8.0726051846909179</v>
      </c>
      <c r="CH31" s="27"/>
      <c r="CI31" s="27"/>
      <c r="CJ31" s="27"/>
      <c r="CK31" s="27"/>
    </row>
    <row r="32" spans="1:89">
      <c r="A32" s="7" t="s">
        <v>150</v>
      </c>
      <c r="B32" s="7" t="s">
        <v>151</v>
      </c>
      <c r="C32" s="7" t="s">
        <v>682</v>
      </c>
      <c r="D32" s="7" t="s">
        <v>709</v>
      </c>
      <c r="E32" s="7" t="s">
        <v>719</v>
      </c>
      <c r="F32" s="7" t="s">
        <v>724</v>
      </c>
      <c r="G32" s="7" t="s">
        <v>729</v>
      </c>
      <c r="H32" s="13">
        <v>16.5</v>
      </c>
      <c r="I32" s="13">
        <f>+H32*75%</f>
        <v>12.375</v>
      </c>
      <c r="J32" s="13">
        <v>10.832000000000001</v>
      </c>
      <c r="K32" s="7">
        <v>26</v>
      </c>
      <c r="L32" s="7">
        <v>4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>
        <v>0</v>
      </c>
      <c r="AE32" s="7">
        <v>0</v>
      </c>
      <c r="AF32" s="7">
        <v>0</v>
      </c>
      <c r="AG32" s="7">
        <v>0</v>
      </c>
      <c r="AH32" s="7">
        <v>0</v>
      </c>
      <c r="AI32" s="7">
        <v>0</v>
      </c>
      <c r="AJ32" s="7">
        <v>0</v>
      </c>
      <c r="AK32" s="7">
        <v>0</v>
      </c>
      <c r="AL32" s="7">
        <v>0</v>
      </c>
      <c r="AM32" s="7">
        <v>0</v>
      </c>
      <c r="AN32" s="7">
        <v>0</v>
      </c>
      <c r="AO32" s="7">
        <v>0</v>
      </c>
      <c r="AP32" s="7">
        <v>0</v>
      </c>
      <c r="AQ32" s="7">
        <v>0</v>
      </c>
      <c r="AR32" s="7">
        <v>0</v>
      </c>
      <c r="AS32" s="7">
        <v>0</v>
      </c>
      <c r="AT32" s="7">
        <v>0</v>
      </c>
      <c r="AU32" s="7">
        <v>0</v>
      </c>
      <c r="AV32" s="7">
        <v>0</v>
      </c>
      <c r="AW32" s="7">
        <v>0</v>
      </c>
      <c r="AX32" s="7">
        <v>0</v>
      </c>
      <c r="AY32" s="7">
        <v>0</v>
      </c>
      <c r="AZ32" s="7">
        <v>0</v>
      </c>
      <c r="BA32" s="7">
        <v>0</v>
      </c>
      <c r="BB32" s="7">
        <v>0</v>
      </c>
      <c r="BC32" s="7">
        <v>0</v>
      </c>
      <c r="BD32" s="7">
        <v>0</v>
      </c>
      <c r="BE32" s="7">
        <v>0</v>
      </c>
      <c r="BF32" s="7">
        <v>0</v>
      </c>
      <c r="BG32" s="7">
        <v>0</v>
      </c>
      <c r="BH32" s="7">
        <v>0</v>
      </c>
      <c r="BI32" s="7">
        <v>0</v>
      </c>
      <c r="BJ32" s="7">
        <v>0</v>
      </c>
      <c r="BK32" s="7">
        <v>0</v>
      </c>
      <c r="BL32" s="7">
        <v>0</v>
      </c>
      <c r="BM32" s="13">
        <v>0</v>
      </c>
      <c r="BN32" s="13">
        <f>Tabla1[[#This Row],[CONSUMO TOTAL PROPIO]]/52</f>
        <v>0</v>
      </c>
      <c r="BO32" s="13" t="e">
        <f>SUM(Tabla3[[#This Row],[CONSUMO TOTAL V]]+Tabla2[[#This Row],[CONSUMO TOTAL VALORES]]+#REF!+#REF!)</f>
        <v>#REF!</v>
      </c>
      <c r="BP32" s="31">
        <v>3.25</v>
      </c>
      <c r="BQ32" s="13">
        <f>Tabla1[[#This Row],[CONSUMO TOTAL TODAS]]/52</f>
        <v>6.25E-2</v>
      </c>
      <c r="BR32" s="25">
        <f>Tabla1[[#This Row],[CONSUMO PROMEDIO PROPIO]]+Tabla1[[#This Row],[CONSUMO PROMEDIO TODAS]]</f>
        <v>6.25E-2</v>
      </c>
      <c r="BS32" s="26">
        <f>Tabla1[[#This Row],[CONSUMO PROMEDIO TOTAL]]*(Tabla1[[#This Row],[FRECUENCIA]]+Tabla1[[#This Row],[TIEMPO REPOSICION BUFFERS]])</f>
        <v>1.875</v>
      </c>
      <c r="BT32" s="26">
        <v>0</v>
      </c>
      <c r="BU32" s="27">
        <v>1</v>
      </c>
      <c r="BV32" s="27">
        <v>16</v>
      </c>
      <c r="BW32" s="27">
        <v>16</v>
      </c>
      <c r="BX32" s="69">
        <f>Tabla1[[#This Row],[BUFFER REAL]]*Tabla1[[#This Row],[COSTOS]]</f>
        <v>0</v>
      </c>
      <c r="BY32" s="69">
        <f>Tabla1[[#This Row],[PVP]]-Tabla1[[#This Row],[COSTOS]]</f>
        <v>5.6679999999999993</v>
      </c>
      <c r="BZ32" s="69">
        <f>Tabla1[[#This Row],[PVD]]-Tabla1[[#This Row],[COSTOS]]</f>
        <v>1.5429999999999993</v>
      </c>
      <c r="CA32" s="25">
        <f>Tabla1[[#This Row],[TRUPUD UNTITARIO PVD]]</f>
        <v>1.5429999999999993</v>
      </c>
      <c r="CB32" s="25">
        <f>Tabla1[[#This Row],[TRUPUT UNITARIO]]/Tabla1[[#This Row],[COSTOS]]</f>
        <v>0.14244830132939432</v>
      </c>
      <c r="CC32" s="40">
        <f>Tabla1[[#This Row],[BUFFER REAL]]/((Tabla1[[#This Row],[TIEMPO REPOSICION BUFFERS]])/1.5)</f>
        <v>0</v>
      </c>
      <c r="CD32" s="69">
        <f>Tabla1[[#This Row],[CONSUMO ESTIMADO]]*52*Tabla1[[#This Row],[TRUPUT UNITARIO]]</f>
        <v>0</v>
      </c>
      <c r="CE32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32" s="25">
        <f>Tabla1[[#This Row],[INVERSION UNIDADES]]*Tabla1[[#This Row],[COSTOS]]</f>
        <v>0</v>
      </c>
      <c r="CG32" s="25" t="e">
        <f>Tabla1[[#This Row],[TRUPUT TOTAL ESTIMADO ANUAL]]/Tabla1[[#This Row],[INVERSION USD]]</f>
        <v>#DIV/0!</v>
      </c>
      <c r="CH32" s="27"/>
      <c r="CI32" s="27"/>
      <c r="CJ32" s="27"/>
      <c r="CK32" s="27"/>
    </row>
    <row r="33" spans="1:89">
      <c r="A33" s="7" t="s">
        <v>152</v>
      </c>
      <c r="B33" s="7" t="s">
        <v>153</v>
      </c>
      <c r="C33" s="7" t="s">
        <v>676</v>
      </c>
      <c r="D33" s="7" t="s">
        <v>709</v>
      </c>
      <c r="E33" s="7" t="s">
        <v>719</v>
      </c>
      <c r="F33" s="7" t="s">
        <v>724</v>
      </c>
      <c r="G33" s="7" t="s">
        <v>729</v>
      </c>
      <c r="H33" s="13">
        <v>33</v>
      </c>
      <c r="I33" s="13">
        <f>Tabla1[[#This Row],[PVP]]*74%</f>
        <v>24.419999999999998</v>
      </c>
      <c r="J33" s="13">
        <v>22.288</v>
      </c>
      <c r="K33" s="7">
        <v>26</v>
      </c>
      <c r="L33" s="7">
        <v>4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96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7">
        <v>0</v>
      </c>
      <c r="AH33" s="7">
        <v>276</v>
      </c>
      <c r="AI33" s="7">
        <v>0</v>
      </c>
      <c r="AJ33" s="7">
        <v>0</v>
      </c>
      <c r="AK33" s="7">
        <v>0</v>
      </c>
      <c r="AL33" s="7">
        <v>0</v>
      </c>
      <c r="AM33" s="7">
        <v>220</v>
      </c>
      <c r="AN33" s="7">
        <v>0</v>
      </c>
      <c r="AO33" s="7">
        <v>0</v>
      </c>
      <c r="AP33" s="7">
        <v>0</v>
      </c>
      <c r="AQ33" s="7">
        <v>0</v>
      </c>
      <c r="AR33" s="7">
        <v>0</v>
      </c>
      <c r="AS33" s="7">
        <v>0</v>
      </c>
      <c r="AT33" s="7">
        <v>0</v>
      </c>
      <c r="AU33" s="7">
        <v>0</v>
      </c>
      <c r="AV33" s="7">
        <v>0</v>
      </c>
      <c r="AW33" s="7">
        <v>0</v>
      </c>
      <c r="AX33" s="7">
        <v>0</v>
      </c>
      <c r="AY33" s="7">
        <v>0</v>
      </c>
      <c r="AZ33" s="7">
        <v>150</v>
      </c>
      <c r="BA33" s="7">
        <v>0</v>
      </c>
      <c r="BB33" s="7">
        <v>0</v>
      </c>
      <c r="BC33" s="7">
        <v>0</v>
      </c>
      <c r="BD33" s="7">
        <v>200</v>
      </c>
      <c r="BE33" s="7">
        <v>0</v>
      </c>
      <c r="BF33" s="7">
        <v>0</v>
      </c>
      <c r="BG33" s="7">
        <v>0</v>
      </c>
      <c r="BH33" s="7">
        <v>0</v>
      </c>
      <c r="BI33" s="7">
        <v>0</v>
      </c>
      <c r="BJ33" s="7">
        <v>0</v>
      </c>
      <c r="BK33" s="7">
        <v>0</v>
      </c>
      <c r="BL33" s="7">
        <v>0</v>
      </c>
      <c r="BM33" s="13">
        <v>942</v>
      </c>
      <c r="BN33" s="13">
        <f>Tabla1[[#This Row],[CONSUMO TOTAL PROPIO]]/52</f>
        <v>18.115384615384617</v>
      </c>
      <c r="BO33" s="13" t="e">
        <f>SUM(Tabla3[[#This Row],[CONSUMO TOTAL V]]+Tabla2[[#This Row],[CONSUMO TOTAL VALORES]]+#REF!+#REF!)</f>
        <v>#REF!</v>
      </c>
      <c r="BP33" s="31">
        <v>0</v>
      </c>
      <c r="BQ33" s="13">
        <f>Tabla1[[#This Row],[CONSUMO TOTAL TODAS]]/52</f>
        <v>0</v>
      </c>
      <c r="BR33" s="25">
        <f>Tabla1[[#This Row],[CONSUMO PROMEDIO PROPIO]]+Tabla1[[#This Row],[CONSUMO PROMEDIO TODAS]]</f>
        <v>18.115384615384617</v>
      </c>
      <c r="BS33" s="26">
        <f>Tabla1[[#This Row],[CONSUMO PROMEDIO TOTAL]]*(Tabla1[[#This Row],[FRECUENCIA]]+Tabla1[[#This Row],[TIEMPO REPOSICION BUFFERS]])</f>
        <v>543.46153846153845</v>
      </c>
      <c r="BT33" s="26">
        <v>0</v>
      </c>
      <c r="BU33" s="27">
        <v>1</v>
      </c>
      <c r="BV33" s="27">
        <v>16</v>
      </c>
      <c r="BW33" s="27">
        <v>16</v>
      </c>
      <c r="BX33" s="69">
        <f>Tabla1[[#This Row],[BUFFER REAL]]*Tabla1[[#This Row],[COSTOS]]</f>
        <v>0</v>
      </c>
      <c r="BY33" s="69">
        <f>Tabla1[[#This Row],[PVP]]-Tabla1[[#This Row],[COSTOS]]</f>
        <v>10.712</v>
      </c>
      <c r="BZ33" s="69">
        <f>Tabla1[[#This Row],[PVD]]-Tabla1[[#This Row],[COSTOS]]</f>
        <v>2.1319999999999979</v>
      </c>
      <c r="CA33" s="25">
        <f>Tabla1[[#This Row],[TRUPUD UNTITARIO PVD]]</f>
        <v>2.1319999999999979</v>
      </c>
      <c r="CB33" s="25">
        <f>Tabla1[[#This Row],[TRUPUT UNITARIO]]/Tabla1[[#This Row],[COSTOS]]</f>
        <v>9.5656855707106872E-2</v>
      </c>
      <c r="CC33" s="40">
        <f>Tabla1[[#This Row],[BUFFER REAL]]/((Tabla1[[#This Row],[TIEMPO REPOSICION BUFFERS]])/1.5)</f>
        <v>0</v>
      </c>
      <c r="CD33" s="69">
        <f>Tabla1[[#This Row],[CONSUMO ESTIMADO]]*52*Tabla1[[#This Row],[TRUPUT UNITARIO]]</f>
        <v>0</v>
      </c>
      <c r="CE33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33" s="25">
        <f>Tabla1[[#This Row],[INVERSION UNIDADES]]*Tabla1[[#This Row],[COSTOS]]</f>
        <v>0</v>
      </c>
      <c r="CG33" s="25" t="e">
        <f>Tabla1[[#This Row],[TRUPUT TOTAL ESTIMADO ANUAL]]/Tabla1[[#This Row],[INVERSION USD]]</f>
        <v>#DIV/0!</v>
      </c>
      <c r="CH33" s="27"/>
      <c r="CI33" s="27"/>
      <c r="CJ33" s="27"/>
      <c r="CK33" s="27"/>
    </row>
    <row r="34" spans="1:89">
      <c r="A34" s="7" t="s">
        <v>736</v>
      </c>
      <c r="B34" s="7" t="s">
        <v>765</v>
      </c>
      <c r="C34" s="7" t="s">
        <v>744</v>
      </c>
      <c r="D34" s="7" t="s">
        <v>712</v>
      </c>
      <c r="E34" s="7" t="s">
        <v>732</v>
      </c>
      <c r="F34" s="7" t="s">
        <v>724</v>
      </c>
      <c r="G34" s="7" t="s">
        <v>729</v>
      </c>
      <c r="H34" s="13">
        <v>5.2</v>
      </c>
      <c r="I34" s="13">
        <f>+H34*85%</f>
        <v>4.42</v>
      </c>
      <c r="J34" s="13">
        <v>2.89</v>
      </c>
      <c r="K34" s="7">
        <v>16</v>
      </c>
      <c r="L34" s="7">
        <v>4</v>
      </c>
      <c r="BM34" s="13">
        <v>0</v>
      </c>
      <c r="BN34" s="13">
        <f>Tabla1[[#This Row],[CONSUMO TOTAL PROPIO]]/52</f>
        <v>0</v>
      </c>
      <c r="BO34" s="13" t="e">
        <f>SUM(Tabla3[[#This Row],[CONSUMO TOTAL V]]+Tabla2[[#This Row],[CONSUMO TOTAL VALORES]]+#REF!+#REF!)</f>
        <v>#REF!</v>
      </c>
      <c r="BP34" s="31">
        <v>0</v>
      </c>
      <c r="BQ34" s="13">
        <f>Tabla1[[#This Row],[CONSUMO TOTAL TODAS]]/52</f>
        <v>0</v>
      </c>
      <c r="BR34" s="25">
        <f>Tabla1[[#This Row],[CONSUMO PROMEDIO PROPIO]]+Tabla1[[#This Row],[CONSUMO PROMEDIO TODAS]]</f>
        <v>0</v>
      </c>
      <c r="BS34" s="26">
        <f>Tabla1[[#This Row],[CONSUMO PROMEDIO TOTAL]]*(Tabla1[[#This Row],[FRECUENCIA]]+Tabla1[[#This Row],[TIEMPO REPOSICION BUFFERS]])</f>
        <v>0</v>
      </c>
      <c r="BT34" s="26">
        <v>0</v>
      </c>
      <c r="BU34" s="27">
        <v>1</v>
      </c>
      <c r="BV34" s="27">
        <v>12</v>
      </c>
      <c r="BW34" s="27">
        <v>9</v>
      </c>
      <c r="BX34" s="69">
        <f>Tabla1[[#This Row],[BUFFER REAL]]*Tabla1[[#This Row],[COSTOS]]</f>
        <v>0</v>
      </c>
      <c r="BY34" s="69">
        <f>Tabla1[[#This Row],[PVP]]-Tabla1[[#This Row],[COSTOS]]</f>
        <v>2.31</v>
      </c>
      <c r="BZ34" s="69">
        <f>Tabla1[[#This Row],[PVD]]-Tabla1[[#This Row],[COSTOS]]</f>
        <v>1.5299999999999998</v>
      </c>
      <c r="CA34" s="69">
        <f>Tabla1[[#This Row],[TRUPUD UNITARIO PVP]]</f>
        <v>2.31</v>
      </c>
      <c r="CB34" s="68">
        <f>Tabla1[[#This Row],[TRUPUT UNITARIO]]/Tabla1[[#This Row],[COSTOS]]</f>
        <v>0.79930795847750868</v>
      </c>
      <c r="CC34" s="71">
        <f>Tabla1[[#This Row],[BUFFER REAL]]/((Tabla1[[#This Row],[TIEMPO REPOSICION BUFFERS]])/1.5)</f>
        <v>0</v>
      </c>
      <c r="CD34" s="68">
        <f>Tabla1[[#This Row],[CONSUMO ESTIMADO]]*52*Tabla1[[#This Row],[TRUPUT UNITARIO]]</f>
        <v>0</v>
      </c>
      <c r="CE34" s="68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34" s="68">
        <f>Tabla1[[#This Row],[INVERSION UNIDADES]]*Tabla1[[#This Row],[COSTOS]]</f>
        <v>0</v>
      </c>
      <c r="CG34" s="68" t="e">
        <f>Tabla1[[#This Row],[TRUPUT TOTAL ESTIMADO ANUAL]]/Tabla1[[#This Row],[INVERSION USD]]</f>
        <v>#DIV/0!</v>
      </c>
      <c r="CH34" s="27"/>
      <c r="CI34" s="27"/>
      <c r="CJ34" s="27"/>
      <c r="CK34" s="27"/>
    </row>
    <row r="35" spans="1:89">
      <c r="A35" s="7" t="s">
        <v>738</v>
      </c>
      <c r="B35" s="7" t="s">
        <v>762</v>
      </c>
      <c r="C35" s="7" t="s">
        <v>745</v>
      </c>
      <c r="D35" s="7" t="s">
        <v>712</v>
      </c>
      <c r="E35" s="7" t="s">
        <v>732</v>
      </c>
      <c r="F35" s="7" t="s">
        <v>724</v>
      </c>
      <c r="G35" s="7" t="s">
        <v>729</v>
      </c>
      <c r="H35" s="13">
        <v>840</v>
      </c>
      <c r="I35" s="13">
        <f>+H35*85%</f>
        <v>714</v>
      </c>
      <c r="J35" s="13">
        <v>513.13</v>
      </c>
      <c r="K35" s="7">
        <v>16</v>
      </c>
      <c r="L35" s="7">
        <v>4</v>
      </c>
      <c r="BM35" s="13">
        <v>0</v>
      </c>
      <c r="BN35" s="13">
        <f>Tabla1[[#This Row],[CONSUMO TOTAL PROPIO]]/52</f>
        <v>0</v>
      </c>
      <c r="BO35" s="13" t="e">
        <f>SUM(Tabla3[[#This Row],[CONSUMO TOTAL V]]+Tabla2[[#This Row],[CONSUMO TOTAL VALORES]]+#REF!+#REF!)</f>
        <v>#REF!</v>
      </c>
      <c r="BP35" s="31">
        <v>0</v>
      </c>
      <c r="BQ35" s="13">
        <f>Tabla1[[#This Row],[CONSUMO TOTAL TODAS]]/52</f>
        <v>0</v>
      </c>
      <c r="BR35" s="25">
        <f>Tabla1[[#This Row],[CONSUMO PROMEDIO PROPIO]]+Tabla1[[#This Row],[CONSUMO PROMEDIO TODAS]]</f>
        <v>0</v>
      </c>
      <c r="BS35" s="26">
        <f>Tabla1[[#This Row],[CONSUMO PROMEDIO TOTAL]]*(Tabla1[[#This Row],[FRECUENCIA]]+Tabla1[[#This Row],[TIEMPO REPOSICION BUFFERS]])</f>
        <v>0</v>
      </c>
      <c r="BT35" s="26">
        <v>4</v>
      </c>
      <c r="BU35" s="27">
        <v>1</v>
      </c>
      <c r="BV35" s="27">
        <v>12</v>
      </c>
      <c r="BW35" s="27">
        <v>9</v>
      </c>
      <c r="BX35" s="69">
        <f>Tabla1[[#This Row],[BUFFER REAL]]*Tabla1[[#This Row],[COSTOS]]</f>
        <v>2052.52</v>
      </c>
      <c r="BY35" s="69">
        <f>Tabla1[[#This Row],[PVP]]-Tabla1[[#This Row],[COSTOS]]</f>
        <v>326.87</v>
      </c>
      <c r="BZ35" s="69">
        <f>Tabla1[[#This Row],[PVD]]-Tabla1[[#This Row],[COSTOS]]</f>
        <v>200.87</v>
      </c>
      <c r="CA35" s="69">
        <f>Tabla1[[#This Row],[TRUPUD UNITARIO PVP]]</f>
        <v>326.87</v>
      </c>
      <c r="CB35" s="68">
        <f>Tabla1[[#This Row],[TRUPUT UNITARIO]]/Tabla1[[#This Row],[COSTOS]]</f>
        <v>0.63701206321984682</v>
      </c>
      <c r="CC35" s="71">
        <f>Tabla1[[#This Row],[BUFFER REAL]]/((Tabla1[[#This Row],[TIEMPO REPOSICION BUFFERS]])/1.5)</f>
        <v>1.5</v>
      </c>
      <c r="CD35" s="68">
        <f>Tabla1[[#This Row],[CONSUMO ESTIMADO]]*52*Tabla1[[#This Row],[TRUPUT UNITARIO]]</f>
        <v>25495.86</v>
      </c>
      <c r="CE35" s="68">
        <f>Tabla1[[#This Row],[CONSUMO ESTIMADO]]*(Tabla1[[#This Row],[TIEMPO REPOSICION BUFFERS]]*1.5)+( Tabla1[[#This Row],[TRUPUT TOTAL ESTIMADO ANUAL]]*(Tabla1[[#This Row],[CRÉDITO CLIENTE]]-Tabla1[[#This Row],[CREDITO PROVEEDOR]]))</f>
        <v>-76478.58</v>
      </c>
      <c r="CF35" s="68">
        <f>Tabla1[[#This Row],[INVERSION UNIDADES]]*Tabla1[[#This Row],[COSTOS]]</f>
        <v>-39243453.755400002</v>
      </c>
      <c r="CG35" s="68">
        <f>Tabla1[[#This Row],[TRUPUT TOTAL ESTIMADO ANUAL]]/Tabla1[[#This Row],[INVERSION USD]]</f>
        <v>-6.4968440746609112E-4</v>
      </c>
      <c r="CH35" s="27"/>
      <c r="CI35" s="27"/>
      <c r="CJ35" s="27"/>
      <c r="CK35" s="27"/>
    </row>
    <row r="36" spans="1:89">
      <c r="A36" s="7" t="s">
        <v>737</v>
      </c>
      <c r="B36" s="7" t="s">
        <v>763</v>
      </c>
      <c r="C36" s="7" t="s">
        <v>681</v>
      </c>
      <c r="D36" s="7" t="s">
        <v>712</v>
      </c>
      <c r="E36" s="7" t="s">
        <v>732</v>
      </c>
      <c r="F36" s="7" t="s">
        <v>724</v>
      </c>
      <c r="G36" s="7" t="s">
        <v>729</v>
      </c>
      <c r="H36" s="13">
        <v>171</v>
      </c>
      <c r="I36" s="13">
        <f>+H36*85%</f>
        <v>145.35</v>
      </c>
      <c r="J36" s="13">
        <v>99.41</v>
      </c>
      <c r="K36" s="7">
        <v>16</v>
      </c>
      <c r="L36" s="7">
        <v>4</v>
      </c>
      <c r="BM36" s="13">
        <v>0</v>
      </c>
      <c r="BN36" s="13">
        <f>Tabla1[[#This Row],[CONSUMO TOTAL PROPIO]]/52</f>
        <v>0</v>
      </c>
      <c r="BO36" s="13" t="e">
        <f>SUM(Tabla3[[#This Row],[CONSUMO TOTAL V]]+Tabla2[[#This Row],[CONSUMO TOTAL VALORES]]+#REF!+#REF!)</f>
        <v>#REF!</v>
      </c>
      <c r="BP36" s="31">
        <v>0</v>
      </c>
      <c r="BQ36" s="13">
        <f>Tabla1[[#This Row],[CONSUMO TOTAL TODAS]]/52</f>
        <v>0</v>
      </c>
      <c r="BR36" s="25">
        <f>Tabla1[[#This Row],[CONSUMO PROMEDIO PROPIO]]+Tabla1[[#This Row],[CONSUMO PROMEDIO TODAS]]</f>
        <v>0</v>
      </c>
      <c r="BS36" s="26">
        <f>Tabla1[[#This Row],[CONSUMO PROMEDIO TOTAL]]*(Tabla1[[#This Row],[FRECUENCIA]]+Tabla1[[#This Row],[TIEMPO REPOSICION BUFFERS]])</f>
        <v>0</v>
      </c>
      <c r="BT36" s="26">
        <v>12</v>
      </c>
      <c r="BU36" s="27">
        <v>1</v>
      </c>
      <c r="BV36" s="27">
        <v>12</v>
      </c>
      <c r="BW36" s="27">
        <v>9</v>
      </c>
      <c r="BX36" s="69">
        <f>Tabla1[[#This Row],[BUFFER REAL]]*Tabla1[[#This Row],[COSTOS]]</f>
        <v>1192.92</v>
      </c>
      <c r="BY36" s="69">
        <f>Tabla1[[#This Row],[PVP]]-Tabla1[[#This Row],[COSTOS]]</f>
        <v>71.59</v>
      </c>
      <c r="BZ36" s="69">
        <f>Tabla1[[#This Row],[PVD]]-Tabla1[[#This Row],[COSTOS]]</f>
        <v>45.94</v>
      </c>
      <c r="CA36" s="69">
        <f>Tabla1[[#This Row],[TRUPUD UNITARIO PVP]]</f>
        <v>71.59</v>
      </c>
      <c r="CB36" s="68">
        <f>Tabla1[[#This Row],[TRUPUT UNITARIO]]/Tabla1[[#This Row],[COSTOS]]</f>
        <v>0.72014887838245656</v>
      </c>
      <c r="CC36" s="71">
        <f>Tabla1[[#This Row],[BUFFER REAL]]/((Tabla1[[#This Row],[TIEMPO REPOSICION BUFFERS]])/1.5)</f>
        <v>4.5</v>
      </c>
      <c r="CD36" s="68">
        <f>Tabla1[[#This Row],[CONSUMO ESTIMADO]]*52*Tabla1[[#This Row],[TRUPUT UNITARIO]]</f>
        <v>16752.060000000001</v>
      </c>
      <c r="CE36" s="68">
        <f>Tabla1[[#This Row],[CONSUMO ESTIMADO]]*(Tabla1[[#This Row],[TIEMPO REPOSICION BUFFERS]]*1.5)+( Tabla1[[#This Row],[TRUPUT TOTAL ESTIMADO ANUAL]]*(Tabla1[[#This Row],[CRÉDITO CLIENTE]]-Tabla1[[#This Row],[CREDITO PROVEEDOR]]))</f>
        <v>-50229.180000000008</v>
      </c>
      <c r="CF36" s="68">
        <f>Tabla1[[#This Row],[INVERSION UNIDADES]]*Tabla1[[#This Row],[COSTOS]]</f>
        <v>-4993282.7838000003</v>
      </c>
      <c r="CG36" s="68">
        <f>Tabla1[[#This Row],[TRUPUT TOTAL ESTIMADO ANUAL]]/Tabla1[[#This Row],[INVERSION USD]]</f>
        <v>-3.3549191434440063E-3</v>
      </c>
      <c r="CH36" s="27"/>
      <c r="CI36" s="27"/>
      <c r="CJ36" s="27"/>
      <c r="CK36" s="27"/>
    </row>
    <row r="37" spans="1:89">
      <c r="A37" s="7" t="s">
        <v>742</v>
      </c>
      <c r="B37" s="7" t="s">
        <v>764</v>
      </c>
      <c r="C37" s="7" t="s">
        <v>676</v>
      </c>
      <c r="D37" s="7" t="s">
        <v>712</v>
      </c>
      <c r="E37" s="7" t="s">
        <v>732</v>
      </c>
      <c r="F37" s="7" t="s">
        <v>724</v>
      </c>
      <c r="G37" s="7" t="s">
        <v>729</v>
      </c>
      <c r="H37" s="13">
        <v>49.8</v>
      </c>
      <c r="I37" s="13">
        <f>+H37*85%</f>
        <v>42.33</v>
      </c>
      <c r="J37" s="13">
        <v>27.4</v>
      </c>
      <c r="K37" s="7">
        <v>16</v>
      </c>
      <c r="L37" s="7">
        <v>4</v>
      </c>
      <c r="BM37" s="13">
        <v>0</v>
      </c>
      <c r="BN37" s="13">
        <f>Tabla1[[#This Row],[CONSUMO TOTAL PROPIO]]/52</f>
        <v>0</v>
      </c>
      <c r="BO37" s="13" t="e">
        <f>SUM(Tabla3[[#This Row],[CONSUMO TOTAL V]]+Tabla2[[#This Row],[CONSUMO TOTAL VALORES]]+#REF!+#REF!)</f>
        <v>#REF!</v>
      </c>
      <c r="BP37" s="31">
        <v>0</v>
      </c>
      <c r="BQ37" s="13">
        <f>Tabla1[[#This Row],[CONSUMO TOTAL TODAS]]/52</f>
        <v>0</v>
      </c>
      <c r="BR37" s="25">
        <f>Tabla1[[#This Row],[CONSUMO PROMEDIO PROPIO]]+Tabla1[[#This Row],[CONSUMO PROMEDIO TODAS]]</f>
        <v>0</v>
      </c>
      <c r="BS37" s="26">
        <f>Tabla1[[#This Row],[CONSUMO PROMEDIO TOTAL]]*(Tabla1[[#This Row],[FRECUENCIA]]+Tabla1[[#This Row],[TIEMPO REPOSICION BUFFERS]])</f>
        <v>0</v>
      </c>
      <c r="BT37" s="26">
        <v>100</v>
      </c>
      <c r="BU37" s="27">
        <v>1</v>
      </c>
      <c r="BV37" s="27">
        <v>12</v>
      </c>
      <c r="BW37" s="27">
        <v>9</v>
      </c>
      <c r="BX37" s="69">
        <f>Tabla1[[#This Row],[BUFFER REAL]]*Tabla1[[#This Row],[COSTOS]]</f>
        <v>2740</v>
      </c>
      <c r="BY37" s="69">
        <f>Tabla1[[#This Row],[PVP]]-Tabla1[[#This Row],[COSTOS]]</f>
        <v>22.4</v>
      </c>
      <c r="BZ37" s="69">
        <f>Tabla1[[#This Row],[PVD]]-Tabla1[[#This Row],[COSTOS]]</f>
        <v>14.93</v>
      </c>
      <c r="CA37" s="69">
        <f>Tabla1[[#This Row],[TRUPUD UNITARIO PVP]]</f>
        <v>22.4</v>
      </c>
      <c r="CB37" s="68">
        <f>Tabla1[[#This Row],[TRUPUT UNITARIO]]/Tabla1[[#This Row],[COSTOS]]</f>
        <v>0.81751824817518248</v>
      </c>
      <c r="CC37" s="71">
        <f>Tabla1[[#This Row],[BUFFER REAL]]/((Tabla1[[#This Row],[TIEMPO REPOSICION BUFFERS]])/1.5)</f>
        <v>37.5</v>
      </c>
      <c r="CD37" s="68">
        <f>Tabla1[[#This Row],[CONSUMO ESTIMADO]]*52*Tabla1[[#This Row],[TRUPUT UNITARIO]]</f>
        <v>43680</v>
      </c>
      <c r="CE37" s="68">
        <f>Tabla1[[#This Row],[CONSUMO ESTIMADO]]*(Tabla1[[#This Row],[TIEMPO REPOSICION BUFFERS]]*1.5)+( Tabla1[[#This Row],[TRUPUT TOTAL ESTIMADO ANUAL]]*(Tabla1[[#This Row],[CRÉDITO CLIENTE]]-Tabla1[[#This Row],[CREDITO PROVEEDOR]]))</f>
        <v>-130815</v>
      </c>
      <c r="CF37" s="68">
        <f>Tabla1[[#This Row],[INVERSION UNIDADES]]*Tabla1[[#This Row],[COSTOS]]</f>
        <v>-3584331</v>
      </c>
      <c r="CG37" s="68">
        <f>Tabla1[[#This Row],[TRUPUT TOTAL ESTIMADO ANUAL]]/Tabla1[[#This Row],[INVERSION USD]]</f>
        <v>-1.2186374528468493E-2</v>
      </c>
      <c r="CH37" s="27"/>
      <c r="CI37" s="27"/>
      <c r="CJ37" s="27"/>
      <c r="CK37" s="27"/>
    </row>
    <row r="38" spans="1:89">
      <c r="A38" s="7" t="s">
        <v>162</v>
      </c>
      <c r="B38" s="7" t="s">
        <v>163</v>
      </c>
      <c r="C38" s="7" t="s">
        <v>682</v>
      </c>
      <c r="D38" s="7" t="s">
        <v>712</v>
      </c>
      <c r="E38" s="7" t="s">
        <v>715</v>
      </c>
      <c r="F38" s="7" t="s">
        <v>724</v>
      </c>
      <c r="G38" s="7" t="s">
        <v>729</v>
      </c>
      <c r="H38" s="13">
        <v>5.7</v>
      </c>
      <c r="I38" s="13">
        <f>Tabla1[[#This Row],[PVP]]*74%</f>
        <v>4.218</v>
      </c>
      <c r="J38" s="13">
        <v>1.7667200000000001</v>
      </c>
      <c r="K38" s="7">
        <v>8</v>
      </c>
      <c r="L38" s="7">
        <v>4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0</v>
      </c>
      <c r="U38" s="7">
        <v>0</v>
      </c>
      <c r="V38" s="7">
        <v>0</v>
      </c>
      <c r="W38" s="7">
        <v>0</v>
      </c>
      <c r="X38" s="7">
        <v>0</v>
      </c>
      <c r="Y38" s="7">
        <v>0</v>
      </c>
      <c r="Z38" s="7">
        <v>3</v>
      </c>
      <c r="AA38" s="7">
        <v>3</v>
      </c>
      <c r="AB38" s="7">
        <v>0</v>
      </c>
      <c r="AC38" s="7">
        <v>0</v>
      </c>
      <c r="AD38" s="7">
        <v>0</v>
      </c>
      <c r="AE38" s="7">
        <v>1</v>
      </c>
      <c r="AF38" s="7">
        <v>142</v>
      </c>
      <c r="AG38" s="7">
        <v>6</v>
      </c>
      <c r="AH38" s="7">
        <v>0</v>
      </c>
      <c r="AI38" s="7">
        <v>0</v>
      </c>
      <c r="AJ38" s="7">
        <v>0</v>
      </c>
      <c r="AK38" s="7">
        <v>0</v>
      </c>
      <c r="AL38" s="7">
        <v>0</v>
      </c>
      <c r="AM38" s="7">
        <v>30</v>
      </c>
      <c r="AN38" s="7">
        <v>0</v>
      </c>
      <c r="AO38" s="7">
        <v>0</v>
      </c>
      <c r="AP38" s="7">
        <v>0</v>
      </c>
      <c r="AQ38" s="7">
        <v>0</v>
      </c>
      <c r="AR38" s="7">
        <v>0</v>
      </c>
      <c r="AS38" s="7">
        <v>0</v>
      </c>
      <c r="AT38" s="7">
        <v>13</v>
      </c>
      <c r="AU38" s="7">
        <v>0</v>
      </c>
      <c r="AV38" s="7">
        <v>0</v>
      </c>
      <c r="AW38" s="7">
        <v>0</v>
      </c>
      <c r="AX38" s="7">
        <v>7</v>
      </c>
      <c r="AY38" s="7">
        <v>0</v>
      </c>
      <c r="AZ38" s="7">
        <v>0</v>
      </c>
      <c r="BA38" s="7">
        <v>0</v>
      </c>
      <c r="BB38" s="7">
        <v>0</v>
      </c>
      <c r="BC38" s="7">
        <v>0</v>
      </c>
      <c r="BD38" s="7">
        <v>0</v>
      </c>
      <c r="BE38" s="7">
        <v>0</v>
      </c>
      <c r="BF38" s="7">
        <v>0</v>
      </c>
      <c r="BG38" s="7">
        <v>6</v>
      </c>
      <c r="BH38" s="7">
        <v>0</v>
      </c>
      <c r="BI38" s="7">
        <v>0</v>
      </c>
      <c r="BJ38" s="7">
        <v>0</v>
      </c>
      <c r="BK38" s="7">
        <v>6</v>
      </c>
      <c r="BL38" s="7">
        <v>34</v>
      </c>
      <c r="BM38" s="13">
        <v>251</v>
      </c>
      <c r="BN38" s="13">
        <f>Tabla1[[#This Row],[CONSUMO TOTAL PROPIO]]/52</f>
        <v>4.8269230769230766</v>
      </c>
      <c r="BO38" s="13" t="e">
        <f>SUM(Tabla3[[#This Row],[CONSUMO TOTAL V]]+Tabla2[[#This Row],[CONSUMO TOTAL VALORES]]+#REF!+#REF!)</f>
        <v>#REF!</v>
      </c>
      <c r="BP38" s="31">
        <v>43</v>
      </c>
      <c r="BQ38" s="13">
        <f>Tabla1[[#This Row],[CONSUMO TOTAL TODAS]]/52</f>
        <v>0.82692307692307687</v>
      </c>
      <c r="BR38" s="25">
        <f>Tabla1[[#This Row],[CONSUMO PROMEDIO PROPIO]]+Tabla1[[#This Row],[CONSUMO PROMEDIO TODAS]]</f>
        <v>5.6538461538461533</v>
      </c>
      <c r="BS38" s="26">
        <f>Tabla1[[#This Row],[CONSUMO PROMEDIO TOTAL]]*(Tabla1[[#This Row],[FRECUENCIA]]+Tabla1[[#This Row],[TIEMPO REPOSICION BUFFERS]])</f>
        <v>67.84615384615384</v>
      </c>
      <c r="BT38" s="26">
        <v>100</v>
      </c>
      <c r="BU38" s="27">
        <v>1</v>
      </c>
      <c r="BV38" s="27">
        <v>16</v>
      </c>
      <c r="BW38" s="27">
        <v>16</v>
      </c>
      <c r="BX38" s="69">
        <f>Tabla1[[#This Row],[BUFFER REAL]]*Tabla1[[#This Row],[COSTOS]]</f>
        <v>176.672</v>
      </c>
      <c r="BY38" s="69">
        <f>Tabla1[[#This Row],[PVP]]-Tabla1[[#This Row],[COSTOS]]</f>
        <v>3.9332799999999999</v>
      </c>
      <c r="BZ38" s="69">
        <f>Tabla1[[#This Row],[PVD]]-Tabla1[[#This Row],[COSTOS]]</f>
        <v>2.4512799999999997</v>
      </c>
      <c r="CA38" s="25">
        <f>Tabla1[[#This Row],[TRUPUD UNTITARIO PVD]]</f>
        <v>2.4512799999999997</v>
      </c>
      <c r="CB38" s="25">
        <f>Tabla1[[#This Row],[TRUPUT UNITARIO]]/Tabla1[[#This Row],[COSTOS]]</f>
        <v>1.3874750950914687</v>
      </c>
      <c r="CC38" s="40">
        <f>Tabla1[[#This Row],[BUFFER REAL]]/((Tabla1[[#This Row],[TIEMPO REPOSICION BUFFERS]])/1.5)</f>
        <v>37.5</v>
      </c>
      <c r="CD38" s="69">
        <f>Tabla1[[#This Row],[CONSUMO ESTIMADO]]*52*Tabla1[[#This Row],[TRUPUT UNITARIO]]</f>
        <v>4779.9959999999992</v>
      </c>
      <c r="CE38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38" s="25">
        <f>Tabla1[[#This Row],[INVERSION UNIDADES]]*Tabla1[[#This Row],[COSTOS]]</f>
        <v>397.512</v>
      </c>
      <c r="CG38" s="25">
        <f>Tabla1[[#This Row],[TRUPUT TOTAL ESTIMADO ANUAL]]/Tabla1[[#This Row],[INVERSION USD]]</f>
        <v>12.024784157459395</v>
      </c>
      <c r="CH38" s="27"/>
      <c r="CI38" s="27"/>
      <c r="CJ38" s="27"/>
      <c r="CK38" s="27"/>
    </row>
    <row r="39" spans="1:89">
      <c r="A39" s="7" t="s">
        <v>164</v>
      </c>
      <c r="B39" s="7" t="s">
        <v>165</v>
      </c>
      <c r="C39" s="7" t="s">
        <v>682</v>
      </c>
      <c r="D39" s="7" t="s">
        <v>712</v>
      </c>
      <c r="E39" s="7" t="s">
        <v>715</v>
      </c>
      <c r="F39" s="7" t="s">
        <v>724</v>
      </c>
      <c r="G39" s="7" t="s">
        <v>729</v>
      </c>
      <c r="H39" s="13">
        <v>10.69</v>
      </c>
      <c r="I39" s="13">
        <f>Tabla1[[#This Row],[PVP]]*74%</f>
        <v>7.9105999999999996</v>
      </c>
      <c r="J39" s="13">
        <v>5.3186400000000003</v>
      </c>
      <c r="K39" s="7">
        <v>8</v>
      </c>
      <c r="L39" s="7">
        <v>4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0</v>
      </c>
      <c r="U39" s="7">
        <v>0</v>
      </c>
      <c r="V39" s="7">
        <v>0</v>
      </c>
      <c r="W39" s="7">
        <v>0</v>
      </c>
      <c r="X39" s="7">
        <v>0</v>
      </c>
      <c r="Y39" s="7">
        <v>0</v>
      </c>
      <c r="Z39" s="7">
        <v>0</v>
      </c>
      <c r="AA39" s="7">
        <v>13</v>
      </c>
      <c r="AB39" s="7">
        <v>0</v>
      </c>
      <c r="AC39" s="7">
        <v>0</v>
      </c>
      <c r="AD39" s="7">
        <v>0</v>
      </c>
      <c r="AE39" s="7">
        <v>0</v>
      </c>
      <c r="AF39" s="7">
        <v>0</v>
      </c>
      <c r="AG39" s="7">
        <v>0</v>
      </c>
      <c r="AH39" s="7">
        <v>0</v>
      </c>
      <c r="AI39" s="7">
        <v>0</v>
      </c>
      <c r="AJ39" s="7">
        <v>0</v>
      </c>
      <c r="AK39" s="7">
        <v>0</v>
      </c>
      <c r="AL39" s="7">
        <v>0</v>
      </c>
      <c r="AM39" s="7">
        <v>0</v>
      </c>
      <c r="AN39" s="7">
        <v>0</v>
      </c>
      <c r="AO39" s="7">
        <v>0</v>
      </c>
      <c r="AP39" s="7">
        <v>0</v>
      </c>
      <c r="AQ39" s="7">
        <v>0</v>
      </c>
      <c r="AR39" s="7">
        <v>0</v>
      </c>
      <c r="AS39" s="7">
        <v>0</v>
      </c>
      <c r="AT39" s="7">
        <v>0</v>
      </c>
      <c r="AU39" s="7">
        <v>6</v>
      </c>
      <c r="AV39" s="7">
        <v>0</v>
      </c>
      <c r="AW39" s="7">
        <v>0</v>
      </c>
      <c r="AX39" s="7">
        <v>0</v>
      </c>
      <c r="AY39" s="7">
        <v>0</v>
      </c>
      <c r="AZ39" s="7">
        <v>0</v>
      </c>
      <c r="BA39" s="7">
        <v>0</v>
      </c>
      <c r="BB39" s="7">
        <v>0</v>
      </c>
      <c r="BC39" s="7">
        <v>0</v>
      </c>
      <c r="BD39" s="7">
        <v>0</v>
      </c>
      <c r="BE39" s="7">
        <v>0</v>
      </c>
      <c r="BF39" s="7">
        <v>0</v>
      </c>
      <c r="BG39" s="7">
        <v>0</v>
      </c>
      <c r="BH39" s="7">
        <v>0</v>
      </c>
      <c r="BI39" s="7">
        <v>0</v>
      </c>
      <c r="BJ39" s="7">
        <v>0</v>
      </c>
      <c r="BK39" s="7">
        <v>0</v>
      </c>
      <c r="BL39" s="7">
        <v>0</v>
      </c>
      <c r="BM39" s="13">
        <v>19</v>
      </c>
      <c r="BN39" s="13">
        <f>Tabla1[[#This Row],[CONSUMO TOTAL PROPIO]]/52</f>
        <v>0.36538461538461536</v>
      </c>
      <c r="BO39" s="13" t="e">
        <f>SUM(Tabla3[[#This Row],[CONSUMO TOTAL V]]+Tabla2[[#This Row],[CONSUMO TOTAL VALORES]]+#REF!+#REF!)</f>
        <v>#REF!</v>
      </c>
      <c r="BP39" s="31">
        <v>2</v>
      </c>
      <c r="BQ39" s="13">
        <f>Tabla1[[#This Row],[CONSUMO TOTAL TODAS]]/52</f>
        <v>3.8461538461538464E-2</v>
      </c>
      <c r="BR39" s="25">
        <f>Tabla1[[#This Row],[CONSUMO PROMEDIO PROPIO]]+Tabla1[[#This Row],[CONSUMO PROMEDIO TODAS]]</f>
        <v>0.40384615384615385</v>
      </c>
      <c r="BS39" s="26">
        <f>Tabla1[[#This Row],[CONSUMO PROMEDIO TOTAL]]*(Tabla1[[#This Row],[FRECUENCIA]]+Tabla1[[#This Row],[TIEMPO REPOSICION BUFFERS]])</f>
        <v>4.8461538461538467</v>
      </c>
      <c r="BT39" s="26">
        <v>0</v>
      </c>
      <c r="BU39" s="27">
        <v>1</v>
      </c>
      <c r="BV39" s="27">
        <v>16</v>
      </c>
      <c r="BW39" s="27">
        <v>16</v>
      </c>
      <c r="BX39" s="69">
        <f>Tabla1[[#This Row],[BUFFER REAL]]*Tabla1[[#This Row],[COSTOS]]</f>
        <v>0</v>
      </c>
      <c r="BY39" s="69">
        <f>Tabla1[[#This Row],[PVP]]-Tabla1[[#This Row],[COSTOS]]</f>
        <v>5.3713599999999992</v>
      </c>
      <c r="BZ39" s="69">
        <f>Tabla1[[#This Row],[PVD]]-Tabla1[[#This Row],[COSTOS]]</f>
        <v>2.5919599999999994</v>
      </c>
      <c r="CA39" s="25">
        <f>Tabla1[[#This Row],[TRUPUD UNTITARIO PVD]]</f>
        <v>2.5919599999999994</v>
      </c>
      <c r="CB39" s="25">
        <f>Tabla1[[#This Row],[TRUPUT UNITARIO]]/Tabla1[[#This Row],[COSTOS]]</f>
        <v>0.48733510822315468</v>
      </c>
      <c r="CC39" s="40">
        <f>Tabla1[[#This Row],[BUFFER REAL]]/((Tabla1[[#This Row],[TIEMPO REPOSICION BUFFERS]])/1.5)</f>
        <v>0</v>
      </c>
      <c r="CD39" s="69">
        <f>Tabla1[[#This Row],[CONSUMO ESTIMADO]]*52*Tabla1[[#This Row],[TRUPUT UNITARIO]]</f>
        <v>0</v>
      </c>
      <c r="CE39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39" s="25">
        <f>Tabla1[[#This Row],[INVERSION UNIDADES]]*Tabla1[[#This Row],[COSTOS]]</f>
        <v>0</v>
      </c>
      <c r="CG39" s="25" t="e">
        <f>Tabla1[[#This Row],[TRUPUT TOTAL ESTIMADO ANUAL]]/Tabla1[[#This Row],[INVERSION USD]]</f>
        <v>#DIV/0!</v>
      </c>
      <c r="CH39" s="27"/>
      <c r="CI39" s="27"/>
      <c r="CJ39" s="27"/>
      <c r="CK39" s="27"/>
    </row>
    <row r="40" spans="1:89">
      <c r="A40" s="7" t="s">
        <v>166</v>
      </c>
      <c r="B40" s="7" t="s">
        <v>167</v>
      </c>
      <c r="C40" s="7" t="s">
        <v>676</v>
      </c>
      <c r="D40" s="7" t="s">
        <v>712</v>
      </c>
      <c r="E40" s="7" t="s">
        <v>715</v>
      </c>
      <c r="F40" s="7" t="s">
        <v>724</v>
      </c>
      <c r="G40" s="7" t="s">
        <v>729</v>
      </c>
      <c r="H40" s="13">
        <v>20.49</v>
      </c>
      <c r="I40" s="13">
        <f>Tabla1[[#This Row],[PVP]]*74%</f>
        <v>15.162599999999999</v>
      </c>
      <c r="J40" s="13">
        <v>7.0758799999999997</v>
      </c>
      <c r="K40" s="7">
        <v>8</v>
      </c>
      <c r="L40" s="7">
        <v>4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0</v>
      </c>
      <c r="U40" s="7">
        <v>0</v>
      </c>
      <c r="V40" s="7">
        <v>0</v>
      </c>
      <c r="W40" s="7">
        <v>0</v>
      </c>
      <c r="X40" s="7">
        <v>0</v>
      </c>
      <c r="Y40" s="7">
        <v>3</v>
      </c>
      <c r="Z40" s="7">
        <v>0</v>
      </c>
      <c r="AA40" s="7">
        <v>0</v>
      </c>
      <c r="AB40" s="7">
        <v>1</v>
      </c>
      <c r="AC40" s="7">
        <v>0</v>
      </c>
      <c r="AD40" s="7">
        <v>0</v>
      </c>
      <c r="AE40" s="7">
        <v>5</v>
      </c>
      <c r="AF40" s="7">
        <v>5</v>
      </c>
      <c r="AG40" s="7">
        <v>2</v>
      </c>
      <c r="AH40" s="7">
        <v>0</v>
      </c>
      <c r="AI40" s="7">
        <v>0</v>
      </c>
      <c r="AJ40" s="7">
        <v>0</v>
      </c>
      <c r="AK40" s="7">
        <v>20</v>
      </c>
      <c r="AL40" s="7">
        <v>0</v>
      </c>
      <c r="AM40" s="7">
        <v>0</v>
      </c>
      <c r="AN40" s="7">
        <v>0</v>
      </c>
      <c r="AO40" s="7">
        <v>0</v>
      </c>
      <c r="AP40" s="7">
        <v>2</v>
      </c>
      <c r="AQ40" s="7">
        <v>0</v>
      </c>
      <c r="AR40" s="7">
        <v>0</v>
      </c>
      <c r="AS40" s="7">
        <v>0</v>
      </c>
      <c r="AT40" s="7">
        <v>20</v>
      </c>
      <c r="AU40" s="7">
        <v>0</v>
      </c>
      <c r="AV40" s="7">
        <v>0</v>
      </c>
      <c r="AW40" s="7">
        <v>0</v>
      </c>
      <c r="AX40" s="7">
        <v>0</v>
      </c>
      <c r="AY40" s="7">
        <v>36</v>
      </c>
      <c r="AZ40" s="7">
        <v>0</v>
      </c>
      <c r="BA40" s="7">
        <v>0</v>
      </c>
      <c r="BB40" s="7">
        <v>0</v>
      </c>
      <c r="BC40" s="7">
        <v>1</v>
      </c>
      <c r="BD40" s="7">
        <v>1</v>
      </c>
      <c r="BE40" s="7">
        <v>0</v>
      </c>
      <c r="BF40" s="7">
        <v>0</v>
      </c>
      <c r="BG40" s="7">
        <v>0</v>
      </c>
      <c r="BH40" s="7">
        <v>0</v>
      </c>
      <c r="BI40" s="7">
        <v>0</v>
      </c>
      <c r="BJ40" s="7">
        <v>8</v>
      </c>
      <c r="BK40" s="7">
        <v>0</v>
      </c>
      <c r="BL40" s="7">
        <v>0</v>
      </c>
      <c r="BM40" s="13">
        <v>104</v>
      </c>
      <c r="BN40" s="13">
        <f>Tabla1[[#This Row],[CONSUMO TOTAL PROPIO]]/52</f>
        <v>2</v>
      </c>
      <c r="BO40" s="13" t="e">
        <f>SUM(Tabla3[[#This Row],[CONSUMO TOTAL V]]+Tabla2[[#This Row],[CONSUMO TOTAL VALORES]]+#REF!+#REF!)</f>
        <v>#REF!</v>
      </c>
      <c r="BP40" s="31">
        <v>8</v>
      </c>
      <c r="BQ40" s="13">
        <f>Tabla1[[#This Row],[CONSUMO TOTAL TODAS]]/52</f>
        <v>0.15384615384615385</v>
      </c>
      <c r="BR40" s="25">
        <f>Tabla1[[#This Row],[CONSUMO PROMEDIO PROPIO]]+Tabla1[[#This Row],[CONSUMO PROMEDIO TODAS]]</f>
        <v>2.1538461538461537</v>
      </c>
      <c r="BS40" s="26">
        <f>Tabla1[[#This Row],[CONSUMO PROMEDIO TOTAL]]*(Tabla1[[#This Row],[FRECUENCIA]]+Tabla1[[#This Row],[TIEMPO REPOSICION BUFFERS]])</f>
        <v>25.846153846153847</v>
      </c>
      <c r="BT40" s="26">
        <v>40</v>
      </c>
      <c r="BU40" s="27">
        <v>1</v>
      </c>
      <c r="BV40" s="27">
        <v>16</v>
      </c>
      <c r="BW40" s="27">
        <v>16</v>
      </c>
      <c r="BX40" s="69">
        <f>Tabla1[[#This Row],[BUFFER REAL]]*Tabla1[[#This Row],[COSTOS]]</f>
        <v>283.03519999999997</v>
      </c>
      <c r="BY40" s="69">
        <f>Tabla1[[#This Row],[PVP]]-Tabla1[[#This Row],[COSTOS]]</f>
        <v>13.414119999999999</v>
      </c>
      <c r="BZ40" s="69">
        <f>Tabla1[[#This Row],[PVD]]-Tabla1[[#This Row],[COSTOS]]</f>
        <v>8.0867199999999997</v>
      </c>
      <c r="CA40" s="25">
        <f>Tabla1[[#This Row],[TRUPUD UNTITARIO PVD]]</f>
        <v>8.0867199999999997</v>
      </c>
      <c r="CB40" s="25">
        <f>Tabla1[[#This Row],[TRUPUT UNITARIO]]/Tabla1[[#This Row],[COSTOS]]</f>
        <v>1.1428571428571428</v>
      </c>
      <c r="CC40" s="40">
        <f>Tabla1[[#This Row],[BUFFER REAL]]/((Tabla1[[#This Row],[TIEMPO REPOSICION BUFFERS]])/1.5)</f>
        <v>15</v>
      </c>
      <c r="CD40" s="69">
        <f>Tabla1[[#This Row],[CONSUMO ESTIMADO]]*52*Tabla1[[#This Row],[TRUPUT UNITARIO]]</f>
        <v>6307.6415999999999</v>
      </c>
      <c r="CE40" s="25">
        <f>Tabla1[[#This Row],[CONSUMO ESTIMADO]]*(Tabla1[[#This Row],[TIEMPO REPOSICION BUFFERS]]*1.5)+( Tabla1[[#This Row],[TRUPUT TOTAL ESTIMADO ANUAL]]*(Tabla1[[#This Row],[CRÉDITO CLIENTE]]-Tabla1[[#This Row],[CREDITO PROVEEDOR]]))</f>
        <v>90</v>
      </c>
      <c r="CF40" s="25">
        <f>Tabla1[[#This Row],[INVERSION UNIDADES]]*Tabla1[[#This Row],[COSTOS]]</f>
        <v>636.82920000000001</v>
      </c>
      <c r="CG40" s="25">
        <f>Tabla1[[#This Row],[TRUPUT TOTAL ESTIMADO ANUAL]]/Tabla1[[#This Row],[INVERSION USD]]</f>
        <v>9.9047619047619051</v>
      </c>
      <c r="CH40" s="27"/>
      <c r="CI40" s="27"/>
      <c r="CJ40" s="27"/>
      <c r="CK40" s="27"/>
    </row>
    <row r="41" spans="1:89">
      <c r="A41" s="7" t="s">
        <v>209</v>
      </c>
      <c r="B41" s="7" t="s">
        <v>210</v>
      </c>
      <c r="C41" s="7" t="s">
        <v>694</v>
      </c>
      <c r="D41" s="7" t="s">
        <v>709</v>
      </c>
      <c r="E41" s="7" t="s">
        <v>719</v>
      </c>
      <c r="F41" s="7" t="s">
        <v>724</v>
      </c>
      <c r="G41" s="7" t="s">
        <v>729</v>
      </c>
      <c r="H41" s="13">
        <v>8.9</v>
      </c>
      <c r="I41" s="13">
        <f>Tabla1[[#This Row],[PVP]]*74%</f>
        <v>6.5860000000000003</v>
      </c>
      <c r="J41" s="13">
        <v>2.68</v>
      </c>
      <c r="K41" s="7">
        <v>26</v>
      </c>
      <c r="L41" s="7">
        <v>4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0</v>
      </c>
      <c r="U41" s="7">
        <v>0</v>
      </c>
      <c r="V41" s="7">
        <v>0</v>
      </c>
      <c r="W41" s="7">
        <v>0</v>
      </c>
      <c r="X41" s="7">
        <v>0</v>
      </c>
      <c r="Y41" s="7">
        <v>0</v>
      </c>
      <c r="Z41" s="7">
        <v>0</v>
      </c>
      <c r="AA41" s="7">
        <v>0</v>
      </c>
      <c r="AB41" s="7">
        <v>0</v>
      </c>
      <c r="AC41" s="7">
        <v>0</v>
      </c>
      <c r="AD41" s="7">
        <v>0</v>
      </c>
      <c r="AE41" s="7">
        <v>0</v>
      </c>
      <c r="AF41" s="7">
        <v>0</v>
      </c>
      <c r="AG41" s="7">
        <v>0</v>
      </c>
      <c r="AH41" s="7">
        <v>0</v>
      </c>
      <c r="AI41" s="7">
        <v>0</v>
      </c>
      <c r="AJ41" s="7">
        <v>0</v>
      </c>
      <c r="AK41" s="7">
        <v>0</v>
      </c>
      <c r="AL41" s="7">
        <v>0</v>
      </c>
      <c r="AM41" s="7">
        <v>0</v>
      </c>
      <c r="AN41" s="7">
        <v>0</v>
      </c>
      <c r="AO41" s="7">
        <v>0</v>
      </c>
      <c r="AP41" s="7">
        <v>0</v>
      </c>
      <c r="AQ41" s="7">
        <v>0</v>
      </c>
      <c r="AR41" s="7">
        <v>0</v>
      </c>
      <c r="AS41" s="7">
        <v>0</v>
      </c>
      <c r="AT41" s="7">
        <v>0</v>
      </c>
      <c r="AU41" s="7">
        <v>0</v>
      </c>
      <c r="AV41" s="7">
        <v>0</v>
      </c>
      <c r="AW41" s="7">
        <v>0</v>
      </c>
      <c r="AX41" s="7">
        <v>0</v>
      </c>
      <c r="AY41" s="7">
        <v>0</v>
      </c>
      <c r="AZ41" s="7">
        <v>0</v>
      </c>
      <c r="BA41" s="7">
        <v>0</v>
      </c>
      <c r="BB41" s="7">
        <v>0</v>
      </c>
      <c r="BC41" s="7">
        <v>0</v>
      </c>
      <c r="BD41" s="7">
        <v>0</v>
      </c>
      <c r="BE41" s="7">
        <v>0</v>
      </c>
      <c r="BF41" s="7">
        <v>0</v>
      </c>
      <c r="BG41" s="7">
        <v>0</v>
      </c>
      <c r="BH41" s="7">
        <v>0</v>
      </c>
      <c r="BI41" s="7">
        <v>0</v>
      </c>
      <c r="BJ41" s="7">
        <v>0</v>
      </c>
      <c r="BK41" s="7">
        <v>400</v>
      </c>
      <c r="BL41" s="7">
        <v>0</v>
      </c>
      <c r="BM41" s="13">
        <v>400</v>
      </c>
      <c r="BN41" s="13">
        <f>Tabla1[[#This Row],[CONSUMO TOTAL PROPIO]]/52</f>
        <v>7.6923076923076925</v>
      </c>
      <c r="BO41" s="13" t="e">
        <f>SUM(Tabla3[[#This Row],[CONSUMO TOTAL V]]+Tabla2[[#This Row],[CONSUMO TOTAL VALORES]]+#REF!+#REF!)</f>
        <v>#REF!</v>
      </c>
      <c r="BP41" s="31">
        <v>0</v>
      </c>
      <c r="BQ41" s="13">
        <f>Tabla1[[#This Row],[CONSUMO TOTAL TODAS]]/52</f>
        <v>0</v>
      </c>
      <c r="BR41" s="25">
        <f>Tabla1[[#This Row],[CONSUMO PROMEDIO PROPIO]]+Tabla1[[#This Row],[CONSUMO PROMEDIO TODAS]]</f>
        <v>7.6923076923076925</v>
      </c>
      <c r="BS41" s="26">
        <f>Tabla1[[#This Row],[CONSUMO PROMEDIO TOTAL]]*(Tabla1[[#This Row],[FRECUENCIA]]+Tabla1[[#This Row],[TIEMPO REPOSICION BUFFERS]])</f>
        <v>230.76923076923077</v>
      </c>
      <c r="BT41" s="26">
        <v>138</v>
      </c>
      <c r="BU41" s="27">
        <v>1</v>
      </c>
      <c r="BV41" s="27">
        <v>16</v>
      </c>
      <c r="BW41" s="27">
        <v>16</v>
      </c>
      <c r="BX41" s="69">
        <f>Tabla1[[#This Row],[BUFFER REAL]]*Tabla1[[#This Row],[COSTOS]]</f>
        <v>369.84000000000003</v>
      </c>
      <c r="BY41" s="69">
        <f>Tabla1[[#This Row],[PVP]]-Tabla1[[#This Row],[COSTOS]]</f>
        <v>6.2200000000000006</v>
      </c>
      <c r="BZ41" s="69">
        <f>Tabla1[[#This Row],[PVD]]-Tabla1[[#This Row],[COSTOS]]</f>
        <v>3.9060000000000001</v>
      </c>
      <c r="CA41" s="25">
        <f>Tabla1[[#This Row],[TRUPUD UNTITARIO PVD]]</f>
        <v>3.9060000000000001</v>
      </c>
      <c r="CB41" s="25">
        <f>Tabla1[[#This Row],[TRUPUT UNITARIO]]/Tabla1[[#This Row],[COSTOS]]</f>
        <v>1.457462686567164</v>
      </c>
      <c r="CC41" s="40">
        <f>Tabla1[[#This Row],[BUFFER REAL]]/((Tabla1[[#This Row],[TIEMPO REPOSICION BUFFERS]])/1.5)</f>
        <v>51.75</v>
      </c>
      <c r="CD41" s="69">
        <f>Tabla1[[#This Row],[CONSUMO ESTIMADO]]*52*Tabla1[[#This Row],[TRUPUT UNITARIO]]</f>
        <v>10511.046</v>
      </c>
      <c r="CE41" s="25">
        <f>Tabla1[[#This Row],[CONSUMO ESTIMADO]]*(Tabla1[[#This Row],[TIEMPO REPOSICION BUFFERS]]*1.5)+( Tabla1[[#This Row],[TRUPUT TOTAL ESTIMADO ANUAL]]*(Tabla1[[#This Row],[CRÉDITO CLIENTE]]-Tabla1[[#This Row],[CREDITO PROVEEDOR]]))</f>
        <v>310.5</v>
      </c>
      <c r="CF41" s="25">
        <f>Tabla1[[#This Row],[INVERSION UNIDADES]]*Tabla1[[#This Row],[COSTOS]]</f>
        <v>832.1400000000001</v>
      </c>
      <c r="CG41" s="25">
        <f>Tabla1[[#This Row],[TRUPUT TOTAL ESTIMADO ANUAL]]/Tabla1[[#This Row],[INVERSION USD]]</f>
        <v>12.631343283582089</v>
      </c>
      <c r="CH41" s="27"/>
      <c r="CI41" s="27"/>
      <c r="CJ41" s="27"/>
      <c r="CK41" s="27"/>
    </row>
    <row r="42" spans="1:89">
      <c r="A42" s="7" t="s">
        <v>211</v>
      </c>
      <c r="B42" s="7" t="s">
        <v>212</v>
      </c>
      <c r="C42" s="7" t="s">
        <v>694</v>
      </c>
      <c r="D42" s="7" t="s">
        <v>709</v>
      </c>
      <c r="E42" s="7" t="s">
        <v>719</v>
      </c>
      <c r="F42" s="7" t="s">
        <v>724</v>
      </c>
      <c r="G42" s="7" t="s">
        <v>729</v>
      </c>
      <c r="H42" s="13">
        <v>8.9</v>
      </c>
      <c r="I42" s="13">
        <f>Tabla1[[#This Row],[PVP]]*74%</f>
        <v>6.5860000000000003</v>
      </c>
      <c r="J42" s="13">
        <v>2.57334</v>
      </c>
      <c r="K42" s="7">
        <v>26</v>
      </c>
      <c r="L42" s="7">
        <v>4</v>
      </c>
      <c r="M42" s="7">
        <v>0</v>
      </c>
      <c r="N42" s="7">
        <v>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0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  <c r="Z42" s="7">
        <v>0</v>
      </c>
      <c r="AA42" s="7">
        <v>0</v>
      </c>
      <c r="AB42" s="7">
        <v>0</v>
      </c>
      <c r="AC42" s="7">
        <v>0</v>
      </c>
      <c r="AD42" s="7">
        <v>0</v>
      </c>
      <c r="AE42" s="7">
        <v>100</v>
      </c>
      <c r="AF42" s="7">
        <v>0</v>
      </c>
      <c r="AG42" s="7">
        <v>0</v>
      </c>
      <c r="AH42" s="7">
        <v>150</v>
      </c>
      <c r="AI42" s="7">
        <v>0</v>
      </c>
      <c r="AJ42" s="7">
        <v>0</v>
      </c>
      <c r="AK42" s="7">
        <v>0</v>
      </c>
      <c r="AL42" s="7">
        <v>0</v>
      </c>
      <c r="AM42" s="7">
        <v>0</v>
      </c>
      <c r="AN42" s="7">
        <v>0</v>
      </c>
      <c r="AO42" s="7">
        <v>0</v>
      </c>
      <c r="AP42" s="7">
        <v>0</v>
      </c>
      <c r="AQ42" s="7">
        <v>0</v>
      </c>
      <c r="AR42" s="7">
        <v>0</v>
      </c>
      <c r="AS42" s="7">
        <v>470</v>
      </c>
      <c r="AT42" s="7">
        <v>100</v>
      </c>
      <c r="AU42" s="7">
        <v>5</v>
      </c>
      <c r="AV42" s="7">
        <v>0</v>
      </c>
      <c r="AW42" s="7">
        <v>150</v>
      </c>
      <c r="AX42" s="7">
        <v>0</v>
      </c>
      <c r="AY42" s="7">
        <v>150</v>
      </c>
      <c r="AZ42" s="7">
        <v>400</v>
      </c>
      <c r="BA42" s="7">
        <v>100</v>
      </c>
      <c r="BB42" s="7">
        <v>500</v>
      </c>
      <c r="BC42" s="7">
        <v>0</v>
      </c>
      <c r="BD42" s="7">
        <v>0</v>
      </c>
      <c r="BE42" s="7">
        <v>200</v>
      </c>
      <c r="BF42" s="7">
        <v>0</v>
      </c>
      <c r="BG42" s="7">
        <v>0</v>
      </c>
      <c r="BH42" s="7">
        <v>500</v>
      </c>
      <c r="BI42" s="7">
        <v>217</v>
      </c>
      <c r="BJ42" s="7">
        <v>0</v>
      </c>
      <c r="BK42" s="7">
        <v>0</v>
      </c>
      <c r="BL42" s="7">
        <v>0</v>
      </c>
      <c r="BM42" s="13">
        <v>3042</v>
      </c>
      <c r="BN42" s="13">
        <f>Tabla1[[#This Row],[CONSUMO TOTAL PROPIO]]/52</f>
        <v>58.5</v>
      </c>
      <c r="BO42" s="13" t="e">
        <f>SUM(Tabla3[[#This Row],[CONSUMO TOTAL V]]+Tabla2[[#This Row],[CONSUMO TOTAL VALORES]]+#REF!+#REF!)</f>
        <v>#REF!</v>
      </c>
      <c r="BP42" s="31">
        <v>0</v>
      </c>
      <c r="BQ42" s="13">
        <f>Tabla1[[#This Row],[CONSUMO TOTAL TODAS]]/52</f>
        <v>0</v>
      </c>
      <c r="BR42" s="25">
        <f>Tabla1[[#This Row],[CONSUMO PROMEDIO PROPIO]]+Tabla1[[#This Row],[CONSUMO PROMEDIO TODAS]]</f>
        <v>58.5</v>
      </c>
      <c r="BS42" s="26">
        <f>Tabla1[[#This Row],[CONSUMO PROMEDIO TOTAL]]*(Tabla1[[#This Row],[FRECUENCIA]]+Tabla1[[#This Row],[TIEMPO REPOSICION BUFFERS]])</f>
        <v>1755</v>
      </c>
      <c r="BT42" s="26">
        <v>400</v>
      </c>
      <c r="BU42" s="27">
        <v>1</v>
      </c>
      <c r="BV42" s="27">
        <v>16</v>
      </c>
      <c r="BW42" s="27">
        <v>16</v>
      </c>
      <c r="BX42" s="69">
        <f>Tabla1[[#This Row],[BUFFER REAL]]*Tabla1[[#This Row],[COSTOS]]</f>
        <v>1029.336</v>
      </c>
      <c r="BY42" s="69">
        <f>Tabla1[[#This Row],[PVP]]-Tabla1[[#This Row],[COSTOS]]</f>
        <v>6.3266600000000004</v>
      </c>
      <c r="BZ42" s="69">
        <f>Tabla1[[#This Row],[PVD]]-Tabla1[[#This Row],[COSTOS]]</f>
        <v>4.0126600000000003</v>
      </c>
      <c r="CA42" s="25">
        <f>Tabla1[[#This Row],[TRUPUD UNTITARIO PVD]]</f>
        <v>4.0126600000000003</v>
      </c>
      <c r="CB42" s="25">
        <f>Tabla1[[#This Row],[TRUPUT UNITARIO]]/Tabla1[[#This Row],[COSTOS]]</f>
        <v>1.5593197945083046</v>
      </c>
      <c r="CC42" s="40">
        <f>Tabla1[[#This Row],[BUFFER REAL]]/((Tabla1[[#This Row],[TIEMPO REPOSICION BUFFERS]])/1.5)</f>
        <v>150</v>
      </c>
      <c r="CD42" s="69">
        <f>Tabla1[[#This Row],[CONSUMO ESTIMADO]]*52*Tabla1[[#This Row],[TRUPUT UNITARIO]]</f>
        <v>31298.748000000003</v>
      </c>
      <c r="CE42" s="25">
        <f>Tabla1[[#This Row],[CONSUMO ESTIMADO]]*(Tabla1[[#This Row],[TIEMPO REPOSICION BUFFERS]]*1.5)+( Tabla1[[#This Row],[TRUPUT TOTAL ESTIMADO ANUAL]]*(Tabla1[[#This Row],[CRÉDITO CLIENTE]]-Tabla1[[#This Row],[CREDITO PROVEEDOR]]))</f>
        <v>900</v>
      </c>
      <c r="CF42" s="25">
        <f>Tabla1[[#This Row],[INVERSION UNIDADES]]*Tabla1[[#This Row],[COSTOS]]</f>
        <v>2316.0059999999999</v>
      </c>
      <c r="CG42" s="25">
        <f>Tabla1[[#This Row],[TRUPUT TOTAL ESTIMADO ANUAL]]/Tabla1[[#This Row],[INVERSION USD]]</f>
        <v>13.514104885738639</v>
      </c>
      <c r="CH42" s="27"/>
      <c r="CI42" s="27"/>
      <c r="CJ42" s="27"/>
      <c r="CK42" s="27"/>
    </row>
    <row r="43" spans="1:89">
      <c r="A43" s="7" t="s">
        <v>215</v>
      </c>
      <c r="B43" s="7" t="s">
        <v>216</v>
      </c>
      <c r="C43" s="7" t="s">
        <v>690</v>
      </c>
      <c r="D43" s="7" t="s">
        <v>709</v>
      </c>
      <c r="E43" s="7" t="s">
        <v>719</v>
      </c>
      <c r="F43" s="7" t="s">
        <v>724</v>
      </c>
      <c r="G43" s="7" t="s">
        <v>729</v>
      </c>
      <c r="H43" s="13">
        <v>42</v>
      </c>
      <c r="I43" s="13">
        <f>Tabla1[[#This Row],[PVP]]*74%</f>
        <v>31.08</v>
      </c>
      <c r="J43" s="13">
        <v>12.922000000000001</v>
      </c>
      <c r="K43" s="7">
        <v>26</v>
      </c>
      <c r="L43" s="7">
        <v>4</v>
      </c>
      <c r="M43" s="7">
        <v>0</v>
      </c>
      <c r="N43" s="7">
        <v>0</v>
      </c>
      <c r="O43" s="7">
        <v>0</v>
      </c>
      <c r="P43" s="7">
        <v>0</v>
      </c>
      <c r="Q43" s="7">
        <v>0</v>
      </c>
      <c r="R43" s="7">
        <v>0</v>
      </c>
      <c r="S43" s="7">
        <v>0</v>
      </c>
      <c r="T43" s="7">
        <v>0</v>
      </c>
      <c r="U43" s="7">
        <v>0</v>
      </c>
      <c r="V43" s="7">
        <v>0</v>
      </c>
      <c r="W43" s="7">
        <v>0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  <c r="AD43" s="7">
        <v>0</v>
      </c>
      <c r="AE43" s="7">
        <v>0</v>
      </c>
      <c r="AF43" s="7">
        <v>0</v>
      </c>
      <c r="AG43" s="7">
        <v>0</v>
      </c>
      <c r="AH43" s="7">
        <v>0</v>
      </c>
      <c r="AI43" s="7">
        <v>0</v>
      </c>
      <c r="AJ43" s="7">
        <v>0</v>
      </c>
      <c r="AK43" s="7">
        <v>0</v>
      </c>
      <c r="AL43" s="7">
        <v>0</v>
      </c>
      <c r="AM43" s="7">
        <v>0</v>
      </c>
      <c r="AN43" s="7">
        <v>0</v>
      </c>
      <c r="AO43" s="7">
        <v>0</v>
      </c>
      <c r="AP43" s="7">
        <v>100</v>
      </c>
      <c r="AQ43" s="7">
        <v>0</v>
      </c>
      <c r="AR43" s="7">
        <v>0</v>
      </c>
      <c r="AS43" s="7">
        <v>0</v>
      </c>
      <c r="AT43" s="7">
        <v>0</v>
      </c>
      <c r="AU43" s="7">
        <v>0</v>
      </c>
      <c r="AV43" s="7">
        <v>0</v>
      </c>
      <c r="AW43" s="7">
        <v>0</v>
      </c>
      <c r="AX43" s="7">
        <v>0</v>
      </c>
      <c r="AY43" s="7">
        <v>0</v>
      </c>
      <c r="AZ43" s="7">
        <v>0</v>
      </c>
      <c r="BA43" s="7">
        <v>0</v>
      </c>
      <c r="BB43" s="7">
        <v>0</v>
      </c>
      <c r="BC43" s="7">
        <v>0</v>
      </c>
      <c r="BD43" s="7">
        <v>0</v>
      </c>
      <c r="BE43" s="7">
        <v>0</v>
      </c>
      <c r="BF43" s="7">
        <v>0</v>
      </c>
      <c r="BG43" s="7">
        <v>0</v>
      </c>
      <c r="BH43" s="7">
        <v>0</v>
      </c>
      <c r="BI43" s="7">
        <v>0</v>
      </c>
      <c r="BJ43" s="7">
        <v>0</v>
      </c>
      <c r="BK43" s="7">
        <v>0</v>
      </c>
      <c r="BL43" s="7">
        <v>0</v>
      </c>
      <c r="BM43" s="13">
        <v>100</v>
      </c>
      <c r="BN43" s="13">
        <f>Tabla1[[#This Row],[CONSUMO TOTAL PROPIO]]/52</f>
        <v>1.9230769230769231</v>
      </c>
      <c r="BO43" s="13" t="e">
        <f>SUM(Tabla3[[#This Row],[CONSUMO TOTAL V]]+Tabla2[[#This Row],[CONSUMO TOTAL VALORES]]+#REF!+#REF!)</f>
        <v>#REF!</v>
      </c>
      <c r="BP43" s="31">
        <v>0</v>
      </c>
      <c r="BQ43" s="13">
        <f>Tabla1[[#This Row],[CONSUMO TOTAL TODAS]]/52</f>
        <v>0</v>
      </c>
      <c r="BR43" s="25">
        <f>Tabla1[[#This Row],[CONSUMO PROMEDIO PROPIO]]+Tabla1[[#This Row],[CONSUMO PROMEDIO TODAS]]</f>
        <v>1.9230769230769231</v>
      </c>
      <c r="BS43" s="26">
        <f>Tabla1[[#This Row],[CONSUMO PROMEDIO TOTAL]]*(Tabla1[[#This Row],[FRECUENCIA]]+Tabla1[[#This Row],[TIEMPO REPOSICION BUFFERS]])</f>
        <v>57.692307692307693</v>
      </c>
      <c r="BT43" s="26">
        <v>0</v>
      </c>
      <c r="BU43" s="27">
        <v>1</v>
      </c>
      <c r="BV43" s="27">
        <v>16</v>
      </c>
      <c r="BW43" s="27">
        <v>16</v>
      </c>
      <c r="BX43" s="69">
        <f>Tabla1[[#This Row],[BUFFER REAL]]*Tabla1[[#This Row],[COSTOS]]</f>
        <v>0</v>
      </c>
      <c r="BY43" s="69">
        <f>Tabla1[[#This Row],[PVP]]-Tabla1[[#This Row],[COSTOS]]</f>
        <v>29.077999999999999</v>
      </c>
      <c r="BZ43" s="69">
        <f>Tabla1[[#This Row],[PVD]]-Tabla1[[#This Row],[COSTOS]]</f>
        <v>18.157999999999998</v>
      </c>
      <c r="CA43" s="25">
        <f>Tabla1[[#This Row],[TRUPUD UNTITARIO PVD]]</f>
        <v>18.157999999999998</v>
      </c>
      <c r="CB43" s="25">
        <f>Tabla1[[#This Row],[TRUPUT UNITARIO]]/Tabla1[[#This Row],[COSTOS]]</f>
        <v>1.4052004333694472</v>
      </c>
      <c r="CC43" s="40">
        <f>Tabla1[[#This Row],[BUFFER REAL]]/((Tabla1[[#This Row],[TIEMPO REPOSICION BUFFERS]])/1.5)</f>
        <v>0</v>
      </c>
      <c r="CD43" s="69">
        <f>Tabla1[[#This Row],[CONSUMO ESTIMADO]]*52*Tabla1[[#This Row],[TRUPUT UNITARIO]]</f>
        <v>0</v>
      </c>
      <c r="CE43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43" s="25">
        <f>Tabla1[[#This Row],[INVERSION UNIDADES]]*Tabla1[[#This Row],[COSTOS]]</f>
        <v>0</v>
      </c>
      <c r="CG43" s="25" t="e">
        <f>Tabla1[[#This Row],[TRUPUT TOTAL ESTIMADO ANUAL]]/Tabla1[[#This Row],[INVERSION USD]]</f>
        <v>#DIV/0!</v>
      </c>
      <c r="CH43" s="27"/>
      <c r="CI43" s="27"/>
      <c r="CJ43" s="27"/>
      <c r="CK43" s="27"/>
    </row>
    <row r="44" spans="1:89">
      <c r="A44" s="7" t="s">
        <v>217</v>
      </c>
      <c r="B44" s="7" t="s">
        <v>218</v>
      </c>
      <c r="C44" s="7" t="s">
        <v>694</v>
      </c>
      <c r="D44" s="7" t="s">
        <v>709</v>
      </c>
      <c r="E44" s="7" t="s">
        <v>719</v>
      </c>
      <c r="F44" s="7" t="s">
        <v>724</v>
      </c>
      <c r="G44" s="7" t="s">
        <v>729</v>
      </c>
      <c r="H44" s="13">
        <v>8.9</v>
      </c>
      <c r="I44" s="13">
        <f>Tabla1[[#This Row],[PVP]]*74%</f>
        <v>6.5860000000000003</v>
      </c>
      <c r="J44" s="13">
        <v>2.56</v>
      </c>
      <c r="K44" s="7">
        <v>26</v>
      </c>
      <c r="L44" s="7">
        <v>4</v>
      </c>
      <c r="M44" s="7">
        <v>0</v>
      </c>
      <c r="N44" s="7">
        <v>0</v>
      </c>
      <c r="O44" s="7">
        <v>0</v>
      </c>
      <c r="P44" s="7">
        <v>0</v>
      </c>
      <c r="Q44" s="7">
        <v>0</v>
      </c>
      <c r="R44" s="7">
        <v>0</v>
      </c>
      <c r="S44" s="7">
        <v>0</v>
      </c>
      <c r="T44" s="7">
        <v>0</v>
      </c>
      <c r="U44" s="7">
        <v>0</v>
      </c>
      <c r="V44" s="7">
        <v>0</v>
      </c>
      <c r="W44" s="7">
        <v>0</v>
      </c>
      <c r="X44" s="7">
        <v>0</v>
      </c>
      <c r="Y44" s="7">
        <v>0</v>
      </c>
      <c r="Z44" s="7">
        <v>0</v>
      </c>
      <c r="AA44" s="7">
        <v>0</v>
      </c>
      <c r="AB44" s="7">
        <v>0</v>
      </c>
      <c r="AC44" s="7">
        <v>0</v>
      </c>
      <c r="AD44" s="7">
        <v>0</v>
      </c>
      <c r="AE44" s="7">
        <v>0</v>
      </c>
      <c r="AF44" s="7">
        <v>0</v>
      </c>
      <c r="AG44" s="7">
        <v>0</v>
      </c>
      <c r="AH44" s="7">
        <v>0</v>
      </c>
      <c r="AI44" s="7">
        <v>0</v>
      </c>
      <c r="AJ44" s="7">
        <v>0</v>
      </c>
      <c r="AK44" s="7">
        <v>0</v>
      </c>
      <c r="AL44" s="7">
        <v>0</v>
      </c>
      <c r="AM44" s="7">
        <v>0</v>
      </c>
      <c r="AN44" s="7">
        <v>0</v>
      </c>
      <c r="AO44" s="7">
        <v>0</v>
      </c>
      <c r="AP44" s="7">
        <v>0</v>
      </c>
      <c r="AQ44" s="7">
        <v>0</v>
      </c>
      <c r="AR44" s="7">
        <v>0</v>
      </c>
      <c r="AS44" s="7">
        <v>0</v>
      </c>
      <c r="AT44" s="7">
        <v>0</v>
      </c>
      <c r="AU44" s="7">
        <v>0</v>
      </c>
      <c r="AV44" s="7">
        <v>0</v>
      </c>
      <c r="AW44" s="7">
        <v>0</v>
      </c>
      <c r="AX44" s="7">
        <v>0</v>
      </c>
      <c r="AY44" s="7">
        <v>0</v>
      </c>
      <c r="AZ44" s="7">
        <v>0</v>
      </c>
      <c r="BA44" s="7">
        <v>0</v>
      </c>
      <c r="BB44" s="7">
        <v>0</v>
      </c>
      <c r="BC44" s="7">
        <v>0</v>
      </c>
      <c r="BD44" s="7">
        <v>0</v>
      </c>
      <c r="BE44" s="7">
        <v>0</v>
      </c>
      <c r="BF44" s="7">
        <v>0</v>
      </c>
      <c r="BG44" s="7">
        <v>0</v>
      </c>
      <c r="BH44" s="7">
        <v>0</v>
      </c>
      <c r="BI44" s="7">
        <v>0</v>
      </c>
      <c r="BJ44" s="7">
        <v>0</v>
      </c>
      <c r="BK44" s="7">
        <v>0</v>
      </c>
      <c r="BL44" s="7">
        <v>0</v>
      </c>
      <c r="BM44" s="13">
        <v>0</v>
      </c>
      <c r="BN44" s="13">
        <f>Tabla1[[#This Row],[CONSUMO TOTAL PROPIO]]/52</f>
        <v>0</v>
      </c>
      <c r="BO44" s="13" t="e">
        <f>SUM(Tabla3[[#This Row],[CONSUMO TOTAL V]]+Tabla2[[#This Row],[CONSUMO TOTAL VALORES]]+#REF!+#REF!)</f>
        <v>#REF!</v>
      </c>
      <c r="BP44" s="31">
        <v>0</v>
      </c>
      <c r="BQ44" s="13">
        <f>Tabla1[[#This Row],[CONSUMO TOTAL TODAS]]/52</f>
        <v>0</v>
      </c>
      <c r="BR44" s="25">
        <f>Tabla1[[#This Row],[CONSUMO PROMEDIO PROPIO]]+Tabla1[[#This Row],[CONSUMO PROMEDIO TODAS]]</f>
        <v>0</v>
      </c>
      <c r="BS44" s="26">
        <f>Tabla1[[#This Row],[CONSUMO PROMEDIO TOTAL]]*(Tabla1[[#This Row],[FRECUENCIA]]+Tabla1[[#This Row],[TIEMPO REPOSICION BUFFERS]])</f>
        <v>0</v>
      </c>
      <c r="BT44" s="26">
        <v>200</v>
      </c>
      <c r="BU44" s="27">
        <v>1</v>
      </c>
      <c r="BV44" s="27">
        <v>16</v>
      </c>
      <c r="BW44" s="27">
        <v>16</v>
      </c>
      <c r="BX44" s="69">
        <f>Tabla1[[#This Row],[BUFFER REAL]]*Tabla1[[#This Row],[COSTOS]]</f>
        <v>512</v>
      </c>
      <c r="BY44" s="69">
        <f>Tabla1[[#This Row],[PVP]]-Tabla1[[#This Row],[COSTOS]]</f>
        <v>6.34</v>
      </c>
      <c r="BZ44" s="69">
        <f>Tabla1[[#This Row],[PVD]]-Tabla1[[#This Row],[COSTOS]]</f>
        <v>4.0259999999999998</v>
      </c>
      <c r="CA44" s="25">
        <f>Tabla1[[#This Row],[TRUPUD UNTITARIO PVD]]</f>
        <v>4.0259999999999998</v>
      </c>
      <c r="CB44" s="25">
        <f>Tabla1[[#This Row],[TRUPUT UNITARIO]]/Tabla1[[#This Row],[COSTOS]]</f>
        <v>1.5726562499999999</v>
      </c>
      <c r="CC44" s="40">
        <f>Tabla1[[#This Row],[BUFFER REAL]]/((Tabla1[[#This Row],[TIEMPO REPOSICION BUFFERS]])/1.5)</f>
        <v>75</v>
      </c>
      <c r="CD44" s="69">
        <f>Tabla1[[#This Row],[CONSUMO ESTIMADO]]*52*Tabla1[[#This Row],[TRUPUT UNITARIO]]</f>
        <v>15701.4</v>
      </c>
      <c r="CE44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44" s="25">
        <f>Tabla1[[#This Row],[INVERSION UNIDADES]]*Tabla1[[#This Row],[COSTOS]]</f>
        <v>1152</v>
      </c>
      <c r="CG44" s="25">
        <f>Tabla1[[#This Row],[TRUPUT TOTAL ESTIMADO ANUAL]]/Tabla1[[#This Row],[INVERSION USD]]</f>
        <v>13.629687499999999</v>
      </c>
      <c r="CH44" s="27"/>
      <c r="CI44" s="27"/>
      <c r="CJ44" s="27"/>
      <c r="CK44" s="27"/>
    </row>
    <row r="45" spans="1:89">
      <c r="A45" s="7" t="s">
        <v>219</v>
      </c>
      <c r="B45" s="7" t="s">
        <v>220</v>
      </c>
      <c r="C45" s="7" t="s">
        <v>676</v>
      </c>
      <c r="D45" s="7" t="s">
        <v>707</v>
      </c>
      <c r="E45" s="7" t="s">
        <v>732</v>
      </c>
      <c r="F45" s="7" t="s">
        <v>724</v>
      </c>
      <c r="G45" s="7" t="s">
        <v>729</v>
      </c>
      <c r="H45" s="13">
        <v>30.9</v>
      </c>
      <c r="I45" s="13">
        <f>+H45*85%</f>
        <v>26.264999999999997</v>
      </c>
      <c r="J45" s="13">
        <v>20.172999999999998</v>
      </c>
      <c r="K45" s="7">
        <v>8</v>
      </c>
      <c r="L45" s="7">
        <v>4</v>
      </c>
      <c r="M45" s="7">
        <v>0</v>
      </c>
      <c r="N45" s="7">
        <v>0</v>
      </c>
      <c r="O45" s="7">
        <v>0</v>
      </c>
      <c r="P45" s="7">
        <v>0</v>
      </c>
      <c r="Q45" s="7">
        <v>0</v>
      </c>
      <c r="R45" s="7">
        <v>0</v>
      </c>
      <c r="S45" s="7">
        <v>0</v>
      </c>
      <c r="T45" s="7">
        <v>0</v>
      </c>
      <c r="U45" s="7">
        <v>0</v>
      </c>
      <c r="V45" s="7">
        <v>0</v>
      </c>
      <c r="W45" s="7">
        <v>0</v>
      </c>
      <c r="X45" s="7">
        <v>0</v>
      </c>
      <c r="Y45" s="7">
        <v>0</v>
      </c>
      <c r="Z45" s="7">
        <v>0</v>
      </c>
      <c r="AA45" s="7">
        <v>0</v>
      </c>
      <c r="AB45" s="7">
        <v>0</v>
      </c>
      <c r="AC45" s="7">
        <v>0</v>
      </c>
      <c r="AD45" s="7">
        <v>0</v>
      </c>
      <c r="AE45" s="7">
        <v>0</v>
      </c>
      <c r="AF45" s="7">
        <v>0</v>
      </c>
      <c r="AG45" s="7">
        <v>0</v>
      </c>
      <c r="AH45" s="7">
        <v>0</v>
      </c>
      <c r="AI45" s="7">
        <v>0</v>
      </c>
      <c r="AJ45" s="7">
        <v>0</v>
      </c>
      <c r="AK45" s="7">
        <v>0</v>
      </c>
      <c r="AL45" s="7">
        <v>0</v>
      </c>
      <c r="AM45" s="7">
        <v>0</v>
      </c>
      <c r="AN45" s="7">
        <v>0</v>
      </c>
      <c r="AO45" s="7">
        <v>0</v>
      </c>
      <c r="AP45" s="7">
        <v>0</v>
      </c>
      <c r="AQ45" s="7">
        <v>0</v>
      </c>
      <c r="AR45" s="7">
        <v>0</v>
      </c>
      <c r="AS45" s="7">
        <v>0</v>
      </c>
      <c r="AT45" s="7">
        <v>0</v>
      </c>
      <c r="AU45" s="7">
        <v>0</v>
      </c>
      <c r="AV45" s="7">
        <v>23</v>
      </c>
      <c r="AW45" s="7">
        <v>0</v>
      </c>
      <c r="AX45" s="7">
        <v>0</v>
      </c>
      <c r="AY45" s="7">
        <v>0</v>
      </c>
      <c r="AZ45" s="7">
        <v>0</v>
      </c>
      <c r="BA45" s="7">
        <v>0</v>
      </c>
      <c r="BB45" s="7">
        <v>0</v>
      </c>
      <c r="BC45" s="7">
        <v>0</v>
      </c>
      <c r="BD45" s="7">
        <v>0</v>
      </c>
      <c r="BE45" s="7">
        <v>0</v>
      </c>
      <c r="BF45" s="7">
        <v>0</v>
      </c>
      <c r="BG45" s="7">
        <v>0</v>
      </c>
      <c r="BH45" s="7">
        <v>0</v>
      </c>
      <c r="BI45" s="7">
        <v>0</v>
      </c>
      <c r="BJ45" s="7">
        <v>0</v>
      </c>
      <c r="BK45" s="7">
        <v>0</v>
      </c>
      <c r="BL45" s="7">
        <v>0</v>
      </c>
      <c r="BM45" s="13">
        <v>23</v>
      </c>
      <c r="BN45" s="13">
        <f>Tabla1[[#This Row],[CONSUMO TOTAL PROPIO]]/52</f>
        <v>0.44230769230769229</v>
      </c>
      <c r="BO45" s="13" t="e">
        <f>SUM(Tabla3[[#This Row],[CONSUMO TOTAL V]]+Tabla2[[#This Row],[CONSUMO TOTAL VALORES]]+#REF!+#REF!)</f>
        <v>#REF!</v>
      </c>
      <c r="BP45" s="31">
        <v>0</v>
      </c>
      <c r="BQ45" s="13">
        <f>Tabla1[[#This Row],[CONSUMO TOTAL TODAS]]/52</f>
        <v>0</v>
      </c>
      <c r="BR45" s="25">
        <f>Tabla1[[#This Row],[CONSUMO PROMEDIO PROPIO]]+Tabla1[[#This Row],[CONSUMO PROMEDIO TODAS]]</f>
        <v>0.44230769230769229</v>
      </c>
      <c r="BS45" s="26">
        <f>Tabla1[[#This Row],[CONSUMO PROMEDIO TOTAL]]*(Tabla1[[#This Row],[FRECUENCIA]]+Tabla1[[#This Row],[TIEMPO REPOSICION BUFFERS]])</f>
        <v>5.3076923076923075</v>
      </c>
      <c r="BT45" s="26">
        <v>20</v>
      </c>
      <c r="BU45" s="27">
        <v>1</v>
      </c>
      <c r="BV45" s="27">
        <v>12</v>
      </c>
      <c r="BW45" s="27">
        <v>9</v>
      </c>
      <c r="BX45" s="69">
        <f>Tabla1[[#This Row],[BUFFER REAL]]*Tabla1[[#This Row],[COSTOS]]</f>
        <v>403.46</v>
      </c>
      <c r="BY45" s="69">
        <f>Tabla1[[#This Row],[PVP]]-Tabla1[[#This Row],[COSTOS]]</f>
        <v>10.727</v>
      </c>
      <c r="BZ45" s="69">
        <f>Tabla1[[#This Row],[PVD]]-Tabla1[[#This Row],[COSTOS]]</f>
        <v>6.0919999999999987</v>
      </c>
      <c r="CA45" s="69">
        <f>Tabla1[[#This Row],[TRUPUD UNITARIO PVP]]</f>
        <v>10.727</v>
      </c>
      <c r="CB45" s="68">
        <f>Tabla1[[#This Row],[TRUPUT UNITARIO]]/Tabla1[[#This Row],[COSTOS]]</f>
        <v>0.53175035939126558</v>
      </c>
      <c r="CC45" s="71">
        <f>Tabla1[[#This Row],[BUFFER REAL]]/((Tabla1[[#This Row],[TIEMPO REPOSICION BUFFERS]])/1.5)</f>
        <v>7.5</v>
      </c>
      <c r="CD45" s="68">
        <f>Tabla1[[#This Row],[CONSUMO ESTIMADO]]*52*Tabla1[[#This Row],[TRUPUT UNITARIO]]</f>
        <v>4183.53</v>
      </c>
      <c r="CE45" s="68">
        <f>Tabla1[[#This Row],[CONSUMO ESTIMADO]]*(Tabla1[[#This Row],[TIEMPO REPOSICION BUFFERS]]*1.5)+( Tabla1[[#This Row],[TRUPUT TOTAL ESTIMADO ANUAL]]*(Tabla1[[#This Row],[CRÉDITO CLIENTE]]-Tabla1[[#This Row],[CREDITO PROVEEDOR]]))</f>
        <v>-12505.59</v>
      </c>
      <c r="CF45" s="68">
        <f>Tabla1[[#This Row],[INVERSION UNIDADES]]*Tabla1[[#This Row],[COSTOS]]</f>
        <v>-252275.26706999997</v>
      </c>
      <c r="CG45" s="68">
        <f>Tabla1[[#This Row],[TRUPUT TOTAL ESTIMADO ANUAL]]/Tabla1[[#This Row],[INVERSION USD]]</f>
        <v>-1.658319520811042E-2</v>
      </c>
      <c r="CH45" s="27"/>
      <c r="CI45" s="27"/>
      <c r="CJ45" s="27"/>
      <c r="CK45" s="27"/>
    </row>
    <row r="46" spans="1:89">
      <c r="A46" s="7" t="s">
        <v>227</v>
      </c>
      <c r="B46" s="7" t="s">
        <v>228</v>
      </c>
      <c r="C46" s="7" t="s">
        <v>2</v>
      </c>
      <c r="D46" s="7" t="s">
        <v>709</v>
      </c>
      <c r="E46" s="7" t="s">
        <v>719</v>
      </c>
      <c r="F46" s="7" t="s">
        <v>724</v>
      </c>
      <c r="G46" s="7" t="s">
        <v>729</v>
      </c>
      <c r="H46" s="13">
        <v>2.44</v>
      </c>
      <c r="I46" s="13">
        <f>Tabla1[[#This Row],[PVP]]*74%</f>
        <v>1.8055999999999999</v>
      </c>
      <c r="J46" s="13">
        <v>1.1113999999999999</v>
      </c>
      <c r="K46" s="7">
        <v>26</v>
      </c>
      <c r="L46" s="7">
        <v>4</v>
      </c>
      <c r="M46" s="7">
        <v>0</v>
      </c>
      <c r="N46" s="7">
        <v>0</v>
      </c>
      <c r="O46" s="7">
        <v>0</v>
      </c>
      <c r="P46" s="7">
        <v>0</v>
      </c>
      <c r="Q46" s="7">
        <v>0</v>
      </c>
      <c r="R46" s="7">
        <v>0</v>
      </c>
      <c r="S46" s="7">
        <v>0</v>
      </c>
      <c r="T46" s="7">
        <v>0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0</v>
      </c>
      <c r="AA46" s="7">
        <v>0</v>
      </c>
      <c r="AB46" s="7">
        <v>0</v>
      </c>
      <c r="AC46" s="7">
        <v>0</v>
      </c>
      <c r="AD46" s="7">
        <v>0</v>
      </c>
      <c r="AE46" s="7">
        <v>0</v>
      </c>
      <c r="AF46" s="7">
        <v>21</v>
      </c>
      <c r="AG46" s="7">
        <v>0</v>
      </c>
      <c r="AH46" s="7">
        <v>0</v>
      </c>
      <c r="AI46" s="7">
        <v>0</v>
      </c>
      <c r="AJ46" s="7">
        <v>5</v>
      </c>
      <c r="AK46" s="7">
        <v>320</v>
      </c>
      <c r="AL46" s="7">
        <v>0</v>
      </c>
      <c r="AM46" s="7">
        <v>105</v>
      </c>
      <c r="AN46" s="7">
        <v>50</v>
      </c>
      <c r="AO46" s="7">
        <v>0</v>
      </c>
      <c r="AP46" s="7">
        <v>0</v>
      </c>
      <c r="AQ46" s="7">
        <v>0</v>
      </c>
      <c r="AR46" s="7">
        <v>0</v>
      </c>
      <c r="AS46" s="7">
        <v>40</v>
      </c>
      <c r="AT46" s="7">
        <v>10</v>
      </c>
      <c r="AU46" s="7">
        <v>60</v>
      </c>
      <c r="AV46" s="7">
        <v>3</v>
      </c>
      <c r="AW46" s="7">
        <v>20</v>
      </c>
      <c r="AX46" s="7">
        <v>30</v>
      </c>
      <c r="AY46" s="7">
        <v>0</v>
      </c>
      <c r="AZ46" s="7">
        <v>40</v>
      </c>
      <c r="BA46" s="7">
        <v>50</v>
      </c>
      <c r="BB46" s="7">
        <v>0</v>
      </c>
      <c r="BC46" s="7">
        <v>0</v>
      </c>
      <c r="BD46" s="7">
        <v>0</v>
      </c>
      <c r="BE46" s="7">
        <v>0</v>
      </c>
      <c r="BF46" s="7">
        <v>0</v>
      </c>
      <c r="BG46" s="7">
        <v>0</v>
      </c>
      <c r="BH46" s="7">
        <v>0</v>
      </c>
      <c r="BI46" s="7">
        <v>105</v>
      </c>
      <c r="BJ46" s="7">
        <v>0</v>
      </c>
      <c r="BK46" s="7">
        <v>0</v>
      </c>
      <c r="BL46" s="7">
        <v>0</v>
      </c>
      <c r="BM46" s="13">
        <v>859</v>
      </c>
      <c r="BN46" s="13">
        <f>Tabla1[[#This Row],[CONSUMO TOTAL PROPIO]]/52</f>
        <v>16.51923076923077</v>
      </c>
      <c r="BO46" s="13" t="e">
        <f>SUM(Tabla3[[#This Row],[CONSUMO TOTAL V]]+Tabla2[[#This Row],[CONSUMO TOTAL VALORES]]+#REF!+#REF!)</f>
        <v>#REF!</v>
      </c>
      <c r="BP46" s="31">
        <v>8</v>
      </c>
      <c r="BQ46" s="13">
        <f>Tabla1[[#This Row],[CONSUMO TOTAL TODAS]]/52</f>
        <v>0.15384615384615385</v>
      </c>
      <c r="BR46" s="25">
        <f>Tabla1[[#This Row],[CONSUMO PROMEDIO PROPIO]]+Tabla1[[#This Row],[CONSUMO PROMEDIO TODAS]]</f>
        <v>16.673076923076923</v>
      </c>
      <c r="BS46" s="26">
        <f>Tabla1[[#This Row],[CONSUMO PROMEDIO TOTAL]]*(Tabla1[[#This Row],[FRECUENCIA]]+Tabla1[[#This Row],[TIEMPO REPOSICION BUFFERS]])</f>
        <v>500.19230769230768</v>
      </c>
      <c r="BT46" s="26">
        <v>200</v>
      </c>
      <c r="BU46" s="27">
        <v>1</v>
      </c>
      <c r="BV46" s="27">
        <v>16</v>
      </c>
      <c r="BW46" s="27">
        <v>16</v>
      </c>
      <c r="BX46" s="69">
        <f>Tabla1[[#This Row],[BUFFER REAL]]*Tabla1[[#This Row],[COSTOS]]</f>
        <v>222.28</v>
      </c>
      <c r="BY46" s="69">
        <f>Tabla1[[#This Row],[PVP]]-Tabla1[[#This Row],[COSTOS]]</f>
        <v>1.3286</v>
      </c>
      <c r="BZ46" s="69">
        <f>Tabla1[[#This Row],[PVD]]-Tabla1[[#This Row],[COSTOS]]</f>
        <v>0.69419999999999993</v>
      </c>
      <c r="CA46" s="25">
        <f>Tabla1[[#This Row],[TRUPUD UNTITARIO PVD]]</f>
        <v>0.69419999999999993</v>
      </c>
      <c r="CB46" s="25">
        <f>Tabla1[[#This Row],[TRUPUT UNITARIO]]/Tabla1[[#This Row],[COSTOS]]</f>
        <v>0.62461759942414974</v>
      </c>
      <c r="CC46" s="40">
        <f>Tabla1[[#This Row],[BUFFER REAL]]/((Tabla1[[#This Row],[TIEMPO REPOSICION BUFFERS]])/1.5)</f>
        <v>75</v>
      </c>
      <c r="CD46" s="69">
        <f>Tabla1[[#This Row],[CONSUMO ESTIMADO]]*52*Tabla1[[#This Row],[TRUPUT UNITARIO]]</f>
        <v>2707.3799999999997</v>
      </c>
      <c r="CE46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46" s="25">
        <f>Tabla1[[#This Row],[INVERSION UNIDADES]]*Tabla1[[#This Row],[COSTOS]]</f>
        <v>500.13</v>
      </c>
      <c r="CG46" s="25">
        <f>Tabla1[[#This Row],[TRUPUT TOTAL ESTIMADO ANUAL]]/Tabla1[[#This Row],[INVERSION USD]]</f>
        <v>5.4133525283426307</v>
      </c>
      <c r="CH46" s="27"/>
      <c r="CI46" s="27"/>
      <c r="CJ46" s="27"/>
      <c r="CK46" s="27"/>
    </row>
    <row r="47" spans="1:89">
      <c r="A47" s="7" t="s">
        <v>229</v>
      </c>
      <c r="B47" s="7" t="s">
        <v>230</v>
      </c>
      <c r="C47" s="7" t="s">
        <v>2</v>
      </c>
      <c r="D47" s="7" t="s">
        <v>709</v>
      </c>
      <c r="E47" s="7" t="s">
        <v>719</v>
      </c>
      <c r="F47" s="7" t="s">
        <v>724</v>
      </c>
      <c r="G47" s="7" t="s">
        <v>729</v>
      </c>
      <c r="H47" s="13">
        <v>6.49</v>
      </c>
      <c r="I47" s="13">
        <f>Tabla1[[#This Row],[PVP]]*74%</f>
        <v>4.8026</v>
      </c>
      <c r="J47" s="13">
        <v>2.9872800000000002</v>
      </c>
      <c r="K47" s="7">
        <v>26</v>
      </c>
      <c r="L47" s="7">
        <v>4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0</v>
      </c>
      <c r="U47" s="7">
        <v>0</v>
      </c>
      <c r="V47" s="7">
        <v>0</v>
      </c>
      <c r="W47" s="7">
        <v>0</v>
      </c>
      <c r="X47" s="7">
        <v>0</v>
      </c>
      <c r="Y47" s="7">
        <v>0</v>
      </c>
      <c r="Z47" s="7">
        <v>0</v>
      </c>
      <c r="AA47" s="7">
        <v>0</v>
      </c>
      <c r="AB47" s="7">
        <v>0</v>
      </c>
      <c r="AC47" s="7">
        <v>0</v>
      </c>
      <c r="AD47" s="7">
        <v>0</v>
      </c>
      <c r="AE47" s="7">
        <v>0</v>
      </c>
      <c r="AF47" s="7">
        <v>0</v>
      </c>
      <c r="AG47" s="7">
        <v>0</v>
      </c>
      <c r="AH47" s="7">
        <v>0</v>
      </c>
      <c r="AI47" s="7">
        <v>0</v>
      </c>
      <c r="AJ47" s="7">
        <v>2</v>
      </c>
      <c r="AK47" s="7">
        <v>0</v>
      </c>
      <c r="AL47" s="7">
        <v>0</v>
      </c>
      <c r="AM47" s="7">
        <v>2</v>
      </c>
      <c r="AN47" s="7">
        <v>0</v>
      </c>
      <c r="AO47" s="7">
        <v>0</v>
      </c>
      <c r="AP47" s="7">
        <v>0</v>
      </c>
      <c r="AQ47" s="7">
        <v>0</v>
      </c>
      <c r="AR47" s="7">
        <v>0</v>
      </c>
      <c r="AS47" s="7">
        <v>40</v>
      </c>
      <c r="AT47" s="7">
        <v>10</v>
      </c>
      <c r="AU47" s="7">
        <v>0</v>
      </c>
      <c r="AV47" s="7">
        <v>100</v>
      </c>
      <c r="AW47" s="7">
        <v>0</v>
      </c>
      <c r="AX47" s="7">
        <v>0</v>
      </c>
      <c r="AY47" s="7">
        <v>40</v>
      </c>
      <c r="AZ47" s="7">
        <v>0</v>
      </c>
      <c r="BA47" s="7">
        <v>0</v>
      </c>
      <c r="BB47" s="7">
        <v>0</v>
      </c>
      <c r="BC47" s="7">
        <v>0</v>
      </c>
      <c r="BD47" s="7">
        <v>0</v>
      </c>
      <c r="BE47" s="7">
        <v>0</v>
      </c>
      <c r="BF47" s="7">
        <v>50</v>
      </c>
      <c r="BG47" s="7">
        <v>0</v>
      </c>
      <c r="BH47" s="7">
        <v>620</v>
      </c>
      <c r="BI47" s="7">
        <v>0</v>
      </c>
      <c r="BJ47" s="7">
        <v>0</v>
      </c>
      <c r="BK47" s="7">
        <v>0</v>
      </c>
      <c r="BL47" s="7">
        <v>0</v>
      </c>
      <c r="BM47" s="13">
        <v>864</v>
      </c>
      <c r="BN47" s="13">
        <f>Tabla1[[#This Row],[CONSUMO TOTAL PROPIO]]/52</f>
        <v>16.615384615384617</v>
      </c>
      <c r="BO47" s="13" t="e">
        <f>SUM(Tabla3[[#This Row],[CONSUMO TOTAL V]]+Tabla2[[#This Row],[CONSUMO TOTAL VALORES]]+#REF!+#REF!)</f>
        <v>#REF!</v>
      </c>
      <c r="BP47" s="31">
        <v>35</v>
      </c>
      <c r="BQ47" s="13">
        <f>Tabla1[[#This Row],[CONSUMO TOTAL TODAS]]/52</f>
        <v>0.67307692307692313</v>
      </c>
      <c r="BR47" s="25">
        <f>Tabla1[[#This Row],[CONSUMO PROMEDIO PROPIO]]+Tabla1[[#This Row],[CONSUMO PROMEDIO TODAS]]</f>
        <v>17.28846153846154</v>
      </c>
      <c r="BS47" s="26">
        <f>Tabla1[[#This Row],[CONSUMO PROMEDIO TOTAL]]*(Tabla1[[#This Row],[FRECUENCIA]]+Tabla1[[#This Row],[TIEMPO REPOSICION BUFFERS]])</f>
        <v>518.65384615384619</v>
      </c>
      <c r="BT47" s="26">
        <v>100</v>
      </c>
      <c r="BU47" s="27">
        <v>1</v>
      </c>
      <c r="BV47" s="27">
        <v>16</v>
      </c>
      <c r="BW47" s="27">
        <v>16</v>
      </c>
      <c r="BX47" s="69">
        <f>Tabla1[[#This Row],[BUFFER REAL]]*Tabla1[[#This Row],[COSTOS]]</f>
        <v>298.72800000000001</v>
      </c>
      <c r="BY47" s="69">
        <f>Tabla1[[#This Row],[PVP]]-Tabla1[[#This Row],[COSTOS]]</f>
        <v>3.5027200000000001</v>
      </c>
      <c r="BZ47" s="69">
        <f>Tabla1[[#This Row],[PVD]]-Tabla1[[#This Row],[COSTOS]]</f>
        <v>1.8153199999999998</v>
      </c>
      <c r="CA47" s="25">
        <f>Tabla1[[#This Row],[TRUPUD UNTITARIO PVD]]</f>
        <v>1.8153199999999998</v>
      </c>
      <c r="CB47" s="25">
        <f>Tabla1[[#This Row],[TRUPUT UNITARIO]]/Tabla1[[#This Row],[COSTOS]]</f>
        <v>0.60768324361961379</v>
      </c>
      <c r="CC47" s="40">
        <f>Tabla1[[#This Row],[BUFFER REAL]]/((Tabla1[[#This Row],[TIEMPO REPOSICION BUFFERS]])/1.5)</f>
        <v>37.5</v>
      </c>
      <c r="CD47" s="69">
        <f>Tabla1[[#This Row],[CONSUMO ESTIMADO]]*52*Tabla1[[#This Row],[TRUPUT UNITARIO]]</f>
        <v>3539.8739999999998</v>
      </c>
      <c r="CE47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47" s="25">
        <f>Tabla1[[#This Row],[INVERSION UNIDADES]]*Tabla1[[#This Row],[COSTOS]]</f>
        <v>672.13800000000003</v>
      </c>
      <c r="CG47" s="25">
        <f>Tabla1[[#This Row],[TRUPUT TOTAL ESTIMADO ANUAL]]/Tabla1[[#This Row],[INVERSION USD]]</f>
        <v>5.2665881113699857</v>
      </c>
      <c r="CH47" s="27"/>
      <c r="CI47" s="27"/>
      <c r="CJ47" s="27"/>
      <c r="CK47" s="27"/>
    </row>
    <row r="48" spans="1:89">
      <c r="A48" s="20" t="s">
        <v>746</v>
      </c>
      <c r="B48" s="20" t="s">
        <v>747</v>
      </c>
      <c r="C48" s="20" t="s">
        <v>676</v>
      </c>
      <c r="D48" s="20" t="s">
        <v>709</v>
      </c>
      <c r="E48" s="7" t="s">
        <v>732</v>
      </c>
      <c r="F48" s="7" t="s">
        <v>724</v>
      </c>
      <c r="G48" s="7" t="s">
        <v>729</v>
      </c>
      <c r="H48" s="21">
        <v>13.24</v>
      </c>
      <c r="I48" s="13">
        <f>+H48*85%</f>
        <v>11.254</v>
      </c>
      <c r="J48" s="21">
        <v>8.15</v>
      </c>
      <c r="K48" s="7">
        <v>8</v>
      </c>
      <c r="L48" s="7">
        <v>4</v>
      </c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1">
        <v>0</v>
      </c>
      <c r="BN48" s="13">
        <f>Tabla1[[#This Row],[CONSUMO TOTAL PROPIO]]/52</f>
        <v>0</v>
      </c>
      <c r="BO48" s="13" t="e">
        <f>SUM(Tabla3[[#This Row],[CONSUMO TOTAL V]]+Tabla2[[#This Row],[CONSUMO TOTAL VALORES]]+#REF!+#REF!)</f>
        <v>#REF!</v>
      </c>
      <c r="BP48" s="31">
        <v>0</v>
      </c>
      <c r="BQ48" s="13">
        <f>Tabla1[[#This Row],[CONSUMO TOTAL TODAS]]/52</f>
        <v>0</v>
      </c>
      <c r="BR48" s="25">
        <f>Tabla1[[#This Row],[CONSUMO PROMEDIO PROPIO]]+Tabla1[[#This Row],[CONSUMO PROMEDIO TODAS]]</f>
        <v>0</v>
      </c>
      <c r="BS48" s="26">
        <f>Tabla1[[#This Row],[CONSUMO PROMEDIO TOTAL]]*(Tabla1[[#This Row],[FRECUENCIA]]+Tabla1[[#This Row],[TIEMPO REPOSICION BUFFERS]])</f>
        <v>0</v>
      </c>
      <c r="BT48" s="26">
        <v>40</v>
      </c>
      <c r="BU48" s="27">
        <v>1</v>
      </c>
      <c r="BV48" s="27">
        <v>12</v>
      </c>
      <c r="BW48" s="27">
        <v>9</v>
      </c>
      <c r="BX48" s="69">
        <f>Tabla1[[#This Row],[BUFFER REAL]]*Tabla1[[#This Row],[COSTOS]]</f>
        <v>326</v>
      </c>
      <c r="BY48" s="69">
        <f>Tabla1[[#This Row],[PVP]]-Tabla1[[#This Row],[COSTOS]]</f>
        <v>5.09</v>
      </c>
      <c r="BZ48" s="69">
        <f>Tabla1[[#This Row],[PVD]]-Tabla1[[#This Row],[COSTOS]]</f>
        <v>3.1039999999999992</v>
      </c>
      <c r="CA48" s="69">
        <f>Tabla1[[#This Row],[TRUPUD UNITARIO PVP]]</f>
        <v>5.09</v>
      </c>
      <c r="CB48" s="68">
        <f>Tabla1[[#This Row],[TRUPUT UNITARIO]]/Tabla1[[#This Row],[COSTOS]]</f>
        <v>0.62453987730061344</v>
      </c>
      <c r="CC48" s="71">
        <f>Tabla1[[#This Row],[BUFFER REAL]]/((Tabla1[[#This Row],[TIEMPO REPOSICION BUFFERS]])/1.5)</f>
        <v>15</v>
      </c>
      <c r="CD48" s="68">
        <f>Tabla1[[#This Row],[CONSUMO ESTIMADO]]*52*Tabla1[[#This Row],[TRUPUT UNITARIO]]</f>
        <v>3970.2</v>
      </c>
      <c r="CE48" s="68">
        <f>Tabla1[[#This Row],[CONSUMO ESTIMADO]]*(Tabla1[[#This Row],[TIEMPO REPOSICION BUFFERS]]*1.5)+( Tabla1[[#This Row],[TRUPUT TOTAL ESTIMADO ANUAL]]*(Tabla1[[#This Row],[CRÉDITO CLIENTE]]-Tabla1[[#This Row],[CREDITO PROVEEDOR]]))</f>
        <v>-11820.599999999999</v>
      </c>
      <c r="CF48" s="68">
        <f>Tabla1[[#This Row],[INVERSION UNIDADES]]*Tabla1[[#This Row],[COSTOS]]</f>
        <v>-96337.89</v>
      </c>
      <c r="CG48" s="68">
        <f>Tabla1[[#This Row],[TRUPUT TOTAL ESTIMADO ANUAL]]/Tabla1[[#This Row],[INVERSION USD]]</f>
        <v>-4.1211199456413251E-2</v>
      </c>
      <c r="CH48" s="27"/>
      <c r="CI48" s="27"/>
      <c r="CJ48" s="27"/>
      <c r="CK48" s="27"/>
    </row>
    <row r="49" spans="1:89">
      <c r="A49" s="7" t="s">
        <v>462</v>
      </c>
      <c r="B49" s="7" t="s">
        <v>463</v>
      </c>
      <c r="C49" s="7" t="s">
        <v>682</v>
      </c>
      <c r="D49" s="7" t="s">
        <v>707</v>
      </c>
      <c r="E49" s="7" t="s">
        <v>715</v>
      </c>
      <c r="F49" s="7" t="s">
        <v>724</v>
      </c>
      <c r="G49" s="7" t="s">
        <v>729</v>
      </c>
      <c r="H49" s="13">
        <v>1.48</v>
      </c>
      <c r="I49" s="13">
        <v>1.48</v>
      </c>
      <c r="J49" s="13">
        <v>1.2250000000000001</v>
      </c>
      <c r="K49" s="7">
        <v>8</v>
      </c>
      <c r="L49" s="7">
        <v>4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0</v>
      </c>
      <c r="U49" s="7">
        <v>0</v>
      </c>
      <c r="V49" s="7">
        <v>0</v>
      </c>
      <c r="W49" s="7">
        <v>0</v>
      </c>
      <c r="X49" s="7">
        <v>0</v>
      </c>
      <c r="Y49" s="7">
        <v>0</v>
      </c>
      <c r="Z49" s="7">
        <v>0</v>
      </c>
      <c r="AA49" s="7">
        <v>0</v>
      </c>
      <c r="AB49" s="7">
        <v>0</v>
      </c>
      <c r="AC49" s="7">
        <v>0</v>
      </c>
      <c r="AD49" s="7">
        <v>0</v>
      </c>
      <c r="AE49" s="7">
        <v>0</v>
      </c>
      <c r="AF49" s="7">
        <v>0</v>
      </c>
      <c r="AG49" s="7">
        <v>0</v>
      </c>
      <c r="AH49" s="7">
        <v>0</v>
      </c>
      <c r="AI49" s="7">
        <v>0</v>
      </c>
      <c r="AJ49" s="7">
        <v>0</v>
      </c>
      <c r="AK49" s="7">
        <v>0</v>
      </c>
      <c r="AL49" s="7">
        <v>0</v>
      </c>
      <c r="AM49" s="7">
        <v>0</v>
      </c>
      <c r="AN49" s="7">
        <v>0</v>
      </c>
      <c r="AO49" s="7">
        <v>0</v>
      </c>
      <c r="AP49" s="7">
        <v>0</v>
      </c>
      <c r="AQ49" s="7">
        <v>0</v>
      </c>
      <c r="AR49" s="7">
        <v>0</v>
      </c>
      <c r="AS49" s="7">
        <v>0</v>
      </c>
      <c r="AT49" s="7">
        <v>0</v>
      </c>
      <c r="AU49" s="7">
        <v>0</v>
      </c>
      <c r="AV49" s="7">
        <v>0</v>
      </c>
      <c r="AW49" s="7">
        <v>0</v>
      </c>
      <c r="AX49" s="7">
        <v>0</v>
      </c>
      <c r="AY49" s="7">
        <v>0</v>
      </c>
      <c r="AZ49" s="7">
        <v>0</v>
      </c>
      <c r="BA49" s="7">
        <v>0</v>
      </c>
      <c r="BB49" s="7">
        <v>0</v>
      </c>
      <c r="BC49" s="7">
        <v>0</v>
      </c>
      <c r="BD49" s="7">
        <v>0</v>
      </c>
      <c r="BE49" s="7">
        <v>0</v>
      </c>
      <c r="BF49" s="7">
        <v>0</v>
      </c>
      <c r="BG49" s="7">
        <v>0</v>
      </c>
      <c r="BH49" s="7">
        <v>0</v>
      </c>
      <c r="BI49" s="7">
        <v>0</v>
      </c>
      <c r="BJ49" s="7">
        <v>0</v>
      </c>
      <c r="BK49" s="7">
        <v>0</v>
      </c>
      <c r="BL49" s="7">
        <v>0</v>
      </c>
      <c r="BM49" s="13">
        <v>0</v>
      </c>
      <c r="BN49" s="13">
        <f>Tabla1[[#This Row],[CONSUMO TOTAL PROPIO]]/52</f>
        <v>0</v>
      </c>
      <c r="BO49" s="13" t="e">
        <f>SUM(Tabla3[[#This Row],[CONSUMO TOTAL V]]+Tabla2[[#This Row],[CONSUMO TOTAL VALORES]]+#REF!+#REF!)</f>
        <v>#REF!</v>
      </c>
      <c r="BP49" s="31">
        <v>0</v>
      </c>
      <c r="BQ49" s="13">
        <f>Tabla1[[#This Row],[CONSUMO TOTAL TODAS]]/52</f>
        <v>0</v>
      </c>
      <c r="BR49" s="25">
        <f>Tabla1[[#This Row],[CONSUMO PROMEDIO PROPIO]]+Tabla1[[#This Row],[CONSUMO PROMEDIO TODAS]]</f>
        <v>0</v>
      </c>
      <c r="BS49" s="26">
        <f>Tabla1[[#This Row],[CONSUMO PROMEDIO TOTAL]]*(Tabla1[[#This Row],[FRECUENCIA]]+Tabla1[[#This Row],[TIEMPO REPOSICION BUFFERS]])</f>
        <v>0</v>
      </c>
      <c r="BT49" s="26">
        <v>0</v>
      </c>
      <c r="BU49" s="27">
        <v>1</v>
      </c>
      <c r="BV49" s="27">
        <v>16</v>
      </c>
      <c r="BW49" s="27">
        <v>16</v>
      </c>
      <c r="BX49" s="69">
        <f>Tabla1[[#This Row],[BUFFER REAL]]*Tabla1[[#This Row],[COSTOS]]</f>
        <v>0</v>
      </c>
      <c r="BY49" s="69">
        <f>Tabla1[[#This Row],[PVP]]-Tabla1[[#This Row],[COSTOS]]</f>
        <v>0.25499999999999989</v>
      </c>
      <c r="BZ49" s="69">
        <f>Tabla1[[#This Row],[PVD]]-Tabla1[[#This Row],[COSTOS]]</f>
        <v>0.25499999999999989</v>
      </c>
      <c r="CA49" s="25">
        <f>Tabla1[[#This Row],[TRUPUD UNTITARIO PVD]]</f>
        <v>0.25499999999999989</v>
      </c>
      <c r="CB49" s="25">
        <f>Tabla1[[#This Row],[TRUPUT UNITARIO]]/Tabla1[[#This Row],[COSTOS]]</f>
        <v>0.20816326530612234</v>
      </c>
      <c r="CC49" s="40">
        <f>Tabla1[[#This Row],[BUFFER REAL]]/((Tabla1[[#This Row],[TIEMPO REPOSICION BUFFERS]])/1.5)</f>
        <v>0</v>
      </c>
      <c r="CD49" s="69">
        <f>Tabla1[[#This Row],[CONSUMO ESTIMADO]]*52*Tabla1[[#This Row],[TRUPUT UNITARIO]]</f>
        <v>0</v>
      </c>
      <c r="CE49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49" s="25">
        <f>Tabla1[[#This Row],[INVERSION UNIDADES]]*Tabla1[[#This Row],[COSTOS]]</f>
        <v>0</v>
      </c>
      <c r="CG49" s="25" t="e">
        <f>Tabla1[[#This Row],[TRUPUT TOTAL ESTIMADO ANUAL]]/Tabla1[[#This Row],[INVERSION USD]]</f>
        <v>#DIV/0!</v>
      </c>
      <c r="CH49" s="27"/>
      <c r="CI49" s="27"/>
      <c r="CJ49" s="27"/>
      <c r="CK49" s="27"/>
    </row>
    <row r="50" spans="1:89">
      <c r="A50" s="7" t="s">
        <v>464</v>
      </c>
      <c r="B50" s="7" t="s">
        <v>465</v>
      </c>
      <c r="C50" s="7" t="s">
        <v>682</v>
      </c>
      <c r="D50" s="7" t="s">
        <v>707</v>
      </c>
      <c r="E50" s="7" t="s">
        <v>715</v>
      </c>
      <c r="F50" s="7" t="s">
        <v>724</v>
      </c>
      <c r="G50" s="7" t="s">
        <v>729</v>
      </c>
      <c r="H50" s="13">
        <v>2.95</v>
      </c>
      <c r="I50" s="13">
        <v>2.95</v>
      </c>
      <c r="J50" s="13">
        <v>2.1850000000000001</v>
      </c>
      <c r="K50" s="7">
        <v>8</v>
      </c>
      <c r="L50" s="7">
        <v>4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0</v>
      </c>
      <c r="U50" s="7">
        <v>0</v>
      </c>
      <c r="V50" s="7">
        <v>0</v>
      </c>
      <c r="W50" s="7">
        <v>0</v>
      </c>
      <c r="X50" s="7">
        <v>0</v>
      </c>
      <c r="Y50" s="7">
        <v>0</v>
      </c>
      <c r="Z50" s="7">
        <v>0</v>
      </c>
      <c r="AA50" s="7">
        <v>0</v>
      </c>
      <c r="AB50" s="7">
        <v>0</v>
      </c>
      <c r="AC50" s="7">
        <v>0</v>
      </c>
      <c r="AD50" s="7">
        <v>0</v>
      </c>
      <c r="AE50" s="7">
        <v>0</v>
      </c>
      <c r="AF50" s="7">
        <v>0</v>
      </c>
      <c r="AG50" s="7">
        <v>0</v>
      </c>
      <c r="AH50" s="7">
        <v>0</v>
      </c>
      <c r="AI50" s="7">
        <v>0</v>
      </c>
      <c r="AJ50" s="7">
        <v>0</v>
      </c>
      <c r="AK50" s="7">
        <v>0</v>
      </c>
      <c r="AL50" s="7">
        <v>0</v>
      </c>
      <c r="AM50" s="7">
        <v>0</v>
      </c>
      <c r="AN50" s="7">
        <v>0</v>
      </c>
      <c r="AO50" s="7">
        <v>0</v>
      </c>
      <c r="AP50" s="7">
        <v>0</v>
      </c>
      <c r="AQ50" s="7">
        <v>0</v>
      </c>
      <c r="AR50" s="7">
        <v>0</v>
      </c>
      <c r="AS50" s="7">
        <v>0</v>
      </c>
      <c r="AT50" s="7">
        <v>0</v>
      </c>
      <c r="AU50" s="7">
        <v>0</v>
      </c>
      <c r="AV50" s="7">
        <v>0</v>
      </c>
      <c r="AW50" s="7">
        <v>0</v>
      </c>
      <c r="AX50" s="7">
        <v>0</v>
      </c>
      <c r="AY50" s="7">
        <v>0</v>
      </c>
      <c r="AZ50" s="7">
        <v>0</v>
      </c>
      <c r="BA50" s="7">
        <v>0</v>
      </c>
      <c r="BB50" s="7">
        <v>0</v>
      </c>
      <c r="BC50" s="7">
        <v>0</v>
      </c>
      <c r="BD50" s="7">
        <v>0</v>
      </c>
      <c r="BE50" s="7">
        <v>0</v>
      </c>
      <c r="BF50" s="7">
        <v>0</v>
      </c>
      <c r="BG50" s="7">
        <v>0</v>
      </c>
      <c r="BH50" s="7">
        <v>0</v>
      </c>
      <c r="BI50" s="7">
        <v>0</v>
      </c>
      <c r="BJ50" s="7">
        <v>0</v>
      </c>
      <c r="BK50" s="7">
        <v>0</v>
      </c>
      <c r="BL50" s="7">
        <v>0</v>
      </c>
      <c r="BM50" s="13">
        <v>0</v>
      </c>
      <c r="BN50" s="13">
        <f>Tabla1[[#This Row],[CONSUMO TOTAL PROPIO]]/52</f>
        <v>0</v>
      </c>
      <c r="BO50" s="13" t="e">
        <f>SUM(Tabla3[[#This Row],[CONSUMO TOTAL V]]+Tabla2[[#This Row],[CONSUMO TOTAL VALORES]]+#REF!+#REF!)</f>
        <v>#REF!</v>
      </c>
      <c r="BP50" s="31">
        <v>0</v>
      </c>
      <c r="BQ50" s="13">
        <f>Tabla1[[#This Row],[CONSUMO TOTAL TODAS]]/52</f>
        <v>0</v>
      </c>
      <c r="BR50" s="25">
        <f>Tabla1[[#This Row],[CONSUMO PROMEDIO PROPIO]]+Tabla1[[#This Row],[CONSUMO PROMEDIO TODAS]]</f>
        <v>0</v>
      </c>
      <c r="BS50" s="26">
        <f>Tabla1[[#This Row],[CONSUMO PROMEDIO TOTAL]]*(Tabla1[[#This Row],[FRECUENCIA]]+Tabla1[[#This Row],[TIEMPO REPOSICION BUFFERS]])</f>
        <v>0</v>
      </c>
      <c r="BT50" s="26">
        <v>0</v>
      </c>
      <c r="BU50" s="27">
        <v>1</v>
      </c>
      <c r="BV50" s="27">
        <v>16</v>
      </c>
      <c r="BW50" s="27">
        <v>16</v>
      </c>
      <c r="BX50" s="69">
        <f>Tabla1[[#This Row],[BUFFER REAL]]*Tabla1[[#This Row],[COSTOS]]</f>
        <v>0</v>
      </c>
      <c r="BY50" s="69">
        <f>Tabla1[[#This Row],[PVP]]-Tabla1[[#This Row],[COSTOS]]</f>
        <v>0.76500000000000012</v>
      </c>
      <c r="BZ50" s="69">
        <f>Tabla1[[#This Row],[PVD]]-Tabla1[[#This Row],[COSTOS]]</f>
        <v>0.76500000000000012</v>
      </c>
      <c r="CA50" s="25">
        <f>Tabla1[[#This Row],[TRUPUD UNTITARIO PVD]]</f>
        <v>0.76500000000000012</v>
      </c>
      <c r="CB50" s="25">
        <f>Tabla1[[#This Row],[TRUPUT UNITARIO]]/Tabla1[[#This Row],[COSTOS]]</f>
        <v>0.35011441647597258</v>
      </c>
      <c r="CC50" s="40">
        <f>Tabla1[[#This Row],[BUFFER REAL]]/((Tabla1[[#This Row],[TIEMPO REPOSICION BUFFERS]])/1.5)</f>
        <v>0</v>
      </c>
      <c r="CD50" s="69">
        <f>Tabla1[[#This Row],[CONSUMO ESTIMADO]]*52*Tabla1[[#This Row],[TRUPUT UNITARIO]]</f>
        <v>0</v>
      </c>
      <c r="CE50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50" s="25">
        <f>Tabla1[[#This Row],[INVERSION UNIDADES]]*Tabla1[[#This Row],[COSTOS]]</f>
        <v>0</v>
      </c>
      <c r="CG50" s="25" t="e">
        <f>Tabla1[[#This Row],[TRUPUT TOTAL ESTIMADO ANUAL]]/Tabla1[[#This Row],[INVERSION USD]]</f>
        <v>#DIV/0!</v>
      </c>
      <c r="CH50" s="27"/>
      <c r="CI50" s="27"/>
      <c r="CJ50" s="27"/>
      <c r="CK50" s="27"/>
    </row>
    <row r="51" spans="1:89">
      <c r="A51" s="7" t="s">
        <v>466</v>
      </c>
      <c r="B51" s="7" t="s">
        <v>467</v>
      </c>
      <c r="C51" s="7" t="s">
        <v>676</v>
      </c>
      <c r="D51" s="7" t="s">
        <v>707</v>
      </c>
      <c r="E51" s="7" t="s">
        <v>715</v>
      </c>
      <c r="F51" s="7" t="s">
        <v>724</v>
      </c>
      <c r="G51" s="7" t="s">
        <v>729</v>
      </c>
      <c r="H51" s="13">
        <v>5.9</v>
      </c>
      <c r="I51" s="13">
        <v>5.9</v>
      </c>
      <c r="J51" s="13">
        <v>4.2649999999999997</v>
      </c>
      <c r="K51" s="7">
        <v>8</v>
      </c>
      <c r="L51" s="7">
        <v>4</v>
      </c>
      <c r="M51" s="7">
        <v>0</v>
      </c>
      <c r="N51" s="7">
        <v>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0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  <c r="Z51" s="7">
        <v>0</v>
      </c>
      <c r="AA51" s="7">
        <v>0</v>
      </c>
      <c r="AB51" s="7">
        <v>0</v>
      </c>
      <c r="AC51" s="7">
        <v>0</v>
      </c>
      <c r="AD51" s="7">
        <v>0</v>
      </c>
      <c r="AE51" s="7">
        <v>0</v>
      </c>
      <c r="AF51" s="7">
        <v>0</v>
      </c>
      <c r="AG51" s="7">
        <v>0</v>
      </c>
      <c r="AH51" s="7">
        <v>0</v>
      </c>
      <c r="AI51" s="7">
        <v>0</v>
      </c>
      <c r="AJ51" s="7">
        <v>0</v>
      </c>
      <c r="AK51" s="7">
        <v>0</v>
      </c>
      <c r="AL51" s="7">
        <v>0</v>
      </c>
      <c r="AM51" s="7">
        <v>0</v>
      </c>
      <c r="AN51" s="7">
        <v>0</v>
      </c>
      <c r="AO51" s="7">
        <v>0</v>
      </c>
      <c r="AP51" s="7">
        <v>0</v>
      </c>
      <c r="AQ51" s="7">
        <v>0</v>
      </c>
      <c r="AR51" s="7">
        <v>0</v>
      </c>
      <c r="AS51" s="7">
        <v>0</v>
      </c>
      <c r="AT51" s="7">
        <v>0</v>
      </c>
      <c r="AU51" s="7">
        <v>0</v>
      </c>
      <c r="AV51" s="7">
        <v>0</v>
      </c>
      <c r="AW51" s="7">
        <v>0</v>
      </c>
      <c r="AX51" s="7">
        <v>0</v>
      </c>
      <c r="AY51" s="7">
        <v>0</v>
      </c>
      <c r="AZ51" s="7">
        <v>0</v>
      </c>
      <c r="BA51" s="7">
        <v>0</v>
      </c>
      <c r="BB51" s="7">
        <v>0</v>
      </c>
      <c r="BC51" s="7">
        <v>0</v>
      </c>
      <c r="BD51" s="7">
        <v>0</v>
      </c>
      <c r="BE51" s="7">
        <v>0</v>
      </c>
      <c r="BF51" s="7">
        <v>0</v>
      </c>
      <c r="BG51" s="7">
        <v>0</v>
      </c>
      <c r="BH51" s="7">
        <v>0</v>
      </c>
      <c r="BI51" s="7">
        <v>0</v>
      </c>
      <c r="BJ51" s="7">
        <v>0</v>
      </c>
      <c r="BK51" s="7">
        <v>0</v>
      </c>
      <c r="BL51" s="7">
        <v>0</v>
      </c>
      <c r="BM51" s="13">
        <v>0</v>
      </c>
      <c r="BN51" s="13">
        <f>Tabla1[[#This Row],[CONSUMO TOTAL PROPIO]]/52</f>
        <v>0</v>
      </c>
      <c r="BO51" s="13" t="e">
        <f>SUM(Tabla3[[#This Row],[CONSUMO TOTAL V]]+Tabla2[[#This Row],[CONSUMO TOTAL VALORES]]+#REF!+#REF!)</f>
        <v>#REF!</v>
      </c>
      <c r="BP51" s="31">
        <v>0</v>
      </c>
      <c r="BQ51" s="13">
        <f>Tabla1[[#This Row],[CONSUMO TOTAL TODAS]]/52</f>
        <v>0</v>
      </c>
      <c r="BR51" s="25">
        <f>Tabla1[[#This Row],[CONSUMO PROMEDIO PROPIO]]+Tabla1[[#This Row],[CONSUMO PROMEDIO TODAS]]</f>
        <v>0</v>
      </c>
      <c r="BS51" s="26">
        <f>Tabla1[[#This Row],[CONSUMO PROMEDIO TOTAL]]*(Tabla1[[#This Row],[FRECUENCIA]]+Tabla1[[#This Row],[TIEMPO REPOSICION BUFFERS]])</f>
        <v>0</v>
      </c>
      <c r="BT51" s="26">
        <v>0</v>
      </c>
      <c r="BU51" s="27">
        <v>1</v>
      </c>
      <c r="BV51" s="27">
        <v>16</v>
      </c>
      <c r="BW51" s="27">
        <v>16</v>
      </c>
      <c r="BX51" s="69">
        <f>Tabla1[[#This Row],[BUFFER REAL]]*Tabla1[[#This Row],[COSTOS]]</f>
        <v>0</v>
      </c>
      <c r="BY51" s="69">
        <f>Tabla1[[#This Row],[PVP]]-Tabla1[[#This Row],[COSTOS]]</f>
        <v>1.6350000000000007</v>
      </c>
      <c r="BZ51" s="69">
        <f>Tabla1[[#This Row],[PVD]]-Tabla1[[#This Row],[COSTOS]]</f>
        <v>1.6350000000000007</v>
      </c>
      <c r="CA51" s="25">
        <f>Tabla1[[#This Row],[TRUPUD UNTITARIO PVD]]</f>
        <v>1.6350000000000007</v>
      </c>
      <c r="CB51" s="25">
        <f>Tabla1[[#This Row],[TRUPUT UNITARIO]]/Tabla1[[#This Row],[COSTOS]]</f>
        <v>0.38335287221570946</v>
      </c>
      <c r="CC51" s="40">
        <f>Tabla1[[#This Row],[BUFFER REAL]]/((Tabla1[[#This Row],[TIEMPO REPOSICION BUFFERS]])/1.5)</f>
        <v>0</v>
      </c>
      <c r="CD51" s="69">
        <f>Tabla1[[#This Row],[CONSUMO ESTIMADO]]*52*Tabla1[[#This Row],[TRUPUT UNITARIO]]</f>
        <v>0</v>
      </c>
      <c r="CE51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51" s="25">
        <f>Tabla1[[#This Row],[INVERSION UNIDADES]]*Tabla1[[#This Row],[COSTOS]]</f>
        <v>0</v>
      </c>
      <c r="CG51" s="25" t="e">
        <f>Tabla1[[#This Row],[TRUPUT TOTAL ESTIMADO ANUAL]]/Tabla1[[#This Row],[INVERSION USD]]</f>
        <v>#DIV/0!</v>
      </c>
      <c r="CH51" s="27"/>
      <c r="CI51" s="27"/>
      <c r="CJ51" s="27"/>
      <c r="CK51" s="27"/>
    </row>
    <row r="52" spans="1:89">
      <c r="A52" s="7" t="s">
        <v>474</v>
      </c>
      <c r="B52" s="7" t="s">
        <v>475</v>
      </c>
      <c r="C52" s="7" t="s">
        <v>700</v>
      </c>
      <c r="D52" s="7" t="s">
        <v>709</v>
      </c>
      <c r="E52" s="7" t="s">
        <v>719</v>
      </c>
      <c r="F52" s="7" t="s">
        <v>724</v>
      </c>
      <c r="G52" s="7" t="s">
        <v>729</v>
      </c>
      <c r="H52" s="13">
        <v>8.9</v>
      </c>
      <c r="I52" s="13">
        <f>Tabla1[[#This Row],[PVP]]*74%</f>
        <v>6.5860000000000003</v>
      </c>
      <c r="J52" s="13">
        <v>3.1481499999999998</v>
      </c>
      <c r="K52" s="7">
        <v>26</v>
      </c>
      <c r="L52" s="7">
        <v>4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0</v>
      </c>
      <c r="U52" s="7">
        <v>0</v>
      </c>
      <c r="V52" s="7">
        <v>0</v>
      </c>
      <c r="W52" s="7">
        <v>0</v>
      </c>
      <c r="X52" s="7">
        <v>0</v>
      </c>
      <c r="Y52" s="7">
        <v>21</v>
      </c>
      <c r="Z52" s="7">
        <v>1</v>
      </c>
      <c r="AA52" s="7">
        <v>0</v>
      </c>
      <c r="AB52" s="7">
        <v>10</v>
      </c>
      <c r="AC52" s="7">
        <v>0</v>
      </c>
      <c r="AD52" s="7">
        <v>42</v>
      </c>
      <c r="AE52" s="7">
        <v>0</v>
      </c>
      <c r="AF52" s="7">
        <v>0</v>
      </c>
      <c r="AG52" s="7">
        <v>0</v>
      </c>
      <c r="AH52" s="7">
        <v>0</v>
      </c>
      <c r="AI52" s="7">
        <v>0</v>
      </c>
      <c r="AJ52" s="7">
        <v>0</v>
      </c>
      <c r="AK52" s="7">
        <v>220</v>
      </c>
      <c r="AL52" s="7">
        <v>0</v>
      </c>
      <c r="AM52" s="7">
        <v>0</v>
      </c>
      <c r="AN52" s="7">
        <v>0</v>
      </c>
      <c r="AO52" s="7">
        <v>0</v>
      </c>
      <c r="AP52" s="7">
        <v>0</v>
      </c>
      <c r="AQ52" s="7">
        <v>0</v>
      </c>
      <c r="AR52" s="7">
        <v>100</v>
      </c>
      <c r="AS52" s="7">
        <v>21</v>
      </c>
      <c r="AT52" s="7">
        <v>0</v>
      </c>
      <c r="AU52" s="7">
        <v>42</v>
      </c>
      <c r="AV52" s="7">
        <v>73</v>
      </c>
      <c r="AW52" s="7">
        <v>21</v>
      </c>
      <c r="AX52" s="7">
        <v>0</v>
      </c>
      <c r="AY52" s="7">
        <v>6</v>
      </c>
      <c r="AZ52" s="7">
        <v>0</v>
      </c>
      <c r="BA52" s="7">
        <v>0</v>
      </c>
      <c r="BB52" s="7">
        <v>21</v>
      </c>
      <c r="BC52" s="7">
        <v>0</v>
      </c>
      <c r="BD52" s="7">
        <v>20</v>
      </c>
      <c r="BE52" s="7">
        <v>42</v>
      </c>
      <c r="BF52" s="7">
        <v>0</v>
      </c>
      <c r="BG52" s="7">
        <v>42</v>
      </c>
      <c r="BH52" s="7">
        <v>0</v>
      </c>
      <c r="BI52" s="7">
        <v>0</v>
      </c>
      <c r="BJ52" s="7">
        <v>21</v>
      </c>
      <c r="BK52" s="7">
        <v>0</v>
      </c>
      <c r="BL52" s="7">
        <v>56</v>
      </c>
      <c r="BM52" s="13">
        <v>759</v>
      </c>
      <c r="BN52" s="13">
        <f>Tabla1[[#This Row],[CONSUMO TOTAL PROPIO]]/52</f>
        <v>14.596153846153847</v>
      </c>
      <c r="BO52" s="13" t="e">
        <f>SUM(Tabla3[[#This Row],[CONSUMO TOTAL V]]+Tabla2[[#This Row],[CONSUMO TOTAL VALORES]]+#REF!+#REF!)</f>
        <v>#REF!</v>
      </c>
      <c r="BP52" s="31">
        <v>52</v>
      </c>
      <c r="BQ52" s="13">
        <f>Tabla1[[#This Row],[CONSUMO TOTAL TODAS]]/52</f>
        <v>1</v>
      </c>
      <c r="BR52" s="25">
        <f>Tabla1[[#This Row],[CONSUMO PROMEDIO PROPIO]]+Tabla1[[#This Row],[CONSUMO PROMEDIO TODAS]]</f>
        <v>15.596153846153847</v>
      </c>
      <c r="BS52" s="26">
        <f>Tabla1[[#This Row],[CONSUMO PROMEDIO TOTAL]]*(Tabla1[[#This Row],[FRECUENCIA]]+Tabla1[[#This Row],[TIEMPO REPOSICION BUFFERS]])</f>
        <v>467.88461538461542</v>
      </c>
      <c r="BT52" s="26">
        <v>300</v>
      </c>
      <c r="BU52" s="27">
        <v>1</v>
      </c>
      <c r="BV52" s="27">
        <v>16</v>
      </c>
      <c r="BW52" s="27">
        <v>16</v>
      </c>
      <c r="BX52" s="69">
        <f>Tabla1[[#This Row],[BUFFER REAL]]*Tabla1[[#This Row],[COSTOS]]</f>
        <v>944.44499999999994</v>
      </c>
      <c r="BY52" s="69">
        <f>Tabla1[[#This Row],[PVP]]-Tabla1[[#This Row],[COSTOS]]</f>
        <v>5.751850000000001</v>
      </c>
      <c r="BZ52" s="69">
        <f>Tabla1[[#This Row],[PVD]]-Tabla1[[#This Row],[COSTOS]]</f>
        <v>3.4378500000000005</v>
      </c>
      <c r="CA52" s="25">
        <f>Tabla1[[#This Row],[TRUPUD UNTITARIO PVD]]</f>
        <v>3.4378500000000005</v>
      </c>
      <c r="CB52" s="25">
        <f>Tabla1[[#This Row],[TRUPUT UNITARIO]]/Tabla1[[#This Row],[COSTOS]]</f>
        <v>1.0920222988104127</v>
      </c>
      <c r="CC52" s="40">
        <f>Tabla1[[#This Row],[BUFFER REAL]]/((Tabla1[[#This Row],[TIEMPO REPOSICION BUFFERS]])/1.5)</f>
        <v>112.5</v>
      </c>
      <c r="CD52" s="69">
        <f>Tabla1[[#This Row],[CONSUMO ESTIMADO]]*52*Tabla1[[#This Row],[TRUPUT UNITARIO]]</f>
        <v>20111.422500000004</v>
      </c>
      <c r="CE52" s="25">
        <f>Tabla1[[#This Row],[CONSUMO ESTIMADO]]*(Tabla1[[#This Row],[TIEMPO REPOSICION BUFFERS]]*1.5)+( Tabla1[[#This Row],[TRUPUT TOTAL ESTIMADO ANUAL]]*(Tabla1[[#This Row],[CRÉDITO CLIENTE]]-Tabla1[[#This Row],[CREDITO PROVEEDOR]]))</f>
        <v>675</v>
      </c>
      <c r="CF52" s="25">
        <f>Tabla1[[#This Row],[INVERSION UNIDADES]]*Tabla1[[#This Row],[COSTOS]]</f>
        <v>2125.0012499999998</v>
      </c>
      <c r="CG52" s="25">
        <f>Tabla1[[#This Row],[TRUPUT TOTAL ESTIMADO ANUAL]]/Tabla1[[#This Row],[INVERSION USD]]</f>
        <v>9.4641932563569107</v>
      </c>
      <c r="CH52" s="27"/>
      <c r="CI52" s="27"/>
      <c r="CJ52" s="27"/>
      <c r="CK52" s="27"/>
    </row>
    <row r="53" spans="1:89">
      <c r="A53" s="3" t="s">
        <v>480</v>
      </c>
      <c r="B53" s="3" t="s">
        <v>832</v>
      </c>
      <c r="C53" s="3" t="s">
        <v>2</v>
      </c>
      <c r="D53" s="3" t="s">
        <v>708</v>
      </c>
      <c r="E53" s="3" t="s">
        <v>715</v>
      </c>
      <c r="F53" s="7" t="s">
        <v>724</v>
      </c>
      <c r="G53" s="20" t="s">
        <v>729</v>
      </c>
      <c r="H53" s="3">
        <v>69</v>
      </c>
      <c r="I53" s="21">
        <v>51.06</v>
      </c>
      <c r="J53" s="21">
        <v>42.73</v>
      </c>
      <c r="K53" s="111">
        <v>4</v>
      </c>
      <c r="L53" s="20">
        <v>4</v>
      </c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3">
        <v>10</v>
      </c>
      <c r="BN53" s="21">
        <f>Tabla1[[#This Row],[CONSUMO TOTAL PROPIO]]/52</f>
        <v>0.19230769230769232</v>
      </c>
      <c r="BO53" s="21">
        <v>25</v>
      </c>
      <c r="BP53" s="61">
        <v>25</v>
      </c>
      <c r="BQ53" s="21">
        <f>Tabla1[[#This Row],[CONSUMO TOTAL TODAS]]/52</f>
        <v>0.48076923076923078</v>
      </c>
      <c r="BR53" s="28">
        <f>Tabla1[[#This Row],[CONSUMO PROMEDIO PROPIO]]+Tabla1[[#This Row],[CONSUMO PROMEDIO TODAS]]</f>
        <v>0.67307692307692313</v>
      </c>
      <c r="BS53" s="33">
        <f>Tabla1[[#This Row],[CONSUMO PROMEDIO TOTAL]]*(Tabla1[[#This Row],[FRECUENCIA]]+Tabla1[[#This Row],[TIEMPO REPOSICION BUFFERS]])</f>
        <v>5.384615384615385</v>
      </c>
      <c r="BT53" s="33">
        <v>10</v>
      </c>
      <c r="BU53" s="27">
        <v>1</v>
      </c>
      <c r="BV53" s="30"/>
      <c r="BW53" s="30"/>
      <c r="BX53" s="70">
        <f>Tabla1[[#This Row],[BUFFER REAL]]*Tabla1[[#This Row],[COSTOS]]</f>
        <v>427.29999999999995</v>
      </c>
      <c r="BY53" s="70">
        <f>Tabla1[[#This Row],[PVP]]-Tabla1[[#This Row],[COSTOS]]</f>
        <v>26.270000000000003</v>
      </c>
      <c r="BZ53" s="70">
        <f>Tabla1[[#This Row],[PVD]]-Tabla1[[#This Row],[COSTOS]]</f>
        <v>8.3300000000000054</v>
      </c>
      <c r="CA53" s="109"/>
      <c r="CB53" s="109">
        <f>Tabla1[[#This Row],[TRUPUT UNITARIO]]/Tabla1[[#This Row],[COSTOS]]</f>
        <v>0</v>
      </c>
      <c r="CC53" s="112">
        <f>Tabla1[[#This Row],[BUFFER REAL]]/((Tabla1[[#This Row],[TIEMPO REPOSICION BUFFERS]])/1.5)</f>
        <v>3.75</v>
      </c>
      <c r="CD53" s="109">
        <f>Tabla1[[#This Row],[CONSUMO ESTIMADO]]*52*Tabla1[[#This Row],[TRUPUT UNITARIO]]</f>
        <v>0</v>
      </c>
      <c r="CE53" s="109">
        <f>Tabla1[[#This Row],[CONSUMO ESTIMADO]]*(Tabla1[[#This Row],[TIEMPO REPOSICION BUFFERS]]*1.5)+( Tabla1[[#This Row],[TRUPUT TOTAL ESTIMADO ANUAL]]*(Tabla1[[#This Row],[CRÉDITO CLIENTE]]-Tabla1[[#This Row],[CREDITO PROVEEDOR]]))</f>
        <v>22.5</v>
      </c>
      <c r="CF53" s="109">
        <f>Tabla1[[#This Row],[INVERSION UNIDADES]]*Tabla1[[#This Row],[COSTOS]]</f>
        <v>961.42499999999995</v>
      </c>
      <c r="CG53" s="109">
        <f>Tabla1[[#This Row],[TRUPUT TOTAL ESTIMADO ANUAL]]/Tabla1[[#This Row],[INVERSION USD]]</f>
        <v>0</v>
      </c>
      <c r="CH53" s="109"/>
      <c r="CI53" s="30"/>
      <c r="CJ53" s="30"/>
      <c r="CK53" s="30"/>
    </row>
    <row r="54" spans="1:89">
      <c r="A54" s="3" t="s">
        <v>481</v>
      </c>
      <c r="B54" s="3" t="s">
        <v>482</v>
      </c>
      <c r="C54" s="3" t="s">
        <v>2</v>
      </c>
      <c r="D54" s="3" t="s">
        <v>708</v>
      </c>
      <c r="E54" s="3" t="s">
        <v>715</v>
      </c>
      <c r="F54" s="7" t="s">
        <v>724</v>
      </c>
      <c r="G54" s="20" t="s">
        <v>729</v>
      </c>
      <c r="H54" s="3">
        <v>799</v>
      </c>
      <c r="I54" s="21">
        <v>591.26</v>
      </c>
      <c r="J54" s="21">
        <v>484.34</v>
      </c>
      <c r="K54" s="111">
        <v>4</v>
      </c>
      <c r="L54" s="20">
        <v>4</v>
      </c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3">
        <v>0</v>
      </c>
      <c r="BN54" s="21">
        <f>Tabla1[[#This Row],[CONSUMO TOTAL PROPIO]]/52</f>
        <v>0</v>
      </c>
      <c r="BO54" s="21">
        <v>0</v>
      </c>
      <c r="BP54" s="61">
        <v>0</v>
      </c>
      <c r="BQ54" s="21">
        <f>Tabla1[[#This Row],[CONSUMO TOTAL TODAS]]/52</f>
        <v>0</v>
      </c>
      <c r="BR54" s="28">
        <f>Tabla1[[#This Row],[CONSUMO PROMEDIO PROPIO]]+Tabla1[[#This Row],[CONSUMO PROMEDIO TODAS]]</f>
        <v>0</v>
      </c>
      <c r="BS54" s="33">
        <f>Tabla1[[#This Row],[CONSUMO PROMEDIO TOTAL]]*(Tabla1[[#This Row],[FRECUENCIA]]+Tabla1[[#This Row],[TIEMPO REPOSICION BUFFERS]])</f>
        <v>0</v>
      </c>
      <c r="BT54" s="33">
        <v>0</v>
      </c>
      <c r="BU54" s="27">
        <v>1</v>
      </c>
      <c r="BV54" s="30"/>
      <c r="BW54" s="30"/>
      <c r="BX54" s="70">
        <f>Tabla1[[#This Row],[BUFFER REAL]]*Tabla1[[#This Row],[COSTOS]]</f>
        <v>0</v>
      </c>
      <c r="BY54" s="70">
        <f>Tabla1[[#This Row],[PVP]]-Tabla1[[#This Row],[COSTOS]]</f>
        <v>314.66000000000003</v>
      </c>
      <c r="BZ54" s="70">
        <f>Tabla1[[#This Row],[PVD]]-Tabla1[[#This Row],[COSTOS]]</f>
        <v>106.92000000000002</v>
      </c>
      <c r="CA54" s="109"/>
      <c r="CB54" s="109">
        <f>Tabla1[[#This Row],[TRUPUT UNITARIO]]/Tabla1[[#This Row],[COSTOS]]</f>
        <v>0</v>
      </c>
      <c r="CC54" s="112">
        <f>Tabla1[[#This Row],[BUFFER REAL]]/((Tabla1[[#This Row],[TIEMPO REPOSICION BUFFERS]])/1.5)</f>
        <v>0</v>
      </c>
      <c r="CD54" s="109">
        <f>Tabla1[[#This Row],[CONSUMO ESTIMADO]]*52*Tabla1[[#This Row],[TRUPUT UNITARIO]]</f>
        <v>0</v>
      </c>
      <c r="CE54" s="109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54" s="109">
        <f>Tabla1[[#This Row],[INVERSION UNIDADES]]*Tabla1[[#This Row],[COSTOS]]</f>
        <v>0</v>
      </c>
      <c r="CG54" s="109" t="e">
        <f>Tabla1[[#This Row],[TRUPUT TOTAL ESTIMADO ANUAL]]/Tabla1[[#This Row],[INVERSION USD]]</f>
        <v>#DIV/0!</v>
      </c>
      <c r="CH54" s="109"/>
      <c r="CI54" s="30"/>
      <c r="CJ54" s="30"/>
      <c r="CK54" s="30"/>
    </row>
    <row r="55" spans="1:89">
      <c r="A55" s="3" t="s">
        <v>483</v>
      </c>
      <c r="B55" s="3" t="s">
        <v>484</v>
      </c>
      <c r="C55" s="3" t="s">
        <v>2</v>
      </c>
      <c r="D55" s="3" t="s">
        <v>708</v>
      </c>
      <c r="E55" s="3" t="s">
        <v>715</v>
      </c>
      <c r="F55" s="7" t="s">
        <v>724</v>
      </c>
      <c r="G55" s="7" t="s">
        <v>729</v>
      </c>
      <c r="H55" s="3">
        <v>17.399999999999999</v>
      </c>
      <c r="I55" s="13">
        <v>12.88</v>
      </c>
      <c r="J55" s="13">
        <v>10.45</v>
      </c>
      <c r="K55" s="111">
        <v>4</v>
      </c>
      <c r="L55" s="20">
        <v>4</v>
      </c>
      <c r="BM55" s="3">
        <v>1</v>
      </c>
      <c r="BN55" s="13">
        <f>Tabla1[[#This Row],[CONSUMO TOTAL PROPIO]]/52</f>
        <v>1.9230769230769232E-2</v>
      </c>
      <c r="BO55" s="13">
        <v>11</v>
      </c>
      <c r="BP55" s="31">
        <v>11</v>
      </c>
      <c r="BQ55" s="13">
        <f>Tabla1[[#This Row],[CONSUMO TOTAL TODAS]]/52</f>
        <v>0.21153846153846154</v>
      </c>
      <c r="BR55" s="40">
        <f>Tabla1[[#This Row],[CONSUMO PROMEDIO PROPIO]]+Tabla1[[#This Row],[CONSUMO PROMEDIO TODAS]]</f>
        <v>0.23076923076923078</v>
      </c>
      <c r="BS55" s="33">
        <f>Tabla1[[#This Row],[CONSUMO PROMEDIO TOTAL]]*(Tabla1[[#This Row],[FRECUENCIA]]+Tabla1[[#This Row],[TIEMPO REPOSICION BUFFERS]])</f>
        <v>1.8461538461538463</v>
      </c>
      <c r="BT55" s="26">
        <v>30</v>
      </c>
      <c r="BU55" s="27">
        <v>1</v>
      </c>
      <c r="BV55" s="27"/>
      <c r="BW55" s="27"/>
      <c r="BX55" s="69">
        <f>Tabla1[[#This Row],[BUFFER REAL]]*Tabla1[[#This Row],[COSTOS]]</f>
        <v>313.5</v>
      </c>
      <c r="BY55" s="69">
        <f>Tabla1[[#This Row],[PVP]]-Tabla1[[#This Row],[COSTOS]]</f>
        <v>6.9499999999999993</v>
      </c>
      <c r="BZ55" s="69">
        <f>Tabla1[[#This Row],[PVD]]-Tabla1[[#This Row],[COSTOS]]</f>
        <v>2.4300000000000015</v>
      </c>
      <c r="CA55" s="68"/>
      <c r="CB55" s="68">
        <f>Tabla1[[#This Row],[TRUPUT UNITARIO]]/Tabla1[[#This Row],[COSTOS]]</f>
        <v>0</v>
      </c>
      <c r="CC55" s="71">
        <f>Tabla1[[#This Row],[BUFFER REAL]]/((Tabla1[[#This Row],[TIEMPO REPOSICION BUFFERS]])/1.5)</f>
        <v>11.25</v>
      </c>
      <c r="CD55" s="68">
        <f>Tabla1[[#This Row],[CONSUMO ESTIMADO]]*52*Tabla1[[#This Row],[TRUPUT UNITARIO]]</f>
        <v>0</v>
      </c>
      <c r="CE55" s="68">
        <f>Tabla1[[#This Row],[CONSUMO ESTIMADO]]*(Tabla1[[#This Row],[TIEMPO REPOSICION BUFFERS]]*1.5)+( Tabla1[[#This Row],[TRUPUT TOTAL ESTIMADO ANUAL]]*(Tabla1[[#This Row],[CRÉDITO CLIENTE]]-Tabla1[[#This Row],[CREDITO PROVEEDOR]]))</f>
        <v>67.5</v>
      </c>
      <c r="CF55" s="68">
        <f>Tabla1[[#This Row],[INVERSION UNIDADES]]*Tabla1[[#This Row],[COSTOS]]</f>
        <v>705.375</v>
      </c>
      <c r="CG55" s="68">
        <f>Tabla1[[#This Row],[TRUPUT TOTAL ESTIMADO ANUAL]]/Tabla1[[#This Row],[INVERSION USD]]</f>
        <v>0</v>
      </c>
      <c r="CH55" s="68"/>
      <c r="CI55" s="27"/>
      <c r="CJ55" s="27"/>
      <c r="CK55" s="27"/>
    </row>
    <row r="56" spans="1:89">
      <c r="A56" s="3" t="s">
        <v>485</v>
      </c>
      <c r="B56" s="3" t="s">
        <v>486</v>
      </c>
      <c r="C56" s="3" t="s">
        <v>2</v>
      </c>
      <c r="D56" s="3" t="s">
        <v>708</v>
      </c>
      <c r="E56" s="3" t="s">
        <v>715</v>
      </c>
      <c r="F56" s="7" t="s">
        <v>724</v>
      </c>
      <c r="G56" s="7" t="s">
        <v>729</v>
      </c>
      <c r="H56" s="3">
        <v>4.8899999999999997</v>
      </c>
      <c r="I56" s="13">
        <v>3.62</v>
      </c>
      <c r="J56" s="13">
        <v>2.91</v>
      </c>
      <c r="K56" s="111">
        <v>4</v>
      </c>
      <c r="L56" s="20">
        <v>4</v>
      </c>
      <c r="BM56" s="3">
        <v>32</v>
      </c>
      <c r="BN56" s="13">
        <f>Tabla1[[#This Row],[CONSUMO TOTAL PROPIO]]/52</f>
        <v>0.61538461538461542</v>
      </c>
      <c r="BO56" s="13">
        <v>18</v>
      </c>
      <c r="BP56" s="31">
        <v>18</v>
      </c>
      <c r="BQ56" s="13">
        <f>Tabla1[[#This Row],[CONSUMO TOTAL TODAS]]/52</f>
        <v>0.34615384615384615</v>
      </c>
      <c r="BR56" s="40">
        <f>Tabla1[[#This Row],[CONSUMO PROMEDIO PROPIO]]+Tabla1[[#This Row],[CONSUMO PROMEDIO TODAS]]</f>
        <v>0.96153846153846156</v>
      </c>
      <c r="BS56" s="26">
        <f>Tabla1[[#This Row],[CONSUMO PROMEDIO TOTAL]]*(Tabla1[[#This Row],[FRECUENCIA]]+Tabla1[[#This Row],[TIEMPO REPOSICION BUFFERS]])</f>
        <v>7.6923076923076925</v>
      </c>
      <c r="BT56" s="26">
        <v>40</v>
      </c>
      <c r="BU56" s="27">
        <v>1</v>
      </c>
      <c r="BV56" s="27"/>
      <c r="BW56" s="27"/>
      <c r="BX56" s="69">
        <f>Tabla1[[#This Row],[BUFFER REAL]]*Tabla1[[#This Row],[COSTOS]]</f>
        <v>116.4</v>
      </c>
      <c r="BY56" s="69">
        <f>Tabla1[[#This Row],[PVP]]-Tabla1[[#This Row],[COSTOS]]</f>
        <v>1.9799999999999995</v>
      </c>
      <c r="BZ56" s="69">
        <f>Tabla1[[#This Row],[PVD]]-Tabla1[[#This Row],[COSTOS]]</f>
        <v>0.71</v>
      </c>
      <c r="CA56" s="68"/>
      <c r="CB56" s="68">
        <f>Tabla1[[#This Row],[TRUPUT UNITARIO]]/Tabla1[[#This Row],[COSTOS]]</f>
        <v>0</v>
      </c>
      <c r="CC56" s="71">
        <f>Tabla1[[#This Row],[BUFFER REAL]]/((Tabla1[[#This Row],[TIEMPO REPOSICION BUFFERS]])/1.5)</f>
        <v>15</v>
      </c>
      <c r="CD56" s="68">
        <f>Tabla1[[#This Row],[CONSUMO ESTIMADO]]*52*Tabla1[[#This Row],[TRUPUT UNITARIO]]</f>
        <v>0</v>
      </c>
      <c r="CE56" s="68">
        <f>Tabla1[[#This Row],[CONSUMO ESTIMADO]]*(Tabla1[[#This Row],[TIEMPO REPOSICION BUFFERS]]*1.5)+( Tabla1[[#This Row],[TRUPUT TOTAL ESTIMADO ANUAL]]*(Tabla1[[#This Row],[CRÉDITO CLIENTE]]-Tabla1[[#This Row],[CREDITO PROVEEDOR]]))</f>
        <v>90</v>
      </c>
      <c r="CF56" s="68">
        <f>Tabla1[[#This Row],[INVERSION UNIDADES]]*Tabla1[[#This Row],[COSTOS]]</f>
        <v>261.90000000000003</v>
      </c>
      <c r="CG56" s="68">
        <f>Tabla1[[#This Row],[TRUPUT TOTAL ESTIMADO ANUAL]]/Tabla1[[#This Row],[INVERSION USD]]</f>
        <v>0</v>
      </c>
      <c r="CH56" s="68"/>
      <c r="CI56" s="27"/>
      <c r="CJ56" s="27"/>
      <c r="CK56" s="27"/>
    </row>
    <row r="57" spans="1:89">
      <c r="A57" s="7" t="s">
        <v>495</v>
      </c>
      <c r="B57" s="7" t="s">
        <v>496</v>
      </c>
      <c r="C57" s="7" t="s">
        <v>679</v>
      </c>
      <c r="D57" s="7" t="s">
        <v>707</v>
      </c>
      <c r="E57" s="7" t="s">
        <v>732</v>
      </c>
      <c r="F57" s="7" t="s">
        <v>724</v>
      </c>
      <c r="G57" s="7" t="s">
        <v>729</v>
      </c>
      <c r="H57" s="13">
        <v>9.49</v>
      </c>
      <c r="I57" s="13">
        <f>+H57*85%</f>
        <v>8.0664999999999996</v>
      </c>
      <c r="J57" s="13">
        <v>4.8321800000000001</v>
      </c>
      <c r="K57" s="7">
        <v>8</v>
      </c>
      <c r="L57" s="7">
        <v>4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v>0</v>
      </c>
      <c r="W57" s="7">
        <v>0</v>
      </c>
      <c r="X57" s="7">
        <v>0</v>
      </c>
      <c r="Y57" s="7">
        <v>0</v>
      </c>
      <c r="Z57" s="7">
        <v>0</v>
      </c>
      <c r="AA57" s="7">
        <v>0</v>
      </c>
      <c r="AB57" s="7">
        <v>0</v>
      </c>
      <c r="AC57" s="7">
        <v>0</v>
      </c>
      <c r="AD57" s="7">
        <v>10</v>
      </c>
      <c r="AE57" s="7">
        <v>0</v>
      </c>
      <c r="AF57" s="7">
        <v>0</v>
      </c>
      <c r="AG57" s="7">
        <v>0</v>
      </c>
      <c r="AH57" s="7">
        <v>18</v>
      </c>
      <c r="AI57" s="7">
        <v>0</v>
      </c>
      <c r="AJ57" s="7">
        <v>0</v>
      </c>
      <c r="AK57" s="7">
        <v>0</v>
      </c>
      <c r="AL57" s="7">
        <v>0</v>
      </c>
      <c r="AM57" s="7">
        <v>0</v>
      </c>
      <c r="AN57" s="7">
        <v>0</v>
      </c>
      <c r="AO57" s="7">
        <v>0</v>
      </c>
      <c r="AP57" s="7">
        <v>0</v>
      </c>
      <c r="AQ57" s="7">
        <v>0</v>
      </c>
      <c r="AR57" s="7">
        <v>0</v>
      </c>
      <c r="AS57" s="7">
        <v>0</v>
      </c>
      <c r="AT57" s="7">
        <v>0</v>
      </c>
      <c r="AU57" s="7">
        <v>0</v>
      </c>
      <c r="AV57" s="7">
        <v>0</v>
      </c>
      <c r="AW57" s="7">
        <v>0</v>
      </c>
      <c r="AX57" s="7">
        <v>0</v>
      </c>
      <c r="AY57" s="7">
        <v>0</v>
      </c>
      <c r="AZ57" s="7">
        <v>0</v>
      </c>
      <c r="BA57" s="7">
        <v>0</v>
      </c>
      <c r="BB57" s="7">
        <v>0</v>
      </c>
      <c r="BC57" s="7">
        <v>0</v>
      </c>
      <c r="BD57" s="7">
        <v>0</v>
      </c>
      <c r="BE57" s="7">
        <v>0</v>
      </c>
      <c r="BF57" s="7">
        <v>0</v>
      </c>
      <c r="BG57" s="7">
        <v>0</v>
      </c>
      <c r="BH57" s="7">
        <v>0</v>
      </c>
      <c r="BI57" s="7">
        <v>0</v>
      </c>
      <c r="BJ57" s="7">
        <v>0</v>
      </c>
      <c r="BK57" s="7">
        <v>0</v>
      </c>
      <c r="BL57" s="7">
        <v>0</v>
      </c>
      <c r="BM57" s="13">
        <v>28</v>
      </c>
      <c r="BN57" s="13">
        <f>Tabla1[[#This Row],[CONSUMO TOTAL PROPIO]]/52</f>
        <v>0.53846153846153844</v>
      </c>
      <c r="BO57" s="13" t="e">
        <f>SUM(Tabla3[[#This Row],[CONSUMO TOTAL V]]+Tabla2[[#This Row],[CONSUMO TOTAL VALORES]]+#REF!+#REF!)</f>
        <v>#REF!</v>
      </c>
      <c r="BP57" s="31">
        <v>18</v>
      </c>
      <c r="BQ57" s="13">
        <f>Tabla1[[#This Row],[CONSUMO TOTAL TODAS]]/52</f>
        <v>0.34615384615384615</v>
      </c>
      <c r="BR57" s="25">
        <f>Tabla1[[#This Row],[CONSUMO PROMEDIO PROPIO]]+Tabla1[[#This Row],[CONSUMO PROMEDIO TODAS]]</f>
        <v>0.88461538461538458</v>
      </c>
      <c r="BS57" s="26">
        <f>Tabla1[[#This Row],[CONSUMO PROMEDIO TOTAL]]*(Tabla1[[#This Row],[FRECUENCIA]]+Tabla1[[#This Row],[TIEMPO REPOSICION BUFFERS]])</f>
        <v>10.615384615384615</v>
      </c>
      <c r="BT57" s="26">
        <v>20</v>
      </c>
      <c r="BU57" s="27">
        <v>1</v>
      </c>
      <c r="BV57" s="27">
        <v>12</v>
      </c>
      <c r="BW57" s="27">
        <v>9</v>
      </c>
      <c r="BX57" s="69">
        <f>Tabla1[[#This Row],[BUFFER REAL]]*Tabla1[[#This Row],[COSTOS]]</f>
        <v>96.643600000000006</v>
      </c>
      <c r="BY57" s="69">
        <f>Tabla1[[#This Row],[PVP]]-Tabla1[[#This Row],[COSTOS]]</f>
        <v>4.6578200000000001</v>
      </c>
      <c r="BZ57" s="69">
        <f>Tabla1[[#This Row],[PVD]]-Tabla1[[#This Row],[COSTOS]]</f>
        <v>3.2343199999999994</v>
      </c>
      <c r="CA57" s="69">
        <f>Tabla1[[#This Row],[TRUPUD UNITARIO PVP]]</f>
        <v>4.6578200000000001</v>
      </c>
      <c r="CB57" s="68">
        <f>Tabla1[[#This Row],[TRUPUT UNITARIO]]/Tabla1[[#This Row],[COSTOS]]</f>
        <v>0.96391690706885913</v>
      </c>
      <c r="CC57" s="71">
        <f>Tabla1[[#This Row],[BUFFER REAL]]/((Tabla1[[#This Row],[TIEMPO REPOSICION BUFFERS]])/1.5)</f>
        <v>7.5</v>
      </c>
      <c r="CD57" s="68">
        <f>Tabla1[[#This Row],[CONSUMO ESTIMADO]]*52*Tabla1[[#This Row],[TRUPUT UNITARIO]]</f>
        <v>1816.5498</v>
      </c>
      <c r="CE57" s="68">
        <f>Tabla1[[#This Row],[CONSUMO ESTIMADO]]*(Tabla1[[#This Row],[TIEMPO REPOSICION BUFFERS]]*1.5)+( Tabla1[[#This Row],[TRUPUT TOTAL ESTIMADO ANUAL]]*(Tabla1[[#This Row],[CRÉDITO CLIENTE]]-Tabla1[[#This Row],[CREDITO PROVEEDOR]]))</f>
        <v>-5404.6494000000002</v>
      </c>
      <c r="CF57" s="68">
        <f>Tabla1[[#This Row],[INVERSION UNIDADES]]*Tabla1[[#This Row],[COSTOS]]</f>
        <v>-26116.238737692001</v>
      </c>
      <c r="CG57" s="68">
        <f>Tabla1[[#This Row],[TRUPUT TOTAL ESTIMADO ANUAL]]/Tabla1[[#This Row],[INVERSION USD]]</f>
        <v>-6.9556333063316753E-2</v>
      </c>
      <c r="CH57" s="27"/>
      <c r="CI57" s="27"/>
      <c r="CJ57" s="27"/>
      <c r="CK57" s="27"/>
    </row>
    <row r="58" spans="1:89">
      <c r="A58" s="7" t="s">
        <v>497</v>
      </c>
      <c r="B58" s="7" t="s">
        <v>498</v>
      </c>
      <c r="C58" s="7" t="s">
        <v>676</v>
      </c>
      <c r="D58" s="7" t="s">
        <v>707</v>
      </c>
      <c r="E58" s="7" t="s">
        <v>732</v>
      </c>
      <c r="F58" s="7" t="s">
        <v>724</v>
      </c>
      <c r="G58" s="7" t="s">
        <v>729</v>
      </c>
      <c r="H58" s="13">
        <v>28.9</v>
      </c>
      <c r="I58" s="13">
        <f>+H58*85%</f>
        <v>24.564999999999998</v>
      </c>
      <c r="J58" s="13">
        <v>17.377780000000001</v>
      </c>
      <c r="K58" s="7">
        <v>8</v>
      </c>
      <c r="L58" s="7">
        <v>4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0</v>
      </c>
      <c r="S58" s="7">
        <v>0</v>
      </c>
      <c r="T58" s="7">
        <v>0</v>
      </c>
      <c r="U58" s="7">
        <v>0</v>
      </c>
      <c r="V58" s="7">
        <v>0</v>
      </c>
      <c r="W58" s="7">
        <v>0</v>
      </c>
      <c r="X58" s="7">
        <v>0</v>
      </c>
      <c r="Y58" s="7">
        <v>0</v>
      </c>
      <c r="Z58" s="7">
        <v>0</v>
      </c>
      <c r="AA58" s="7">
        <v>0</v>
      </c>
      <c r="AB58" s="7">
        <v>0</v>
      </c>
      <c r="AC58" s="7">
        <v>0</v>
      </c>
      <c r="AD58" s="7">
        <v>0</v>
      </c>
      <c r="AE58" s="7">
        <v>0</v>
      </c>
      <c r="AF58" s="7">
        <v>0</v>
      </c>
      <c r="AG58" s="7">
        <v>0</v>
      </c>
      <c r="AH58" s="7">
        <v>0</v>
      </c>
      <c r="AI58" s="7">
        <v>0</v>
      </c>
      <c r="AJ58" s="7">
        <v>0</v>
      </c>
      <c r="AK58" s="7">
        <v>0</v>
      </c>
      <c r="AL58" s="7">
        <v>0</v>
      </c>
      <c r="AM58" s="7">
        <v>0</v>
      </c>
      <c r="AN58" s="7">
        <v>0</v>
      </c>
      <c r="AO58" s="7">
        <v>0</v>
      </c>
      <c r="AP58" s="7">
        <v>0</v>
      </c>
      <c r="AQ58" s="7">
        <v>0</v>
      </c>
      <c r="AR58" s="7">
        <v>0</v>
      </c>
      <c r="AS58" s="7">
        <v>0</v>
      </c>
      <c r="AT58" s="7">
        <v>0</v>
      </c>
      <c r="AU58" s="7">
        <v>0</v>
      </c>
      <c r="AV58" s="7">
        <v>0</v>
      </c>
      <c r="AW58" s="7">
        <v>0</v>
      </c>
      <c r="AX58" s="7">
        <v>0</v>
      </c>
      <c r="AY58" s="7">
        <v>0</v>
      </c>
      <c r="AZ58" s="7">
        <v>0</v>
      </c>
      <c r="BA58" s="7">
        <v>0</v>
      </c>
      <c r="BB58" s="7">
        <v>0</v>
      </c>
      <c r="BC58" s="7">
        <v>0</v>
      </c>
      <c r="BD58" s="7">
        <v>0</v>
      </c>
      <c r="BE58" s="7">
        <v>0</v>
      </c>
      <c r="BF58" s="7">
        <v>0</v>
      </c>
      <c r="BG58" s="7">
        <v>0</v>
      </c>
      <c r="BH58" s="7">
        <v>0</v>
      </c>
      <c r="BI58" s="7">
        <v>0</v>
      </c>
      <c r="BJ58" s="7">
        <v>0</v>
      </c>
      <c r="BK58" s="7">
        <v>0</v>
      </c>
      <c r="BL58" s="7">
        <v>0</v>
      </c>
      <c r="BM58" s="13">
        <v>0</v>
      </c>
      <c r="BN58" s="13">
        <f>Tabla1[[#This Row],[CONSUMO TOTAL PROPIO]]/52</f>
        <v>0</v>
      </c>
      <c r="BO58" s="13" t="e">
        <f>SUM(Tabla3[[#This Row],[CONSUMO TOTAL V]]+Tabla2[[#This Row],[CONSUMO TOTAL VALORES]]+#REF!+#REF!)</f>
        <v>#REF!</v>
      </c>
      <c r="BP58" s="31">
        <v>49</v>
      </c>
      <c r="BQ58" s="13">
        <f>Tabla1[[#This Row],[CONSUMO TOTAL TODAS]]/52</f>
        <v>0.94230769230769229</v>
      </c>
      <c r="BR58" s="25">
        <f>Tabla1[[#This Row],[CONSUMO PROMEDIO PROPIO]]+Tabla1[[#This Row],[CONSUMO PROMEDIO TODAS]]</f>
        <v>0.94230769230769229</v>
      </c>
      <c r="BS58" s="26">
        <f>Tabla1[[#This Row],[CONSUMO PROMEDIO TOTAL]]*(Tabla1[[#This Row],[FRECUENCIA]]+Tabla1[[#This Row],[TIEMPO REPOSICION BUFFERS]])</f>
        <v>11.307692307692307</v>
      </c>
      <c r="BT58" s="26">
        <v>20</v>
      </c>
      <c r="BU58" s="27">
        <v>1</v>
      </c>
      <c r="BV58" s="27">
        <v>12</v>
      </c>
      <c r="BW58" s="27">
        <v>9</v>
      </c>
      <c r="BX58" s="69">
        <f>Tabla1[[#This Row],[BUFFER REAL]]*Tabla1[[#This Row],[COSTOS]]</f>
        <v>347.55560000000003</v>
      </c>
      <c r="BY58" s="69">
        <f>Tabla1[[#This Row],[PVP]]-Tabla1[[#This Row],[COSTOS]]</f>
        <v>11.522219999999997</v>
      </c>
      <c r="BZ58" s="69">
        <f>Tabla1[[#This Row],[PVD]]-Tabla1[[#This Row],[COSTOS]]</f>
        <v>7.1872199999999964</v>
      </c>
      <c r="CA58" s="69">
        <f>Tabla1[[#This Row],[TRUPUD UNITARIO PVP]]</f>
        <v>11.522219999999997</v>
      </c>
      <c r="CB58" s="68">
        <f>Tabla1[[#This Row],[TRUPUT UNITARIO]]/Tabla1[[#This Row],[COSTOS]]</f>
        <v>0.66304326559549009</v>
      </c>
      <c r="CC58" s="71">
        <f>Tabla1[[#This Row],[BUFFER REAL]]/((Tabla1[[#This Row],[TIEMPO REPOSICION BUFFERS]])/1.5)</f>
        <v>7.5</v>
      </c>
      <c r="CD58" s="68">
        <f>Tabla1[[#This Row],[CONSUMO ESTIMADO]]*52*Tabla1[[#This Row],[TRUPUT UNITARIO]]</f>
        <v>4493.6657999999989</v>
      </c>
      <c r="CE58" s="68">
        <f>Tabla1[[#This Row],[CONSUMO ESTIMADO]]*(Tabla1[[#This Row],[TIEMPO REPOSICION BUFFERS]]*1.5)+( Tabla1[[#This Row],[TRUPUT TOTAL ESTIMADO ANUAL]]*(Tabla1[[#This Row],[CRÉDITO CLIENTE]]-Tabla1[[#This Row],[CREDITO PROVEEDOR]]))</f>
        <v>-13435.997399999997</v>
      </c>
      <c r="CF58" s="68">
        <f>Tabla1[[#This Row],[INVERSION UNIDADES]]*Tabla1[[#This Row],[COSTOS]]</f>
        <v>-233487.80689777195</v>
      </c>
      <c r="CG58" s="68">
        <f>Tabla1[[#This Row],[TRUPUT TOTAL ESTIMADO ANUAL]]/Tabla1[[#This Row],[INVERSION USD]]</f>
        <v>-1.9245826408260634E-2</v>
      </c>
      <c r="CH58" s="27"/>
      <c r="CI58" s="27"/>
      <c r="CJ58" s="27"/>
      <c r="CK58" s="27"/>
    </row>
    <row r="59" spans="1:89">
      <c r="A59" s="7" t="s">
        <v>499</v>
      </c>
      <c r="B59" s="7" t="s">
        <v>500</v>
      </c>
      <c r="C59" s="7" t="s">
        <v>684</v>
      </c>
      <c r="D59" s="7" t="s">
        <v>708</v>
      </c>
      <c r="E59" s="7" t="s">
        <v>715</v>
      </c>
      <c r="F59" s="7" t="s">
        <v>724</v>
      </c>
      <c r="G59" s="7" t="s">
        <v>729</v>
      </c>
      <c r="H59" s="13">
        <v>127.72</v>
      </c>
      <c r="I59" s="13">
        <f>Tabla1[[#This Row],[PVP]]*63%</f>
        <v>80.4636</v>
      </c>
      <c r="J59" s="13">
        <v>64.302109999999999</v>
      </c>
      <c r="K59" s="7">
        <v>8</v>
      </c>
      <c r="L59" s="7">
        <v>4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0</v>
      </c>
      <c r="U59" s="7">
        <v>0</v>
      </c>
      <c r="V59" s="7">
        <v>0</v>
      </c>
      <c r="W59" s="7">
        <v>0</v>
      </c>
      <c r="X59" s="7">
        <v>0</v>
      </c>
      <c r="Y59" s="7">
        <v>0</v>
      </c>
      <c r="Z59" s="7">
        <v>1</v>
      </c>
      <c r="AA59" s="7">
        <v>0</v>
      </c>
      <c r="AB59" s="7">
        <v>1</v>
      </c>
      <c r="AC59" s="7">
        <v>0</v>
      </c>
      <c r="AD59" s="7">
        <v>2</v>
      </c>
      <c r="AE59" s="7">
        <v>1</v>
      </c>
      <c r="AF59" s="7">
        <v>0</v>
      </c>
      <c r="AG59" s="7">
        <v>0</v>
      </c>
      <c r="AH59" s="7">
        <v>0</v>
      </c>
      <c r="AI59" s="7">
        <v>0</v>
      </c>
      <c r="AJ59" s="7">
        <v>1</v>
      </c>
      <c r="AK59" s="7">
        <v>0</v>
      </c>
      <c r="AL59" s="7">
        <v>0</v>
      </c>
      <c r="AM59" s="7">
        <v>0</v>
      </c>
      <c r="AN59" s="7">
        <v>0</v>
      </c>
      <c r="AO59" s="7">
        <v>1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2</v>
      </c>
      <c r="AV59" s="7">
        <v>0</v>
      </c>
      <c r="AW59" s="7">
        <v>15</v>
      </c>
      <c r="AX59" s="7">
        <v>1</v>
      </c>
      <c r="AY59" s="7">
        <v>2</v>
      </c>
      <c r="AZ59" s="7">
        <v>2</v>
      </c>
      <c r="BA59" s="7">
        <v>1</v>
      </c>
      <c r="BB59" s="7">
        <v>5</v>
      </c>
      <c r="BC59" s="7">
        <v>4</v>
      </c>
      <c r="BD59" s="7">
        <v>0</v>
      </c>
      <c r="BE59" s="7">
        <v>0</v>
      </c>
      <c r="BF59" s="7">
        <v>0</v>
      </c>
      <c r="BG59" s="7">
        <v>0</v>
      </c>
      <c r="BH59" s="7">
        <v>0</v>
      </c>
      <c r="BI59" s="7">
        <v>0</v>
      </c>
      <c r="BJ59" s="7">
        <v>0</v>
      </c>
      <c r="BK59" s="7">
        <v>2</v>
      </c>
      <c r="BL59" s="7">
        <v>0</v>
      </c>
      <c r="BM59" s="13">
        <v>41</v>
      </c>
      <c r="BN59" s="13">
        <f>Tabla1[[#This Row],[CONSUMO TOTAL PROPIO]]/52</f>
        <v>0.78846153846153844</v>
      </c>
      <c r="BO59" s="13" t="e">
        <f>SUM(Tabla3[[#This Row],[CONSUMO TOTAL V]]+Tabla2[[#This Row],[CONSUMO TOTAL VALORES]]+#REF!+#REF!)</f>
        <v>#REF!</v>
      </c>
      <c r="BP59" s="31">
        <v>4</v>
      </c>
      <c r="BQ59" s="13">
        <f>Tabla1[[#This Row],[CONSUMO TOTAL TODAS]]/52</f>
        <v>7.6923076923076927E-2</v>
      </c>
      <c r="BR59" s="25">
        <f>Tabla1[[#This Row],[CONSUMO PROMEDIO PROPIO]]+Tabla1[[#This Row],[CONSUMO PROMEDIO TODAS]]</f>
        <v>0.86538461538461542</v>
      </c>
      <c r="BS59" s="26">
        <f>Tabla1[[#This Row],[CONSUMO PROMEDIO TOTAL]]*(Tabla1[[#This Row],[FRECUENCIA]]+Tabla1[[#This Row],[TIEMPO REPOSICION BUFFERS]])</f>
        <v>10.384615384615385</v>
      </c>
      <c r="BT59" s="26">
        <v>4</v>
      </c>
      <c r="BU59" s="27">
        <v>1</v>
      </c>
      <c r="BV59" s="27">
        <v>16</v>
      </c>
      <c r="BW59" s="27">
        <v>16</v>
      </c>
      <c r="BX59" s="69">
        <f>Tabla1[[#This Row],[BUFFER REAL]]*Tabla1[[#This Row],[COSTOS]]</f>
        <v>257.20844</v>
      </c>
      <c r="BY59" s="69">
        <f>Tabla1[[#This Row],[PVP]]-Tabla1[[#This Row],[COSTOS]]</f>
        <v>63.41789</v>
      </c>
      <c r="BZ59" s="69">
        <f>Tabla1[[#This Row],[PVD]]-Tabla1[[#This Row],[COSTOS]]</f>
        <v>16.161490000000001</v>
      </c>
      <c r="CA59" s="25">
        <f>Tabla1[[#This Row],[TRUPUD UNTITARIO PVD]]</f>
        <v>16.161490000000001</v>
      </c>
      <c r="CB59" s="25">
        <f>Tabla1[[#This Row],[TRUPUT UNITARIO]]/Tabla1[[#This Row],[COSTOS]]</f>
        <v>0.25133685348738949</v>
      </c>
      <c r="CC59" s="40">
        <f>Tabla1[[#This Row],[BUFFER REAL]]/((Tabla1[[#This Row],[TIEMPO REPOSICION BUFFERS]])/1.5)</f>
        <v>1.5</v>
      </c>
      <c r="CD59" s="69">
        <f>Tabla1[[#This Row],[CONSUMO ESTIMADO]]*52*Tabla1[[#This Row],[TRUPUT UNITARIO]]</f>
        <v>1260.5962200000001</v>
      </c>
      <c r="CE59" s="25">
        <f>Tabla1[[#This Row],[CONSUMO ESTIMADO]]*(Tabla1[[#This Row],[TIEMPO REPOSICION BUFFERS]]*1.5)+( Tabla1[[#This Row],[TRUPUT TOTAL ESTIMADO ANUAL]]*(Tabla1[[#This Row],[CRÉDITO CLIENTE]]-Tabla1[[#This Row],[CREDITO PROVEEDOR]]))</f>
        <v>9</v>
      </c>
      <c r="CF59" s="25">
        <f>Tabla1[[#This Row],[INVERSION UNIDADES]]*Tabla1[[#This Row],[COSTOS]]</f>
        <v>578.71898999999996</v>
      </c>
      <c r="CG59" s="25">
        <f>Tabla1[[#This Row],[TRUPUT TOTAL ESTIMADO ANUAL]]/Tabla1[[#This Row],[INVERSION USD]]</f>
        <v>2.1782527302240422</v>
      </c>
      <c r="CH59" s="27"/>
      <c r="CI59" s="27"/>
      <c r="CJ59" s="27"/>
      <c r="CK59" s="27"/>
    </row>
    <row r="60" spans="1:89">
      <c r="A60" s="7" t="s">
        <v>501</v>
      </c>
      <c r="B60" s="7" t="s">
        <v>502</v>
      </c>
      <c r="C60" s="7" t="s">
        <v>681</v>
      </c>
      <c r="D60" s="7" t="s">
        <v>708</v>
      </c>
      <c r="E60" s="7" t="s">
        <v>715</v>
      </c>
      <c r="F60" s="7" t="s">
        <v>724</v>
      </c>
      <c r="G60" s="7" t="s">
        <v>729</v>
      </c>
      <c r="H60" s="13">
        <v>25.91</v>
      </c>
      <c r="I60" s="13">
        <f>+H60*59%</f>
        <v>15.286899999999999</v>
      </c>
      <c r="J60" s="13">
        <v>14.05664</v>
      </c>
      <c r="K60" s="7">
        <v>8</v>
      </c>
      <c r="L60" s="7">
        <v>4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R60" s="7">
        <v>0</v>
      </c>
      <c r="S60" s="7">
        <v>0</v>
      </c>
      <c r="T60" s="7">
        <v>0</v>
      </c>
      <c r="U60" s="7">
        <v>0</v>
      </c>
      <c r="V60" s="7">
        <v>0</v>
      </c>
      <c r="W60" s="7">
        <v>0</v>
      </c>
      <c r="X60" s="7">
        <v>0</v>
      </c>
      <c r="Y60" s="7">
        <v>3</v>
      </c>
      <c r="Z60" s="7">
        <v>7</v>
      </c>
      <c r="AA60" s="7">
        <v>0</v>
      </c>
      <c r="AB60" s="7">
        <v>0</v>
      </c>
      <c r="AC60" s="7">
        <v>16</v>
      </c>
      <c r="AD60" s="7">
        <v>40</v>
      </c>
      <c r="AE60" s="7">
        <v>0</v>
      </c>
      <c r="AF60" s="7">
        <v>0</v>
      </c>
      <c r="AG60" s="7">
        <v>0</v>
      </c>
      <c r="AH60" s="7">
        <v>0</v>
      </c>
      <c r="AI60" s="7">
        <v>0</v>
      </c>
      <c r="AJ60" s="7">
        <v>0</v>
      </c>
      <c r="AK60" s="7">
        <v>8</v>
      </c>
      <c r="AL60" s="7">
        <v>0</v>
      </c>
      <c r="AM60" s="7">
        <v>0</v>
      </c>
      <c r="AN60" s="7">
        <v>0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0</v>
      </c>
      <c r="AU60" s="7">
        <v>0</v>
      </c>
      <c r="AV60" s="7">
        <v>0</v>
      </c>
      <c r="AW60" s="7">
        <v>0</v>
      </c>
      <c r="AX60" s="7">
        <v>0</v>
      </c>
      <c r="AY60" s="7">
        <v>6</v>
      </c>
      <c r="AZ60" s="7">
        <v>6</v>
      </c>
      <c r="BA60" s="7">
        <v>0</v>
      </c>
      <c r="BB60" s="7">
        <v>12</v>
      </c>
      <c r="BC60" s="7">
        <v>0</v>
      </c>
      <c r="BD60" s="7">
        <v>0</v>
      </c>
      <c r="BE60" s="7">
        <v>0</v>
      </c>
      <c r="BF60" s="7">
        <v>0</v>
      </c>
      <c r="BG60" s="7">
        <v>0</v>
      </c>
      <c r="BH60" s="7">
        <v>0</v>
      </c>
      <c r="BI60" s="7">
        <v>10</v>
      </c>
      <c r="BJ60" s="7">
        <v>0</v>
      </c>
      <c r="BK60" s="7">
        <v>0</v>
      </c>
      <c r="BL60" s="7">
        <v>0</v>
      </c>
      <c r="BM60" s="13">
        <v>108</v>
      </c>
      <c r="BN60" s="13">
        <f>Tabla1[[#This Row],[CONSUMO TOTAL PROPIO]]/52</f>
        <v>2.0769230769230771</v>
      </c>
      <c r="BO60" s="13" t="e">
        <f>SUM(Tabla3[[#This Row],[CONSUMO TOTAL V]]+Tabla2[[#This Row],[CONSUMO TOTAL VALORES]]+#REF!+#REF!)</f>
        <v>#REF!</v>
      </c>
      <c r="BP60" s="31">
        <v>32</v>
      </c>
      <c r="BQ60" s="13">
        <f>Tabla1[[#This Row],[CONSUMO TOTAL TODAS]]/52</f>
        <v>0.61538461538461542</v>
      </c>
      <c r="BR60" s="25">
        <f>Tabla1[[#This Row],[CONSUMO PROMEDIO PROPIO]]+Tabla1[[#This Row],[CONSUMO PROMEDIO TODAS]]</f>
        <v>2.6923076923076925</v>
      </c>
      <c r="BS60" s="26">
        <f>Tabla1[[#This Row],[CONSUMO PROMEDIO TOTAL]]*(Tabla1[[#This Row],[FRECUENCIA]]+Tabla1[[#This Row],[TIEMPO REPOSICION BUFFERS]])</f>
        <v>32.307692307692307</v>
      </c>
      <c r="BT60" s="26">
        <v>12</v>
      </c>
      <c r="BU60" s="27">
        <v>1</v>
      </c>
      <c r="BV60" s="27">
        <v>16</v>
      </c>
      <c r="BW60" s="27">
        <v>16</v>
      </c>
      <c r="BX60" s="69">
        <f>Tabla1[[#This Row],[BUFFER REAL]]*Tabla1[[#This Row],[COSTOS]]</f>
        <v>168.67967999999999</v>
      </c>
      <c r="BY60" s="69">
        <f>Tabla1[[#This Row],[PVP]]-Tabla1[[#This Row],[COSTOS]]</f>
        <v>11.85336</v>
      </c>
      <c r="BZ60" s="69">
        <f>Tabla1[[#This Row],[PVD]]-Tabla1[[#This Row],[COSTOS]]</f>
        <v>1.2302599999999995</v>
      </c>
      <c r="CA60" s="25">
        <f>Tabla1[[#This Row],[TRUPUD UNTITARIO PVD]]</f>
        <v>1.2302599999999995</v>
      </c>
      <c r="CB60" s="25">
        <f>Tabla1[[#This Row],[TRUPUT UNITARIO]]/Tabla1[[#This Row],[COSTOS]]</f>
        <v>8.7521626789901386E-2</v>
      </c>
      <c r="CC60" s="40">
        <f>Tabla1[[#This Row],[BUFFER REAL]]/((Tabla1[[#This Row],[TIEMPO REPOSICION BUFFERS]])/1.5)</f>
        <v>4.5</v>
      </c>
      <c r="CD60" s="69">
        <f>Tabla1[[#This Row],[CONSUMO ESTIMADO]]*52*Tabla1[[#This Row],[TRUPUT UNITARIO]]</f>
        <v>287.88083999999986</v>
      </c>
      <c r="CE60" s="25">
        <f>Tabla1[[#This Row],[CONSUMO ESTIMADO]]*(Tabla1[[#This Row],[TIEMPO REPOSICION BUFFERS]]*1.5)+( Tabla1[[#This Row],[TRUPUT TOTAL ESTIMADO ANUAL]]*(Tabla1[[#This Row],[CRÉDITO CLIENTE]]-Tabla1[[#This Row],[CREDITO PROVEEDOR]]))</f>
        <v>27</v>
      </c>
      <c r="CF60" s="25">
        <f>Tabla1[[#This Row],[INVERSION UNIDADES]]*Tabla1[[#This Row],[COSTOS]]</f>
        <v>379.52927999999997</v>
      </c>
      <c r="CG60" s="25">
        <f>Tabla1[[#This Row],[TRUPUT TOTAL ESTIMADO ANUAL]]/Tabla1[[#This Row],[INVERSION USD]]</f>
        <v>0.75852076551247871</v>
      </c>
      <c r="CH60" s="27"/>
      <c r="CI60" s="27"/>
      <c r="CJ60" s="27"/>
      <c r="CK60" s="27"/>
    </row>
    <row r="61" spans="1:89">
      <c r="A61" s="7" t="s">
        <v>503</v>
      </c>
      <c r="B61" s="7" t="s">
        <v>504</v>
      </c>
      <c r="C61" s="7" t="s">
        <v>676</v>
      </c>
      <c r="D61" s="7" t="s">
        <v>708</v>
      </c>
      <c r="E61" s="7" t="s">
        <v>715</v>
      </c>
      <c r="F61" s="7" t="s">
        <v>724</v>
      </c>
      <c r="G61" s="7" t="s">
        <v>729</v>
      </c>
      <c r="H61" s="13">
        <v>7.22</v>
      </c>
      <c r="I61" s="13">
        <f>+H61*60%</f>
        <v>4.3319999999999999</v>
      </c>
      <c r="J61" s="13">
        <v>4.0850299999999997</v>
      </c>
      <c r="K61" s="7">
        <v>8</v>
      </c>
      <c r="L61" s="7">
        <v>4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20</v>
      </c>
      <c r="AA61" s="7">
        <v>20</v>
      </c>
      <c r="AB61" s="7">
        <v>15</v>
      </c>
      <c r="AC61" s="7">
        <v>86</v>
      </c>
      <c r="AD61" s="7">
        <v>60</v>
      </c>
      <c r="AE61" s="7">
        <v>65</v>
      </c>
      <c r="AF61" s="7">
        <v>0</v>
      </c>
      <c r="AG61" s="7">
        <v>0</v>
      </c>
      <c r="AH61" s="7">
        <v>0</v>
      </c>
      <c r="AI61" s="7">
        <v>0</v>
      </c>
      <c r="AJ61" s="7">
        <v>0</v>
      </c>
      <c r="AK61" s="7">
        <v>0</v>
      </c>
      <c r="AL61" s="7">
        <v>0</v>
      </c>
      <c r="AM61" s="7">
        <v>0</v>
      </c>
      <c r="AN61" s="7">
        <v>0</v>
      </c>
      <c r="AO61" s="7">
        <v>0</v>
      </c>
      <c r="AP61" s="7">
        <v>0</v>
      </c>
      <c r="AQ61" s="7">
        <v>0</v>
      </c>
      <c r="AR61" s="7">
        <v>0</v>
      </c>
      <c r="AS61" s="7">
        <v>0</v>
      </c>
      <c r="AT61" s="7">
        <v>0</v>
      </c>
      <c r="AU61" s="7">
        <v>0</v>
      </c>
      <c r="AV61" s="7">
        <v>0</v>
      </c>
      <c r="AW61" s="7">
        <v>0</v>
      </c>
      <c r="AX61" s="7">
        <v>0</v>
      </c>
      <c r="AY61" s="7">
        <v>0</v>
      </c>
      <c r="AZ61" s="7">
        <v>0</v>
      </c>
      <c r="BA61" s="7">
        <v>0</v>
      </c>
      <c r="BB61" s="7">
        <v>0</v>
      </c>
      <c r="BC61" s="7">
        <v>20</v>
      </c>
      <c r="BD61" s="7">
        <v>0</v>
      </c>
      <c r="BE61" s="7">
        <v>10</v>
      </c>
      <c r="BF61" s="7">
        <v>1</v>
      </c>
      <c r="BG61" s="7">
        <v>0</v>
      </c>
      <c r="BH61" s="7">
        <v>0</v>
      </c>
      <c r="BI61" s="7">
        <v>0</v>
      </c>
      <c r="BJ61" s="7">
        <v>6</v>
      </c>
      <c r="BK61" s="7">
        <v>0</v>
      </c>
      <c r="BL61" s="7">
        <v>0</v>
      </c>
      <c r="BM61" s="13">
        <v>303</v>
      </c>
      <c r="BN61" s="13">
        <f>Tabla1[[#This Row],[CONSUMO TOTAL PROPIO]]/52</f>
        <v>5.8269230769230766</v>
      </c>
      <c r="BO61" s="13" t="e">
        <f>SUM(Tabla3[[#This Row],[CONSUMO TOTAL V]]+Tabla2[[#This Row],[CONSUMO TOTAL VALORES]]+#REF!+#REF!)</f>
        <v>#REF!</v>
      </c>
      <c r="BP61" s="31">
        <v>370</v>
      </c>
      <c r="BQ61" s="13">
        <f>Tabla1[[#This Row],[CONSUMO TOTAL TODAS]]/52</f>
        <v>7.115384615384615</v>
      </c>
      <c r="BR61" s="25">
        <f>Tabla1[[#This Row],[CONSUMO PROMEDIO PROPIO]]+Tabla1[[#This Row],[CONSUMO PROMEDIO TODAS]]</f>
        <v>12.942307692307692</v>
      </c>
      <c r="BS61" s="26">
        <f>Tabla1[[#This Row],[CONSUMO PROMEDIO TOTAL]]*(Tabla1[[#This Row],[FRECUENCIA]]+Tabla1[[#This Row],[TIEMPO REPOSICION BUFFERS]])</f>
        <v>155.30769230769229</v>
      </c>
      <c r="BT61" s="26">
        <v>60</v>
      </c>
      <c r="BU61" s="27">
        <v>1</v>
      </c>
      <c r="BV61" s="27">
        <v>16</v>
      </c>
      <c r="BW61" s="27">
        <v>16</v>
      </c>
      <c r="BX61" s="69">
        <f>Tabla1[[#This Row],[BUFFER REAL]]*Tabla1[[#This Row],[COSTOS]]</f>
        <v>245.10179999999997</v>
      </c>
      <c r="BY61" s="69">
        <f>Tabla1[[#This Row],[PVP]]-Tabla1[[#This Row],[COSTOS]]</f>
        <v>3.13497</v>
      </c>
      <c r="BZ61" s="69">
        <f>Tabla1[[#This Row],[PVD]]-Tabla1[[#This Row],[COSTOS]]</f>
        <v>0.24697000000000013</v>
      </c>
      <c r="CA61" s="25">
        <f>Tabla1[[#This Row],[TRUPUD UNTITARIO PVD]]</f>
        <v>0.24697000000000013</v>
      </c>
      <c r="CB61" s="25">
        <f>Tabla1[[#This Row],[TRUPUT UNITARIO]]/Tabla1[[#This Row],[COSTOS]]</f>
        <v>6.0457328342753948E-2</v>
      </c>
      <c r="CC61" s="40">
        <f>Tabla1[[#This Row],[BUFFER REAL]]/((Tabla1[[#This Row],[TIEMPO REPOSICION BUFFERS]])/1.5)</f>
        <v>22.5</v>
      </c>
      <c r="CD61" s="69">
        <f>Tabla1[[#This Row],[CONSUMO ESTIMADO]]*52*Tabla1[[#This Row],[TRUPUT UNITARIO]]</f>
        <v>288.95490000000018</v>
      </c>
      <c r="CE61" s="25">
        <f>Tabla1[[#This Row],[CONSUMO ESTIMADO]]*(Tabla1[[#This Row],[TIEMPO REPOSICION BUFFERS]]*1.5)+( Tabla1[[#This Row],[TRUPUT TOTAL ESTIMADO ANUAL]]*(Tabla1[[#This Row],[CRÉDITO CLIENTE]]-Tabla1[[#This Row],[CREDITO PROVEEDOR]]))</f>
        <v>135</v>
      </c>
      <c r="CF61" s="25">
        <f>Tabla1[[#This Row],[INVERSION UNIDADES]]*Tabla1[[#This Row],[COSTOS]]</f>
        <v>551.47904999999992</v>
      </c>
      <c r="CG61" s="25">
        <f>Tabla1[[#This Row],[TRUPUT TOTAL ESTIMADO ANUAL]]/Tabla1[[#This Row],[INVERSION USD]]</f>
        <v>0.52396351230386762</v>
      </c>
      <c r="CH61" s="27"/>
      <c r="CI61" s="27"/>
      <c r="CJ61" s="27"/>
      <c r="CK61" s="27"/>
    </row>
    <row r="62" spans="1:89">
      <c r="A62" s="7" t="s">
        <v>512</v>
      </c>
      <c r="B62" s="7" t="s">
        <v>513</v>
      </c>
      <c r="C62" s="7" t="s">
        <v>679</v>
      </c>
      <c r="D62" s="7" t="s">
        <v>709</v>
      </c>
      <c r="E62" s="7" t="s">
        <v>719</v>
      </c>
      <c r="F62" s="7" t="s">
        <v>724</v>
      </c>
      <c r="G62" s="7" t="s">
        <v>729</v>
      </c>
      <c r="H62" s="13">
        <v>1.89</v>
      </c>
      <c r="I62" s="13">
        <f>Tabla1[[#This Row],[PVP]]*74%</f>
        <v>1.3985999999999998</v>
      </c>
      <c r="J62" s="13">
        <v>1.1559999999999999</v>
      </c>
      <c r="K62" s="7">
        <v>26</v>
      </c>
      <c r="L62" s="7">
        <v>4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>
        <v>180</v>
      </c>
      <c r="AE62" s="7">
        <v>0</v>
      </c>
      <c r="AF62" s="7">
        <v>0</v>
      </c>
      <c r="AG62" s="7">
        <v>0</v>
      </c>
      <c r="AH62" s="7">
        <v>100</v>
      </c>
      <c r="AI62" s="7">
        <v>0</v>
      </c>
      <c r="AJ62" s="7">
        <v>0</v>
      </c>
      <c r="AK62" s="7">
        <v>0</v>
      </c>
      <c r="AL62" s="7">
        <v>0</v>
      </c>
      <c r="AM62" s="7">
        <v>100</v>
      </c>
      <c r="AN62" s="7">
        <v>0</v>
      </c>
      <c r="AO62" s="7">
        <v>0</v>
      </c>
      <c r="AP62" s="7">
        <v>0</v>
      </c>
      <c r="AQ62" s="7">
        <v>0</v>
      </c>
      <c r="AR62" s="7">
        <v>0</v>
      </c>
      <c r="AS62" s="7">
        <v>0</v>
      </c>
      <c r="AT62" s="7">
        <v>0</v>
      </c>
      <c r="AU62" s="7">
        <v>0</v>
      </c>
      <c r="AV62" s="7">
        <v>0</v>
      </c>
      <c r="AW62" s="7">
        <v>0</v>
      </c>
      <c r="AX62" s="7">
        <v>100</v>
      </c>
      <c r="AY62" s="7">
        <v>0</v>
      </c>
      <c r="AZ62" s="7">
        <v>0</v>
      </c>
      <c r="BA62" s="7">
        <v>0</v>
      </c>
      <c r="BB62" s="7">
        <v>0</v>
      </c>
      <c r="BC62" s="7">
        <v>0</v>
      </c>
      <c r="BD62" s="7">
        <v>0</v>
      </c>
      <c r="BE62" s="7">
        <v>0</v>
      </c>
      <c r="BF62" s="7">
        <v>0</v>
      </c>
      <c r="BG62" s="7">
        <v>0</v>
      </c>
      <c r="BH62" s="7">
        <v>0</v>
      </c>
      <c r="BI62" s="7">
        <v>0</v>
      </c>
      <c r="BJ62" s="7">
        <v>0</v>
      </c>
      <c r="BK62" s="7">
        <v>0</v>
      </c>
      <c r="BL62" s="7">
        <v>0</v>
      </c>
      <c r="BM62" s="13">
        <v>480</v>
      </c>
      <c r="BN62" s="13">
        <f>Tabla1[[#This Row],[CONSUMO TOTAL PROPIO]]/52</f>
        <v>9.2307692307692299</v>
      </c>
      <c r="BO62" s="13" t="e">
        <f>SUM(Tabla3[[#This Row],[CONSUMO TOTAL V]]+Tabla2[[#This Row],[CONSUMO TOTAL VALORES]]+#REF!+#REF!)</f>
        <v>#REF!</v>
      </c>
      <c r="BP62" s="31">
        <v>0</v>
      </c>
      <c r="BQ62" s="13">
        <f>Tabla1[[#This Row],[CONSUMO TOTAL TODAS]]/52</f>
        <v>0</v>
      </c>
      <c r="BR62" s="25">
        <f>Tabla1[[#This Row],[CONSUMO PROMEDIO PROPIO]]+Tabla1[[#This Row],[CONSUMO PROMEDIO TODAS]]</f>
        <v>9.2307692307692299</v>
      </c>
      <c r="BS62" s="26">
        <f>Tabla1[[#This Row],[CONSUMO PROMEDIO TOTAL]]*(Tabla1[[#This Row],[FRECUENCIA]]+Tabla1[[#This Row],[TIEMPO REPOSICION BUFFERS]])</f>
        <v>276.92307692307691</v>
      </c>
      <c r="BT62" s="26">
        <v>0</v>
      </c>
      <c r="BU62" s="27">
        <v>1</v>
      </c>
      <c r="BV62" s="27">
        <v>16</v>
      </c>
      <c r="BW62" s="27">
        <v>16</v>
      </c>
      <c r="BX62" s="69">
        <f>Tabla1[[#This Row],[BUFFER REAL]]*Tabla1[[#This Row],[COSTOS]]</f>
        <v>0</v>
      </c>
      <c r="BY62" s="69">
        <f>Tabla1[[#This Row],[PVP]]-Tabla1[[#This Row],[COSTOS]]</f>
        <v>0.73399999999999999</v>
      </c>
      <c r="BZ62" s="69">
        <f>Tabla1[[#This Row],[PVD]]-Tabla1[[#This Row],[COSTOS]]</f>
        <v>0.24259999999999993</v>
      </c>
      <c r="CA62" s="25">
        <f>Tabla1[[#This Row],[TRUPUD UNTITARIO PVD]]</f>
        <v>0.24259999999999993</v>
      </c>
      <c r="CB62" s="25">
        <f>Tabla1[[#This Row],[TRUPUT UNITARIO]]/Tabla1[[#This Row],[COSTOS]]</f>
        <v>0.20986159169550167</v>
      </c>
      <c r="CC62" s="40">
        <f>Tabla1[[#This Row],[BUFFER REAL]]/((Tabla1[[#This Row],[TIEMPO REPOSICION BUFFERS]])/1.5)</f>
        <v>0</v>
      </c>
      <c r="CD62" s="69">
        <f>Tabla1[[#This Row],[CONSUMO ESTIMADO]]*52*Tabla1[[#This Row],[TRUPUT UNITARIO]]</f>
        <v>0</v>
      </c>
      <c r="CE62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62" s="25">
        <f>Tabla1[[#This Row],[INVERSION UNIDADES]]*Tabla1[[#This Row],[COSTOS]]</f>
        <v>0</v>
      </c>
      <c r="CG62" s="25" t="e">
        <f>Tabla1[[#This Row],[TRUPUT TOTAL ESTIMADO ANUAL]]/Tabla1[[#This Row],[INVERSION USD]]</f>
        <v>#DIV/0!</v>
      </c>
      <c r="CH62" s="27"/>
      <c r="CI62" s="27"/>
      <c r="CJ62" s="27"/>
      <c r="CK62" s="27"/>
    </row>
    <row r="63" spans="1:89">
      <c r="A63" s="7" t="s">
        <v>514</v>
      </c>
      <c r="B63" s="7" t="s">
        <v>515</v>
      </c>
      <c r="C63" s="7" t="s">
        <v>673</v>
      </c>
      <c r="D63" s="7" t="s">
        <v>709</v>
      </c>
      <c r="E63" s="7" t="s">
        <v>719</v>
      </c>
      <c r="F63" s="7" t="s">
        <v>724</v>
      </c>
      <c r="G63" s="7" t="s">
        <v>729</v>
      </c>
      <c r="H63" s="13">
        <v>3.37</v>
      </c>
      <c r="I63" s="13">
        <f>Tabla1[[#This Row],[PVP]]*74%</f>
        <v>2.4938000000000002</v>
      </c>
      <c r="J63" s="13">
        <v>2.137</v>
      </c>
      <c r="K63" s="7">
        <v>26</v>
      </c>
      <c r="L63" s="7">
        <v>4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>
        <v>0</v>
      </c>
      <c r="AE63" s="7">
        <v>0</v>
      </c>
      <c r="AF63" s="7">
        <v>0</v>
      </c>
      <c r="AG63" s="7">
        <v>0</v>
      </c>
      <c r="AH63" s="7">
        <v>100</v>
      </c>
      <c r="AI63" s="7">
        <v>0</v>
      </c>
      <c r="AJ63" s="7">
        <v>0</v>
      </c>
      <c r="AK63" s="7">
        <v>0</v>
      </c>
      <c r="AL63" s="7">
        <v>0</v>
      </c>
      <c r="AM63" s="7">
        <v>100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200</v>
      </c>
      <c r="AU63" s="7">
        <v>0</v>
      </c>
      <c r="AV63" s="7">
        <v>0</v>
      </c>
      <c r="AW63" s="7">
        <v>0</v>
      </c>
      <c r="AX63" s="7">
        <v>100</v>
      </c>
      <c r="AY63" s="7">
        <v>0</v>
      </c>
      <c r="AZ63" s="7">
        <v>0</v>
      </c>
      <c r="BA63" s="7">
        <v>0</v>
      </c>
      <c r="BB63" s="7">
        <v>0</v>
      </c>
      <c r="BC63" s="7">
        <v>0</v>
      </c>
      <c r="BD63" s="7">
        <v>0</v>
      </c>
      <c r="BE63" s="7">
        <v>0</v>
      </c>
      <c r="BF63" s="7">
        <v>0</v>
      </c>
      <c r="BG63" s="7">
        <v>0</v>
      </c>
      <c r="BH63" s="7">
        <v>0</v>
      </c>
      <c r="BI63" s="7">
        <v>0</v>
      </c>
      <c r="BJ63" s="7">
        <v>0</v>
      </c>
      <c r="BK63" s="7">
        <v>0</v>
      </c>
      <c r="BL63" s="7">
        <v>0</v>
      </c>
      <c r="BM63" s="13">
        <v>500</v>
      </c>
      <c r="BN63" s="13">
        <f>Tabla1[[#This Row],[CONSUMO TOTAL PROPIO]]/52</f>
        <v>9.615384615384615</v>
      </c>
      <c r="BO63" s="13" t="e">
        <f>SUM(Tabla3[[#This Row],[CONSUMO TOTAL V]]+Tabla2[[#This Row],[CONSUMO TOTAL VALORES]]+#REF!+#REF!)</f>
        <v>#REF!</v>
      </c>
      <c r="BP63" s="31">
        <v>0</v>
      </c>
      <c r="BQ63" s="13">
        <f>Tabla1[[#This Row],[CONSUMO TOTAL TODAS]]/52</f>
        <v>0</v>
      </c>
      <c r="BR63" s="25">
        <f>Tabla1[[#This Row],[CONSUMO PROMEDIO PROPIO]]+Tabla1[[#This Row],[CONSUMO PROMEDIO TODAS]]</f>
        <v>9.615384615384615</v>
      </c>
      <c r="BS63" s="26">
        <f>Tabla1[[#This Row],[CONSUMO PROMEDIO TOTAL]]*(Tabla1[[#This Row],[FRECUENCIA]]+Tabla1[[#This Row],[TIEMPO REPOSICION BUFFERS]])</f>
        <v>288.46153846153845</v>
      </c>
      <c r="BT63" s="26">
        <v>0</v>
      </c>
      <c r="BU63" s="27">
        <v>1</v>
      </c>
      <c r="BV63" s="27">
        <v>16</v>
      </c>
      <c r="BW63" s="27">
        <v>16</v>
      </c>
      <c r="BX63" s="69">
        <f>Tabla1[[#This Row],[BUFFER REAL]]*Tabla1[[#This Row],[COSTOS]]</f>
        <v>0</v>
      </c>
      <c r="BY63" s="69">
        <f>Tabla1[[#This Row],[PVP]]-Tabla1[[#This Row],[COSTOS]]</f>
        <v>1.2330000000000001</v>
      </c>
      <c r="BZ63" s="69">
        <f>Tabla1[[#This Row],[PVD]]-Tabla1[[#This Row],[COSTOS]]</f>
        <v>0.35680000000000023</v>
      </c>
      <c r="CA63" s="25">
        <f>Tabla1[[#This Row],[TRUPUD UNTITARIO PVD]]</f>
        <v>0.35680000000000023</v>
      </c>
      <c r="CB63" s="25">
        <f>Tabla1[[#This Row],[TRUPUT UNITARIO]]/Tabla1[[#This Row],[COSTOS]]</f>
        <v>0.16696303228825468</v>
      </c>
      <c r="CC63" s="40">
        <f>Tabla1[[#This Row],[BUFFER REAL]]/((Tabla1[[#This Row],[TIEMPO REPOSICION BUFFERS]])/1.5)</f>
        <v>0</v>
      </c>
      <c r="CD63" s="69">
        <f>Tabla1[[#This Row],[CONSUMO ESTIMADO]]*52*Tabla1[[#This Row],[TRUPUT UNITARIO]]</f>
        <v>0</v>
      </c>
      <c r="CE63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63" s="25">
        <f>Tabla1[[#This Row],[INVERSION UNIDADES]]*Tabla1[[#This Row],[COSTOS]]</f>
        <v>0</v>
      </c>
      <c r="CG63" s="25" t="e">
        <f>Tabla1[[#This Row],[TRUPUT TOTAL ESTIMADO ANUAL]]/Tabla1[[#This Row],[INVERSION USD]]</f>
        <v>#DIV/0!</v>
      </c>
      <c r="CH63" s="27"/>
      <c r="CI63" s="27"/>
      <c r="CJ63" s="27"/>
      <c r="CK63" s="27"/>
    </row>
    <row r="64" spans="1:89">
      <c r="A64" s="7" t="s">
        <v>516</v>
      </c>
      <c r="B64" s="7" t="s">
        <v>517</v>
      </c>
      <c r="C64" s="7" t="s">
        <v>676</v>
      </c>
      <c r="D64" s="7" t="s">
        <v>709</v>
      </c>
      <c r="E64" s="7" t="s">
        <v>719</v>
      </c>
      <c r="F64" s="7" t="s">
        <v>724</v>
      </c>
      <c r="G64" s="7" t="s">
        <v>729</v>
      </c>
      <c r="H64" s="13">
        <v>5.4</v>
      </c>
      <c r="I64" s="13">
        <f>Tabla1[[#This Row],[PVP]]*74%</f>
        <v>3.996</v>
      </c>
      <c r="J64" s="13">
        <v>4.8540000000000001</v>
      </c>
      <c r="K64" s="7">
        <v>26</v>
      </c>
      <c r="L64" s="7">
        <v>4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  <c r="AD64" s="7">
        <v>0</v>
      </c>
      <c r="AE64" s="7">
        <v>0</v>
      </c>
      <c r="AF64" s="7">
        <v>0</v>
      </c>
      <c r="AG64" s="7">
        <v>0</v>
      </c>
      <c r="AH64" s="7">
        <v>60</v>
      </c>
      <c r="AI64" s="7">
        <v>0</v>
      </c>
      <c r="AJ64" s="7">
        <v>0</v>
      </c>
      <c r="AK64" s="7">
        <v>0</v>
      </c>
      <c r="AL64" s="7">
        <v>0</v>
      </c>
      <c r="AM64" s="7">
        <v>60</v>
      </c>
      <c r="AN64" s="7">
        <v>0</v>
      </c>
      <c r="AO64" s="7">
        <v>0</v>
      </c>
      <c r="AP64" s="7">
        <v>0</v>
      </c>
      <c r="AQ64" s="7">
        <v>0</v>
      </c>
      <c r="AR64" s="7">
        <v>0</v>
      </c>
      <c r="AS64" s="7">
        <v>300</v>
      </c>
      <c r="AT64" s="7">
        <v>0</v>
      </c>
      <c r="AU64" s="7">
        <v>0</v>
      </c>
      <c r="AV64" s="7">
        <v>0</v>
      </c>
      <c r="AW64" s="7">
        <v>0</v>
      </c>
      <c r="AX64" s="7">
        <v>60</v>
      </c>
      <c r="AY64" s="7">
        <v>0</v>
      </c>
      <c r="AZ64" s="7">
        <v>0</v>
      </c>
      <c r="BA64" s="7">
        <v>0</v>
      </c>
      <c r="BB64" s="7">
        <v>0</v>
      </c>
      <c r="BC64" s="7">
        <v>0</v>
      </c>
      <c r="BD64" s="7">
        <v>0</v>
      </c>
      <c r="BE64" s="7">
        <v>0</v>
      </c>
      <c r="BF64" s="7">
        <v>0</v>
      </c>
      <c r="BG64" s="7">
        <v>0</v>
      </c>
      <c r="BH64" s="7">
        <v>0</v>
      </c>
      <c r="BI64" s="7">
        <v>0</v>
      </c>
      <c r="BJ64" s="7">
        <v>0</v>
      </c>
      <c r="BK64" s="7">
        <v>0</v>
      </c>
      <c r="BL64" s="7">
        <v>0</v>
      </c>
      <c r="BM64" s="13">
        <v>480</v>
      </c>
      <c r="BN64" s="13">
        <f>Tabla1[[#This Row],[CONSUMO TOTAL PROPIO]]/52</f>
        <v>9.2307692307692299</v>
      </c>
      <c r="BO64" s="13" t="e">
        <f>SUM(Tabla3[[#This Row],[CONSUMO TOTAL V]]+Tabla2[[#This Row],[CONSUMO TOTAL VALORES]]+#REF!+#REF!)</f>
        <v>#REF!</v>
      </c>
      <c r="BP64" s="31">
        <v>0</v>
      </c>
      <c r="BQ64" s="13">
        <f>Tabla1[[#This Row],[CONSUMO TOTAL TODAS]]/52</f>
        <v>0</v>
      </c>
      <c r="BR64" s="25">
        <f>Tabla1[[#This Row],[CONSUMO PROMEDIO PROPIO]]+Tabla1[[#This Row],[CONSUMO PROMEDIO TODAS]]</f>
        <v>9.2307692307692299</v>
      </c>
      <c r="BS64" s="26">
        <f>Tabla1[[#This Row],[CONSUMO PROMEDIO TOTAL]]*(Tabla1[[#This Row],[FRECUENCIA]]+Tabla1[[#This Row],[TIEMPO REPOSICION BUFFERS]])</f>
        <v>276.92307692307691</v>
      </c>
      <c r="BT64" s="26">
        <v>0</v>
      </c>
      <c r="BU64" s="27">
        <v>1</v>
      </c>
      <c r="BV64" s="27">
        <v>16</v>
      </c>
      <c r="BW64" s="27">
        <v>16</v>
      </c>
      <c r="BX64" s="69">
        <f>Tabla1[[#This Row],[BUFFER REAL]]*Tabla1[[#This Row],[COSTOS]]</f>
        <v>0</v>
      </c>
      <c r="BY64" s="69">
        <f>Tabla1[[#This Row],[PVP]]-Tabla1[[#This Row],[COSTOS]]</f>
        <v>0.54600000000000026</v>
      </c>
      <c r="BZ64" s="69">
        <f>Tabla1[[#This Row],[PVD]]-Tabla1[[#This Row],[COSTOS]]</f>
        <v>-0.8580000000000001</v>
      </c>
      <c r="CA64" s="25">
        <f>Tabla1[[#This Row],[TRUPUD UNTITARIO PVD]]</f>
        <v>-0.8580000000000001</v>
      </c>
      <c r="CB64" s="25">
        <f>Tabla1[[#This Row],[TRUPUT UNITARIO]]/Tabla1[[#This Row],[COSTOS]]</f>
        <v>-0.17676143386897405</v>
      </c>
      <c r="CC64" s="40">
        <f>Tabla1[[#This Row],[BUFFER REAL]]/((Tabla1[[#This Row],[TIEMPO REPOSICION BUFFERS]])/1.5)</f>
        <v>0</v>
      </c>
      <c r="CD64" s="69">
        <f>Tabla1[[#This Row],[CONSUMO ESTIMADO]]*52*Tabla1[[#This Row],[TRUPUT UNITARIO]]</f>
        <v>0</v>
      </c>
      <c r="CE64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64" s="25">
        <f>Tabla1[[#This Row],[INVERSION UNIDADES]]*Tabla1[[#This Row],[COSTOS]]</f>
        <v>0</v>
      </c>
      <c r="CG64" s="25" t="e">
        <f>Tabla1[[#This Row],[TRUPUT TOTAL ESTIMADO ANUAL]]/Tabla1[[#This Row],[INVERSION USD]]</f>
        <v>#DIV/0!</v>
      </c>
      <c r="CH64" s="27"/>
      <c r="CI64" s="27"/>
      <c r="CJ64" s="27"/>
      <c r="CK64" s="27"/>
    </row>
    <row r="65" spans="1:89">
      <c r="A65" s="7" t="s">
        <v>524</v>
      </c>
      <c r="B65" s="7" t="s">
        <v>525</v>
      </c>
      <c r="C65" s="7" t="s">
        <v>677</v>
      </c>
      <c r="D65" s="7" t="s">
        <v>709</v>
      </c>
      <c r="E65" s="7" t="s">
        <v>719</v>
      </c>
      <c r="F65" s="7" t="s">
        <v>724</v>
      </c>
      <c r="G65" s="7" t="s">
        <v>729</v>
      </c>
      <c r="H65" s="13">
        <v>0.85</v>
      </c>
      <c r="I65" s="13">
        <f>+H65*75%</f>
        <v>0.63749999999999996</v>
      </c>
      <c r="J65" s="13">
        <v>0.48699999999999999</v>
      </c>
      <c r="K65" s="7">
        <v>26</v>
      </c>
      <c r="L65" s="7">
        <v>28</v>
      </c>
      <c r="M65" s="7">
        <v>4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>
        <v>0</v>
      </c>
      <c r="AE65" s="7">
        <v>0</v>
      </c>
      <c r="AF65" s="7">
        <v>0</v>
      </c>
      <c r="AG65" s="7">
        <v>0</v>
      </c>
      <c r="AH65" s="7">
        <v>0</v>
      </c>
      <c r="AI65" s="7">
        <v>0</v>
      </c>
      <c r="AJ65" s="7">
        <v>0</v>
      </c>
      <c r="AK65" s="7">
        <v>0</v>
      </c>
      <c r="AL65" s="7">
        <v>0</v>
      </c>
      <c r="AM65" s="7">
        <v>0</v>
      </c>
      <c r="AN65" s="7">
        <v>0</v>
      </c>
      <c r="AO65" s="7">
        <v>0</v>
      </c>
      <c r="AP65" s="7">
        <v>0</v>
      </c>
      <c r="AQ65" s="7">
        <v>0</v>
      </c>
      <c r="AR65" s="7">
        <v>0</v>
      </c>
      <c r="AS65" s="7">
        <v>0</v>
      </c>
      <c r="AT65" s="7">
        <v>0</v>
      </c>
      <c r="AU65" s="7">
        <v>0</v>
      </c>
      <c r="AV65" s="7">
        <v>0</v>
      </c>
      <c r="AW65" s="7">
        <v>0</v>
      </c>
      <c r="AX65" s="7">
        <v>0</v>
      </c>
      <c r="AY65" s="7">
        <v>0</v>
      </c>
      <c r="AZ65" s="7">
        <v>0</v>
      </c>
      <c r="BA65" s="7">
        <v>0</v>
      </c>
      <c r="BB65" s="7">
        <v>0</v>
      </c>
      <c r="BC65" s="7">
        <v>0</v>
      </c>
      <c r="BD65" s="7">
        <v>0</v>
      </c>
      <c r="BE65" s="7">
        <v>0</v>
      </c>
      <c r="BF65" s="7">
        <v>0</v>
      </c>
      <c r="BG65" s="7">
        <v>0</v>
      </c>
      <c r="BH65" s="7">
        <v>0</v>
      </c>
      <c r="BI65" s="7">
        <v>0</v>
      </c>
      <c r="BJ65" s="7">
        <v>0</v>
      </c>
      <c r="BK65" s="7">
        <v>0</v>
      </c>
      <c r="BL65" s="7">
        <v>0</v>
      </c>
      <c r="BM65" s="7">
        <v>0</v>
      </c>
      <c r="BN65" s="13">
        <f>Tabla1[[#This Row],[CONSUMO TOTAL PROPIO]]/52</f>
        <v>0</v>
      </c>
      <c r="BO65" s="13" t="e">
        <f>SUM(Tabla3[[#This Row],[CONSUMO TOTAL V]]+Tabla2[[#This Row],[CONSUMO TOTAL VALORES]]+#REF!+#REF!)</f>
        <v>#REF!</v>
      </c>
      <c r="BP65" s="13">
        <v>0</v>
      </c>
      <c r="BQ65" s="13">
        <f>Tabla1[[#This Row],[CONSUMO TOTAL TODAS]]/52</f>
        <v>0</v>
      </c>
      <c r="BR65" s="25">
        <f>Tabla1[[#This Row],[CONSUMO PROMEDIO PROPIO]]+Tabla1[[#This Row],[CONSUMO PROMEDIO TODAS]]</f>
        <v>0</v>
      </c>
      <c r="BS65" s="26">
        <f>Tabla1[[#This Row],[CONSUMO PROMEDIO TOTAL]]*(Tabla1[[#This Row],[FRECUENCIA]]+Tabla1[[#This Row],[TIEMPO REPOSICION BUFFERS]])</f>
        <v>0</v>
      </c>
      <c r="BT65" s="26">
        <v>0</v>
      </c>
      <c r="BU65" s="27">
        <v>1</v>
      </c>
      <c r="BV65" s="27">
        <v>12</v>
      </c>
      <c r="CE65" s="7"/>
    </row>
    <row r="66" spans="1:89">
      <c r="A66" s="7" t="s">
        <v>526</v>
      </c>
      <c r="B66" s="7" t="s">
        <v>527</v>
      </c>
      <c r="C66" s="7" t="s">
        <v>702</v>
      </c>
      <c r="D66" s="7" t="s">
        <v>712</v>
      </c>
      <c r="E66" s="7" t="s">
        <v>719</v>
      </c>
      <c r="F66" s="7" t="s">
        <v>724</v>
      </c>
      <c r="G66" s="7" t="s">
        <v>729</v>
      </c>
      <c r="H66" s="13">
        <v>3.49</v>
      </c>
      <c r="I66" s="13">
        <f>+H66*75%</f>
        <v>2.6175000000000002</v>
      </c>
      <c r="J66" s="13">
        <v>1.4508700000000001</v>
      </c>
      <c r="K66" s="7">
        <v>26</v>
      </c>
      <c r="L66" s="7">
        <v>4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6</v>
      </c>
      <c r="Z66" s="7">
        <v>0</v>
      </c>
      <c r="AA66" s="7">
        <v>0</v>
      </c>
      <c r="AB66" s="7">
        <v>0</v>
      </c>
      <c r="AC66" s="7">
        <v>0</v>
      </c>
      <c r="AD66" s="7">
        <v>2</v>
      </c>
      <c r="AE66" s="7">
        <v>63</v>
      </c>
      <c r="AF66" s="7">
        <v>0</v>
      </c>
      <c r="AG66" s="7">
        <v>0</v>
      </c>
      <c r="AH66" s="7">
        <v>100</v>
      </c>
      <c r="AI66" s="7">
        <v>0</v>
      </c>
      <c r="AJ66" s="7">
        <v>0</v>
      </c>
      <c r="AK66" s="7">
        <v>140</v>
      </c>
      <c r="AL66" s="7">
        <v>50</v>
      </c>
      <c r="AM66" s="7">
        <v>0</v>
      </c>
      <c r="AN66" s="7">
        <v>0</v>
      </c>
      <c r="AO66" s="7">
        <v>0</v>
      </c>
      <c r="AP66" s="7">
        <v>0</v>
      </c>
      <c r="AQ66" s="7">
        <v>78</v>
      </c>
      <c r="AR66" s="7">
        <v>175</v>
      </c>
      <c r="AS66" s="7">
        <v>0</v>
      </c>
      <c r="AT66" s="7">
        <v>0</v>
      </c>
      <c r="AU66" s="7">
        <v>10</v>
      </c>
      <c r="AV66" s="7">
        <v>0</v>
      </c>
      <c r="AW66" s="7">
        <v>6</v>
      </c>
      <c r="AX66" s="7">
        <v>0</v>
      </c>
      <c r="AY66" s="7">
        <v>0</v>
      </c>
      <c r="AZ66" s="7">
        <v>0</v>
      </c>
      <c r="BA66" s="7">
        <v>0</v>
      </c>
      <c r="BB66" s="7">
        <v>0</v>
      </c>
      <c r="BC66" s="7">
        <v>0</v>
      </c>
      <c r="BD66" s="7">
        <v>105</v>
      </c>
      <c r="BE66" s="7">
        <v>21</v>
      </c>
      <c r="BF66" s="7">
        <v>0</v>
      </c>
      <c r="BG66" s="7">
        <v>20</v>
      </c>
      <c r="BH66" s="7">
        <v>0</v>
      </c>
      <c r="BI66" s="7">
        <v>0</v>
      </c>
      <c r="BJ66" s="7">
        <v>0</v>
      </c>
      <c r="BK66" s="7">
        <v>6</v>
      </c>
      <c r="BL66" s="7">
        <v>0</v>
      </c>
      <c r="BM66" s="13">
        <v>782</v>
      </c>
      <c r="BN66" s="13">
        <f>Tabla1[[#This Row],[CONSUMO TOTAL PROPIO]]/52</f>
        <v>15.038461538461538</v>
      </c>
      <c r="BO66" s="13" t="e">
        <f>SUM(Tabla3[[#This Row],[CONSUMO TOTAL V]]+Tabla2[[#This Row],[CONSUMO TOTAL VALORES]]+#REF!+#REF!)</f>
        <v>#REF!</v>
      </c>
      <c r="BP66" s="31">
        <v>0</v>
      </c>
      <c r="BQ66" s="13">
        <f>Tabla1[[#This Row],[CONSUMO TOTAL TODAS]]/52</f>
        <v>0</v>
      </c>
      <c r="BR66" s="25">
        <f>Tabla1[[#This Row],[CONSUMO PROMEDIO PROPIO]]+Tabla1[[#This Row],[CONSUMO PROMEDIO TODAS]]</f>
        <v>15.038461538461538</v>
      </c>
      <c r="BS66" s="26">
        <f>Tabla1[[#This Row],[CONSUMO PROMEDIO TOTAL]]*(Tabla1[[#This Row],[FRECUENCIA]]+Tabla1[[#This Row],[TIEMPO REPOSICION BUFFERS]])</f>
        <v>451.15384615384613</v>
      </c>
      <c r="BT66" s="26">
        <v>100</v>
      </c>
      <c r="BU66" s="27">
        <v>1</v>
      </c>
      <c r="BV66" s="27">
        <v>16</v>
      </c>
      <c r="BW66" s="27">
        <v>16</v>
      </c>
      <c r="BX66" s="69">
        <f>Tabla1[[#This Row],[BUFFER REAL]]*Tabla1[[#This Row],[COSTOS]]</f>
        <v>145.08700000000002</v>
      </c>
      <c r="BY66" s="69">
        <f>Tabla1[[#This Row],[PVP]]-Tabla1[[#This Row],[COSTOS]]</f>
        <v>2.0391300000000001</v>
      </c>
      <c r="BZ66" s="69">
        <f>Tabla1[[#This Row],[PVD]]-Tabla1[[#This Row],[COSTOS]]</f>
        <v>1.1666300000000001</v>
      </c>
      <c r="CA66" s="25">
        <f>Tabla1[[#This Row],[TRUPUD UNTITARIO PVD]]</f>
        <v>1.1666300000000001</v>
      </c>
      <c r="CB66" s="25">
        <f>Tabla1[[#This Row],[TRUPUT UNITARIO]]/Tabla1[[#This Row],[COSTOS]]</f>
        <v>0.8040899598172131</v>
      </c>
      <c r="CC66" s="40">
        <f>Tabla1[[#This Row],[BUFFER REAL]]/((Tabla1[[#This Row],[TIEMPO REPOSICION BUFFERS]])/1.5)</f>
        <v>37.5</v>
      </c>
      <c r="CD66" s="69">
        <f>Tabla1[[#This Row],[CONSUMO ESTIMADO]]*52*Tabla1[[#This Row],[TRUPUT UNITARIO]]</f>
        <v>2274.9285</v>
      </c>
      <c r="CE66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66" s="25">
        <f>Tabla1[[#This Row],[INVERSION UNIDADES]]*Tabla1[[#This Row],[COSTOS]]</f>
        <v>326.44575000000003</v>
      </c>
      <c r="CG66" s="25">
        <f>Tabla1[[#This Row],[TRUPUT TOTAL ESTIMADO ANUAL]]/Tabla1[[#This Row],[INVERSION USD]]</f>
        <v>6.9687796517491796</v>
      </c>
      <c r="CH66" s="27"/>
      <c r="CI66" s="27"/>
      <c r="CJ66" s="27"/>
      <c r="CK66" s="27"/>
    </row>
    <row r="67" spans="1:89">
      <c r="A67" s="7" t="s">
        <v>528</v>
      </c>
      <c r="B67" s="7" t="s">
        <v>529</v>
      </c>
      <c r="C67" s="7" t="s">
        <v>2</v>
      </c>
      <c r="D67" s="7" t="s">
        <v>712</v>
      </c>
      <c r="E67" s="7" t="s">
        <v>719</v>
      </c>
      <c r="F67" s="7" t="s">
        <v>724</v>
      </c>
      <c r="G67" s="7" t="s">
        <v>729</v>
      </c>
      <c r="H67" s="13">
        <v>7.59</v>
      </c>
      <c r="I67" s="13">
        <f>+H67*75%</f>
        <v>5.6924999999999999</v>
      </c>
      <c r="J67" s="13">
        <v>3.3767399999999999</v>
      </c>
      <c r="K67" s="7">
        <v>26</v>
      </c>
      <c r="L67" s="7">
        <v>4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21</v>
      </c>
      <c r="Z67" s="7">
        <v>0</v>
      </c>
      <c r="AA67" s="7">
        <v>0</v>
      </c>
      <c r="AB67" s="7">
        <v>0</v>
      </c>
      <c r="AC67" s="7">
        <v>0</v>
      </c>
      <c r="AD67" s="7">
        <v>0</v>
      </c>
      <c r="AE67" s="7">
        <v>0</v>
      </c>
      <c r="AF67" s="7">
        <v>0</v>
      </c>
      <c r="AG67" s="7">
        <v>0</v>
      </c>
      <c r="AH67" s="7">
        <v>60</v>
      </c>
      <c r="AI67" s="7">
        <v>0</v>
      </c>
      <c r="AJ67" s="7">
        <v>0</v>
      </c>
      <c r="AK67" s="7">
        <v>192</v>
      </c>
      <c r="AL67" s="7">
        <v>50</v>
      </c>
      <c r="AM67" s="7">
        <v>5</v>
      </c>
      <c r="AN67" s="7">
        <v>0</v>
      </c>
      <c r="AO67" s="7">
        <v>0</v>
      </c>
      <c r="AP67" s="7">
        <v>20</v>
      </c>
      <c r="AQ67" s="7">
        <v>60</v>
      </c>
      <c r="AR67" s="7">
        <v>50</v>
      </c>
      <c r="AS67" s="7">
        <v>3</v>
      </c>
      <c r="AT67" s="7">
        <v>0</v>
      </c>
      <c r="AU67" s="7">
        <v>0</v>
      </c>
      <c r="AV67" s="7">
        <v>0</v>
      </c>
      <c r="AW67" s="7">
        <v>0</v>
      </c>
      <c r="AX67" s="7">
        <v>1</v>
      </c>
      <c r="AY67" s="7">
        <v>0</v>
      </c>
      <c r="AZ67" s="7">
        <v>0</v>
      </c>
      <c r="BA67" s="7">
        <v>0</v>
      </c>
      <c r="BB67" s="7">
        <v>21</v>
      </c>
      <c r="BC67" s="7">
        <v>16</v>
      </c>
      <c r="BD67" s="7">
        <v>0</v>
      </c>
      <c r="BE67" s="7">
        <v>41</v>
      </c>
      <c r="BF67" s="7">
        <v>0</v>
      </c>
      <c r="BG67" s="7">
        <v>20</v>
      </c>
      <c r="BH67" s="7">
        <v>0</v>
      </c>
      <c r="BI67" s="7">
        <v>0</v>
      </c>
      <c r="BJ67" s="7">
        <v>0</v>
      </c>
      <c r="BK67" s="7">
        <v>0</v>
      </c>
      <c r="BL67" s="7">
        <v>1</v>
      </c>
      <c r="BM67" s="13">
        <v>561</v>
      </c>
      <c r="BN67" s="13">
        <f>Tabla1[[#This Row],[CONSUMO TOTAL PROPIO]]/52</f>
        <v>10.788461538461538</v>
      </c>
      <c r="BO67" s="13" t="e">
        <f>SUM(Tabla3[[#This Row],[CONSUMO TOTAL V]]+Tabla2[[#This Row],[CONSUMO TOTAL VALORES]]+#REF!+#REF!)</f>
        <v>#REF!</v>
      </c>
      <c r="BP67" s="31">
        <v>0</v>
      </c>
      <c r="BQ67" s="13">
        <f>Tabla1[[#This Row],[CONSUMO TOTAL TODAS]]/52</f>
        <v>0</v>
      </c>
      <c r="BR67" s="25">
        <f>Tabla1[[#This Row],[CONSUMO PROMEDIO PROPIO]]+Tabla1[[#This Row],[CONSUMO PROMEDIO TODAS]]</f>
        <v>10.788461538461538</v>
      </c>
      <c r="BS67" s="26">
        <f>Tabla1[[#This Row],[CONSUMO PROMEDIO TOTAL]]*(Tabla1[[#This Row],[FRECUENCIA]]+Tabla1[[#This Row],[TIEMPO REPOSICION BUFFERS]])</f>
        <v>323.65384615384613</v>
      </c>
      <c r="BT67" s="26">
        <v>200</v>
      </c>
      <c r="BU67" s="27">
        <v>1</v>
      </c>
      <c r="BV67" s="27">
        <v>16</v>
      </c>
      <c r="BW67" s="27">
        <v>16</v>
      </c>
      <c r="BX67" s="69">
        <f>Tabla1[[#This Row],[BUFFER REAL]]*Tabla1[[#This Row],[COSTOS]]</f>
        <v>675.34799999999996</v>
      </c>
      <c r="BY67" s="69">
        <f>Tabla1[[#This Row],[PVP]]-Tabla1[[#This Row],[COSTOS]]</f>
        <v>4.21326</v>
      </c>
      <c r="BZ67" s="69">
        <f>Tabla1[[#This Row],[PVD]]-Tabla1[[#This Row],[COSTOS]]</f>
        <v>2.31576</v>
      </c>
      <c r="CA67" s="25">
        <f>Tabla1[[#This Row],[TRUPUD UNTITARIO PVD]]</f>
        <v>2.31576</v>
      </c>
      <c r="CB67" s="25">
        <f>Tabla1[[#This Row],[TRUPUT UNITARIO]]/Tabla1[[#This Row],[COSTOS]]</f>
        <v>0.68579754437712115</v>
      </c>
      <c r="CC67" s="40">
        <f>Tabla1[[#This Row],[BUFFER REAL]]/((Tabla1[[#This Row],[TIEMPO REPOSICION BUFFERS]])/1.5)</f>
        <v>75</v>
      </c>
      <c r="CD67" s="69">
        <f>Tabla1[[#This Row],[CONSUMO ESTIMADO]]*52*Tabla1[[#This Row],[TRUPUT UNITARIO]]</f>
        <v>9031.4639999999999</v>
      </c>
      <c r="CE67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67" s="25">
        <f>Tabla1[[#This Row],[INVERSION UNIDADES]]*Tabla1[[#This Row],[COSTOS]]</f>
        <v>1519.5329999999999</v>
      </c>
      <c r="CG67" s="25">
        <f>Tabla1[[#This Row],[TRUPUT TOTAL ESTIMADO ANUAL]]/Tabla1[[#This Row],[INVERSION USD]]</f>
        <v>5.9435787179350505</v>
      </c>
      <c r="CH67" s="27"/>
      <c r="CI67" s="27"/>
      <c r="CJ67" s="27"/>
      <c r="CK67" s="27"/>
    </row>
    <row r="68" spans="1:89">
      <c r="A68" s="20" t="s">
        <v>530</v>
      </c>
      <c r="B68" s="20" t="s">
        <v>531</v>
      </c>
      <c r="C68" s="20" t="s">
        <v>2</v>
      </c>
      <c r="D68" s="20" t="s">
        <v>712</v>
      </c>
      <c r="E68" s="20" t="s">
        <v>719</v>
      </c>
      <c r="F68" s="20" t="s">
        <v>724</v>
      </c>
      <c r="G68" s="20" t="s">
        <v>729</v>
      </c>
      <c r="H68" s="21">
        <v>13.99</v>
      </c>
      <c r="I68" s="21">
        <f>+H68*75%</f>
        <v>10.4925</v>
      </c>
      <c r="J68" s="21">
        <v>6.3399099999999997</v>
      </c>
      <c r="K68" s="7">
        <v>26</v>
      </c>
      <c r="L68" s="20">
        <v>4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v>0</v>
      </c>
      <c r="T68" s="20">
        <v>0</v>
      </c>
      <c r="U68" s="20">
        <v>0</v>
      </c>
      <c r="V68" s="20">
        <v>0</v>
      </c>
      <c r="W68" s="20">
        <v>0</v>
      </c>
      <c r="X68" s="20">
        <v>0</v>
      </c>
      <c r="Y68" s="20">
        <v>0</v>
      </c>
      <c r="Z68" s="20">
        <v>0</v>
      </c>
      <c r="AA68" s="20">
        <v>0</v>
      </c>
      <c r="AB68" s="20">
        <v>0</v>
      </c>
      <c r="AC68" s="20">
        <v>0</v>
      </c>
      <c r="AD68" s="20">
        <v>0</v>
      </c>
      <c r="AE68" s="20">
        <v>0</v>
      </c>
      <c r="AF68" s="20">
        <v>0</v>
      </c>
      <c r="AG68" s="20">
        <v>0</v>
      </c>
      <c r="AH68" s="20">
        <v>0</v>
      </c>
      <c r="AI68" s="20">
        <v>0</v>
      </c>
      <c r="AJ68" s="20">
        <v>0</v>
      </c>
      <c r="AK68" s="20">
        <v>0</v>
      </c>
      <c r="AL68" s="20">
        <v>0</v>
      </c>
      <c r="AM68" s="20">
        <v>0</v>
      </c>
      <c r="AN68" s="20">
        <v>0</v>
      </c>
      <c r="AO68" s="20">
        <v>0</v>
      </c>
      <c r="AP68" s="20">
        <v>0</v>
      </c>
      <c r="AQ68" s="20">
        <v>0</v>
      </c>
      <c r="AR68" s="20">
        <v>0</v>
      </c>
      <c r="AS68" s="20">
        <v>0</v>
      </c>
      <c r="AT68" s="20">
        <v>0</v>
      </c>
      <c r="AU68" s="20">
        <v>0</v>
      </c>
      <c r="AV68" s="20">
        <v>0</v>
      </c>
      <c r="AW68" s="20">
        <v>0</v>
      </c>
      <c r="AX68" s="20">
        <v>0</v>
      </c>
      <c r="AY68" s="20">
        <v>0</v>
      </c>
      <c r="AZ68" s="20">
        <v>0</v>
      </c>
      <c r="BA68" s="20">
        <v>0</v>
      </c>
      <c r="BB68" s="20">
        <v>0</v>
      </c>
      <c r="BC68" s="20">
        <v>0</v>
      </c>
      <c r="BD68" s="20">
        <v>0</v>
      </c>
      <c r="BE68" s="20">
        <v>10</v>
      </c>
      <c r="BF68" s="20">
        <v>0</v>
      </c>
      <c r="BG68" s="20">
        <v>0</v>
      </c>
      <c r="BH68" s="20">
        <v>0</v>
      </c>
      <c r="BI68" s="20">
        <v>0</v>
      </c>
      <c r="BJ68" s="20">
        <v>0</v>
      </c>
      <c r="BK68" s="20">
        <v>0</v>
      </c>
      <c r="BL68" s="20">
        <v>0</v>
      </c>
      <c r="BM68" s="21">
        <v>10</v>
      </c>
      <c r="BN68" s="13">
        <f>Tabla1[[#This Row],[CONSUMO TOTAL PROPIO]]/52</f>
        <v>0.19230769230769232</v>
      </c>
      <c r="BO68" s="13" t="e">
        <f>SUM(Tabla3[[#This Row],[CONSUMO TOTAL V]]+Tabla2[[#This Row],[CONSUMO TOTAL VALORES]]+#REF!+#REF!)</f>
        <v>#REF!</v>
      </c>
      <c r="BP68" s="61">
        <v>0</v>
      </c>
      <c r="BQ68" s="13">
        <f>Tabla1[[#This Row],[CONSUMO TOTAL TODAS]]/52</f>
        <v>0</v>
      </c>
      <c r="BR68" s="25">
        <f>Tabla1[[#This Row],[CONSUMO PROMEDIO PROPIO]]+Tabla1[[#This Row],[CONSUMO PROMEDIO TODAS]]</f>
        <v>0.19230769230769232</v>
      </c>
      <c r="BS68" s="26">
        <f>Tabla1[[#This Row],[CONSUMO PROMEDIO TOTAL]]*(Tabla1[[#This Row],[FRECUENCIA]]+Tabla1[[#This Row],[TIEMPO REPOSICION BUFFERS]])</f>
        <v>5.7692307692307692</v>
      </c>
      <c r="BT68" s="33">
        <v>10</v>
      </c>
      <c r="BU68" s="30">
        <v>1</v>
      </c>
      <c r="BV68" s="27">
        <v>16</v>
      </c>
      <c r="BW68" s="27">
        <v>16</v>
      </c>
      <c r="BX68" s="70">
        <f>Tabla1[[#This Row],[BUFFER REAL]]*Tabla1[[#This Row],[COSTOS]]</f>
        <v>63.399099999999997</v>
      </c>
      <c r="BY68" s="70">
        <f>Tabla1[[#This Row],[PVP]]-Tabla1[[#This Row],[COSTOS]]</f>
        <v>7.6500900000000005</v>
      </c>
      <c r="BZ68" s="70">
        <f>Tabla1[[#This Row],[PVD]]-Tabla1[[#This Row],[COSTOS]]</f>
        <v>4.15259</v>
      </c>
      <c r="CA68" s="25">
        <f>Tabla1[[#This Row],[TRUPUD UNTITARIO PVD]]</f>
        <v>4.15259</v>
      </c>
      <c r="CB68" s="29">
        <f>Tabla1[[#This Row],[TRUPUT UNITARIO]]/Tabla1[[#This Row],[COSTOS]]</f>
        <v>0.65499194783522163</v>
      </c>
      <c r="CC68" s="40">
        <f>Tabla1[[#This Row],[BUFFER REAL]]/((Tabla1[[#This Row],[TIEMPO REPOSICION BUFFERS]])/1.5)</f>
        <v>3.75</v>
      </c>
      <c r="CD68" s="69">
        <f>Tabla1[[#This Row],[CONSUMO ESTIMADO]]*52*Tabla1[[#This Row],[TRUPUT UNITARIO]]</f>
        <v>809.75504999999998</v>
      </c>
      <c r="CE68" s="25">
        <f>Tabla1[[#This Row],[CONSUMO ESTIMADO]]*(Tabla1[[#This Row],[TIEMPO REPOSICION BUFFERS]]*1.5)+( Tabla1[[#This Row],[TRUPUT TOTAL ESTIMADO ANUAL]]*(Tabla1[[#This Row],[CRÉDITO CLIENTE]]-Tabla1[[#This Row],[CREDITO PROVEEDOR]]))</f>
        <v>22.5</v>
      </c>
      <c r="CF68" s="25">
        <f>Tabla1[[#This Row],[INVERSION UNIDADES]]*Tabla1[[#This Row],[COSTOS]]</f>
        <v>142.647975</v>
      </c>
      <c r="CG68" s="25">
        <f>Tabla1[[#This Row],[TRUPUT TOTAL ESTIMADO ANUAL]]/Tabla1[[#This Row],[INVERSION USD]]</f>
        <v>5.676596881238587</v>
      </c>
      <c r="CH68" s="27"/>
      <c r="CI68" s="27"/>
      <c r="CJ68" s="27"/>
      <c r="CK68" s="27"/>
    </row>
    <row r="69" spans="1:89">
      <c r="A69" s="7" t="s">
        <v>538</v>
      </c>
      <c r="B69" s="7" t="s">
        <v>539</v>
      </c>
      <c r="C69" s="7" t="s">
        <v>692</v>
      </c>
      <c r="D69" s="7" t="s">
        <v>709</v>
      </c>
      <c r="E69" s="7" t="s">
        <v>719</v>
      </c>
      <c r="F69" s="7" t="s">
        <v>724</v>
      </c>
      <c r="G69" s="7" t="s">
        <v>729</v>
      </c>
      <c r="H69" s="13">
        <v>4.07</v>
      </c>
      <c r="I69" s="13">
        <f>Tabla1[[#This Row],[PVP]]*74%</f>
        <v>3.0118</v>
      </c>
      <c r="J69" s="13">
        <v>1.47461</v>
      </c>
      <c r="K69" s="7">
        <v>26</v>
      </c>
      <c r="L69" s="7">
        <v>4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  <c r="AD69" s="7">
        <v>0</v>
      </c>
      <c r="AE69" s="7">
        <v>0</v>
      </c>
      <c r="AF69" s="7">
        <v>0</v>
      </c>
      <c r="AG69" s="7">
        <v>0</v>
      </c>
      <c r="AH69" s="7">
        <v>0</v>
      </c>
      <c r="AI69" s="7">
        <v>0</v>
      </c>
      <c r="AJ69" s="7">
        <v>0</v>
      </c>
      <c r="AK69" s="7">
        <v>0</v>
      </c>
      <c r="AL69" s="7">
        <v>0</v>
      </c>
      <c r="AM69" s="7">
        <v>0</v>
      </c>
      <c r="AN69" s="7">
        <v>0</v>
      </c>
      <c r="AO69" s="7">
        <v>0</v>
      </c>
      <c r="AP69" s="7">
        <v>0</v>
      </c>
      <c r="AQ69" s="7">
        <v>0</v>
      </c>
      <c r="AR69" s="7">
        <v>0</v>
      </c>
      <c r="AS69" s="7">
        <v>0</v>
      </c>
      <c r="AT69" s="7">
        <v>0</v>
      </c>
      <c r="AU69" s="7">
        <v>0</v>
      </c>
      <c r="AV69" s="7">
        <v>0</v>
      </c>
      <c r="AW69" s="7">
        <v>0</v>
      </c>
      <c r="AX69" s="7">
        <v>0</v>
      </c>
      <c r="AY69" s="7">
        <v>0</v>
      </c>
      <c r="AZ69" s="7">
        <v>0</v>
      </c>
      <c r="BA69" s="7">
        <v>1000</v>
      </c>
      <c r="BB69" s="7">
        <v>0</v>
      </c>
      <c r="BC69" s="7">
        <v>1000</v>
      </c>
      <c r="BD69" s="7">
        <v>0</v>
      </c>
      <c r="BE69" s="7">
        <v>0</v>
      </c>
      <c r="BF69" s="7">
        <v>0</v>
      </c>
      <c r="BG69" s="7">
        <v>0</v>
      </c>
      <c r="BH69" s="7">
        <v>0</v>
      </c>
      <c r="BI69" s="7">
        <v>0</v>
      </c>
      <c r="BJ69" s="7">
        <v>0</v>
      </c>
      <c r="BK69" s="7">
        <v>0</v>
      </c>
      <c r="BL69" s="7">
        <v>0</v>
      </c>
      <c r="BM69" s="13">
        <v>2000</v>
      </c>
      <c r="BN69" s="13">
        <f>Tabla1[[#This Row],[CONSUMO TOTAL PROPIO]]/52</f>
        <v>38.46153846153846</v>
      </c>
      <c r="BO69" s="13" t="e">
        <f>SUM(Tabla3[[#This Row],[CONSUMO TOTAL V]]+Tabla2[[#This Row],[CONSUMO TOTAL VALORES]]+#REF!+#REF!)</f>
        <v>#REF!</v>
      </c>
      <c r="BP69" s="31">
        <v>0</v>
      </c>
      <c r="BQ69" s="13">
        <f>Tabla1[[#This Row],[CONSUMO TOTAL TODAS]]/52</f>
        <v>0</v>
      </c>
      <c r="BR69" s="25">
        <f>Tabla1[[#This Row],[CONSUMO PROMEDIO PROPIO]]+Tabla1[[#This Row],[CONSUMO PROMEDIO TODAS]]</f>
        <v>38.46153846153846</v>
      </c>
      <c r="BS69" s="26">
        <f>Tabla1[[#This Row],[CONSUMO PROMEDIO TOTAL]]*(Tabla1[[#This Row],[FRECUENCIA]]+Tabla1[[#This Row],[TIEMPO REPOSICION BUFFERS]])</f>
        <v>1153.8461538461538</v>
      </c>
      <c r="BT69" s="26">
        <v>0</v>
      </c>
      <c r="BU69" s="27">
        <v>1</v>
      </c>
      <c r="BV69" s="27">
        <v>16</v>
      </c>
      <c r="BW69" s="27">
        <v>16</v>
      </c>
      <c r="BX69" s="69">
        <f>Tabla1[[#This Row],[BUFFER REAL]]*Tabla1[[#This Row],[COSTOS]]</f>
        <v>0</v>
      </c>
      <c r="BY69" s="69">
        <f>Tabla1[[#This Row],[PVP]]-Tabla1[[#This Row],[COSTOS]]</f>
        <v>2.5953900000000001</v>
      </c>
      <c r="BZ69" s="69">
        <f>Tabla1[[#This Row],[PVD]]-Tabla1[[#This Row],[COSTOS]]</f>
        <v>1.5371900000000001</v>
      </c>
      <c r="CA69" s="25">
        <f>Tabla1[[#This Row],[TRUPUD UNTITARIO PVD]]</f>
        <v>1.5371900000000001</v>
      </c>
      <c r="CB69" s="25">
        <f>Tabla1[[#This Row],[TRUPUT UNITARIO]]/Tabla1[[#This Row],[COSTOS]]</f>
        <v>1.0424383396287833</v>
      </c>
      <c r="CC69" s="40">
        <f>Tabla1[[#This Row],[BUFFER REAL]]/((Tabla1[[#This Row],[TIEMPO REPOSICION BUFFERS]])/1.5)</f>
        <v>0</v>
      </c>
      <c r="CD69" s="69">
        <f>Tabla1[[#This Row],[CONSUMO ESTIMADO]]*52*Tabla1[[#This Row],[TRUPUT UNITARIO]]</f>
        <v>0</v>
      </c>
      <c r="CE69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69" s="25">
        <f>Tabla1[[#This Row],[INVERSION UNIDADES]]*Tabla1[[#This Row],[COSTOS]]</f>
        <v>0</v>
      </c>
      <c r="CG69" s="25" t="e">
        <f>Tabla1[[#This Row],[TRUPUT TOTAL ESTIMADO ANUAL]]/Tabla1[[#This Row],[INVERSION USD]]</f>
        <v>#DIV/0!</v>
      </c>
      <c r="CH69" s="27"/>
      <c r="CI69" s="27"/>
      <c r="CJ69" s="27"/>
      <c r="CK69" s="27"/>
    </row>
    <row r="70" spans="1:89">
      <c r="A70" s="7" t="s">
        <v>542</v>
      </c>
      <c r="B70" s="7" t="s">
        <v>543</v>
      </c>
      <c r="C70" s="7" t="s">
        <v>2</v>
      </c>
      <c r="D70" s="7" t="s">
        <v>707</v>
      </c>
      <c r="E70" s="7" t="s">
        <v>715</v>
      </c>
      <c r="F70" s="7" t="s">
        <v>724</v>
      </c>
      <c r="G70" s="7" t="s">
        <v>729</v>
      </c>
      <c r="H70" s="13">
        <v>2.99</v>
      </c>
      <c r="I70" s="13">
        <f>Tabla1[[#This Row],[PVP]]*74%</f>
        <v>2.2126000000000001</v>
      </c>
      <c r="J70" s="13">
        <v>1.1879500000000001</v>
      </c>
      <c r="K70" s="7">
        <v>8</v>
      </c>
      <c r="L70" s="7">
        <v>4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0</v>
      </c>
      <c r="Y70" s="7">
        <v>0</v>
      </c>
      <c r="Z70" s="7">
        <v>0</v>
      </c>
      <c r="AA70" s="7">
        <v>0</v>
      </c>
      <c r="AB70" s="7">
        <v>0</v>
      </c>
      <c r="AC70" s="7">
        <v>0</v>
      </c>
      <c r="AD70" s="7">
        <v>0</v>
      </c>
      <c r="AE70" s="7">
        <v>0</v>
      </c>
      <c r="AF70" s="7">
        <v>0</v>
      </c>
      <c r="AG70" s="7">
        <v>0</v>
      </c>
      <c r="AH70" s="7">
        <v>0</v>
      </c>
      <c r="AI70" s="7">
        <v>0</v>
      </c>
      <c r="AJ70" s="7">
        <v>0</v>
      </c>
      <c r="AK70" s="7">
        <v>0</v>
      </c>
      <c r="AL70" s="7">
        <v>0</v>
      </c>
      <c r="AM70" s="7">
        <v>0</v>
      </c>
      <c r="AN70" s="7">
        <v>60</v>
      </c>
      <c r="AO70" s="7">
        <v>0</v>
      </c>
      <c r="AP70" s="7">
        <v>0</v>
      </c>
      <c r="AQ70" s="7">
        <v>0</v>
      </c>
      <c r="AR70" s="7">
        <v>0</v>
      </c>
      <c r="AS70" s="7">
        <v>0</v>
      </c>
      <c r="AT70" s="7">
        <v>0</v>
      </c>
      <c r="AU70" s="7">
        <v>0</v>
      </c>
      <c r="AV70" s="7">
        <v>0</v>
      </c>
      <c r="AW70" s="7">
        <v>0</v>
      </c>
      <c r="AX70" s="7">
        <v>0</v>
      </c>
      <c r="AY70" s="7">
        <v>0</v>
      </c>
      <c r="AZ70" s="7">
        <v>0</v>
      </c>
      <c r="BA70" s="7">
        <v>0</v>
      </c>
      <c r="BB70" s="7">
        <v>0</v>
      </c>
      <c r="BC70" s="7">
        <v>0</v>
      </c>
      <c r="BD70" s="7">
        <v>0</v>
      </c>
      <c r="BE70" s="7">
        <v>0</v>
      </c>
      <c r="BF70" s="7">
        <v>0</v>
      </c>
      <c r="BG70" s="7">
        <v>0</v>
      </c>
      <c r="BH70" s="7">
        <v>0</v>
      </c>
      <c r="BI70" s="7">
        <v>0</v>
      </c>
      <c r="BJ70" s="7">
        <v>0</v>
      </c>
      <c r="BK70" s="7">
        <v>0</v>
      </c>
      <c r="BL70" s="7">
        <v>0</v>
      </c>
      <c r="BM70" s="13">
        <v>60</v>
      </c>
      <c r="BN70" s="13">
        <f>Tabla1[[#This Row],[CONSUMO TOTAL PROPIO]]/52</f>
        <v>1.1538461538461537</v>
      </c>
      <c r="BO70" s="13" t="e">
        <f>SUM(Tabla3[[#This Row],[CONSUMO TOTAL V]]+Tabla2[[#This Row],[CONSUMO TOTAL VALORES]]+#REF!+#REF!)</f>
        <v>#REF!</v>
      </c>
      <c r="BP70" s="31">
        <v>19</v>
      </c>
      <c r="BQ70" s="13">
        <f>Tabla1[[#This Row],[CONSUMO TOTAL TODAS]]/52</f>
        <v>0.36538461538461536</v>
      </c>
      <c r="BR70" s="25">
        <f>Tabla1[[#This Row],[CONSUMO PROMEDIO PROPIO]]+Tabla1[[#This Row],[CONSUMO PROMEDIO TODAS]]</f>
        <v>1.5192307692307692</v>
      </c>
      <c r="BS70" s="26">
        <f>Tabla1[[#This Row],[CONSUMO PROMEDIO TOTAL]]*(Tabla1[[#This Row],[FRECUENCIA]]+Tabla1[[#This Row],[TIEMPO REPOSICION BUFFERS]])</f>
        <v>18.23076923076923</v>
      </c>
      <c r="BT70" s="26">
        <v>100</v>
      </c>
      <c r="BU70" s="27">
        <v>1</v>
      </c>
      <c r="BV70" s="27">
        <v>16</v>
      </c>
      <c r="BW70" s="27">
        <v>16</v>
      </c>
      <c r="BX70" s="69">
        <f>Tabla1[[#This Row],[BUFFER REAL]]*Tabla1[[#This Row],[COSTOS]]</f>
        <v>118.795</v>
      </c>
      <c r="BY70" s="69">
        <f>Tabla1[[#This Row],[PVP]]-Tabla1[[#This Row],[COSTOS]]</f>
        <v>1.8020500000000002</v>
      </c>
      <c r="BZ70" s="69">
        <f>Tabla1[[#This Row],[PVD]]-Tabla1[[#This Row],[COSTOS]]</f>
        <v>1.0246500000000001</v>
      </c>
      <c r="CA70" s="25">
        <f>Tabla1[[#This Row],[TRUPUD UNTITARIO PVD]]</f>
        <v>1.0246500000000001</v>
      </c>
      <c r="CB70" s="25">
        <f>Tabla1[[#This Row],[TRUPUT UNITARIO]]/Tabla1[[#This Row],[COSTOS]]</f>
        <v>0.86253630203291387</v>
      </c>
      <c r="CC70" s="40">
        <f>Tabla1[[#This Row],[BUFFER REAL]]/((Tabla1[[#This Row],[TIEMPO REPOSICION BUFFERS]])/1.5)</f>
        <v>37.5</v>
      </c>
      <c r="CD70" s="69">
        <f>Tabla1[[#This Row],[CONSUMO ESTIMADO]]*52*Tabla1[[#This Row],[TRUPUT UNITARIO]]</f>
        <v>1998.0675000000001</v>
      </c>
      <c r="CE70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70" s="25">
        <f>Tabla1[[#This Row],[INVERSION UNIDADES]]*Tabla1[[#This Row],[COSTOS]]</f>
        <v>267.28874999999999</v>
      </c>
      <c r="CG70" s="25">
        <f>Tabla1[[#This Row],[TRUPUT TOTAL ESTIMADO ANUAL]]/Tabla1[[#This Row],[INVERSION USD]]</f>
        <v>7.4753146176185874</v>
      </c>
      <c r="CH70" s="27"/>
      <c r="CI70" s="27"/>
      <c r="CJ70" s="27"/>
      <c r="CK70" s="27"/>
    </row>
    <row r="71" spans="1:89">
      <c r="A71" s="7" t="s">
        <v>544</v>
      </c>
      <c r="B71" s="7" t="s">
        <v>545</v>
      </c>
      <c r="C71" s="7" t="s">
        <v>673</v>
      </c>
      <c r="D71" s="7" t="s">
        <v>707</v>
      </c>
      <c r="E71" s="7" t="s">
        <v>715</v>
      </c>
      <c r="F71" s="7" t="s">
        <v>724</v>
      </c>
      <c r="G71" s="7" t="s">
        <v>729</v>
      </c>
      <c r="H71" s="13">
        <v>4.99</v>
      </c>
      <c r="I71" s="13">
        <f>Tabla1[[#This Row],[PVP]]*74%</f>
        <v>3.6926000000000001</v>
      </c>
      <c r="J71" s="13">
        <v>1.97786</v>
      </c>
      <c r="K71" s="7">
        <v>8</v>
      </c>
      <c r="L71" s="7">
        <v>4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v>0</v>
      </c>
      <c r="W71" s="7">
        <v>0</v>
      </c>
      <c r="X71" s="7">
        <v>0</v>
      </c>
      <c r="Y71" s="7">
        <v>12</v>
      </c>
      <c r="Z71" s="7">
        <v>0</v>
      </c>
      <c r="AA71" s="7">
        <v>0</v>
      </c>
      <c r="AB71" s="7">
        <v>0</v>
      </c>
      <c r="AC71" s="7">
        <v>0</v>
      </c>
      <c r="AD71" s="7">
        <v>2</v>
      </c>
      <c r="AE71" s="7">
        <v>0</v>
      </c>
      <c r="AF71" s="7">
        <v>0</v>
      </c>
      <c r="AG71" s="7">
        <v>0</v>
      </c>
      <c r="AH71" s="7">
        <v>1</v>
      </c>
      <c r="AI71" s="7">
        <v>0</v>
      </c>
      <c r="AJ71" s="7">
        <v>0</v>
      </c>
      <c r="AK71" s="7">
        <v>40</v>
      </c>
      <c r="AL71" s="7">
        <v>0</v>
      </c>
      <c r="AM71" s="7">
        <v>0</v>
      </c>
      <c r="AN71" s="7">
        <v>31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3</v>
      </c>
      <c r="AW71" s="7">
        <v>0</v>
      </c>
      <c r="AX71" s="7">
        <v>0</v>
      </c>
      <c r="AY71" s="7">
        <v>0</v>
      </c>
      <c r="AZ71" s="7">
        <v>0</v>
      </c>
      <c r="BA71" s="7">
        <v>0</v>
      </c>
      <c r="BB71" s="7">
        <v>0</v>
      </c>
      <c r="BC71" s="7">
        <v>0</v>
      </c>
      <c r="BD71" s="7">
        <v>0</v>
      </c>
      <c r="BE71" s="7">
        <v>0</v>
      </c>
      <c r="BF71" s="7">
        <v>0</v>
      </c>
      <c r="BG71" s="7">
        <v>0</v>
      </c>
      <c r="BH71" s="7">
        <v>0</v>
      </c>
      <c r="BI71" s="7">
        <v>0</v>
      </c>
      <c r="BJ71" s="7">
        <v>0</v>
      </c>
      <c r="BK71" s="7">
        <v>0</v>
      </c>
      <c r="BL71" s="7">
        <v>0</v>
      </c>
      <c r="BM71" s="13">
        <v>89</v>
      </c>
      <c r="BN71" s="13">
        <f>Tabla1[[#This Row],[CONSUMO TOTAL PROPIO]]/52</f>
        <v>1.7115384615384615</v>
      </c>
      <c r="BO71" s="13" t="e">
        <f>SUM(Tabla3[[#This Row],[CONSUMO TOTAL V]]+Tabla2[[#This Row],[CONSUMO TOTAL VALORES]]+#REF!+#REF!)</f>
        <v>#REF!</v>
      </c>
      <c r="BP71" s="31">
        <v>39</v>
      </c>
      <c r="BQ71" s="13">
        <f>Tabla1[[#This Row],[CONSUMO TOTAL TODAS]]/52</f>
        <v>0.75</v>
      </c>
      <c r="BR71" s="25">
        <f>Tabla1[[#This Row],[CONSUMO PROMEDIO PROPIO]]+Tabla1[[#This Row],[CONSUMO PROMEDIO TODAS]]</f>
        <v>2.4615384615384617</v>
      </c>
      <c r="BS71" s="26">
        <f>Tabla1[[#This Row],[CONSUMO PROMEDIO TOTAL]]*(Tabla1[[#This Row],[FRECUENCIA]]+Tabla1[[#This Row],[TIEMPO REPOSICION BUFFERS]])</f>
        <v>29.53846153846154</v>
      </c>
      <c r="BT71" s="26">
        <v>10</v>
      </c>
      <c r="BU71" s="27">
        <v>1</v>
      </c>
      <c r="BV71" s="27">
        <v>16</v>
      </c>
      <c r="BW71" s="27">
        <v>16</v>
      </c>
      <c r="BX71" s="69">
        <f>Tabla1[[#This Row],[BUFFER REAL]]*Tabla1[[#This Row],[COSTOS]]</f>
        <v>19.778600000000001</v>
      </c>
      <c r="BY71" s="69">
        <f>Tabla1[[#This Row],[PVP]]-Tabla1[[#This Row],[COSTOS]]</f>
        <v>3.0121400000000005</v>
      </c>
      <c r="BZ71" s="69">
        <f>Tabla1[[#This Row],[PVD]]-Tabla1[[#This Row],[COSTOS]]</f>
        <v>1.7147400000000002</v>
      </c>
      <c r="CA71" s="25">
        <f>Tabla1[[#This Row],[TRUPUD UNTITARIO PVD]]</f>
        <v>1.7147400000000002</v>
      </c>
      <c r="CB71" s="25">
        <f>Tabla1[[#This Row],[TRUPUT UNITARIO]]/Tabla1[[#This Row],[COSTOS]]</f>
        <v>0.86696732832455292</v>
      </c>
      <c r="CC71" s="40">
        <f>Tabla1[[#This Row],[BUFFER REAL]]/((Tabla1[[#This Row],[TIEMPO REPOSICION BUFFERS]])/1.5)</f>
        <v>3.75</v>
      </c>
      <c r="CD71" s="69">
        <f>Tabla1[[#This Row],[CONSUMO ESTIMADO]]*52*Tabla1[[#This Row],[TRUPUT UNITARIO]]</f>
        <v>334.37430000000001</v>
      </c>
      <c r="CE71" s="25">
        <f>Tabla1[[#This Row],[CONSUMO ESTIMADO]]*(Tabla1[[#This Row],[TIEMPO REPOSICION BUFFERS]]*1.5)+( Tabla1[[#This Row],[TRUPUT TOTAL ESTIMADO ANUAL]]*(Tabla1[[#This Row],[CRÉDITO CLIENTE]]-Tabla1[[#This Row],[CREDITO PROVEEDOR]]))</f>
        <v>22.5</v>
      </c>
      <c r="CF71" s="25">
        <f>Tabla1[[#This Row],[INVERSION UNIDADES]]*Tabla1[[#This Row],[COSTOS]]</f>
        <v>44.501849999999997</v>
      </c>
      <c r="CG71" s="25">
        <f>Tabla1[[#This Row],[TRUPUT TOTAL ESTIMADO ANUAL]]/Tabla1[[#This Row],[INVERSION USD]]</f>
        <v>7.5137168454794585</v>
      </c>
      <c r="CH71" s="27"/>
      <c r="CI71" s="27"/>
      <c r="CJ71" s="27"/>
      <c r="CK71" s="27"/>
    </row>
    <row r="72" spans="1:89">
      <c r="A72" s="7" t="s">
        <v>546</v>
      </c>
      <c r="B72" s="7" t="s">
        <v>547</v>
      </c>
      <c r="C72" s="7" t="s">
        <v>2</v>
      </c>
      <c r="D72" s="7" t="s">
        <v>707</v>
      </c>
      <c r="E72" s="7" t="s">
        <v>715</v>
      </c>
      <c r="F72" s="7" t="s">
        <v>724</v>
      </c>
      <c r="G72" s="7" t="s">
        <v>729</v>
      </c>
      <c r="H72" s="13">
        <v>29.9</v>
      </c>
      <c r="I72" s="13">
        <f>Tabla1[[#This Row],[PVP]]*74%</f>
        <v>22.125999999999998</v>
      </c>
      <c r="J72" s="13">
        <v>16.429510000000001</v>
      </c>
      <c r="K72" s="7">
        <v>8</v>
      </c>
      <c r="L72" s="7">
        <v>4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0</v>
      </c>
      <c r="Z72" s="7">
        <v>0</v>
      </c>
      <c r="AA72" s="7">
        <v>0</v>
      </c>
      <c r="AB72" s="7">
        <v>0</v>
      </c>
      <c r="AC72" s="7">
        <v>0</v>
      </c>
      <c r="AD72" s="7">
        <v>0</v>
      </c>
      <c r="AE72" s="7">
        <v>0</v>
      </c>
      <c r="AF72" s="7">
        <v>1</v>
      </c>
      <c r="AG72" s="7">
        <v>0</v>
      </c>
      <c r="AH72" s="7">
        <v>0</v>
      </c>
      <c r="AI72" s="7">
        <v>0</v>
      </c>
      <c r="AJ72" s="7">
        <v>0</v>
      </c>
      <c r="AK72" s="7">
        <v>0</v>
      </c>
      <c r="AL72" s="7">
        <v>0</v>
      </c>
      <c r="AM72" s="7">
        <v>0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0</v>
      </c>
      <c r="AX72" s="7">
        <v>0</v>
      </c>
      <c r="AY72" s="7">
        <v>0</v>
      </c>
      <c r="AZ72" s="7">
        <v>0</v>
      </c>
      <c r="BA72" s="7">
        <v>0</v>
      </c>
      <c r="BB72" s="7">
        <v>0</v>
      </c>
      <c r="BC72" s="7">
        <v>0</v>
      </c>
      <c r="BD72" s="7">
        <v>0</v>
      </c>
      <c r="BE72" s="7">
        <v>0</v>
      </c>
      <c r="BF72" s="7">
        <v>0</v>
      </c>
      <c r="BG72" s="7">
        <v>0</v>
      </c>
      <c r="BH72" s="7">
        <v>0</v>
      </c>
      <c r="BI72" s="7">
        <v>0</v>
      </c>
      <c r="BJ72" s="7">
        <v>0</v>
      </c>
      <c r="BK72" s="7">
        <v>0</v>
      </c>
      <c r="BL72" s="7">
        <v>0</v>
      </c>
      <c r="BM72" s="13">
        <v>1</v>
      </c>
      <c r="BN72" s="13">
        <f>Tabla1[[#This Row],[CONSUMO TOTAL PROPIO]]/52</f>
        <v>1.9230769230769232E-2</v>
      </c>
      <c r="BO72" s="13" t="e">
        <f>SUM(Tabla3[[#This Row],[CONSUMO TOTAL V]]+Tabla2[[#This Row],[CONSUMO TOTAL VALORES]]+#REF!+#REF!)</f>
        <v>#REF!</v>
      </c>
      <c r="BP72" s="31">
        <v>2</v>
      </c>
      <c r="BQ72" s="13">
        <f>Tabla1[[#This Row],[CONSUMO TOTAL TODAS]]/52</f>
        <v>3.8461538461538464E-2</v>
      </c>
      <c r="BR72" s="25">
        <f>Tabla1[[#This Row],[CONSUMO PROMEDIO PROPIO]]+Tabla1[[#This Row],[CONSUMO PROMEDIO TODAS]]</f>
        <v>5.7692307692307696E-2</v>
      </c>
      <c r="BS72" s="26">
        <f>Tabla1[[#This Row],[CONSUMO PROMEDIO TOTAL]]*(Tabla1[[#This Row],[FRECUENCIA]]+Tabla1[[#This Row],[TIEMPO REPOSICION BUFFERS]])</f>
        <v>0.69230769230769229</v>
      </c>
      <c r="BT72" s="26">
        <v>0</v>
      </c>
      <c r="BU72" s="27">
        <v>1</v>
      </c>
      <c r="BV72" s="27">
        <v>16</v>
      </c>
      <c r="BW72" s="27">
        <v>16</v>
      </c>
      <c r="BX72" s="69">
        <f>Tabla1[[#This Row],[BUFFER REAL]]*Tabla1[[#This Row],[COSTOS]]</f>
        <v>0</v>
      </c>
      <c r="BY72" s="69">
        <f>Tabla1[[#This Row],[PVP]]-Tabla1[[#This Row],[COSTOS]]</f>
        <v>13.470489999999998</v>
      </c>
      <c r="BZ72" s="69">
        <f>Tabla1[[#This Row],[PVD]]-Tabla1[[#This Row],[COSTOS]]</f>
        <v>5.6964899999999972</v>
      </c>
      <c r="CA72" s="25">
        <f>Tabla1[[#This Row],[TRUPUD UNTITARIO PVD]]</f>
        <v>5.6964899999999972</v>
      </c>
      <c r="CB72" s="25">
        <f>Tabla1[[#This Row],[TRUPUT UNITARIO]]/Tabla1[[#This Row],[COSTOS]]</f>
        <v>0.34672306112598594</v>
      </c>
      <c r="CC72" s="40">
        <f>Tabla1[[#This Row],[BUFFER REAL]]/((Tabla1[[#This Row],[TIEMPO REPOSICION BUFFERS]])/1.5)</f>
        <v>0</v>
      </c>
      <c r="CD72" s="69">
        <f>Tabla1[[#This Row],[CONSUMO ESTIMADO]]*52*Tabla1[[#This Row],[TRUPUT UNITARIO]]</f>
        <v>0</v>
      </c>
      <c r="CE72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72" s="25">
        <f>Tabla1[[#This Row],[INVERSION UNIDADES]]*Tabla1[[#This Row],[COSTOS]]</f>
        <v>0</v>
      </c>
      <c r="CG72" s="25" t="e">
        <f>Tabla1[[#This Row],[TRUPUT TOTAL ESTIMADO ANUAL]]/Tabla1[[#This Row],[INVERSION USD]]</f>
        <v>#DIV/0!</v>
      </c>
      <c r="CH72" s="27"/>
      <c r="CI72" s="27"/>
      <c r="CJ72" s="27"/>
      <c r="CK72" s="27"/>
    </row>
    <row r="73" spans="1:89">
      <c r="A73" s="7" t="s">
        <v>548</v>
      </c>
      <c r="B73" s="7" t="s">
        <v>549</v>
      </c>
      <c r="C73" s="7" t="s">
        <v>2</v>
      </c>
      <c r="D73" s="7" t="s">
        <v>707</v>
      </c>
      <c r="E73" s="7" t="s">
        <v>715</v>
      </c>
      <c r="F73" s="7" t="s">
        <v>724</v>
      </c>
      <c r="G73" s="7" t="s">
        <v>729</v>
      </c>
      <c r="H73" s="13">
        <v>8.69</v>
      </c>
      <c r="I73" s="13">
        <f>Tabla1[[#This Row],[PVP]]*74%</f>
        <v>6.4305999999999992</v>
      </c>
      <c r="J73" s="13">
        <v>3.4231600000000002</v>
      </c>
      <c r="K73" s="7">
        <v>8</v>
      </c>
      <c r="L73" s="7">
        <v>4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0</v>
      </c>
      <c r="U73" s="7">
        <v>0</v>
      </c>
      <c r="V73" s="7">
        <v>0</v>
      </c>
      <c r="W73" s="7">
        <v>0</v>
      </c>
      <c r="X73" s="7">
        <v>0</v>
      </c>
      <c r="Y73" s="7">
        <v>112</v>
      </c>
      <c r="Z73" s="7">
        <v>0</v>
      </c>
      <c r="AA73" s="7">
        <v>60</v>
      </c>
      <c r="AB73" s="7">
        <v>0</v>
      </c>
      <c r="AC73" s="7">
        <v>0</v>
      </c>
      <c r="AD73" s="7">
        <v>100</v>
      </c>
      <c r="AE73" s="7">
        <v>0</v>
      </c>
      <c r="AF73" s="7">
        <v>0</v>
      </c>
      <c r="AG73" s="7">
        <v>0</v>
      </c>
      <c r="AH73" s="7">
        <v>0</v>
      </c>
      <c r="AI73" s="7">
        <v>0</v>
      </c>
      <c r="AJ73" s="7">
        <v>0</v>
      </c>
      <c r="AK73" s="7">
        <v>0</v>
      </c>
      <c r="AL73" s="7">
        <v>0</v>
      </c>
      <c r="AM73" s="7">
        <v>0</v>
      </c>
      <c r="AN73" s="7">
        <v>100</v>
      </c>
      <c r="AO73" s="7">
        <v>0</v>
      </c>
      <c r="AP73" s="7">
        <v>1</v>
      </c>
      <c r="AQ73" s="7">
        <v>0</v>
      </c>
      <c r="AR73" s="7">
        <v>0</v>
      </c>
      <c r="AS73" s="7">
        <v>100</v>
      </c>
      <c r="AT73" s="7">
        <v>0</v>
      </c>
      <c r="AU73" s="7">
        <v>0</v>
      </c>
      <c r="AV73" s="7">
        <v>20</v>
      </c>
      <c r="AW73" s="7">
        <v>0</v>
      </c>
      <c r="AX73" s="7">
        <v>100</v>
      </c>
      <c r="AY73" s="7">
        <v>20</v>
      </c>
      <c r="AZ73" s="7">
        <v>0</v>
      </c>
      <c r="BA73" s="7">
        <v>0</v>
      </c>
      <c r="BB73" s="7">
        <v>0</v>
      </c>
      <c r="BC73" s="7">
        <v>0</v>
      </c>
      <c r="BD73" s="7">
        <v>0</v>
      </c>
      <c r="BE73" s="7">
        <v>0</v>
      </c>
      <c r="BF73" s="7">
        <v>0</v>
      </c>
      <c r="BG73" s="7">
        <v>0</v>
      </c>
      <c r="BH73" s="7">
        <v>0</v>
      </c>
      <c r="BI73" s="7">
        <v>0</v>
      </c>
      <c r="BJ73" s="7">
        <v>0</v>
      </c>
      <c r="BK73" s="7">
        <v>0</v>
      </c>
      <c r="BL73" s="7">
        <v>0</v>
      </c>
      <c r="BM73" s="13">
        <v>613</v>
      </c>
      <c r="BN73" s="13">
        <f>Tabla1[[#This Row],[CONSUMO TOTAL PROPIO]]/52</f>
        <v>11.788461538461538</v>
      </c>
      <c r="BO73" s="13" t="e">
        <f>SUM(Tabla3[[#This Row],[CONSUMO TOTAL V]]+Tabla2[[#This Row],[CONSUMO TOTAL VALORES]]+#REF!+#REF!)</f>
        <v>#REF!</v>
      </c>
      <c r="BP73" s="31">
        <v>99</v>
      </c>
      <c r="BQ73" s="13">
        <f>Tabla1[[#This Row],[CONSUMO TOTAL TODAS]]/52</f>
        <v>1.9038461538461537</v>
      </c>
      <c r="BR73" s="25">
        <f>Tabla1[[#This Row],[CONSUMO PROMEDIO PROPIO]]+Tabla1[[#This Row],[CONSUMO PROMEDIO TODAS]]</f>
        <v>13.692307692307692</v>
      </c>
      <c r="BS73" s="26">
        <f>Tabla1[[#This Row],[CONSUMO PROMEDIO TOTAL]]*(Tabla1[[#This Row],[FRECUENCIA]]+Tabla1[[#This Row],[TIEMPO REPOSICION BUFFERS]])</f>
        <v>164.30769230769229</v>
      </c>
      <c r="BT73" s="26">
        <v>60</v>
      </c>
      <c r="BU73" s="27">
        <v>1</v>
      </c>
      <c r="BV73" s="27">
        <v>16</v>
      </c>
      <c r="BW73" s="27">
        <v>16</v>
      </c>
      <c r="BX73" s="69">
        <f>Tabla1[[#This Row],[BUFFER REAL]]*Tabla1[[#This Row],[COSTOS]]</f>
        <v>205.3896</v>
      </c>
      <c r="BY73" s="69">
        <f>Tabla1[[#This Row],[PVP]]-Tabla1[[#This Row],[COSTOS]]</f>
        <v>5.2668399999999993</v>
      </c>
      <c r="BZ73" s="69">
        <f>Tabla1[[#This Row],[PVD]]-Tabla1[[#This Row],[COSTOS]]</f>
        <v>3.007439999999999</v>
      </c>
      <c r="CA73" s="25">
        <f>Tabla1[[#This Row],[TRUPUD UNTITARIO PVD]]</f>
        <v>3.007439999999999</v>
      </c>
      <c r="CB73" s="25">
        <f>Tabla1[[#This Row],[TRUPUT UNITARIO]]/Tabla1[[#This Row],[COSTOS]]</f>
        <v>0.87855665525420923</v>
      </c>
      <c r="CC73" s="40">
        <f>Tabla1[[#This Row],[BUFFER REAL]]/((Tabla1[[#This Row],[TIEMPO REPOSICION BUFFERS]])/1.5)</f>
        <v>22.5</v>
      </c>
      <c r="CD73" s="69">
        <f>Tabla1[[#This Row],[CONSUMO ESTIMADO]]*52*Tabla1[[#This Row],[TRUPUT UNITARIO]]</f>
        <v>3518.7047999999986</v>
      </c>
      <c r="CE73" s="25">
        <f>Tabla1[[#This Row],[CONSUMO ESTIMADO]]*(Tabla1[[#This Row],[TIEMPO REPOSICION BUFFERS]]*1.5)+( Tabla1[[#This Row],[TRUPUT TOTAL ESTIMADO ANUAL]]*(Tabla1[[#This Row],[CRÉDITO CLIENTE]]-Tabla1[[#This Row],[CREDITO PROVEEDOR]]))</f>
        <v>135</v>
      </c>
      <c r="CF73" s="25">
        <f>Tabla1[[#This Row],[INVERSION UNIDADES]]*Tabla1[[#This Row],[COSTOS]]</f>
        <v>462.12660000000005</v>
      </c>
      <c r="CG73" s="25">
        <f>Tabla1[[#This Row],[TRUPUT TOTAL ESTIMADO ANUAL]]/Tabla1[[#This Row],[INVERSION USD]]</f>
        <v>7.6141576788698124</v>
      </c>
      <c r="CH73" s="27"/>
      <c r="CI73" s="27"/>
      <c r="CJ73" s="27"/>
      <c r="CK73" s="27"/>
    </row>
    <row r="74" spans="1:89">
      <c r="A74" s="7" t="s">
        <v>553</v>
      </c>
      <c r="B74" s="7" t="s">
        <v>554</v>
      </c>
      <c r="C74" s="7" t="s">
        <v>683</v>
      </c>
      <c r="D74" s="7" t="s">
        <v>712</v>
      </c>
      <c r="E74" s="7" t="s">
        <v>715</v>
      </c>
      <c r="F74" s="7" t="s">
        <v>724</v>
      </c>
      <c r="G74" s="7" t="s">
        <v>729</v>
      </c>
      <c r="H74" s="13">
        <v>7.59</v>
      </c>
      <c r="I74" s="13">
        <f>Tabla1[[#This Row],[PVP]]*74%</f>
        <v>5.6166</v>
      </c>
      <c r="J74" s="13">
        <v>4.9675900000000004</v>
      </c>
      <c r="K74" s="7">
        <v>8</v>
      </c>
      <c r="L74" s="7">
        <v>4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0</v>
      </c>
      <c r="U74" s="7">
        <v>0</v>
      </c>
      <c r="V74" s="7">
        <v>0</v>
      </c>
      <c r="W74" s="7">
        <v>0</v>
      </c>
      <c r="X74" s="7">
        <v>3</v>
      </c>
      <c r="Y74" s="7">
        <v>0</v>
      </c>
      <c r="Z74" s="7">
        <v>12</v>
      </c>
      <c r="AA74" s="7">
        <v>0</v>
      </c>
      <c r="AB74" s="7">
        <v>0</v>
      </c>
      <c r="AC74" s="7">
        <v>0</v>
      </c>
      <c r="AD74" s="7">
        <v>4</v>
      </c>
      <c r="AE74" s="7">
        <v>0</v>
      </c>
      <c r="AF74" s="7">
        <v>4</v>
      </c>
      <c r="AG74" s="7">
        <v>1</v>
      </c>
      <c r="AH74" s="7">
        <v>0</v>
      </c>
      <c r="AI74" s="7">
        <v>0</v>
      </c>
      <c r="AJ74" s="7">
        <v>0</v>
      </c>
      <c r="AK74" s="7">
        <v>19</v>
      </c>
      <c r="AL74" s="7">
        <v>0</v>
      </c>
      <c r="AM74" s="7">
        <v>0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0</v>
      </c>
      <c r="AV74" s="7">
        <v>0</v>
      </c>
      <c r="AW74" s="7">
        <v>0</v>
      </c>
      <c r="AX74" s="7">
        <v>0</v>
      </c>
      <c r="AY74" s="7">
        <v>0</v>
      </c>
      <c r="AZ74" s="7">
        <v>0</v>
      </c>
      <c r="BA74" s="7">
        <v>0</v>
      </c>
      <c r="BB74" s="7">
        <v>6</v>
      </c>
      <c r="BC74" s="7">
        <v>0</v>
      </c>
      <c r="BD74" s="7">
        <v>0</v>
      </c>
      <c r="BE74" s="7">
        <v>0</v>
      </c>
      <c r="BF74" s="7">
        <v>0</v>
      </c>
      <c r="BG74" s="7">
        <v>0</v>
      </c>
      <c r="BH74" s="7">
        <v>0</v>
      </c>
      <c r="BI74" s="7">
        <v>0</v>
      </c>
      <c r="BJ74" s="7">
        <v>0</v>
      </c>
      <c r="BK74" s="7">
        <v>32</v>
      </c>
      <c r="BL74" s="7">
        <v>0</v>
      </c>
      <c r="BM74" s="13">
        <v>81</v>
      </c>
      <c r="BN74" s="13">
        <f>Tabla1[[#This Row],[CONSUMO TOTAL PROPIO]]/52</f>
        <v>1.5576923076923077</v>
      </c>
      <c r="BO74" s="13" t="e">
        <f>SUM(Tabla3[[#This Row],[CONSUMO TOTAL V]]+Tabla2[[#This Row],[CONSUMO TOTAL VALORES]]+#REF!+#REF!)</f>
        <v>#REF!</v>
      </c>
      <c r="BP74" s="31">
        <v>75</v>
      </c>
      <c r="BQ74" s="13">
        <f>Tabla1[[#This Row],[CONSUMO TOTAL TODAS]]/52</f>
        <v>1.4423076923076923</v>
      </c>
      <c r="BR74" s="25">
        <f>Tabla1[[#This Row],[CONSUMO PROMEDIO PROPIO]]+Tabla1[[#This Row],[CONSUMO PROMEDIO TODAS]]</f>
        <v>3</v>
      </c>
      <c r="BS74" s="26">
        <f>Tabla1[[#This Row],[CONSUMO PROMEDIO TOTAL]]*(Tabla1[[#This Row],[FRECUENCIA]]+Tabla1[[#This Row],[TIEMPO REPOSICION BUFFERS]])</f>
        <v>36</v>
      </c>
      <c r="BT74" s="26">
        <v>100</v>
      </c>
      <c r="BU74" s="27">
        <v>1</v>
      </c>
      <c r="BV74" s="27">
        <v>16</v>
      </c>
      <c r="BW74" s="27">
        <v>16</v>
      </c>
      <c r="BX74" s="69">
        <f>Tabla1[[#This Row],[BUFFER REAL]]*Tabla1[[#This Row],[COSTOS]]</f>
        <v>496.75900000000001</v>
      </c>
      <c r="BY74" s="69">
        <f>Tabla1[[#This Row],[PVP]]-Tabla1[[#This Row],[COSTOS]]</f>
        <v>2.6224099999999995</v>
      </c>
      <c r="BZ74" s="69">
        <f>Tabla1[[#This Row],[PVD]]-Tabla1[[#This Row],[COSTOS]]</f>
        <v>0.64900999999999964</v>
      </c>
      <c r="CA74" s="25">
        <f>Tabla1[[#This Row],[TRUPUD UNTITARIO PVD]]</f>
        <v>0.64900999999999964</v>
      </c>
      <c r="CB74" s="25">
        <f>Tabla1[[#This Row],[TRUPUT UNITARIO]]/Tabla1[[#This Row],[COSTOS]]</f>
        <v>0.13064886594908187</v>
      </c>
      <c r="CC74" s="40">
        <f>Tabla1[[#This Row],[BUFFER REAL]]/((Tabla1[[#This Row],[TIEMPO REPOSICION BUFFERS]])/1.5)</f>
        <v>37.5</v>
      </c>
      <c r="CD74" s="69">
        <f>Tabla1[[#This Row],[CONSUMO ESTIMADO]]*52*Tabla1[[#This Row],[TRUPUT UNITARIO]]</f>
        <v>1265.5694999999994</v>
      </c>
      <c r="CE74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74" s="25">
        <f>Tabla1[[#This Row],[INVERSION UNIDADES]]*Tabla1[[#This Row],[COSTOS]]</f>
        <v>1117.70775</v>
      </c>
      <c r="CG74" s="25">
        <f>Tabla1[[#This Row],[TRUPUT TOTAL ESTIMADO ANUAL]]/Tabla1[[#This Row],[INVERSION USD]]</f>
        <v>1.1322901715587097</v>
      </c>
      <c r="CH74" s="27"/>
      <c r="CI74" s="27"/>
      <c r="CJ74" s="27"/>
      <c r="CK74" s="27"/>
    </row>
    <row r="75" spans="1:89">
      <c r="A75" s="7" t="s">
        <v>555</v>
      </c>
      <c r="B75" s="7" t="s">
        <v>556</v>
      </c>
      <c r="C75" s="7" t="s">
        <v>690</v>
      </c>
      <c r="D75" s="7" t="s">
        <v>712</v>
      </c>
      <c r="E75" s="7" t="s">
        <v>719</v>
      </c>
      <c r="F75" s="7" t="s">
        <v>724</v>
      </c>
      <c r="G75" s="7" t="s">
        <v>729</v>
      </c>
      <c r="H75" s="13">
        <v>4.8899999999999997</v>
      </c>
      <c r="I75" s="13">
        <f>+H75*74%</f>
        <v>3.6185999999999998</v>
      </c>
      <c r="J75" s="13">
        <v>2.37</v>
      </c>
      <c r="K75" s="7">
        <v>26</v>
      </c>
      <c r="L75" s="7">
        <v>4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v>0</v>
      </c>
      <c r="W75" s="7">
        <v>0</v>
      </c>
      <c r="X75" s="7">
        <v>0</v>
      </c>
      <c r="Y75" s="7">
        <v>0</v>
      </c>
      <c r="Z75" s="7">
        <v>0</v>
      </c>
      <c r="AA75" s="7">
        <v>0</v>
      </c>
      <c r="AB75" s="7">
        <v>0</v>
      </c>
      <c r="AC75" s="7">
        <v>0</v>
      </c>
      <c r="AD75" s="7">
        <v>0</v>
      </c>
      <c r="AE75" s="7">
        <v>0</v>
      </c>
      <c r="AF75" s="7">
        <v>0</v>
      </c>
      <c r="AG75" s="7">
        <v>0</v>
      </c>
      <c r="AH75" s="7">
        <v>0</v>
      </c>
      <c r="AI75" s="7">
        <v>0</v>
      </c>
      <c r="AJ75" s="7">
        <v>0</v>
      </c>
      <c r="AK75" s="7">
        <v>0</v>
      </c>
      <c r="AL75" s="7">
        <v>0</v>
      </c>
      <c r="AM75" s="7">
        <v>0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0</v>
      </c>
      <c r="AX75" s="7">
        <v>0</v>
      </c>
      <c r="AY75" s="7">
        <v>0</v>
      </c>
      <c r="AZ75" s="7">
        <v>0</v>
      </c>
      <c r="BA75" s="7">
        <v>0</v>
      </c>
      <c r="BB75" s="7">
        <v>0</v>
      </c>
      <c r="BC75" s="7">
        <v>0</v>
      </c>
      <c r="BD75" s="7">
        <v>0</v>
      </c>
      <c r="BE75" s="7">
        <v>0</v>
      </c>
      <c r="BF75" s="7">
        <v>0</v>
      </c>
      <c r="BG75" s="7">
        <v>0</v>
      </c>
      <c r="BH75" s="7">
        <v>20</v>
      </c>
      <c r="BI75" s="7">
        <v>0</v>
      </c>
      <c r="BJ75" s="7">
        <v>5</v>
      </c>
      <c r="BK75" s="7">
        <v>0</v>
      </c>
      <c r="BL75" s="7">
        <v>185</v>
      </c>
      <c r="BM75" s="13">
        <v>210</v>
      </c>
      <c r="BN75" s="13">
        <f>Tabla1[[#This Row],[CONSUMO TOTAL PROPIO]]/52</f>
        <v>4.0384615384615383</v>
      </c>
      <c r="BO75" s="13" t="e">
        <f>SUM(Tabla3[[#This Row],[CONSUMO TOTAL V]]+Tabla2[[#This Row],[CONSUMO TOTAL VALORES]]+#REF!+#REF!)</f>
        <v>#REF!</v>
      </c>
      <c r="BP75" s="31">
        <v>0</v>
      </c>
      <c r="BQ75" s="13">
        <f>Tabla1[[#This Row],[CONSUMO TOTAL TODAS]]/52</f>
        <v>0</v>
      </c>
      <c r="BR75" s="25">
        <f>Tabla1[[#This Row],[CONSUMO PROMEDIO PROPIO]]+Tabla1[[#This Row],[CONSUMO PROMEDIO TODAS]]</f>
        <v>4.0384615384615383</v>
      </c>
      <c r="BS75" s="26">
        <f>Tabla1[[#This Row],[CONSUMO PROMEDIO TOTAL]]*(Tabla1[[#This Row],[FRECUENCIA]]+Tabla1[[#This Row],[TIEMPO REPOSICION BUFFERS]])</f>
        <v>121.15384615384615</v>
      </c>
      <c r="BT75" s="26">
        <v>100</v>
      </c>
      <c r="BU75" s="27">
        <v>1</v>
      </c>
      <c r="BV75" s="27">
        <v>16</v>
      </c>
      <c r="BW75" s="27">
        <v>16</v>
      </c>
      <c r="BX75" s="69">
        <f>Tabla1[[#This Row],[BUFFER REAL]]*Tabla1[[#This Row],[COSTOS]]</f>
        <v>237</v>
      </c>
      <c r="BY75" s="69">
        <f>Tabla1[[#This Row],[PVP]]-Tabla1[[#This Row],[COSTOS]]</f>
        <v>2.5199999999999996</v>
      </c>
      <c r="BZ75" s="69">
        <f>Tabla1[[#This Row],[PVD]]-Tabla1[[#This Row],[COSTOS]]</f>
        <v>1.2485999999999997</v>
      </c>
      <c r="CA75" s="25">
        <f>Tabla1[[#This Row],[TRUPUD UNTITARIO PVD]]</f>
        <v>1.2485999999999997</v>
      </c>
      <c r="CB75" s="25">
        <f>Tabla1[[#This Row],[TRUPUT UNITARIO]]/Tabla1[[#This Row],[COSTOS]]</f>
        <v>0.52683544303797458</v>
      </c>
      <c r="CC75" s="40">
        <f>Tabla1[[#This Row],[BUFFER REAL]]/((Tabla1[[#This Row],[TIEMPO REPOSICION BUFFERS]])/1.5)</f>
        <v>37.5</v>
      </c>
      <c r="CD75" s="69">
        <f>Tabla1[[#This Row],[CONSUMO ESTIMADO]]*52*Tabla1[[#This Row],[TRUPUT UNITARIO]]</f>
        <v>2434.7699999999995</v>
      </c>
      <c r="CE75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75" s="25">
        <f>Tabla1[[#This Row],[INVERSION UNIDADES]]*Tabla1[[#This Row],[COSTOS]]</f>
        <v>533.25</v>
      </c>
      <c r="CG75" s="25">
        <f>Tabla1[[#This Row],[TRUPUT TOTAL ESTIMADO ANUAL]]/Tabla1[[#This Row],[INVERSION USD]]</f>
        <v>4.5659071729957796</v>
      </c>
      <c r="CH75" s="27"/>
      <c r="CI75" s="27"/>
      <c r="CJ75" s="27"/>
      <c r="CK75" s="27"/>
    </row>
    <row r="76" spans="1:89">
      <c r="A76" s="7" t="s">
        <v>557</v>
      </c>
      <c r="B76" s="7" t="s">
        <v>558</v>
      </c>
      <c r="C76" s="7" t="s">
        <v>671</v>
      </c>
      <c r="D76" s="7" t="s">
        <v>712</v>
      </c>
      <c r="E76" s="7" t="s">
        <v>719</v>
      </c>
      <c r="F76" s="7" t="s">
        <v>724</v>
      </c>
      <c r="G76" s="7" t="s">
        <v>729</v>
      </c>
      <c r="H76" s="13">
        <v>9.59</v>
      </c>
      <c r="I76" s="13">
        <f>+H76*74%</f>
        <v>7.0965999999999996</v>
      </c>
      <c r="J76" s="13">
        <v>7.1</v>
      </c>
      <c r="K76" s="7">
        <v>26</v>
      </c>
      <c r="L76" s="7">
        <v>4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0</v>
      </c>
      <c r="U76" s="7">
        <v>0</v>
      </c>
      <c r="V76" s="7">
        <v>0</v>
      </c>
      <c r="W76" s="7">
        <v>0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  <c r="AD76" s="7">
        <v>0</v>
      </c>
      <c r="AE76" s="7">
        <v>0</v>
      </c>
      <c r="AF76" s="7">
        <v>0</v>
      </c>
      <c r="AG76" s="7">
        <v>0</v>
      </c>
      <c r="AH76" s="7">
        <v>0</v>
      </c>
      <c r="AI76" s="7">
        <v>0</v>
      </c>
      <c r="AJ76" s="7">
        <v>0</v>
      </c>
      <c r="AK76" s="7">
        <v>0</v>
      </c>
      <c r="AL76" s="7">
        <v>0</v>
      </c>
      <c r="AM76" s="7">
        <v>0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0</v>
      </c>
      <c r="AX76" s="7">
        <v>0</v>
      </c>
      <c r="AY76" s="7">
        <v>0</v>
      </c>
      <c r="AZ76" s="7">
        <v>0</v>
      </c>
      <c r="BA76" s="7">
        <v>0</v>
      </c>
      <c r="BB76" s="7">
        <v>0</v>
      </c>
      <c r="BC76" s="7">
        <v>0</v>
      </c>
      <c r="BD76" s="7">
        <v>0</v>
      </c>
      <c r="BE76" s="7">
        <v>0</v>
      </c>
      <c r="BF76" s="7">
        <v>0</v>
      </c>
      <c r="BG76" s="7">
        <v>0</v>
      </c>
      <c r="BH76" s="7">
        <v>0</v>
      </c>
      <c r="BI76" s="7">
        <v>0</v>
      </c>
      <c r="BJ76" s="7">
        <v>0</v>
      </c>
      <c r="BK76" s="7">
        <v>0</v>
      </c>
      <c r="BL76" s="7">
        <v>0</v>
      </c>
      <c r="BM76" s="13">
        <v>0</v>
      </c>
      <c r="BN76" s="13">
        <f>Tabla1[[#This Row],[CONSUMO TOTAL PROPIO]]/52</f>
        <v>0</v>
      </c>
      <c r="BO76" s="13" t="e">
        <f>SUM(Tabla3[[#This Row],[CONSUMO TOTAL V]]+Tabla2[[#This Row],[CONSUMO TOTAL VALORES]]+#REF!+#REF!)</f>
        <v>#REF!</v>
      </c>
      <c r="BP76" s="31">
        <v>0</v>
      </c>
      <c r="BQ76" s="13">
        <f>Tabla1[[#This Row],[CONSUMO TOTAL TODAS]]/52</f>
        <v>0</v>
      </c>
      <c r="BR76" s="25">
        <f>Tabla1[[#This Row],[CONSUMO PROMEDIO PROPIO]]+Tabla1[[#This Row],[CONSUMO PROMEDIO TODAS]]</f>
        <v>0</v>
      </c>
      <c r="BS76" s="26">
        <f>Tabla1[[#This Row],[CONSUMO PROMEDIO TOTAL]]*(Tabla1[[#This Row],[FRECUENCIA]]+Tabla1[[#This Row],[TIEMPO REPOSICION BUFFERS]])</f>
        <v>0</v>
      </c>
      <c r="BT76" s="26">
        <v>300</v>
      </c>
      <c r="BU76" s="27">
        <v>1</v>
      </c>
      <c r="BV76" s="27">
        <v>16</v>
      </c>
      <c r="BW76" s="27">
        <v>16</v>
      </c>
      <c r="BX76" s="69">
        <f>Tabla1[[#This Row],[BUFFER REAL]]*Tabla1[[#This Row],[COSTOS]]</f>
        <v>2130</v>
      </c>
      <c r="BY76" s="69">
        <f>Tabla1[[#This Row],[PVP]]-Tabla1[[#This Row],[COSTOS]]</f>
        <v>2.4900000000000002</v>
      </c>
      <c r="BZ76" s="69">
        <f>Tabla1[[#This Row],[PVD]]-Tabla1[[#This Row],[COSTOS]]</f>
        <v>-3.4000000000000696E-3</v>
      </c>
      <c r="CA76" s="25">
        <f>Tabla1[[#This Row],[TRUPUD UNTITARIO PVD]]</f>
        <v>-3.4000000000000696E-3</v>
      </c>
      <c r="CB76" s="25">
        <f>Tabla1[[#This Row],[TRUPUT UNITARIO]]/Tabla1[[#This Row],[COSTOS]]</f>
        <v>-4.7887323943662953E-4</v>
      </c>
      <c r="CC76" s="40">
        <f>Tabla1[[#This Row],[BUFFER REAL]]/((Tabla1[[#This Row],[TIEMPO REPOSICION BUFFERS]])/1.5)</f>
        <v>112.5</v>
      </c>
      <c r="CD76" s="69">
        <f>Tabla1[[#This Row],[CONSUMO ESTIMADO]]*52*Tabla1[[#This Row],[TRUPUT UNITARIO]]</f>
        <v>-19.890000000000406</v>
      </c>
      <c r="CE76" s="25">
        <f>Tabla1[[#This Row],[CONSUMO ESTIMADO]]*(Tabla1[[#This Row],[TIEMPO REPOSICION BUFFERS]]*1.5)+( Tabla1[[#This Row],[TRUPUT TOTAL ESTIMADO ANUAL]]*(Tabla1[[#This Row],[CRÉDITO CLIENTE]]-Tabla1[[#This Row],[CREDITO PROVEEDOR]]))</f>
        <v>675</v>
      </c>
      <c r="CF76" s="25">
        <f>Tabla1[[#This Row],[INVERSION UNIDADES]]*Tabla1[[#This Row],[COSTOS]]</f>
        <v>4792.5</v>
      </c>
      <c r="CG76" s="25">
        <f>Tabla1[[#This Row],[TRUPUT TOTAL ESTIMADO ANUAL]]/Tabla1[[#This Row],[INVERSION USD]]</f>
        <v>-4.150234741784122E-3</v>
      </c>
      <c r="CH76" s="27"/>
      <c r="CI76" s="27"/>
      <c r="CJ76" s="27"/>
      <c r="CK76" s="27"/>
    </row>
    <row r="77" spans="1:89">
      <c r="A77" s="7" t="s">
        <v>559</v>
      </c>
      <c r="B77" s="7" t="s">
        <v>560</v>
      </c>
      <c r="C77" s="7" t="s">
        <v>2</v>
      </c>
      <c r="D77" s="7" t="s">
        <v>712</v>
      </c>
      <c r="E77" s="7" t="s">
        <v>719</v>
      </c>
      <c r="F77" s="7" t="s">
        <v>724</v>
      </c>
      <c r="G77" s="7" t="s">
        <v>729</v>
      </c>
      <c r="H77" s="13">
        <v>4.8899999999999997</v>
      </c>
      <c r="I77" s="13">
        <f>+H77*76%</f>
        <v>3.7163999999999997</v>
      </c>
      <c r="J77" s="13">
        <v>2.71</v>
      </c>
      <c r="K77" s="7">
        <v>26</v>
      </c>
      <c r="L77" s="7">
        <v>4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12</v>
      </c>
      <c r="AA77" s="7">
        <v>0</v>
      </c>
      <c r="AB77" s="7">
        <v>0</v>
      </c>
      <c r="AC77" s="7">
        <v>0</v>
      </c>
      <c r="AD77" s="7">
        <v>0</v>
      </c>
      <c r="AE77" s="7">
        <v>0</v>
      </c>
      <c r="AF77" s="7">
        <v>0</v>
      </c>
      <c r="AG77" s="7">
        <v>0</v>
      </c>
      <c r="AH77" s="7">
        <v>0</v>
      </c>
      <c r="AI77" s="7">
        <v>0</v>
      </c>
      <c r="AJ77" s="7">
        <v>5</v>
      </c>
      <c r="AK77" s="7">
        <v>1</v>
      </c>
      <c r="AL77" s="7">
        <v>21</v>
      </c>
      <c r="AM77" s="7">
        <v>1</v>
      </c>
      <c r="AN77" s="7">
        <v>0</v>
      </c>
      <c r="AO77" s="7">
        <v>0</v>
      </c>
      <c r="AP77" s="7">
        <v>0</v>
      </c>
      <c r="AQ77" s="7">
        <v>0</v>
      </c>
      <c r="AR77" s="7">
        <v>150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12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 s="7">
        <v>0</v>
      </c>
      <c r="BE77" s="7">
        <v>0</v>
      </c>
      <c r="BF77" s="7">
        <v>0</v>
      </c>
      <c r="BG77" s="7">
        <v>0</v>
      </c>
      <c r="BH77" s="7">
        <v>0</v>
      </c>
      <c r="BI77" s="7">
        <v>0</v>
      </c>
      <c r="BJ77" s="7">
        <v>0</v>
      </c>
      <c r="BK77" s="7">
        <v>0</v>
      </c>
      <c r="BL77" s="7">
        <v>0</v>
      </c>
      <c r="BM77" s="13">
        <v>202</v>
      </c>
      <c r="BN77" s="13">
        <f>Tabla1[[#This Row],[CONSUMO TOTAL PROPIO]]/52</f>
        <v>3.8846153846153846</v>
      </c>
      <c r="BO77" s="13" t="e">
        <f>SUM(Tabla3[[#This Row],[CONSUMO TOTAL V]]+Tabla2[[#This Row],[CONSUMO TOTAL VALORES]]+#REF!+#REF!)</f>
        <v>#REF!</v>
      </c>
      <c r="BP77" s="31">
        <v>96</v>
      </c>
      <c r="BQ77" s="13">
        <f>Tabla1[[#This Row],[CONSUMO TOTAL TODAS]]/52</f>
        <v>1.8461538461538463</v>
      </c>
      <c r="BR77" s="25">
        <f>Tabla1[[#This Row],[CONSUMO PROMEDIO PROPIO]]+Tabla1[[#This Row],[CONSUMO PROMEDIO TODAS]]</f>
        <v>5.7307692307692308</v>
      </c>
      <c r="BS77" s="26">
        <f>Tabla1[[#This Row],[CONSUMO PROMEDIO TOTAL]]*(Tabla1[[#This Row],[FRECUENCIA]]+Tabla1[[#This Row],[TIEMPO REPOSICION BUFFERS]])</f>
        <v>171.92307692307693</v>
      </c>
      <c r="BT77" s="26">
        <v>300</v>
      </c>
      <c r="BU77" s="27">
        <v>1</v>
      </c>
      <c r="BV77" s="27">
        <v>16</v>
      </c>
      <c r="BW77" s="27">
        <v>16</v>
      </c>
      <c r="BX77" s="69">
        <f>Tabla1[[#This Row],[BUFFER REAL]]*Tabla1[[#This Row],[COSTOS]]</f>
        <v>813</v>
      </c>
      <c r="BY77" s="69">
        <f>Tabla1[[#This Row],[PVP]]-Tabla1[[#This Row],[COSTOS]]</f>
        <v>2.1799999999999997</v>
      </c>
      <c r="BZ77" s="69">
        <f>Tabla1[[#This Row],[PVD]]-Tabla1[[#This Row],[COSTOS]]</f>
        <v>1.0063999999999997</v>
      </c>
      <c r="CA77" s="25">
        <f>Tabla1[[#This Row],[TRUPUD UNTITARIO PVD]]</f>
        <v>1.0063999999999997</v>
      </c>
      <c r="CB77" s="25">
        <f>Tabla1[[#This Row],[TRUPUT UNITARIO]]/Tabla1[[#This Row],[COSTOS]]</f>
        <v>0.37136531365313646</v>
      </c>
      <c r="CC77" s="40">
        <f>Tabla1[[#This Row],[BUFFER REAL]]/((Tabla1[[#This Row],[TIEMPO REPOSICION BUFFERS]])/1.5)</f>
        <v>112.5</v>
      </c>
      <c r="CD77" s="69">
        <f>Tabla1[[#This Row],[CONSUMO ESTIMADO]]*52*Tabla1[[#This Row],[TRUPUT UNITARIO]]</f>
        <v>5887.4399999999987</v>
      </c>
      <c r="CE77" s="25">
        <f>Tabla1[[#This Row],[CONSUMO ESTIMADO]]*(Tabla1[[#This Row],[TIEMPO REPOSICION BUFFERS]]*1.5)+( Tabla1[[#This Row],[TRUPUT TOTAL ESTIMADO ANUAL]]*(Tabla1[[#This Row],[CRÉDITO CLIENTE]]-Tabla1[[#This Row],[CREDITO PROVEEDOR]]))</f>
        <v>675</v>
      </c>
      <c r="CF77" s="25">
        <f>Tabla1[[#This Row],[INVERSION UNIDADES]]*Tabla1[[#This Row],[COSTOS]]</f>
        <v>1829.25</v>
      </c>
      <c r="CG77" s="25">
        <f>Tabla1[[#This Row],[TRUPUT TOTAL ESTIMADO ANUAL]]/Tabla1[[#This Row],[INVERSION USD]]</f>
        <v>3.2184993849938492</v>
      </c>
      <c r="CH77" s="27"/>
      <c r="CI77" s="27"/>
      <c r="CJ77" s="27"/>
      <c r="CK77" s="27"/>
    </row>
    <row r="78" spans="1:89">
      <c r="A78" s="7" t="s">
        <v>561</v>
      </c>
      <c r="B78" s="7" t="s">
        <v>562</v>
      </c>
      <c r="C78" s="7" t="s">
        <v>2</v>
      </c>
      <c r="D78" s="7" t="s">
        <v>712</v>
      </c>
      <c r="E78" s="7" t="s">
        <v>719</v>
      </c>
      <c r="F78" s="7" t="s">
        <v>724</v>
      </c>
      <c r="G78" s="7" t="s">
        <v>729</v>
      </c>
      <c r="H78" s="13">
        <v>9.2899999999999991</v>
      </c>
      <c r="I78" s="13">
        <f>+H78*75%</f>
        <v>6.9674999999999994</v>
      </c>
      <c r="J78" s="13">
        <v>4.96136</v>
      </c>
      <c r="K78" s="7">
        <v>26</v>
      </c>
      <c r="L78" s="7">
        <v>4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  <c r="R78" s="7">
        <v>0</v>
      </c>
      <c r="S78" s="7">
        <v>0</v>
      </c>
      <c r="T78" s="7">
        <v>0</v>
      </c>
      <c r="U78" s="7">
        <v>0</v>
      </c>
      <c r="V78" s="7">
        <v>0</v>
      </c>
      <c r="W78" s="7">
        <v>0</v>
      </c>
      <c r="X78" s="7">
        <v>120</v>
      </c>
      <c r="Y78" s="7">
        <v>0</v>
      </c>
      <c r="Z78" s="7">
        <v>12</v>
      </c>
      <c r="AA78" s="7">
        <v>0</v>
      </c>
      <c r="AB78" s="7">
        <v>0</v>
      </c>
      <c r="AC78" s="7">
        <v>0</v>
      </c>
      <c r="AD78" s="7">
        <v>1</v>
      </c>
      <c r="AE78" s="7">
        <v>0</v>
      </c>
      <c r="AF78" s="7">
        <v>0</v>
      </c>
      <c r="AG78" s="7">
        <v>0</v>
      </c>
      <c r="AH78" s="7">
        <v>0</v>
      </c>
      <c r="AI78" s="7">
        <v>0</v>
      </c>
      <c r="AJ78" s="7">
        <v>5</v>
      </c>
      <c r="AK78" s="7">
        <v>115</v>
      </c>
      <c r="AL78" s="7">
        <v>21</v>
      </c>
      <c r="AM78" s="7">
        <v>5</v>
      </c>
      <c r="AN78" s="7">
        <v>0</v>
      </c>
      <c r="AO78" s="7">
        <v>0</v>
      </c>
      <c r="AP78" s="7">
        <v>0</v>
      </c>
      <c r="AQ78" s="7">
        <v>0</v>
      </c>
      <c r="AR78" s="7">
        <v>90</v>
      </c>
      <c r="AS78" s="7">
        <v>0</v>
      </c>
      <c r="AT78" s="7">
        <v>12</v>
      </c>
      <c r="AU78" s="7">
        <v>0</v>
      </c>
      <c r="AV78" s="7">
        <v>0</v>
      </c>
      <c r="AW78" s="7">
        <v>60</v>
      </c>
      <c r="AX78" s="7">
        <v>0</v>
      </c>
      <c r="AY78" s="7">
        <v>0</v>
      </c>
      <c r="AZ78" s="7">
        <v>0</v>
      </c>
      <c r="BA78" s="7">
        <v>0</v>
      </c>
      <c r="BB78" s="7">
        <v>0</v>
      </c>
      <c r="BC78" s="7">
        <v>0</v>
      </c>
      <c r="BD78" s="7">
        <v>0</v>
      </c>
      <c r="BE78" s="7">
        <v>0</v>
      </c>
      <c r="BF78" s="7">
        <v>0</v>
      </c>
      <c r="BG78" s="7">
        <v>0</v>
      </c>
      <c r="BH78" s="7">
        <v>0</v>
      </c>
      <c r="BI78" s="7">
        <v>0</v>
      </c>
      <c r="BJ78" s="7">
        <v>0</v>
      </c>
      <c r="BK78" s="7">
        <v>0</v>
      </c>
      <c r="BL78" s="7">
        <v>0</v>
      </c>
      <c r="BM78" s="13">
        <v>441</v>
      </c>
      <c r="BN78" s="13">
        <f>Tabla1[[#This Row],[CONSUMO TOTAL PROPIO]]/52</f>
        <v>8.4807692307692299</v>
      </c>
      <c r="BO78" s="13" t="e">
        <f>SUM(Tabla3[[#This Row],[CONSUMO TOTAL V]]+Tabla2[[#This Row],[CONSUMO TOTAL VALORES]]+#REF!+#REF!)</f>
        <v>#REF!</v>
      </c>
      <c r="BP78" s="31">
        <v>95</v>
      </c>
      <c r="BQ78" s="13">
        <f>Tabla1[[#This Row],[CONSUMO TOTAL TODAS]]/52</f>
        <v>1.8269230769230769</v>
      </c>
      <c r="BR78" s="25">
        <f>Tabla1[[#This Row],[CONSUMO PROMEDIO PROPIO]]+Tabla1[[#This Row],[CONSUMO PROMEDIO TODAS]]</f>
        <v>10.307692307692307</v>
      </c>
      <c r="BS78" s="26">
        <f>Tabla1[[#This Row],[CONSUMO PROMEDIO TOTAL]]*(Tabla1[[#This Row],[FRECUENCIA]]+Tabla1[[#This Row],[TIEMPO REPOSICION BUFFERS]])</f>
        <v>309.23076923076917</v>
      </c>
      <c r="BT78" s="26">
        <v>300</v>
      </c>
      <c r="BU78" s="27">
        <v>1</v>
      </c>
      <c r="BV78" s="27">
        <v>16</v>
      </c>
      <c r="BW78" s="27">
        <v>16</v>
      </c>
      <c r="BX78" s="69">
        <f>Tabla1[[#This Row],[BUFFER REAL]]*Tabla1[[#This Row],[COSTOS]]</f>
        <v>1488.4079999999999</v>
      </c>
      <c r="BY78" s="69">
        <f>Tabla1[[#This Row],[PVP]]-Tabla1[[#This Row],[COSTOS]]</f>
        <v>4.3286399999999992</v>
      </c>
      <c r="BZ78" s="69">
        <f>Tabla1[[#This Row],[PVD]]-Tabla1[[#This Row],[COSTOS]]</f>
        <v>2.0061399999999994</v>
      </c>
      <c r="CA78" s="25">
        <f>Tabla1[[#This Row],[TRUPUD UNTITARIO PVD]]</f>
        <v>2.0061399999999994</v>
      </c>
      <c r="CB78" s="25">
        <f>Tabla1[[#This Row],[TRUPUT UNITARIO]]/Tabla1[[#This Row],[COSTOS]]</f>
        <v>0.40435283873776534</v>
      </c>
      <c r="CC78" s="40">
        <f>Tabla1[[#This Row],[BUFFER REAL]]/((Tabla1[[#This Row],[TIEMPO REPOSICION BUFFERS]])/1.5)</f>
        <v>112.5</v>
      </c>
      <c r="CD78" s="69">
        <f>Tabla1[[#This Row],[CONSUMO ESTIMADO]]*52*Tabla1[[#This Row],[TRUPUT UNITARIO]]</f>
        <v>11735.918999999996</v>
      </c>
      <c r="CE78" s="25">
        <f>Tabla1[[#This Row],[CONSUMO ESTIMADO]]*(Tabla1[[#This Row],[TIEMPO REPOSICION BUFFERS]]*1.5)+( Tabla1[[#This Row],[TRUPUT TOTAL ESTIMADO ANUAL]]*(Tabla1[[#This Row],[CRÉDITO CLIENTE]]-Tabla1[[#This Row],[CREDITO PROVEEDOR]]))</f>
        <v>675</v>
      </c>
      <c r="CF78" s="25">
        <f>Tabla1[[#This Row],[INVERSION UNIDADES]]*Tabla1[[#This Row],[COSTOS]]</f>
        <v>3348.9180000000001</v>
      </c>
      <c r="CG78" s="25">
        <f>Tabla1[[#This Row],[TRUPUT TOTAL ESTIMADO ANUAL]]/Tabla1[[#This Row],[INVERSION USD]]</f>
        <v>3.5043912690606325</v>
      </c>
      <c r="CH78" s="27"/>
      <c r="CI78" s="27"/>
      <c r="CJ78" s="27"/>
      <c r="CK78" s="27"/>
    </row>
    <row r="79" spans="1:89">
      <c r="A79" s="7" t="s">
        <v>576</v>
      </c>
      <c r="B79" s="7" t="s">
        <v>577</v>
      </c>
      <c r="C79" s="7" t="s">
        <v>682</v>
      </c>
      <c r="D79" s="7" t="s">
        <v>709</v>
      </c>
      <c r="E79" s="7" t="s">
        <v>715</v>
      </c>
      <c r="F79" s="7" t="s">
        <v>724</v>
      </c>
      <c r="G79" s="7" t="s">
        <v>729</v>
      </c>
      <c r="H79" s="13">
        <v>2.4700000000000002</v>
      </c>
      <c r="I79" s="13">
        <v>2.4700000000000002</v>
      </c>
      <c r="J79" s="13">
        <v>0.97</v>
      </c>
      <c r="K79" s="7">
        <v>8</v>
      </c>
      <c r="L79" s="7">
        <v>4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0</v>
      </c>
      <c r="U79" s="7">
        <v>0</v>
      </c>
      <c r="V79" s="7">
        <v>0</v>
      </c>
      <c r="W79" s="7">
        <v>0</v>
      </c>
      <c r="X79" s="7">
        <v>0</v>
      </c>
      <c r="Y79" s="7">
        <v>0</v>
      </c>
      <c r="Z79" s="7">
        <v>0</v>
      </c>
      <c r="AA79" s="7">
        <v>0</v>
      </c>
      <c r="AB79" s="7">
        <v>0</v>
      </c>
      <c r="AC79" s="7">
        <v>0</v>
      </c>
      <c r="AD79" s="7">
        <v>0</v>
      </c>
      <c r="AE79" s="7">
        <v>0</v>
      </c>
      <c r="AF79" s="7">
        <v>0</v>
      </c>
      <c r="AG79" s="7">
        <v>0</v>
      </c>
      <c r="AH79" s="7">
        <v>0</v>
      </c>
      <c r="AI79" s="7">
        <v>0</v>
      </c>
      <c r="AJ79" s="7">
        <v>0</v>
      </c>
      <c r="AK79" s="7">
        <v>0</v>
      </c>
      <c r="AL79" s="7">
        <v>0</v>
      </c>
      <c r="AM79" s="7">
        <v>0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0</v>
      </c>
      <c r="AX79" s="7">
        <v>0</v>
      </c>
      <c r="AY79" s="7">
        <v>0</v>
      </c>
      <c r="AZ79" s="7">
        <v>0</v>
      </c>
      <c r="BA79" s="7">
        <v>0</v>
      </c>
      <c r="BB79" s="7">
        <v>0</v>
      </c>
      <c r="BC79" s="7">
        <v>0</v>
      </c>
      <c r="BD79" s="7">
        <v>0</v>
      </c>
      <c r="BE79" s="7">
        <v>0</v>
      </c>
      <c r="BF79" s="7">
        <v>0</v>
      </c>
      <c r="BG79" s="7">
        <v>0</v>
      </c>
      <c r="BH79" s="7">
        <v>0</v>
      </c>
      <c r="BI79" s="7">
        <v>0</v>
      </c>
      <c r="BJ79" s="7">
        <v>0</v>
      </c>
      <c r="BK79" s="7">
        <v>0</v>
      </c>
      <c r="BL79" s="7">
        <v>0</v>
      </c>
      <c r="BM79" s="13">
        <v>0</v>
      </c>
      <c r="BN79" s="13">
        <f>Tabla1[[#This Row],[CONSUMO TOTAL PROPIO]]/52</f>
        <v>0</v>
      </c>
      <c r="BO79" s="13" t="e">
        <f>SUM(Tabla3[[#This Row],[CONSUMO TOTAL V]]+Tabla2[[#This Row],[CONSUMO TOTAL VALORES]]+#REF!+#REF!)</f>
        <v>#REF!</v>
      </c>
      <c r="BP79" s="31">
        <v>0</v>
      </c>
      <c r="BQ79" s="13">
        <f>Tabla1[[#This Row],[CONSUMO TOTAL TODAS]]/52</f>
        <v>0</v>
      </c>
      <c r="BR79" s="25">
        <f>Tabla1[[#This Row],[CONSUMO PROMEDIO PROPIO]]+Tabla1[[#This Row],[CONSUMO PROMEDIO TODAS]]</f>
        <v>0</v>
      </c>
      <c r="BS79" s="26">
        <f>Tabla1[[#This Row],[CONSUMO PROMEDIO TOTAL]]*(Tabla1[[#This Row],[FRECUENCIA]]+Tabla1[[#This Row],[TIEMPO REPOSICION BUFFERS]])</f>
        <v>0</v>
      </c>
      <c r="BT79" s="26">
        <v>0</v>
      </c>
      <c r="BU79" s="27">
        <v>1</v>
      </c>
      <c r="BV79" s="27">
        <v>16</v>
      </c>
      <c r="BW79" s="27">
        <v>16</v>
      </c>
      <c r="BX79" s="69">
        <f>Tabla1[[#This Row],[BUFFER REAL]]*Tabla1[[#This Row],[COSTOS]]</f>
        <v>0</v>
      </c>
      <c r="BY79" s="69">
        <f>Tabla1[[#This Row],[PVP]]-Tabla1[[#This Row],[COSTOS]]</f>
        <v>1.5000000000000002</v>
      </c>
      <c r="BZ79" s="69">
        <f>Tabla1[[#This Row],[PVD]]-Tabla1[[#This Row],[COSTOS]]</f>
        <v>1.5000000000000002</v>
      </c>
      <c r="CA79" s="25">
        <f>Tabla1[[#This Row],[TRUPUD UNTITARIO PVD]]</f>
        <v>1.5000000000000002</v>
      </c>
      <c r="CB79" s="25">
        <f>Tabla1[[#This Row],[TRUPUT UNITARIO]]/Tabla1[[#This Row],[COSTOS]]</f>
        <v>1.5463917525773199</v>
      </c>
      <c r="CC79" s="40">
        <f>Tabla1[[#This Row],[BUFFER REAL]]/((Tabla1[[#This Row],[TIEMPO REPOSICION BUFFERS]])/1.5)</f>
        <v>0</v>
      </c>
      <c r="CD79" s="69">
        <f>Tabla1[[#This Row],[CONSUMO ESTIMADO]]*52*Tabla1[[#This Row],[TRUPUT UNITARIO]]</f>
        <v>0</v>
      </c>
      <c r="CE79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79" s="25">
        <f>Tabla1[[#This Row],[INVERSION UNIDADES]]*Tabla1[[#This Row],[COSTOS]]</f>
        <v>0</v>
      </c>
      <c r="CG79" s="25" t="e">
        <f>Tabla1[[#This Row],[TRUPUT TOTAL ESTIMADO ANUAL]]/Tabla1[[#This Row],[INVERSION USD]]</f>
        <v>#DIV/0!</v>
      </c>
      <c r="CH79" s="27"/>
      <c r="CI79" s="27"/>
      <c r="CJ79" s="27"/>
      <c r="CK79" s="27"/>
    </row>
    <row r="80" spans="1:89">
      <c r="A80" s="7" t="s">
        <v>578</v>
      </c>
      <c r="B80" s="7" t="s">
        <v>579</v>
      </c>
      <c r="C80" s="7" t="s">
        <v>682</v>
      </c>
      <c r="D80" s="7" t="s">
        <v>709</v>
      </c>
      <c r="E80" s="7" t="s">
        <v>715</v>
      </c>
      <c r="F80" s="7" t="s">
        <v>724</v>
      </c>
      <c r="G80" s="7" t="s">
        <v>729</v>
      </c>
      <c r="H80" s="13">
        <v>4.25</v>
      </c>
      <c r="I80" s="13">
        <v>4.25</v>
      </c>
      <c r="J80" s="13">
        <v>2.3239999999999998</v>
      </c>
      <c r="K80" s="7">
        <v>8</v>
      </c>
      <c r="L80" s="7">
        <v>4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  <c r="R80" s="7">
        <v>0</v>
      </c>
      <c r="S80" s="7">
        <v>0</v>
      </c>
      <c r="T80" s="7">
        <v>0</v>
      </c>
      <c r="U80" s="7">
        <v>0</v>
      </c>
      <c r="V80" s="7">
        <v>0</v>
      </c>
      <c r="W80" s="7">
        <v>0</v>
      </c>
      <c r="X80" s="7">
        <v>0</v>
      </c>
      <c r="Y80" s="7">
        <v>0</v>
      </c>
      <c r="Z80" s="7">
        <v>0</v>
      </c>
      <c r="AA80" s="7">
        <v>0</v>
      </c>
      <c r="AB80" s="7">
        <v>0</v>
      </c>
      <c r="AC80" s="7">
        <v>0</v>
      </c>
      <c r="AD80" s="7">
        <v>0</v>
      </c>
      <c r="AE80" s="7">
        <v>0</v>
      </c>
      <c r="AF80" s="7">
        <v>0</v>
      </c>
      <c r="AG80" s="7">
        <v>0</v>
      </c>
      <c r="AH80" s="7">
        <v>0</v>
      </c>
      <c r="AI80" s="7">
        <v>0</v>
      </c>
      <c r="AJ80" s="7">
        <v>0</v>
      </c>
      <c r="AK80" s="7">
        <v>0</v>
      </c>
      <c r="AL80" s="7">
        <v>0</v>
      </c>
      <c r="AM80" s="7">
        <v>0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0</v>
      </c>
      <c r="AU80" s="7">
        <v>0</v>
      </c>
      <c r="AV80" s="7">
        <v>0</v>
      </c>
      <c r="AW80" s="7">
        <v>0</v>
      </c>
      <c r="AX80" s="7">
        <v>0</v>
      </c>
      <c r="AY80" s="7">
        <v>0</v>
      </c>
      <c r="AZ80" s="7">
        <v>0</v>
      </c>
      <c r="BA80" s="7">
        <v>0</v>
      </c>
      <c r="BB80" s="7">
        <v>0</v>
      </c>
      <c r="BC80" s="7">
        <v>0</v>
      </c>
      <c r="BD80" s="7">
        <v>0</v>
      </c>
      <c r="BE80" s="7">
        <v>0</v>
      </c>
      <c r="BF80" s="7">
        <v>0</v>
      </c>
      <c r="BG80" s="7">
        <v>0</v>
      </c>
      <c r="BH80" s="7">
        <v>0</v>
      </c>
      <c r="BI80" s="7">
        <v>0</v>
      </c>
      <c r="BJ80" s="7">
        <v>0</v>
      </c>
      <c r="BK80" s="7">
        <v>0</v>
      </c>
      <c r="BL80" s="7">
        <v>0</v>
      </c>
      <c r="BM80" s="13">
        <v>0</v>
      </c>
      <c r="BN80" s="13">
        <f>Tabla1[[#This Row],[CONSUMO TOTAL PROPIO]]/52</f>
        <v>0</v>
      </c>
      <c r="BO80" s="13" t="e">
        <f>SUM(Tabla3[[#This Row],[CONSUMO TOTAL V]]+Tabla2[[#This Row],[CONSUMO TOTAL VALORES]]+#REF!+#REF!)</f>
        <v>#REF!</v>
      </c>
      <c r="BP80" s="31">
        <v>0</v>
      </c>
      <c r="BQ80" s="13">
        <f>Tabla1[[#This Row],[CONSUMO TOTAL TODAS]]/52</f>
        <v>0</v>
      </c>
      <c r="BR80" s="25">
        <f>Tabla1[[#This Row],[CONSUMO PROMEDIO PROPIO]]+Tabla1[[#This Row],[CONSUMO PROMEDIO TODAS]]</f>
        <v>0</v>
      </c>
      <c r="BS80" s="26">
        <f>Tabla1[[#This Row],[CONSUMO PROMEDIO TOTAL]]*(Tabla1[[#This Row],[FRECUENCIA]]+Tabla1[[#This Row],[TIEMPO REPOSICION BUFFERS]])</f>
        <v>0</v>
      </c>
      <c r="BT80" s="26">
        <v>0</v>
      </c>
      <c r="BU80" s="27">
        <v>1</v>
      </c>
      <c r="BV80" s="27">
        <v>16</v>
      </c>
      <c r="BW80" s="27">
        <v>16</v>
      </c>
      <c r="BX80" s="69">
        <f>Tabla1[[#This Row],[BUFFER REAL]]*Tabla1[[#This Row],[COSTOS]]</f>
        <v>0</v>
      </c>
      <c r="BY80" s="69">
        <f>Tabla1[[#This Row],[PVP]]-Tabla1[[#This Row],[COSTOS]]</f>
        <v>1.9260000000000002</v>
      </c>
      <c r="BZ80" s="69">
        <f>Tabla1[[#This Row],[PVD]]-Tabla1[[#This Row],[COSTOS]]</f>
        <v>1.9260000000000002</v>
      </c>
      <c r="CA80" s="25">
        <f>Tabla1[[#This Row],[TRUPUD UNTITARIO PVD]]</f>
        <v>1.9260000000000002</v>
      </c>
      <c r="CB80" s="25">
        <f>Tabla1[[#This Row],[TRUPUT UNITARIO]]/Tabla1[[#This Row],[COSTOS]]</f>
        <v>0.8287435456110156</v>
      </c>
      <c r="CC80" s="40">
        <f>Tabla1[[#This Row],[BUFFER REAL]]/((Tabla1[[#This Row],[TIEMPO REPOSICION BUFFERS]])/1.5)</f>
        <v>0</v>
      </c>
      <c r="CD80" s="69">
        <f>Tabla1[[#This Row],[CONSUMO ESTIMADO]]*52*Tabla1[[#This Row],[TRUPUT UNITARIO]]</f>
        <v>0</v>
      </c>
      <c r="CE80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80" s="25">
        <f>Tabla1[[#This Row],[INVERSION UNIDADES]]*Tabla1[[#This Row],[COSTOS]]</f>
        <v>0</v>
      </c>
      <c r="CG80" s="25" t="e">
        <f>Tabla1[[#This Row],[TRUPUT TOTAL ESTIMADO ANUAL]]/Tabla1[[#This Row],[INVERSION USD]]</f>
        <v>#DIV/0!</v>
      </c>
      <c r="CH80" s="27"/>
      <c r="CI80" s="27"/>
      <c r="CJ80" s="27"/>
      <c r="CK80" s="27"/>
    </row>
    <row r="81" spans="1:89">
      <c r="A81" s="7" t="s">
        <v>580</v>
      </c>
      <c r="B81" s="7" t="s">
        <v>581</v>
      </c>
      <c r="C81" s="7" t="s">
        <v>682</v>
      </c>
      <c r="D81" s="7" t="s">
        <v>709</v>
      </c>
      <c r="E81" s="7" t="s">
        <v>715</v>
      </c>
      <c r="F81" s="7" t="s">
        <v>724</v>
      </c>
      <c r="G81" s="7" t="s">
        <v>729</v>
      </c>
      <c r="H81" s="13">
        <v>8.5</v>
      </c>
      <c r="I81" s="13">
        <v>8.5</v>
      </c>
      <c r="J81" s="13">
        <v>3.9209999999999998</v>
      </c>
      <c r="K81" s="7">
        <v>8</v>
      </c>
      <c r="L81" s="7">
        <v>4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0</v>
      </c>
      <c r="U81" s="7">
        <v>0</v>
      </c>
      <c r="V81" s="7">
        <v>0</v>
      </c>
      <c r="W81" s="7">
        <v>0</v>
      </c>
      <c r="X81" s="7">
        <v>0</v>
      </c>
      <c r="Y81" s="7">
        <v>0</v>
      </c>
      <c r="Z81" s="7">
        <v>0</v>
      </c>
      <c r="AA81" s="7">
        <v>0</v>
      </c>
      <c r="AB81" s="7">
        <v>0</v>
      </c>
      <c r="AC81" s="7">
        <v>0</v>
      </c>
      <c r="AD81" s="7">
        <v>0</v>
      </c>
      <c r="AE81" s="7">
        <v>0</v>
      </c>
      <c r="AF81" s="7">
        <v>0</v>
      </c>
      <c r="AG81" s="7">
        <v>0</v>
      </c>
      <c r="AH81" s="7">
        <v>0</v>
      </c>
      <c r="AI81" s="7">
        <v>0</v>
      </c>
      <c r="AJ81" s="7">
        <v>0</v>
      </c>
      <c r="AK81" s="7">
        <v>0</v>
      </c>
      <c r="AL81" s="7">
        <v>0</v>
      </c>
      <c r="AM81" s="7">
        <v>0</v>
      </c>
      <c r="AN81" s="7">
        <v>0</v>
      </c>
      <c r="AO81" s="7">
        <v>0</v>
      </c>
      <c r="AP81" s="7">
        <v>0</v>
      </c>
      <c r="AQ81" s="7">
        <v>0</v>
      </c>
      <c r="AR81" s="7">
        <v>0</v>
      </c>
      <c r="AS81" s="7">
        <v>0</v>
      </c>
      <c r="AT81" s="7">
        <v>0</v>
      </c>
      <c r="AU81" s="7">
        <v>0</v>
      </c>
      <c r="AV81" s="7">
        <v>0</v>
      </c>
      <c r="AW81" s="7">
        <v>0</v>
      </c>
      <c r="AX81" s="7">
        <v>0</v>
      </c>
      <c r="AY81" s="7">
        <v>0</v>
      </c>
      <c r="AZ81" s="7">
        <v>0</v>
      </c>
      <c r="BA81" s="7">
        <v>0</v>
      </c>
      <c r="BB81" s="7">
        <v>0</v>
      </c>
      <c r="BC81" s="7">
        <v>0</v>
      </c>
      <c r="BD81" s="7">
        <v>0</v>
      </c>
      <c r="BE81" s="7">
        <v>0</v>
      </c>
      <c r="BF81" s="7">
        <v>0</v>
      </c>
      <c r="BG81" s="7">
        <v>0</v>
      </c>
      <c r="BH81" s="7">
        <v>0</v>
      </c>
      <c r="BI81" s="7">
        <v>0</v>
      </c>
      <c r="BJ81" s="7">
        <v>0</v>
      </c>
      <c r="BK81" s="7">
        <v>0</v>
      </c>
      <c r="BL81" s="7">
        <v>0</v>
      </c>
      <c r="BM81" s="13">
        <v>0</v>
      </c>
      <c r="BN81" s="13">
        <f>Tabla1[[#This Row],[CONSUMO TOTAL PROPIO]]/52</f>
        <v>0</v>
      </c>
      <c r="BO81" s="13" t="e">
        <f>SUM(Tabla3[[#This Row],[CONSUMO TOTAL V]]+Tabla2[[#This Row],[CONSUMO TOTAL VALORES]]+#REF!+#REF!)</f>
        <v>#REF!</v>
      </c>
      <c r="BP81" s="31">
        <v>0</v>
      </c>
      <c r="BQ81" s="13">
        <f>Tabla1[[#This Row],[CONSUMO TOTAL TODAS]]/52</f>
        <v>0</v>
      </c>
      <c r="BR81" s="25">
        <f>Tabla1[[#This Row],[CONSUMO PROMEDIO PROPIO]]+Tabla1[[#This Row],[CONSUMO PROMEDIO TODAS]]</f>
        <v>0</v>
      </c>
      <c r="BS81" s="26">
        <f>Tabla1[[#This Row],[CONSUMO PROMEDIO TOTAL]]*(Tabla1[[#This Row],[FRECUENCIA]]+Tabla1[[#This Row],[TIEMPO REPOSICION BUFFERS]])</f>
        <v>0</v>
      </c>
      <c r="BT81" s="26">
        <v>0</v>
      </c>
      <c r="BU81" s="27">
        <v>1</v>
      </c>
      <c r="BV81" s="27">
        <v>16</v>
      </c>
      <c r="BW81" s="27">
        <v>16</v>
      </c>
      <c r="BX81" s="69">
        <f>Tabla1[[#This Row],[BUFFER REAL]]*Tabla1[[#This Row],[COSTOS]]</f>
        <v>0</v>
      </c>
      <c r="BY81" s="69">
        <f>Tabla1[[#This Row],[PVP]]-Tabla1[[#This Row],[COSTOS]]</f>
        <v>4.5790000000000006</v>
      </c>
      <c r="BZ81" s="69">
        <f>Tabla1[[#This Row],[PVD]]-Tabla1[[#This Row],[COSTOS]]</f>
        <v>4.5790000000000006</v>
      </c>
      <c r="CA81" s="25">
        <f>Tabla1[[#This Row],[TRUPUD UNTITARIO PVD]]</f>
        <v>4.5790000000000006</v>
      </c>
      <c r="CB81" s="25">
        <f>Tabla1[[#This Row],[TRUPUT UNITARIO]]/Tabla1[[#This Row],[COSTOS]]</f>
        <v>1.1678143330782966</v>
      </c>
      <c r="CC81" s="40">
        <f>Tabla1[[#This Row],[BUFFER REAL]]/((Tabla1[[#This Row],[TIEMPO REPOSICION BUFFERS]])/1.5)</f>
        <v>0</v>
      </c>
      <c r="CD81" s="69">
        <f>Tabla1[[#This Row],[CONSUMO ESTIMADO]]*52*Tabla1[[#This Row],[TRUPUT UNITARIO]]</f>
        <v>0</v>
      </c>
      <c r="CE81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81" s="25">
        <f>Tabla1[[#This Row],[INVERSION UNIDADES]]*Tabla1[[#This Row],[COSTOS]]</f>
        <v>0</v>
      </c>
      <c r="CG81" s="25" t="e">
        <f>Tabla1[[#This Row],[TRUPUT TOTAL ESTIMADO ANUAL]]/Tabla1[[#This Row],[INVERSION USD]]</f>
        <v>#DIV/0!</v>
      </c>
      <c r="CH81" s="27"/>
      <c r="CI81" s="27"/>
      <c r="CJ81" s="27"/>
      <c r="CK81" s="27"/>
    </row>
    <row r="82" spans="1:89">
      <c r="A82" s="7" t="s">
        <v>582</v>
      </c>
      <c r="B82" s="7" t="s">
        <v>583</v>
      </c>
      <c r="C82" s="7" t="s">
        <v>676</v>
      </c>
      <c r="D82" s="7" t="s">
        <v>709</v>
      </c>
      <c r="E82" s="7" t="s">
        <v>715</v>
      </c>
      <c r="F82" s="7" t="s">
        <v>724</v>
      </c>
      <c r="G82" s="7" t="s">
        <v>729</v>
      </c>
      <c r="H82" s="13">
        <v>17</v>
      </c>
      <c r="I82" s="13">
        <v>17</v>
      </c>
      <c r="J82" s="13">
        <v>9.2989999999999995</v>
      </c>
      <c r="K82" s="7">
        <v>8</v>
      </c>
      <c r="L82" s="7">
        <v>4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 s="7">
        <v>0</v>
      </c>
      <c r="BE82" s="7">
        <v>0</v>
      </c>
      <c r="BF82" s="7">
        <v>0</v>
      </c>
      <c r="BG82" s="7">
        <v>0</v>
      </c>
      <c r="BH82" s="7">
        <v>0</v>
      </c>
      <c r="BI82" s="7">
        <v>0</v>
      </c>
      <c r="BJ82" s="7">
        <v>0</v>
      </c>
      <c r="BK82" s="7">
        <v>0</v>
      </c>
      <c r="BL82" s="7">
        <v>0</v>
      </c>
      <c r="BM82" s="13">
        <v>0</v>
      </c>
      <c r="BN82" s="13">
        <f>Tabla1[[#This Row],[CONSUMO TOTAL PROPIO]]/52</f>
        <v>0</v>
      </c>
      <c r="BO82" s="13" t="e">
        <f>SUM(Tabla3[[#This Row],[CONSUMO TOTAL V]]+Tabla2[[#This Row],[CONSUMO TOTAL VALORES]]+#REF!+#REF!)</f>
        <v>#REF!</v>
      </c>
      <c r="BP82" s="31">
        <v>0</v>
      </c>
      <c r="BQ82" s="13">
        <f>Tabla1[[#This Row],[CONSUMO TOTAL TODAS]]/52</f>
        <v>0</v>
      </c>
      <c r="BR82" s="25">
        <f>Tabla1[[#This Row],[CONSUMO PROMEDIO PROPIO]]+Tabla1[[#This Row],[CONSUMO PROMEDIO TODAS]]</f>
        <v>0</v>
      </c>
      <c r="BS82" s="26">
        <f>Tabla1[[#This Row],[CONSUMO PROMEDIO TOTAL]]*(Tabla1[[#This Row],[FRECUENCIA]]+Tabla1[[#This Row],[TIEMPO REPOSICION BUFFERS]])</f>
        <v>0</v>
      </c>
      <c r="BT82" s="26">
        <v>0</v>
      </c>
      <c r="BU82" s="27">
        <v>1</v>
      </c>
      <c r="BV82" s="27">
        <v>16</v>
      </c>
      <c r="BW82" s="27">
        <v>16</v>
      </c>
      <c r="BX82" s="69">
        <f>Tabla1[[#This Row],[BUFFER REAL]]*Tabla1[[#This Row],[COSTOS]]</f>
        <v>0</v>
      </c>
      <c r="BY82" s="69">
        <f>Tabla1[[#This Row],[PVP]]-Tabla1[[#This Row],[COSTOS]]</f>
        <v>7.7010000000000005</v>
      </c>
      <c r="BZ82" s="69">
        <f>Tabla1[[#This Row],[PVD]]-Tabla1[[#This Row],[COSTOS]]</f>
        <v>7.7010000000000005</v>
      </c>
      <c r="CA82" s="25">
        <f>Tabla1[[#This Row],[TRUPUD UNTITARIO PVD]]</f>
        <v>7.7010000000000005</v>
      </c>
      <c r="CB82" s="25">
        <f>Tabla1[[#This Row],[TRUPUT UNITARIO]]/Tabla1[[#This Row],[COSTOS]]</f>
        <v>0.82815356489945169</v>
      </c>
      <c r="CC82" s="40">
        <f>Tabla1[[#This Row],[BUFFER REAL]]/((Tabla1[[#This Row],[TIEMPO REPOSICION BUFFERS]])/1.5)</f>
        <v>0</v>
      </c>
      <c r="CD82" s="69">
        <f>Tabla1[[#This Row],[CONSUMO ESTIMADO]]*52*Tabla1[[#This Row],[TRUPUT UNITARIO]]</f>
        <v>0</v>
      </c>
      <c r="CE82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82" s="25">
        <f>Tabla1[[#This Row],[INVERSION UNIDADES]]*Tabla1[[#This Row],[COSTOS]]</f>
        <v>0</v>
      </c>
      <c r="CG82" s="25" t="e">
        <f>Tabla1[[#This Row],[TRUPUT TOTAL ESTIMADO ANUAL]]/Tabla1[[#This Row],[INVERSION USD]]</f>
        <v>#DIV/0!</v>
      </c>
      <c r="CH82" s="27"/>
      <c r="CI82" s="27"/>
      <c r="CJ82" s="27"/>
      <c r="CK82" s="27"/>
    </row>
    <row r="83" spans="1:89">
      <c r="A83" s="7" t="s">
        <v>584</v>
      </c>
      <c r="B83" s="7" t="s">
        <v>585</v>
      </c>
      <c r="C83" s="7" t="s">
        <v>672</v>
      </c>
      <c r="D83" s="7" t="s">
        <v>707</v>
      </c>
      <c r="E83" s="7" t="s">
        <v>715</v>
      </c>
      <c r="F83" s="7" t="s">
        <v>724</v>
      </c>
      <c r="G83" s="7" t="s">
        <v>729</v>
      </c>
      <c r="H83" s="13">
        <v>19.95</v>
      </c>
      <c r="I83" s="13">
        <f>Tabla1[[#This Row],[PVP]]*74%</f>
        <v>14.763</v>
      </c>
      <c r="J83" s="13">
        <v>12.155939999999999</v>
      </c>
      <c r="K83" s="7">
        <v>8</v>
      </c>
      <c r="L83" s="7">
        <v>4</v>
      </c>
      <c r="M83" s="7">
        <v>0</v>
      </c>
      <c r="N83" s="7">
        <v>0</v>
      </c>
      <c r="O83" s="7">
        <v>0</v>
      </c>
      <c r="P83" s="7">
        <v>0</v>
      </c>
      <c r="Q83" s="7">
        <v>0</v>
      </c>
      <c r="R83" s="7">
        <v>0</v>
      </c>
      <c r="S83" s="7">
        <v>0</v>
      </c>
      <c r="T83" s="7">
        <v>0</v>
      </c>
      <c r="U83" s="7">
        <v>0</v>
      </c>
      <c r="V83" s="7">
        <v>0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20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 s="7">
        <v>0</v>
      </c>
      <c r="BE83" s="7">
        <v>0</v>
      </c>
      <c r="BF83" s="7">
        <v>0</v>
      </c>
      <c r="BG83" s="7">
        <v>0</v>
      </c>
      <c r="BH83" s="7">
        <v>0</v>
      </c>
      <c r="BI83" s="7">
        <v>0</v>
      </c>
      <c r="BJ83" s="7">
        <v>0</v>
      </c>
      <c r="BK83" s="7">
        <v>0</v>
      </c>
      <c r="BL83" s="7">
        <v>0</v>
      </c>
      <c r="BM83" s="13">
        <v>20</v>
      </c>
      <c r="BN83" s="13">
        <f>Tabla1[[#This Row],[CONSUMO TOTAL PROPIO]]/52</f>
        <v>0.38461538461538464</v>
      </c>
      <c r="BO83" s="13" t="e">
        <f>SUM(Tabla3[[#This Row],[CONSUMO TOTAL V]]+Tabla2[[#This Row],[CONSUMO TOTAL VALORES]]+#REF!+#REF!)</f>
        <v>#REF!</v>
      </c>
      <c r="BP83" s="31">
        <v>0</v>
      </c>
      <c r="BQ83" s="13">
        <f>Tabla1[[#This Row],[CONSUMO TOTAL TODAS]]/52</f>
        <v>0</v>
      </c>
      <c r="BR83" s="25">
        <f>Tabla1[[#This Row],[CONSUMO PROMEDIO PROPIO]]+Tabla1[[#This Row],[CONSUMO PROMEDIO TODAS]]</f>
        <v>0.38461538461538464</v>
      </c>
      <c r="BS83" s="26">
        <f>Tabla1[[#This Row],[CONSUMO PROMEDIO TOTAL]]*(Tabla1[[#This Row],[FRECUENCIA]]+Tabla1[[#This Row],[TIEMPO REPOSICION BUFFERS]])</f>
        <v>4.6153846153846159</v>
      </c>
      <c r="BT83" s="26">
        <v>25</v>
      </c>
      <c r="BU83" s="27">
        <v>1</v>
      </c>
      <c r="BV83" s="27">
        <v>16</v>
      </c>
      <c r="BW83" s="27">
        <v>16</v>
      </c>
      <c r="BX83" s="69">
        <f>Tabla1[[#This Row],[BUFFER REAL]]*Tabla1[[#This Row],[COSTOS]]</f>
        <v>303.89849999999996</v>
      </c>
      <c r="BY83" s="69">
        <f>Tabla1[[#This Row],[PVP]]-Tabla1[[#This Row],[COSTOS]]</f>
        <v>7.79406</v>
      </c>
      <c r="BZ83" s="69">
        <f>Tabla1[[#This Row],[PVD]]-Tabla1[[#This Row],[COSTOS]]</f>
        <v>2.6070600000000006</v>
      </c>
      <c r="CA83" s="25">
        <f>Tabla1[[#This Row],[TRUPUD UNTITARIO PVD]]</f>
        <v>2.6070600000000006</v>
      </c>
      <c r="CB83" s="25">
        <f>Tabla1[[#This Row],[TRUPUT UNITARIO]]/Tabla1[[#This Row],[COSTOS]]</f>
        <v>0.21446798848957799</v>
      </c>
      <c r="CC83" s="40">
        <f>Tabla1[[#This Row],[BUFFER REAL]]/((Tabla1[[#This Row],[TIEMPO REPOSICION BUFFERS]])/1.5)</f>
        <v>9.375</v>
      </c>
      <c r="CD83" s="69">
        <f>Tabla1[[#This Row],[CONSUMO ESTIMADO]]*52*Tabla1[[#This Row],[TRUPUT UNITARIO]]</f>
        <v>1270.9417500000002</v>
      </c>
      <c r="CE83" s="25">
        <f>Tabla1[[#This Row],[CONSUMO ESTIMADO]]*(Tabla1[[#This Row],[TIEMPO REPOSICION BUFFERS]]*1.5)+( Tabla1[[#This Row],[TRUPUT TOTAL ESTIMADO ANUAL]]*(Tabla1[[#This Row],[CRÉDITO CLIENTE]]-Tabla1[[#This Row],[CREDITO PROVEEDOR]]))</f>
        <v>56.25</v>
      </c>
      <c r="CF83" s="25">
        <f>Tabla1[[#This Row],[INVERSION UNIDADES]]*Tabla1[[#This Row],[COSTOS]]</f>
        <v>683.77162499999997</v>
      </c>
      <c r="CG83" s="25">
        <f>Tabla1[[#This Row],[TRUPUT TOTAL ESTIMADO ANUAL]]/Tabla1[[#This Row],[INVERSION USD]]</f>
        <v>1.8587225669096759</v>
      </c>
      <c r="CH83" s="27"/>
      <c r="CI83" s="27"/>
      <c r="CJ83" s="27"/>
      <c r="CK83" s="27"/>
    </row>
    <row r="84" spans="1:89">
      <c r="A84" s="7" t="s">
        <v>586</v>
      </c>
      <c r="B84" s="7" t="s">
        <v>587</v>
      </c>
      <c r="C84" s="7" t="s">
        <v>681</v>
      </c>
      <c r="D84" s="7" t="s">
        <v>707</v>
      </c>
      <c r="E84" s="7" t="s">
        <v>715</v>
      </c>
      <c r="F84" s="7" t="s">
        <v>724</v>
      </c>
      <c r="G84" s="7" t="s">
        <v>729</v>
      </c>
      <c r="H84" s="13">
        <v>19.989999999999998</v>
      </c>
      <c r="I84" s="13">
        <f>Tabla1[[#This Row],[PVP]]*74%</f>
        <v>14.792599999999998</v>
      </c>
      <c r="J84" s="13">
        <v>11.233000000000001</v>
      </c>
      <c r="K84" s="7">
        <v>8</v>
      </c>
      <c r="L84" s="7">
        <v>4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2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 s="7">
        <v>0</v>
      </c>
      <c r="BE84" s="7">
        <v>0</v>
      </c>
      <c r="BF84" s="7">
        <v>0</v>
      </c>
      <c r="BG84" s="7">
        <v>0</v>
      </c>
      <c r="BH84" s="7">
        <v>0</v>
      </c>
      <c r="BI84" s="7">
        <v>0</v>
      </c>
      <c r="BJ84" s="7">
        <v>0</v>
      </c>
      <c r="BK84" s="7">
        <v>0</v>
      </c>
      <c r="BL84" s="7">
        <v>0</v>
      </c>
      <c r="BM84" s="13">
        <v>2</v>
      </c>
      <c r="BN84" s="13">
        <f>Tabla1[[#This Row],[CONSUMO TOTAL PROPIO]]/52</f>
        <v>3.8461538461538464E-2</v>
      </c>
      <c r="BO84" s="13" t="e">
        <f>SUM(Tabla3[[#This Row],[CONSUMO TOTAL V]]+Tabla2[[#This Row],[CONSUMO TOTAL VALORES]]+#REF!+#REF!)</f>
        <v>#REF!</v>
      </c>
      <c r="BP84" s="31">
        <v>0</v>
      </c>
      <c r="BQ84" s="13">
        <f>Tabla1[[#This Row],[CONSUMO TOTAL TODAS]]/52</f>
        <v>0</v>
      </c>
      <c r="BR84" s="25">
        <f>Tabla1[[#This Row],[CONSUMO PROMEDIO PROPIO]]+Tabla1[[#This Row],[CONSUMO PROMEDIO TODAS]]</f>
        <v>3.8461538461538464E-2</v>
      </c>
      <c r="BS84" s="26">
        <f>Tabla1[[#This Row],[CONSUMO PROMEDIO TOTAL]]*(Tabla1[[#This Row],[FRECUENCIA]]+Tabla1[[#This Row],[TIEMPO REPOSICION BUFFERS]])</f>
        <v>0.46153846153846156</v>
      </c>
      <c r="BT84" s="26">
        <v>3</v>
      </c>
      <c r="BU84" s="27">
        <v>1</v>
      </c>
      <c r="BV84" s="27">
        <v>16</v>
      </c>
      <c r="BW84" s="27">
        <v>16</v>
      </c>
      <c r="BX84" s="69">
        <f>Tabla1[[#This Row],[BUFFER REAL]]*Tabla1[[#This Row],[COSTOS]]</f>
        <v>33.698999999999998</v>
      </c>
      <c r="BY84" s="69">
        <f>Tabla1[[#This Row],[PVP]]-Tabla1[[#This Row],[COSTOS]]</f>
        <v>8.7569999999999979</v>
      </c>
      <c r="BZ84" s="69">
        <f>Tabla1[[#This Row],[PVD]]-Tabla1[[#This Row],[COSTOS]]</f>
        <v>3.5595999999999979</v>
      </c>
      <c r="CA84" s="25">
        <f>Tabla1[[#This Row],[TRUPUD UNTITARIO PVD]]</f>
        <v>3.5595999999999979</v>
      </c>
      <c r="CB84" s="25">
        <f>Tabla1[[#This Row],[TRUPUT UNITARIO]]/Tabla1[[#This Row],[COSTOS]]</f>
        <v>0.31688774147600801</v>
      </c>
      <c r="CC84" s="40">
        <f>Tabla1[[#This Row],[BUFFER REAL]]/((Tabla1[[#This Row],[TIEMPO REPOSICION BUFFERS]])/1.5)</f>
        <v>1.125</v>
      </c>
      <c r="CD84" s="69">
        <f>Tabla1[[#This Row],[CONSUMO ESTIMADO]]*52*Tabla1[[#This Row],[TRUPUT UNITARIO]]</f>
        <v>208.23659999999987</v>
      </c>
      <c r="CE84" s="25">
        <f>Tabla1[[#This Row],[CONSUMO ESTIMADO]]*(Tabla1[[#This Row],[TIEMPO REPOSICION BUFFERS]]*1.5)+( Tabla1[[#This Row],[TRUPUT TOTAL ESTIMADO ANUAL]]*(Tabla1[[#This Row],[CRÉDITO CLIENTE]]-Tabla1[[#This Row],[CREDITO PROVEEDOR]]))</f>
        <v>6.75</v>
      </c>
      <c r="CF84" s="25">
        <f>Tabla1[[#This Row],[INVERSION UNIDADES]]*Tabla1[[#This Row],[COSTOS]]</f>
        <v>75.822749999999999</v>
      </c>
      <c r="CG84" s="25">
        <f>Tabla1[[#This Row],[TRUPUT TOTAL ESTIMADO ANUAL]]/Tabla1[[#This Row],[INVERSION USD]]</f>
        <v>2.7463604261254027</v>
      </c>
      <c r="CH84" s="27"/>
      <c r="CI84" s="27"/>
      <c r="CJ84" s="27"/>
      <c r="CK84" s="27"/>
    </row>
    <row r="85" spans="1:89">
      <c r="A85" s="7" t="s">
        <v>588</v>
      </c>
      <c r="B85" s="7" t="s">
        <v>589</v>
      </c>
      <c r="C85" s="7" t="s">
        <v>676</v>
      </c>
      <c r="D85" s="7" t="s">
        <v>707</v>
      </c>
      <c r="E85" s="7" t="s">
        <v>715</v>
      </c>
      <c r="F85" s="7" t="s">
        <v>724</v>
      </c>
      <c r="G85" s="7" t="s">
        <v>729</v>
      </c>
      <c r="H85" s="13">
        <v>5.39</v>
      </c>
      <c r="I85" s="13">
        <f>Tabla1[[#This Row],[PVP]]*74%</f>
        <v>3.9885999999999999</v>
      </c>
      <c r="J85" s="13">
        <v>2.9348399999999999</v>
      </c>
      <c r="K85" s="7">
        <v>8</v>
      </c>
      <c r="L85" s="7">
        <v>4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121</v>
      </c>
      <c r="Z85" s="7">
        <v>0</v>
      </c>
      <c r="AA85" s="7">
        <v>140</v>
      </c>
      <c r="AB85" s="7">
        <v>0</v>
      </c>
      <c r="AC85" s="7">
        <v>0</v>
      </c>
      <c r="AD85" s="7">
        <v>0</v>
      </c>
      <c r="AE85" s="7">
        <v>28</v>
      </c>
      <c r="AF85" s="7">
        <v>40</v>
      </c>
      <c r="AG85" s="7">
        <v>60</v>
      </c>
      <c r="AH85" s="7">
        <v>100</v>
      </c>
      <c r="AI85" s="7">
        <v>60</v>
      </c>
      <c r="AJ85" s="7">
        <v>0</v>
      </c>
      <c r="AK85" s="7">
        <v>103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120</v>
      </c>
      <c r="AS85" s="7">
        <v>100</v>
      </c>
      <c r="AT85" s="7">
        <v>0</v>
      </c>
      <c r="AU85" s="7">
        <v>60</v>
      </c>
      <c r="AV85" s="7">
        <v>20</v>
      </c>
      <c r="AW85" s="7">
        <v>41</v>
      </c>
      <c r="AX85" s="7">
        <v>0</v>
      </c>
      <c r="AY85" s="7">
        <v>200</v>
      </c>
      <c r="AZ85" s="7">
        <v>0</v>
      </c>
      <c r="BA85" s="7">
        <v>63</v>
      </c>
      <c r="BB85" s="7">
        <v>0</v>
      </c>
      <c r="BC85" s="7">
        <v>0</v>
      </c>
      <c r="BD85" s="7">
        <v>0</v>
      </c>
      <c r="BE85" s="7">
        <v>0</v>
      </c>
      <c r="BF85" s="7">
        <v>20</v>
      </c>
      <c r="BG85" s="7">
        <v>0</v>
      </c>
      <c r="BH85" s="7">
        <v>0</v>
      </c>
      <c r="BI85" s="7">
        <v>0</v>
      </c>
      <c r="BJ85" s="7">
        <v>40</v>
      </c>
      <c r="BK85" s="7">
        <v>25</v>
      </c>
      <c r="BL85" s="7">
        <v>2</v>
      </c>
      <c r="BM85" s="13">
        <v>1343</v>
      </c>
      <c r="BN85" s="13">
        <f>Tabla1[[#This Row],[CONSUMO TOTAL PROPIO]]/52</f>
        <v>25.826923076923077</v>
      </c>
      <c r="BO85" s="13" t="e">
        <f>SUM(Tabla3[[#This Row],[CONSUMO TOTAL V]]+Tabla2[[#This Row],[CONSUMO TOTAL VALORES]]+#REF!+#REF!)</f>
        <v>#REF!</v>
      </c>
      <c r="BP85" s="31">
        <v>240</v>
      </c>
      <c r="BQ85" s="13">
        <f>Tabla1[[#This Row],[CONSUMO TOTAL TODAS]]/52</f>
        <v>4.615384615384615</v>
      </c>
      <c r="BR85" s="25">
        <f>Tabla1[[#This Row],[CONSUMO PROMEDIO PROPIO]]+Tabla1[[#This Row],[CONSUMO PROMEDIO TODAS]]</f>
        <v>30.442307692307693</v>
      </c>
      <c r="BS85" s="26">
        <f>Tabla1[[#This Row],[CONSUMO PROMEDIO TOTAL]]*(Tabla1[[#This Row],[FRECUENCIA]]+Tabla1[[#This Row],[TIEMPO REPOSICION BUFFERS]])</f>
        <v>365.30769230769232</v>
      </c>
      <c r="BT85" s="26">
        <v>200</v>
      </c>
      <c r="BU85" s="27">
        <v>1</v>
      </c>
      <c r="BV85" s="27">
        <v>16</v>
      </c>
      <c r="BW85" s="27">
        <v>16</v>
      </c>
      <c r="BX85" s="69">
        <f>Tabla1[[#This Row],[BUFFER REAL]]*Tabla1[[#This Row],[COSTOS]]</f>
        <v>586.96799999999996</v>
      </c>
      <c r="BY85" s="69">
        <f>Tabla1[[#This Row],[PVP]]-Tabla1[[#This Row],[COSTOS]]</f>
        <v>2.4551599999999998</v>
      </c>
      <c r="BZ85" s="69">
        <f>Tabla1[[#This Row],[PVD]]-Tabla1[[#This Row],[COSTOS]]</f>
        <v>1.05376</v>
      </c>
      <c r="CA85" s="25">
        <f>Tabla1[[#This Row],[TRUPUD UNTITARIO PVD]]</f>
        <v>1.05376</v>
      </c>
      <c r="CB85" s="25">
        <f>Tabla1[[#This Row],[TRUPUT UNITARIO]]/Tabla1[[#This Row],[COSTOS]]</f>
        <v>0.35905194150277359</v>
      </c>
      <c r="CC85" s="40">
        <f>Tabla1[[#This Row],[BUFFER REAL]]/((Tabla1[[#This Row],[TIEMPO REPOSICION BUFFERS]])/1.5)</f>
        <v>75</v>
      </c>
      <c r="CD85" s="69">
        <f>Tabla1[[#This Row],[CONSUMO ESTIMADO]]*52*Tabla1[[#This Row],[TRUPUT UNITARIO]]</f>
        <v>4109.6639999999998</v>
      </c>
      <c r="CE85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85" s="25">
        <f>Tabla1[[#This Row],[INVERSION UNIDADES]]*Tabla1[[#This Row],[COSTOS]]</f>
        <v>1320.6779999999999</v>
      </c>
      <c r="CG85" s="25">
        <f>Tabla1[[#This Row],[TRUPUT TOTAL ESTIMADO ANUAL]]/Tabla1[[#This Row],[INVERSION USD]]</f>
        <v>3.1117834930240376</v>
      </c>
      <c r="CH85" s="27"/>
      <c r="CI85" s="27"/>
      <c r="CJ85" s="27"/>
      <c r="CK85" s="27"/>
    </row>
    <row r="86" spans="1:89">
      <c r="A86" s="7" t="s">
        <v>594</v>
      </c>
      <c r="B86" s="7" t="s">
        <v>595</v>
      </c>
      <c r="C86" s="7" t="s">
        <v>676</v>
      </c>
      <c r="D86" s="7" t="s">
        <v>712</v>
      </c>
      <c r="E86" s="7" t="s">
        <v>715</v>
      </c>
      <c r="F86" s="7" t="s">
        <v>724</v>
      </c>
      <c r="G86" s="7" t="s">
        <v>729</v>
      </c>
      <c r="H86" s="13">
        <v>41</v>
      </c>
      <c r="I86" s="13">
        <f>Tabla1[[#This Row],[PVP]]*74%</f>
        <v>30.34</v>
      </c>
      <c r="J86" s="13">
        <v>20.475470000000001</v>
      </c>
      <c r="K86" s="7">
        <v>8</v>
      </c>
      <c r="L86" s="7">
        <v>4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20</v>
      </c>
      <c r="Y86" s="7">
        <v>14</v>
      </c>
      <c r="Z86" s="7">
        <v>132</v>
      </c>
      <c r="AA86" s="7">
        <v>130</v>
      </c>
      <c r="AB86" s="7">
        <v>0</v>
      </c>
      <c r="AC86" s="7">
        <v>0</v>
      </c>
      <c r="AD86" s="7">
        <v>3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100</v>
      </c>
      <c r="AK86" s="7">
        <v>40</v>
      </c>
      <c r="AL86" s="7">
        <v>10</v>
      </c>
      <c r="AM86" s="7">
        <v>80</v>
      </c>
      <c r="AN86" s="7">
        <v>121</v>
      </c>
      <c r="AO86" s="7">
        <v>0</v>
      </c>
      <c r="AP86" s="7">
        <v>197</v>
      </c>
      <c r="AQ86" s="7">
        <v>0</v>
      </c>
      <c r="AR86" s="7">
        <v>0</v>
      </c>
      <c r="AS86" s="7">
        <v>24</v>
      </c>
      <c r="AT86" s="7">
        <v>0</v>
      </c>
      <c r="AU86" s="7">
        <v>80</v>
      </c>
      <c r="AV86" s="7">
        <v>0</v>
      </c>
      <c r="AW86" s="7">
        <v>0</v>
      </c>
      <c r="AX86" s="7">
        <v>0</v>
      </c>
      <c r="AY86" s="7">
        <v>40</v>
      </c>
      <c r="AZ86" s="7">
        <v>0</v>
      </c>
      <c r="BA86" s="7">
        <v>0</v>
      </c>
      <c r="BB86" s="7">
        <v>0</v>
      </c>
      <c r="BC86" s="7">
        <v>0</v>
      </c>
      <c r="BD86" s="7">
        <v>1</v>
      </c>
      <c r="BE86" s="7">
        <v>0</v>
      </c>
      <c r="BF86" s="7">
        <v>0</v>
      </c>
      <c r="BG86" s="7">
        <v>0</v>
      </c>
      <c r="BH86" s="7">
        <v>0</v>
      </c>
      <c r="BI86" s="7">
        <v>0</v>
      </c>
      <c r="BJ86" s="7">
        <v>0</v>
      </c>
      <c r="BK86" s="7">
        <v>0</v>
      </c>
      <c r="BL86" s="7">
        <v>2</v>
      </c>
      <c r="BM86" s="13">
        <v>994</v>
      </c>
      <c r="BN86" s="13">
        <f>Tabla1[[#This Row],[CONSUMO TOTAL PROPIO]]/52</f>
        <v>19.115384615384617</v>
      </c>
      <c r="BO86" s="13" t="e">
        <f>SUM(Tabla3[[#This Row],[CONSUMO TOTAL V]]+Tabla2[[#This Row],[CONSUMO TOTAL VALORES]]+#REF!+#REF!)</f>
        <v>#REF!</v>
      </c>
      <c r="BP86" s="31">
        <v>427</v>
      </c>
      <c r="BQ86" s="13">
        <f>Tabla1[[#This Row],[CONSUMO TOTAL TODAS]]/52</f>
        <v>8.2115384615384617</v>
      </c>
      <c r="BR86" s="25">
        <f>Tabla1[[#This Row],[CONSUMO PROMEDIO PROPIO]]+Tabla1[[#This Row],[CONSUMO PROMEDIO TODAS]]</f>
        <v>27.32692307692308</v>
      </c>
      <c r="BS86" s="26">
        <f>Tabla1[[#This Row],[CONSUMO PROMEDIO TOTAL]]*(Tabla1[[#This Row],[FRECUENCIA]]+Tabla1[[#This Row],[TIEMPO REPOSICION BUFFERS]])</f>
        <v>327.92307692307696</v>
      </c>
      <c r="BT86" s="26">
        <v>200</v>
      </c>
      <c r="BU86" s="27">
        <v>1</v>
      </c>
      <c r="BV86" s="27">
        <v>16</v>
      </c>
      <c r="BW86" s="27">
        <v>16</v>
      </c>
      <c r="BX86" s="69">
        <f>Tabla1[[#This Row],[BUFFER REAL]]*Tabla1[[#This Row],[COSTOS]]</f>
        <v>4095.0940000000001</v>
      </c>
      <c r="BY86" s="69">
        <f>Tabla1[[#This Row],[PVP]]-Tabla1[[#This Row],[COSTOS]]</f>
        <v>20.524529999999999</v>
      </c>
      <c r="BZ86" s="69">
        <f>Tabla1[[#This Row],[PVD]]-Tabla1[[#This Row],[COSTOS]]</f>
        <v>9.8645299999999985</v>
      </c>
      <c r="CA86" s="25">
        <f>Tabla1[[#This Row],[TRUPUD UNTITARIO PVD]]</f>
        <v>9.8645299999999985</v>
      </c>
      <c r="CB86" s="25">
        <f>Tabla1[[#This Row],[TRUPUT UNITARIO]]/Tabla1[[#This Row],[COSTOS]]</f>
        <v>0.48177306796864727</v>
      </c>
      <c r="CC86" s="40">
        <f>Tabla1[[#This Row],[BUFFER REAL]]/((Tabla1[[#This Row],[TIEMPO REPOSICION BUFFERS]])/1.5)</f>
        <v>75</v>
      </c>
      <c r="CD86" s="69">
        <f>Tabla1[[#This Row],[CONSUMO ESTIMADO]]*52*Tabla1[[#This Row],[TRUPUT UNITARIO]]</f>
        <v>38471.666999999994</v>
      </c>
      <c r="CE86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86" s="25">
        <f>Tabla1[[#This Row],[INVERSION UNIDADES]]*Tabla1[[#This Row],[COSTOS]]</f>
        <v>9213.9615000000013</v>
      </c>
      <c r="CG86" s="25">
        <f>Tabla1[[#This Row],[TRUPUT TOTAL ESTIMADO ANUAL]]/Tabla1[[#This Row],[INVERSION USD]]</f>
        <v>4.1753665890616096</v>
      </c>
      <c r="CH86" s="27"/>
      <c r="CI86" s="27"/>
      <c r="CJ86" s="27"/>
      <c r="CK86" s="27"/>
    </row>
    <row r="87" spans="1:89">
      <c r="A87" s="7" t="s">
        <v>596</v>
      </c>
      <c r="B87" s="7" t="s">
        <v>597</v>
      </c>
      <c r="C87" s="7" t="s">
        <v>702</v>
      </c>
      <c r="D87" s="7" t="s">
        <v>712</v>
      </c>
      <c r="E87" s="7" t="s">
        <v>715</v>
      </c>
      <c r="F87" s="7" t="s">
        <v>724</v>
      </c>
      <c r="G87" s="7" t="s">
        <v>729</v>
      </c>
      <c r="H87" s="13">
        <v>4.99</v>
      </c>
      <c r="I87" s="13">
        <f>Tabla1[[#This Row],[PVP]]*74%</f>
        <v>3.6926000000000001</v>
      </c>
      <c r="J87" s="13">
        <v>1.91225</v>
      </c>
      <c r="K87" s="7">
        <v>8</v>
      </c>
      <c r="L87" s="7">
        <v>4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12</v>
      </c>
      <c r="AB87" s="7">
        <v>77</v>
      </c>
      <c r="AC87" s="7">
        <v>0</v>
      </c>
      <c r="AD87" s="7">
        <v>0</v>
      </c>
      <c r="AE87" s="7">
        <v>0</v>
      </c>
      <c r="AF87" s="7">
        <v>133</v>
      </c>
      <c r="AG87" s="7">
        <v>0</v>
      </c>
      <c r="AH87" s="7">
        <v>0</v>
      </c>
      <c r="AI87" s="7">
        <v>0</v>
      </c>
      <c r="AJ87" s="7">
        <v>91</v>
      </c>
      <c r="AK87" s="7">
        <v>295</v>
      </c>
      <c r="AL87" s="7">
        <v>50</v>
      </c>
      <c r="AM87" s="7">
        <v>0</v>
      </c>
      <c r="AN87" s="7">
        <v>90</v>
      </c>
      <c r="AO87" s="7">
        <v>0</v>
      </c>
      <c r="AP87" s="7">
        <v>40</v>
      </c>
      <c r="AQ87" s="7">
        <v>0</v>
      </c>
      <c r="AR87" s="7">
        <v>0</v>
      </c>
      <c r="AS87" s="7">
        <v>20</v>
      </c>
      <c r="AT87" s="7">
        <v>0</v>
      </c>
      <c r="AU87" s="7">
        <v>0</v>
      </c>
      <c r="AV87" s="7">
        <v>10</v>
      </c>
      <c r="AW87" s="7">
        <v>20</v>
      </c>
      <c r="AX87" s="7">
        <v>0</v>
      </c>
      <c r="AY87" s="7">
        <v>0</v>
      </c>
      <c r="AZ87" s="7">
        <v>0</v>
      </c>
      <c r="BA87" s="7">
        <v>0</v>
      </c>
      <c r="BB87" s="7">
        <v>10</v>
      </c>
      <c r="BC87" s="7">
        <v>0</v>
      </c>
      <c r="BD87" s="7">
        <v>0</v>
      </c>
      <c r="BE87" s="7">
        <v>0</v>
      </c>
      <c r="BF87" s="7">
        <v>0</v>
      </c>
      <c r="BG87" s="7">
        <v>12</v>
      </c>
      <c r="BH87" s="7">
        <v>0</v>
      </c>
      <c r="BI87" s="7">
        <v>0</v>
      </c>
      <c r="BJ87" s="7">
        <v>0</v>
      </c>
      <c r="BK87" s="7">
        <v>24</v>
      </c>
      <c r="BL87" s="7">
        <v>0</v>
      </c>
      <c r="BM87" s="13">
        <v>884</v>
      </c>
      <c r="BN87" s="13">
        <f>Tabla1[[#This Row],[CONSUMO TOTAL PROPIO]]/52</f>
        <v>17</v>
      </c>
      <c r="BO87" s="13" t="e">
        <f>SUM(Tabla3[[#This Row],[CONSUMO TOTAL V]]+Tabla2[[#This Row],[CONSUMO TOTAL VALORES]]+#REF!+#REF!)</f>
        <v>#REF!</v>
      </c>
      <c r="BP87" s="31">
        <v>331</v>
      </c>
      <c r="BQ87" s="13">
        <f>Tabla1[[#This Row],[CONSUMO TOTAL TODAS]]/52</f>
        <v>6.365384615384615</v>
      </c>
      <c r="BR87" s="25">
        <f>Tabla1[[#This Row],[CONSUMO PROMEDIO PROPIO]]+Tabla1[[#This Row],[CONSUMO PROMEDIO TODAS]]</f>
        <v>23.365384615384613</v>
      </c>
      <c r="BS87" s="26">
        <f>Tabla1[[#This Row],[CONSUMO PROMEDIO TOTAL]]*(Tabla1[[#This Row],[FRECUENCIA]]+Tabla1[[#This Row],[TIEMPO REPOSICION BUFFERS]])</f>
        <v>280.38461538461536</v>
      </c>
      <c r="BT87" s="26">
        <v>200</v>
      </c>
      <c r="BU87" s="27">
        <v>1</v>
      </c>
      <c r="BV87" s="27">
        <v>16</v>
      </c>
      <c r="BW87" s="27">
        <v>16</v>
      </c>
      <c r="BX87" s="69">
        <f>Tabla1[[#This Row],[BUFFER REAL]]*Tabla1[[#This Row],[COSTOS]]</f>
        <v>382.45</v>
      </c>
      <c r="BY87" s="69">
        <f>Tabla1[[#This Row],[PVP]]-Tabla1[[#This Row],[COSTOS]]</f>
        <v>3.07775</v>
      </c>
      <c r="BZ87" s="69">
        <f>Tabla1[[#This Row],[PVD]]-Tabla1[[#This Row],[COSTOS]]</f>
        <v>1.7803500000000001</v>
      </c>
      <c r="CA87" s="25">
        <f>Tabla1[[#This Row],[TRUPUD UNTITARIO PVD]]</f>
        <v>1.7803500000000001</v>
      </c>
      <c r="CB87" s="25">
        <f>Tabla1[[#This Row],[TRUPUT UNITARIO]]/Tabla1[[#This Row],[COSTOS]]</f>
        <v>0.93102366322395091</v>
      </c>
      <c r="CC87" s="40">
        <f>Tabla1[[#This Row],[BUFFER REAL]]/((Tabla1[[#This Row],[TIEMPO REPOSICION BUFFERS]])/1.5)</f>
        <v>75</v>
      </c>
      <c r="CD87" s="69">
        <f>Tabla1[[#This Row],[CONSUMO ESTIMADO]]*52*Tabla1[[#This Row],[TRUPUT UNITARIO]]</f>
        <v>6943.3650000000007</v>
      </c>
      <c r="CE87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87" s="25">
        <f>Tabla1[[#This Row],[INVERSION UNIDADES]]*Tabla1[[#This Row],[COSTOS]]</f>
        <v>860.51250000000005</v>
      </c>
      <c r="CG87" s="25">
        <f>Tabla1[[#This Row],[TRUPUT TOTAL ESTIMADO ANUAL]]/Tabla1[[#This Row],[INVERSION USD]]</f>
        <v>8.0688717479409071</v>
      </c>
      <c r="CH87" s="27"/>
      <c r="CI87" s="27"/>
      <c r="CJ87" s="27"/>
      <c r="CK87" s="27"/>
    </row>
    <row r="88" spans="1:89">
      <c r="A88" s="7" t="s">
        <v>598</v>
      </c>
      <c r="B88" s="7" t="s">
        <v>599</v>
      </c>
      <c r="C88" s="7" t="s">
        <v>702</v>
      </c>
      <c r="D88" s="7" t="s">
        <v>712</v>
      </c>
      <c r="E88" s="7" t="s">
        <v>715</v>
      </c>
      <c r="F88" s="7" t="s">
        <v>724</v>
      </c>
      <c r="G88" s="7" t="s">
        <v>729</v>
      </c>
      <c r="H88" s="13">
        <v>11.9</v>
      </c>
      <c r="I88" s="13">
        <f>Tabla1[[#This Row],[PVP]]*74%</f>
        <v>8.8060000000000009</v>
      </c>
      <c r="J88" s="13">
        <v>4.5557699999999999</v>
      </c>
      <c r="K88" s="7">
        <v>8</v>
      </c>
      <c r="L88" s="7">
        <v>4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  <c r="R88" s="7">
        <v>0</v>
      </c>
      <c r="S88" s="7">
        <v>0</v>
      </c>
      <c r="T88" s="7">
        <v>0</v>
      </c>
      <c r="U88" s="7">
        <v>0</v>
      </c>
      <c r="V88" s="7">
        <v>0</v>
      </c>
      <c r="W88" s="7">
        <v>0</v>
      </c>
      <c r="X88" s="7">
        <v>0</v>
      </c>
      <c r="Y88" s="7">
        <v>0</v>
      </c>
      <c r="Z88" s="7">
        <v>12</v>
      </c>
      <c r="AA88" s="7">
        <v>0</v>
      </c>
      <c r="AB88" s="7">
        <v>12</v>
      </c>
      <c r="AC88" s="7">
        <v>0</v>
      </c>
      <c r="AD88" s="7">
        <v>20</v>
      </c>
      <c r="AE88" s="7">
        <v>0</v>
      </c>
      <c r="AF88" s="7">
        <v>12</v>
      </c>
      <c r="AG88" s="7">
        <v>0</v>
      </c>
      <c r="AH88" s="7">
        <v>0</v>
      </c>
      <c r="AI88" s="7">
        <v>0</v>
      </c>
      <c r="AJ88" s="7">
        <v>120</v>
      </c>
      <c r="AK88" s="7">
        <v>42</v>
      </c>
      <c r="AL88" s="7">
        <v>0</v>
      </c>
      <c r="AM88" s="7">
        <v>60</v>
      </c>
      <c r="AN88" s="7">
        <v>16</v>
      </c>
      <c r="AO88" s="7">
        <v>0</v>
      </c>
      <c r="AP88" s="7">
        <v>40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1</v>
      </c>
      <c r="AY88" s="7">
        <v>0</v>
      </c>
      <c r="AZ88" s="7">
        <v>0</v>
      </c>
      <c r="BA88" s="7">
        <v>0</v>
      </c>
      <c r="BB88" s="7">
        <v>10</v>
      </c>
      <c r="BC88" s="7">
        <v>6</v>
      </c>
      <c r="BD88" s="7">
        <v>0</v>
      </c>
      <c r="BE88" s="7">
        <v>0</v>
      </c>
      <c r="BF88" s="7">
        <v>0</v>
      </c>
      <c r="BG88" s="7">
        <v>0</v>
      </c>
      <c r="BH88" s="7">
        <v>0</v>
      </c>
      <c r="BI88" s="7">
        <v>0</v>
      </c>
      <c r="BJ88" s="7">
        <v>0</v>
      </c>
      <c r="BK88" s="7">
        <v>0</v>
      </c>
      <c r="BL88" s="7">
        <v>0</v>
      </c>
      <c r="BM88" s="13">
        <v>351</v>
      </c>
      <c r="BN88" s="13">
        <f>Tabla1[[#This Row],[CONSUMO TOTAL PROPIO]]/52</f>
        <v>6.75</v>
      </c>
      <c r="BO88" s="13" t="e">
        <f>SUM(Tabla3[[#This Row],[CONSUMO TOTAL V]]+Tabla2[[#This Row],[CONSUMO TOTAL VALORES]]+#REF!+#REF!)</f>
        <v>#REF!</v>
      </c>
      <c r="BP88" s="31">
        <v>174</v>
      </c>
      <c r="BQ88" s="13">
        <f>Tabla1[[#This Row],[CONSUMO TOTAL TODAS]]/52</f>
        <v>3.3461538461538463</v>
      </c>
      <c r="BR88" s="25">
        <f>Tabla1[[#This Row],[CONSUMO PROMEDIO PROPIO]]+Tabla1[[#This Row],[CONSUMO PROMEDIO TODAS]]</f>
        <v>10.096153846153847</v>
      </c>
      <c r="BS88" s="26">
        <f>Tabla1[[#This Row],[CONSUMO PROMEDIO TOTAL]]*(Tabla1[[#This Row],[FRECUENCIA]]+Tabla1[[#This Row],[TIEMPO REPOSICION BUFFERS]])</f>
        <v>121.15384615384616</v>
      </c>
      <c r="BT88" s="26">
        <v>100</v>
      </c>
      <c r="BU88" s="27">
        <v>1</v>
      </c>
      <c r="BV88" s="27">
        <v>16</v>
      </c>
      <c r="BW88" s="27">
        <v>16</v>
      </c>
      <c r="BX88" s="69">
        <f>Tabla1[[#This Row],[BUFFER REAL]]*Tabla1[[#This Row],[COSTOS]]</f>
        <v>455.577</v>
      </c>
      <c r="BY88" s="69">
        <f>Tabla1[[#This Row],[PVP]]-Tabla1[[#This Row],[COSTOS]]</f>
        <v>7.3442300000000005</v>
      </c>
      <c r="BZ88" s="69">
        <f>Tabla1[[#This Row],[PVD]]-Tabla1[[#This Row],[COSTOS]]</f>
        <v>4.2502300000000011</v>
      </c>
      <c r="CA88" s="25">
        <f>Tabla1[[#This Row],[TRUPUD UNTITARIO PVD]]</f>
        <v>4.2502300000000011</v>
      </c>
      <c r="CB88" s="25">
        <f>Tabla1[[#This Row],[TRUPUT UNITARIO]]/Tabla1[[#This Row],[COSTOS]]</f>
        <v>0.93293340093990729</v>
      </c>
      <c r="CC88" s="40">
        <f>Tabla1[[#This Row],[BUFFER REAL]]/((Tabla1[[#This Row],[TIEMPO REPOSICION BUFFERS]])/1.5)</f>
        <v>37.5</v>
      </c>
      <c r="CD88" s="69">
        <f>Tabla1[[#This Row],[CONSUMO ESTIMADO]]*52*Tabla1[[#This Row],[TRUPUT UNITARIO]]</f>
        <v>8287.9485000000022</v>
      </c>
      <c r="CE88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88" s="25">
        <f>Tabla1[[#This Row],[INVERSION UNIDADES]]*Tabla1[[#This Row],[COSTOS]]</f>
        <v>1025.0482500000001</v>
      </c>
      <c r="CG88" s="25">
        <f>Tabla1[[#This Row],[TRUPUT TOTAL ESTIMADO ANUAL]]/Tabla1[[#This Row],[INVERSION USD]]</f>
        <v>8.0854228081458626</v>
      </c>
      <c r="CH88" s="27"/>
      <c r="CI88" s="27"/>
      <c r="CJ88" s="27"/>
      <c r="CK88" s="27"/>
    </row>
    <row r="89" spans="1:89">
      <c r="A89" s="7" t="s">
        <v>601</v>
      </c>
      <c r="B89" s="7" t="s">
        <v>602</v>
      </c>
      <c r="C89" s="7" t="s">
        <v>684</v>
      </c>
      <c r="D89" s="7" t="s">
        <v>712</v>
      </c>
      <c r="E89" s="7" t="s">
        <v>715</v>
      </c>
      <c r="F89" s="7" t="s">
        <v>724</v>
      </c>
      <c r="G89" s="7" t="s">
        <v>729</v>
      </c>
      <c r="H89" s="13">
        <v>729</v>
      </c>
      <c r="I89" s="13">
        <f>Tabla1[[#This Row],[PVP]]*74%</f>
        <v>539.46</v>
      </c>
      <c r="J89" s="13">
        <v>349.85</v>
      </c>
      <c r="K89" s="7">
        <v>8</v>
      </c>
      <c r="L89" s="7">
        <v>4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0</v>
      </c>
      <c r="U89" s="7">
        <v>0</v>
      </c>
      <c r="V89" s="7">
        <v>0</v>
      </c>
      <c r="W89" s="7">
        <v>0</v>
      </c>
      <c r="X89" s="7">
        <v>0</v>
      </c>
      <c r="Y89" s="7">
        <v>0</v>
      </c>
      <c r="Z89" s="7">
        <v>0</v>
      </c>
      <c r="AA89" s="7">
        <v>0</v>
      </c>
      <c r="AB89" s="7">
        <v>0</v>
      </c>
      <c r="AC89" s="7">
        <v>0</v>
      </c>
      <c r="AD89" s="7">
        <v>0</v>
      </c>
      <c r="AE89" s="7">
        <v>0</v>
      </c>
      <c r="AF89" s="7">
        <v>0</v>
      </c>
      <c r="AG89" s="7">
        <v>0</v>
      </c>
      <c r="AH89" s="7">
        <v>0</v>
      </c>
      <c r="AI89" s="7">
        <v>0</v>
      </c>
      <c r="AJ89" s="7">
        <v>0</v>
      </c>
      <c r="AK89" s="7">
        <v>0</v>
      </c>
      <c r="AL89" s="7">
        <v>0</v>
      </c>
      <c r="AM89" s="7">
        <v>0</v>
      </c>
      <c r="AN89" s="7">
        <v>0</v>
      </c>
      <c r="AO89" s="7">
        <v>0</v>
      </c>
      <c r="AP89" s="7">
        <v>0</v>
      </c>
      <c r="AQ89" s="7">
        <v>0</v>
      </c>
      <c r="AR89" s="7">
        <v>0</v>
      </c>
      <c r="AS89" s="7">
        <v>0</v>
      </c>
      <c r="AT89" s="7">
        <v>0</v>
      </c>
      <c r="AU89" s="7">
        <v>0</v>
      </c>
      <c r="AV89" s="7">
        <v>0</v>
      </c>
      <c r="AW89" s="7">
        <v>0</v>
      </c>
      <c r="AX89" s="7">
        <v>0</v>
      </c>
      <c r="AY89" s="7">
        <v>0</v>
      </c>
      <c r="AZ89" s="7">
        <v>0</v>
      </c>
      <c r="BA89" s="7">
        <v>0</v>
      </c>
      <c r="BB89" s="7">
        <v>0</v>
      </c>
      <c r="BC89" s="7">
        <v>0</v>
      </c>
      <c r="BD89" s="7">
        <v>0</v>
      </c>
      <c r="BE89" s="7">
        <v>0</v>
      </c>
      <c r="BF89" s="7">
        <v>0</v>
      </c>
      <c r="BG89" s="7">
        <v>0</v>
      </c>
      <c r="BH89" s="7">
        <v>0</v>
      </c>
      <c r="BI89" s="7">
        <v>0</v>
      </c>
      <c r="BJ89" s="7">
        <v>0</v>
      </c>
      <c r="BK89" s="7">
        <v>0</v>
      </c>
      <c r="BL89" s="7">
        <v>0</v>
      </c>
      <c r="BM89" s="13">
        <v>0</v>
      </c>
      <c r="BN89" s="13">
        <f>Tabla1[[#This Row],[CONSUMO TOTAL PROPIO]]/52</f>
        <v>0</v>
      </c>
      <c r="BO89" s="13" t="e">
        <f>SUM(Tabla3[[#This Row],[CONSUMO TOTAL V]]+Tabla2[[#This Row],[CONSUMO TOTAL VALORES]]+#REF!+#REF!)</f>
        <v>#REF!</v>
      </c>
      <c r="BP89" s="31">
        <v>0</v>
      </c>
      <c r="BQ89" s="13">
        <f>Tabla1[[#This Row],[CONSUMO TOTAL TODAS]]/52</f>
        <v>0</v>
      </c>
      <c r="BR89" s="25">
        <f>Tabla1[[#This Row],[CONSUMO PROMEDIO PROPIO]]+Tabla1[[#This Row],[CONSUMO PROMEDIO TODAS]]</f>
        <v>0</v>
      </c>
      <c r="BS89" s="26">
        <f>Tabla1[[#This Row],[CONSUMO PROMEDIO TOTAL]]*(Tabla1[[#This Row],[FRECUENCIA]]+Tabla1[[#This Row],[TIEMPO REPOSICION BUFFERS]])</f>
        <v>0</v>
      </c>
      <c r="BT89" s="26">
        <v>0</v>
      </c>
      <c r="BU89" s="27">
        <v>1</v>
      </c>
      <c r="BV89" s="27">
        <v>16</v>
      </c>
      <c r="BW89" s="27">
        <v>16</v>
      </c>
      <c r="BX89" s="69">
        <f>Tabla1[[#This Row],[BUFFER REAL]]*Tabla1[[#This Row],[COSTOS]]</f>
        <v>0</v>
      </c>
      <c r="BY89" s="69">
        <f>Tabla1[[#This Row],[PVP]]-Tabla1[[#This Row],[COSTOS]]</f>
        <v>379.15</v>
      </c>
      <c r="BZ89" s="69">
        <f>Tabla1[[#This Row],[PVD]]-Tabla1[[#This Row],[COSTOS]]</f>
        <v>189.61</v>
      </c>
      <c r="CA89" s="25">
        <f>Tabla1[[#This Row],[TRUPUD UNTITARIO PVD]]</f>
        <v>189.61</v>
      </c>
      <c r="CB89" s="25">
        <f>Tabla1[[#This Row],[TRUPUT UNITARIO]]/Tabla1[[#This Row],[COSTOS]]</f>
        <v>0.5419751321995141</v>
      </c>
      <c r="CC89" s="40">
        <f>Tabla1[[#This Row],[BUFFER REAL]]/((Tabla1[[#This Row],[TIEMPO REPOSICION BUFFERS]])/1.5)</f>
        <v>0</v>
      </c>
      <c r="CD89" s="69">
        <f>Tabla1[[#This Row],[CONSUMO ESTIMADO]]*52*Tabla1[[#This Row],[TRUPUT UNITARIO]]</f>
        <v>0</v>
      </c>
      <c r="CE89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89" s="25">
        <f>Tabla1[[#This Row],[INVERSION UNIDADES]]*Tabla1[[#This Row],[COSTOS]]</f>
        <v>0</v>
      </c>
      <c r="CG89" s="25" t="e">
        <f>Tabla1[[#This Row],[TRUPUT TOTAL ESTIMADO ANUAL]]/Tabla1[[#This Row],[INVERSION USD]]</f>
        <v>#DIV/0!</v>
      </c>
      <c r="CH89" s="27"/>
      <c r="CI89" s="27"/>
      <c r="CJ89" s="27"/>
      <c r="CK89" s="27"/>
    </row>
    <row r="90" spans="1:89">
      <c r="A90" s="7" t="s">
        <v>603</v>
      </c>
      <c r="B90" s="7" t="s">
        <v>604</v>
      </c>
      <c r="C90" s="7" t="s">
        <v>676</v>
      </c>
      <c r="D90" s="7" t="s">
        <v>712</v>
      </c>
      <c r="E90" s="7" t="s">
        <v>715</v>
      </c>
      <c r="F90" s="7" t="s">
        <v>724</v>
      </c>
      <c r="G90" s="7" t="s">
        <v>729</v>
      </c>
      <c r="H90" s="13">
        <v>41</v>
      </c>
      <c r="I90" s="13">
        <f>Tabla1[[#This Row],[PVP]]*74%</f>
        <v>30.34</v>
      </c>
      <c r="J90" s="13">
        <v>18.74315</v>
      </c>
      <c r="K90" s="7">
        <v>8</v>
      </c>
      <c r="L90" s="7">
        <v>4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10</v>
      </c>
      <c r="BC90" s="7">
        <v>0</v>
      </c>
      <c r="BD90" s="7">
        <v>0</v>
      </c>
      <c r="BE90" s="7">
        <v>0</v>
      </c>
      <c r="BF90" s="7">
        <v>0</v>
      </c>
      <c r="BG90" s="7">
        <v>0</v>
      </c>
      <c r="BH90" s="7">
        <v>100</v>
      </c>
      <c r="BI90" s="7">
        <v>0</v>
      </c>
      <c r="BJ90" s="7">
        <v>0</v>
      </c>
      <c r="BK90" s="7">
        <v>80</v>
      </c>
      <c r="BL90" s="7">
        <v>0</v>
      </c>
      <c r="BM90" s="13">
        <v>190</v>
      </c>
      <c r="BN90" s="13">
        <f>Tabla1[[#This Row],[CONSUMO TOTAL PROPIO]]/52</f>
        <v>3.6538461538461537</v>
      </c>
      <c r="BO90" s="13" t="e">
        <f>SUM(Tabla3[[#This Row],[CONSUMO TOTAL V]]+Tabla2[[#This Row],[CONSUMO TOTAL VALORES]]+#REF!+#REF!)</f>
        <v>#REF!</v>
      </c>
      <c r="BP90" s="31">
        <v>74</v>
      </c>
      <c r="BQ90" s="13">
        <f>Tabla1[[#This Row],[CONSUMO TOTAL TODAS]]/52</f>
        <v>1.4230769230769231</v>
      </c>
      <c r="BR90" s="25">
        <f>Tabla1[[#This Row],[CONSUMO PROMEDIO PROPIO]]+Tabla1[[#This Row],[CONSUMO PROMEDIO TODAS]]</f>
        <v>5.0769230769230766</v>
      </c>
      <c r="BS90" s="26">
        <f>Tabla1[[#This Row],[CONSUMO PROMEDIO TOTAL]]*(Tabla1[[#This Row],[FRECUENCIA]]+Tabla1[[#This Row],[TIEMPO REPOSICION BUFFERS]])</f>
        <v>60.92307692307692</v>
      </c>
      <c r="BT90" s="26">
        <v>100</v>
      </c>
      <c r="BU90" s="27">
        <v>1</v>
      </c>
      <c r="BV90" s="27">
        <v>16</v>
      </c>
      <c r="BW90" s="27">
        <v>16</v>
      </c>
      <c r="BX90" s="69">
        <f>Tabla1[[#This Row],[BUFFER REAL]]*Tabla1[[#This Row],[COSTOS]]</f>
        <v>1874.3150000000001</v>
      </c>
      <c r="BY90" s="69">
        <f>Tabla1[[#This Row],[PVP]]-Tabla1[[#This Row],[COSTOS]]</f>
        <v>22.25685</v>
      </c>
      <c r="BZ90" s="69">
        <f>Tabla1[[#This Row],[PVD]]-Tabla1[[#This Row],[COSTOS]]</f>
        <v>11.59685</v>
      </c>
      <c r="CA90" s="25">
        <f>Tabla1[[#This Row],[TRUPUD UNTITARIO PVD]]</f>
        <v>11.59685</v>
      </c>
      <c r="CB90" s="25">
        <f>Tabla1[[#This Row],[TRUPUT UNITARIO]]/Tabla1[[#This Row],[COSTOS]]</f>
        <v>0.61872470742644647</v>
      </c>
      <c r="CC90" s="40">
        <f>Tabla1[[#This Row],[BUFFER REAL]]/((Tabla1[[#This Row],[TIEMPO REPOSICION BUFFERS]])/1.5)</f>
        <v>37.5</v>
      </c>
      <c r="CD90" s="69">
        <f>Tabla1[[#This Row],[CONSUMO ESTIMADO]]*52*Tabla1[[#This Row],[TRUPUT UNITARIO]]</f>
        <v>22613.857499999998</v>
      </c>
      <c r="CE90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90" s="25">
        <f>Tabla1[[#This Row],[INVERSION UNIDADES]]*Tabla1[[#This Row],[COSTOS]]</f>
        <v>4217.2087499999998</v>
      </c>
      <c r="CG90" s="25">
        <f>Tabla1[[#This Row],[TRUPUT TOTAL ESTIMADO ANUAL]]/Tabla1[[#This Row],[INVERSION USD]]</f>
        <v>5.3622807976958695</v>
      </c>
      <c r="CH90" s="27"/>
      <c r="CI90" s="27"/>
      <c r="CJ90" s="27"/>
      <c r="CK90" s="27"/>
    </row>
    <row r="91" spans="1:89">
      <c r="A91" s="7" t="s">
        <v>605</v>
      </c>
      <c r="B91" s="7" t="s">
        <v>606</v>
      </c>
      <c r="C91" s="7" t="s">
        <v>696</v>
      </c>
      <c r="D91" s="7" t="s">
        <v>709</v>
      </c>
      <c r="E91" s="7" t="s">
        <v>719</v>
      </c>
      <c r="F91" s="7" t="s">
        <v>724</v>
      </c>
      <c r="G91" s="7" t="s">
        <v>729</v>
      </c>
      <c r="H91" s="13">
        <v>8.69</v>
      </c>
      <c r="I91" s="13">
        <f>Tabla1[[#This Row],[PVP]]*65%</f>
        <v>5.6485000000000003</v>
      </c>
      <c r="J91" s="13">
        <v>1.44598</v>
      </c>
      <c r="K91" s="7">
        <v>26</v>
      </c>
      <c r="L91" s="7">
        <v>4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3</v>
      </c>
      <c r="Y91" s="7">
        <v>122</v>
      </c>
      <c r="Z91" s="7">
        <v>0</v>
      </c>
      <c r="AA91" s="7">
        <v>30</v>
      </c>
      <c r="AB91" s="7">
        <v>12</v>
      </c>
      <c r="AC91" s="7">
        <v>50</v>
      </c>
      <c r="AD91" s="7">
        <v>64</v>
      </c>
      <c r="AE91" s="7">
        <v>215</v>
      </c>
      <c r="AF91" s="7">
        <v>52</v>
      </c>
      <c r="AG91" s="7">
        <v>42</v>
      </c>
      <c r="AH91" s="7">
        <v>20</v>
      </c>
      <c r="AI91" s="7">
        <v>0</v>
      </c>
      <c r="AJ91" s="7">
        <v>2</v>
      </c>
      <c r="AK91" s="7">
        <v>101</v>
      </c>
      <c r="AL91" s="7">
        <v>0</v>
      </c>
      <c r="AM91" s="7">
        <v>60</v>
      </c>
      <c r="AN91" s="7">
        <v>302</v>
      </c>
      <c r="AO91" s="7">
        <v>0</v>
      </c>
      <c r="AP91" s="7">
        <v>40</v>
      </c>
      <c r="AQ91" s="7">
        <v>0</v>
      </c>
      <c r="AR91" s="7">
        <v>60</v>
      </c>
      <c r="AS91" s="7">
        <v>243</v>
      </c>
      <c r="AT91" s="7">
        <v>125</v>
      </c>
      <c r="AU91" s="7">
        <v>62</v>
      </c>
      <c r="AV91" s="7">
        <v>282</v>
      </c>
      <c r="AW91" s="7">
        <v>25</v>
      </c>
      <c r="AX91" s="7">
        <v>36</v>
      </c>
      <c r="AY91" s="7">
        <v>200</v>
      </c>
      <c r="AZ91" s="7">
        <v>0</v>
      </c>
      <c r="BA91" s="7">
        <v>0</v>
      </c>
      <c r="BB91" s="7">
        <v>42</v>
      </c>
      <c r="BC91" s="7">
        <v>27</v>
      </c>
      <c r="BD91" s="7">
        <v>450</v>
      </c>
      <c r="BE91" s="7">
        <v>400</v>
      </c>
      <c r="BF91" s="7">
        <v>95</v>
      </c>
      <c r="BG91" s="7">
        <v>31</v>
      </c>
      <c r="BH91" s="7">
        <v>289</v>
      </c>
      <c r="BI91" s="7">
        <v>100</v>
      </c>
      <c r="BJ91" s="7">
        <v>106</v>
      </c>
      <c r="BK91" s="7">
        <v>5</v>
      </c>
      <c r="BL91" s="7">
        <v>6</v>
      </c>
      <c r="BM91" s="13">
        <v>3699</v>
      </c>
      <c r="BN91" s="13">
        <f>Tabla1[[#This Row],[CONSUMO TOTAL PROPIO]]/52</f>
        <v>71.134615384615387</v>
      </c>
      <c r="BO91" s="13" t="e">
        <f>SUM(Tabla3[[#This Row],[CONSUMO TOTAL V]]+Tabla2[[#This Row],[CONSUMO TOTAL VALORES]]+#REF!+#REF!)</f>
        <v>#REF!</v>
      </c>
      <c r="BP91" s="31">
        <v>212</v>
      </c>
      <c r="BQ91" s="13">
        <f>Tabla1[[#This Row],[CONSUMO TOTAL TODAS]]/52</f>
        <v>4.0769230769230766</v>
      </c>
      <c r="BR91" s="25">
        <f>Tabla1[[#This Row],[CONSUMO PROMEDIO PROPIO]]+Tabla1[[#This Row],[CONSUMO PROMEDIO TODAS]]</f>
        <v>75.211538461538467</v>
      </c>
      <c r="BS91" s="26">
        <f>Tabla1[[#This Row],[CONSUMO PROMEDIO TOTAL]]*(Tabla1[[#This Row],[FRECUENCIA]]+Tabla1[[#This Row],[TIEMPO REPOSICION BUFFERS]])</f>
        <v>2256.3461538461538</v>
      </c>
      <c r="BT91" s="26">
        <v>400</v>
      </c>
      <c r="BU91" s="27">
        <v>1</v>
      </c>
      <c r="BV91" s="27">
        <v>16</v>
      </c>
      <c r="BW91" s="27">
        <v>16</v>
      </c>
      <c r="BX91" s="69">
        <f>Tabla1[[#This Row],[BUFFER REAL]]*Tabla1[[#This Row],[COSTOS]]</f>
        <v>578.39200000000005</v>
      </c>
      <c r="BY91" s="69">
        <f>Tabla1[[#This Row],[PVP]]-Tabla1[[#This Row],[COSTOS]]</f>
        <v>7.244019999999999</v>
      </c>
      <c r="BZ91" s="69">
        <f>Tabla1[[#This Row],[PVD]]-Tabla1[[#This Row],[COSTOS]]</f>
        <v>4.2025199999999998</v>
      </c>
      <c r="CA91" s="25">
        <f>Tabla1[[#This Row],[TRUPUD UNTITARIO PVD]]</f>
        <v>4.2025199999999998</v>
      </c>
      <c r="CB91" s="25">
        <f>Tabla1[[#This Row],[TRUPUT UNITARIO]]/Tabla1[[#This Row],[COSTOS]]</f>
        <v>2.9063472523824672</v>
      </c>
      <c r="CC91" s="40">
        <f>Tabla1[[#This Row],[BUFFER REAL]]/((Tabla1[[#This Row],[TIEMPO REPOSICION BUFFERS]])/1.5)</f>
        <v>150</v>
      </c>
      <c r="CD91" s="69">
        <f>Tabla1[[#This Row],[CONSUMO ESTIMADO]]*52*Tabla1[[#This Row],[TRUPUT UNITARIO]]</f>
        <v>32779.655999999995</v>
      </c>
      <c r="CE91" s="25">
        <f>Tabla1[[#This Row],[CONSUMO ESTIMADO]]*(Tabla1[[#This Row],[TIEMPO REPOSICION BUFFERS]]*1.5)+( Tabla1[[#This Row],[TRUPUT TOTAL ESTIMADO ANUAL]]*(Tabla1[[#This Row],[CRÉDITO CLIENTE]]-Tabla1[[#This Row],[CREDITO PROVEEDOR]]))</f>
        <v>900</v>
      </c>
      <c r="CF91" s="25">
        <f>Tabla1[[#This Row],[INVERSION UNIDADES]]*Tabla1[[#This Row],[COSTOS]]</f>
        <v>1301.3820000000001</v>
      </c>
      <c r="CG91" s="25">
        <f>Tabla1[[#This Row],[TRUPUT TOTAL ESTIMADO ANUAL]]/Tabla1[[#This Row],[INVERSION USD]]</f>
        <v>25.188342853981379</v>
      </c>
      <c r="CH91" s="27"/>
      <c r="CI91" s="27"/>
      <c r="CJ91" s="27"/>
      <c r="CK91" s="27"/>
    </row>
    <row r="92" spans="1:89">
      <c r="A92" s="7" t="s">
        <v>607</v>
      </c>
      <c r="B92" s="7" t="s">
        <v>608</v>
      </c>
      <c r="C92" s="7" t="s">
        <v>683</v>
      </c>
      <c r="D92" s="7" t="s">
        <v>709</v>
      </c>
      <c r="E92" s="7" t="s">
        <v>719</v>
      </c>
      <c r="F92" s="7" t="s">
        <v>724</v>
      </c>
      <c r="G92" s="7" t="s">
        <v>729</v>
      </c>
      <c r="H92" s="13">
        <v>4.8899999999999997</v>
      </c>
      <c r="I92" s="13">
        <f>Tabla1[[#This Row],[PVP]]*65%</f>
        <v>3.1785000000000001</v>
      </c>
      <c r="J92" s="13">
        <v>0.99360000000000004</v>
      </c>
      <c r="K92" s="7">
        <v>26</v>
      </c>
      <c r="L92" s="7">
        <v>4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50</v>
      </c>
      <c r="Y92" s="7">
        <v>0</v>
      </c>
      <c r="Z92" s="7">
        <v>0</v>
      </c>
      <c r="AA92" s="7">
        <v>50</v>
      </c>
      <c r="AB92" s="7">
        <v>0</v>
      </c>
      <c r="AC92" s="7">
        <v>0</v>
      </c>
      <c r="AD92" s="7">
        <v>0</v>
      </c>
      <c r="AE92" s="7">
        <v>16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5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200</v>
      </c>
      <c r="AT92" s="7">
        <v>0</v>
      </c>
      <c r="AU92" s="7">
        <v>50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1</v>
      </c>
      <c r="BD92" s="7">
        <v>0</v>
      </c>
      <c r="BE92" s="7">
        <v>22</v>
      </c>
      <c r="BF92" s="7">
        <v>0</v>
      </c>
      <c r="BG92" s="7">
        <v>0</v>
      </c>
      <c r="BH92" s="7">
        <v>0</v>
      </c>
      <c r="BI92" s="7">
        <v>0</v>
      </c>
      <c r="BJ92" s="7">
        <v>100</v>
      </c>
      <c r="BK92" s="7">
        <v>0</v>
      </c>
      <c r="BL92" s="7">
        <v>0</v>
      </c>
      <c r="BM92" s="13">
        <v>494</v>
      </c>
      <c r="BN92" s="13">
        <f>Tabla1[[#This Row],[CONSUMO TOTAL PROPIO]]/52</f>
        <v>9.5</v>
      </c>
      <c r="BO92" s="13" t="e">
        <f>SUM(Tabla3[[#This Row],[CONSUMO TOTAL V]]+Tabla2[[#This Row],[CONSUMO TOTAL VALORES]]+#REF!+#REF!)</f>
        <v>#REF!</v>
      </c>
      <c r="BP92" s="31">
        <v>22</v>
      </c>
      <c r="BQ92" s="13">
        <f>Tabla1[[#This Row],[CONSUMO TOTAL TODAS]]/52</f>
        <v>0.42307692307692307</v>
      </c>
      <c r="BR92" s="25">
        <f>Tabla1[[#This Row],[CONSUMO PROMEDIO PROPIO]]+Tabla1[[#This Row],[CONSUMO PROMEDIO TODAS]]</f>
        <v>9.9230769230769234</v>
      </c>
      <c r="BS92" s="26">
        <f>Tabla1[[#This Row],[CONSUMO PROMEDIO TOTAL]]*(Tabla1[[#This Row],[FRECUENCIA]]+Tabla1[[#This Row],[TIEMPO REPOSICION BUFFERS]])</f>
        <v>297.69230769230768</v>
      </c>
      <c r="BT92" s="26">
        <v>40</v>
      </c>
      <c r="BU92" s="27">
        <v>1</v>
      </c>
      <c r="BV92" s="27">
        <v>16</v>
      </c>
      <c r="BW92" s="27">
        <v>16</v>
      </c>
      <c r="BX92" s="69">
        <f>Tabla1[[#This Row],[BUFFER REAL]]*Tabla1[[#This Row],[COSTOS]]</f>
        <v>39.744</v>
      </c>
      <c r="BY92" s="69">
        <f>Tabla1[[#This Row],[PVP]]-Tabla1[[#This Row],[COSTOS]]</f>
        <v>3.8963999999999999</v>
      </c>
      <c r="BZ92" s="69">
        <f>Tabla1[[#This Row],[PVD]]-Tabla1[[#This Row],[COSTOS]]</f>
        <v>2.1848999999999998</v>
      </c>
      <c r="CA92" s="25">
        <f>Tabla1[[#This Row],[TRUPUD UNTITARIO PVD]]</f>
        <v>2.1848999999999998</v>
      </c>
      <c r="CB92" s="25">
        <f>Tabla1[[#This Row],[TRUPUT UNITARIO]]/Tabla1[[#This Row],[COSTOS]]</f>
        <v>2.1989734299516908</v>
      </c>
      <c r="CC92" s="40">
        <f>Tabla1[[#This Row],[BUFFER REAL]]/((Tabla1[[#This Row],[TIEMPO REPOSICION BUFFERS]])/1.5)</f>
        <v>15</v>
      </c>
      <c r="CD92" s="69">
        <f>Tabla1[[#This Row],[CONSUMO ESTIMADO]]*52*Tabla1[[#This Row],[TRUPUT UNITARIO]]</f>
        <v>1704.222</v>
      </c>
      <c r="CE92" s="25">
        <f>Tabla1[[#This Row],[CONSUMO ESTIMADO]]*(Tabla1[[#This Row],[TIEMPO REPOSICION BUFFERS]]*1.5)+( Tabla1[[#This Row],[TRUPUT TOTAL ESTIMADO ANUAL]]*(Tabla1[[#This Row],[CRÉDITO CLIENTE]]-Tabla1[[#This Row],[CREDITO PROVEEDOR]]))</f>
        <v>90</v>
      </c>
      <c r="CF92" s="25">
        <f>Tabla1[[#This Row],[INVERSION UNIDADES]]*Tabla1[[#This Row],[COSTOS]]</f>
        <v>89.424000000000007</v>
      </c>
      <c r="CG92" s="25">
        <f>Tabla1[[#This Row],[TRUPUT TOTAL ESTIMADO ANUAL]]/Tabla1[[#This Row],[INVERSION USD]]</f>
        <v>19.057769726247987</v>
      </c>
      <c r="CH92" s="27"/>
      <c r="CI92" s="27"/>
      <c r="CJ92" s="27"/>
      <c r="CK92" s="27"/>
    </row>
    <row r="93" spans="1:89">
      <c r="A93" s="7" t="s">
        <v>609</v>
      </c>
      <c r="B93" s="7" t="s">
        <v>610</v>
      </c>
      <c r="C93" s="7" t="s">
        <v>2</v>
      </c>
      <c r="D93" s="7" t="s">
        <v>709</v>
      </c>
      <c r="E93" s="7" t="s">
        <v>719</v>
      </c>
      <c r="F93" s="7" t="s">
        <v>724</v>
      </c>
      <c r="G93" s="7" t="s">
        <v>729</v>
      </c>
      <c r="H93" s="13">
        <v>34.9</v>
      </c>
      <c r="I93" s="13">
        <f>Tabla1[[#This Row],[PVP]]*65%</f>
        <v>22.684999999999999</v>
      </c>
      <c r="J93" s="13">
        <v>7.2575599999999998</v>
      </c>
      <c r="K93" s="7">
        <v>26</v>
      </c>
      <c r="L93" s="7">
        <v>4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1</v>
      </c>
      <c r="AT93" s="7">
        <v>5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 s="7">
        <v>0</v>
      </c>
      <c r="BE93" s="7">
        <v>0</v>
      </c>
      <c r="BF93" s="7">
        <v>0</v>
      </c>
      <c r="BG93" s="7">
        <v>0</v>
      </c>
      <c r="BH93" s="7">
        <v>0</v>
      </c>
      <c r="BI93" s="7">
        <v>0</v>
      </c>
      <c r="BJ93" s="7">
        <v>0</v>
      </c>
      <c r="BK93" s="7">
        <v>0</v>
      </c>
      <c r="BL93" s="7">
        <v>0</v>
      </c>
      <c r="BM93" s="13">
        <v>6</v>
      </c>
      <c r="BN93" s="13">
        <f>Tabla1[[#This Row],[CONSUMO TOTAL PROPIO]]/52</f>
        <v>0.11538461538461539</v>
      </c>
      <c r="BO93" s="13" t="e">
        <f>SUM(Tabla3[[#This Row],[CONSUMO TOTAL V]]+Tabla2[[#This Row],[CONSUMO TOTAL VALORES]]+#REF!+#REF!)</f>
        <v>#REF!</v>
      </c>
      <c r="BP93" s="31">
        <v>90</v>
      </c>
      <c r="BQ93" s="13">
        <f>Tabla1[[#This Row],[CONSUMO TOTAL TODAS]]/52</f>
        <v>1.7307692307692308</v>
      </c>
      <c r="BR93" s="25">
        <f>Tabla1[[#This Row],[CONSUMO PROMEDIO PROPIO]]+Tabla1[[#This Row],[CONSUMO PROMEDIO TODAS]]</f>
        <v>1.8461538461538463</v>
      </c>
      <c r="BS93" s="26">
        <f>Tabla1[[#This Row],[CONSUMO PROMEDIO TOTAL]]*(Tabla1[[#This Row],[FRECUENCIA]]+Tabla1[[#This Row],[TIEMPO REPOSICION BUFFERS]])</f>
        <v>55.384615384615387</v>
      </c>
      <c r="BT93" s="26">
        <v>20</v>
      </c>
      <c r="BU93" s="27">
        <v>1</v>
      </c>
      <c r="BV93" s="27">
        <v>16</v>
      </c>
      <c r="BW93" s="27">
        <v>16</v>
      </c>
      <c r="BX93" s="69">
        <f>Tabla1[[#This Row],[BUFFER REAL]]*Tabla1[[#This Row],[COSTOS]]</f>
        <v>145.15119999999999</v>
      </c>
      <c r="BY93" s="69">
        <f>Tabla1[[#This Row],[PVP]]-Tabla1[[#This Row],[COSTOS]]</f>
        <v>27.642440000000001</v>
      </c>
      <c r="BZ93" s="69">
        <f>Tabla1[[#This Row],[PVD]]-Tabla1[[#This Row],[COSTOS]]</f>
        <v>15.427439999999999</v>
      </c>
      <c r="CA93" s="25">
        <f>Tabla1[[#This Row],[TRUPUD UNTITARIO PVD]]</f>
        <v>15.427439999999999</v>
      </c>
      <c r="CB93" s="25">
        <f>Tabla1[[#This Row],[TRUPUT UNITARIO]]/Tabla1[[#This Row],[COSTOS]]</f>
        <v>2.1257061601970908</v>
      </c>
      <c r="CC93" s="40">
        <f>Tabla1[[#This Row],[BUFFER REAL]]/((Tabla1[[#This Row],[TIEMPO REPOSICION BUFFERS]])/1.5)</f>
        <v>7.5</v>
      </c>
      <c r="CD93" s="69">
        <f>Tabla1[[#This Row],[CONSUMO ESTIMADO]]*52*Tabla1[[#This Row],[TRUPUT UNITARIO]]</f>
        <v>6016.7015999999994</v>
      </c>
      <c r="CE93" s="25">
        <f>Tabla1[[#This Row],[CONSUMO ESTIMADO]]*(Tabla1[[#This Row],[TIEMPO REPOSICION BUFFERS]]*1.5)+( Tabla1[[#This Row],[TRUPUT TOTAL ESTIMADO ANUAL]]*(Tabla1[[#This Row],[CRÉDITO CLIENTE]]-Tabla1[[#This Row],[CREDITO PROVEEDOR]]))</f>
        <v>45</v>
      </c>
      <c r="CF93" s="25">
        <f>Tabla1[[#This Row],[INVERSION UNIDADES]]*Tabla1[[#This Row],[COSTOS]]</f>
        <v>326.59019999999998</v>
      </c>
      <c r="CG93" s="25">
        <f>Tabla1[[#This Row],[TRUPUT TOTAL ESTIMADO ANUAL]]/Tabla1[[#This Row],[INVERSION USD]]</f>
        <v>18.422786721708121</v>
      </c>
      <c r="CH93" s="27"/>
      <c r="CI93" s="27"/>
      <c r="CJ93" s="27"/>
      <c r="CK93" s="27"/>
    </row>
    <row r="94" spans="1:89">
      <c r="A94" s="7" t="s">
        <v>611</v>
      </c>
      <c r="B94" s="7" t="s">
        <v>612</v>
      </c>
      <c r="C94" s="7" t="s">
        <v>692</v>
      </c>
      <c r="D94" s="7" t="s">
        <v>712</v>
      </c>
      <c r="E94" s="7" t="s">
        <v>719</v>
      </c>
      <c r="F94" s="7" t="s">
        <v>724</v>
      </c>
      <c r="G94" s="7" t="s">
        <v>729</v>
      </c>
      <c r="H94" s="13">
        <v>2.29</v>
      </c>
      <c r="I94" s="13">
        <f>Tabla1[[#This Row],[PVP]]*74%</f>
        <v>1.6946000000000001</v>
      </c>
      <c r="J94" s="13">
        <v>0.90961999999999998</v>
      </c>
      <c r="K94" s="7">
        <v>26</v>
      </c>
      <c r="L94" s="7">
        <v>4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10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70</v>
      </c>
      <c r="AL94" s="7">
        <v>500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2</v>
      </c>
      <c r="AW94" s="7">
        <v>10</v>
      </c>
      <c r="AX94" s="7">
        <v>0</v>
      </c>
      <c r="AY94" s="7">
        <v>0</v>
      </c>
      <c r="AZ94" s="7">
        <v>0</v>
      </c>
      <c r="BA94" s="7">
        <v>0</v>
      </c>
      <c r="BB94" s="7">
        <v>6</v>
      </c>
      <c r="BC94" s="7">
        <v>0</v>
      </c>
      <c r="BD94" s="7">
        <v>0</v>
      </c>
      <c r="BE94" s="7">
        <v>0</v>
      </c>
      <c r="BF94" s="7">
        <v>0</v>
      </c>
      <c r="BG94" s="7">
        <v>0</v>
      </c>
      <c r="BH94" s="7">
        <v>0</v>
      </c>
      <c r="BI94" s="7">
        <v>0</v>
      </c>
      <c r="BJ94" s="7">
        <v>0</v>
      </c>
      <c r="BK94" s="7">
        <v>6</v>
      </c>
      <c r="BL94" s="7">
        <v>12</v>
      </c>
      <c r="BM94" s="13">
        <v>616</v>
      </c>
      <c r="BN94" s="13">
        <f>Tabla1[[#This Row],[CONSUMO TOTAL PROPIO]]/52</f>
        <v>11.846153846153847</v>
      </c>
      <c r="BO94" s="13" t="e">
        <f>SUM(Tabla3[[#This Row],[CONSUMO TOTAL V]]+Tabla2[[#This Row],[CONSUMO TOTAL VALORES]]+#REF!+#REF!)</f>
        <v>#REF!</v>
      </c>
      <c r="BP94" s="31">
        <v>2</v>
      </c>
      <c r="BQ94" s="13">
        <f>Tabla1[[#This Row],[CONSUMO TOTAL TODAS]]/52</f>
        <v>3.8461538461538464E-2</v>
      </c>
      <c r="BR94" s="25">
        <f>Tabla1[[#This Row],[CONSUMO PROMEDIO PROPIO]]+Tabla1[[#This Row],[CONSUMO PROMEDIO TODAS]]</f>
        <v>11.884615384615385</v>
      </c>
      <c r="BS94" s="26">
        <f>Tabla1[[#This Row],[CONSUMO PROMEDIO TOTAL]]*(Tabla1[[#This Row],[FRECUENCIA]]+Tabla1[[#This Row],[TIEMPO REPOSICION BUFFERS]])</f>
        <v>356.53846153846155</v>
      </c>
      <c r="BT94" s="26">
        <v>100</v>
      </c>
      <c r="BU94" s="27">
        <v>1</v>
      </c>
      <c r="BV94" s="27">
        <v>16</v>
      </c>
      <c r="BW94" s="27">
        <v>16</v>
      </c>
      <c r="BX94" s="69">
        <f>Tabla1[[#This Row],[BUFFER REAL]]*Tabla1[[#This Row],[COSTOS]]</f>
        <v>90.962000000000003</v>
      </c>
      <c r="BY94" s="69">
        <f>Tabla1[[#This Row],[PVP]]-Tabla1[[#This Row],[COSTOS]]</f>
        <v>1.3803800000000002</v>
      </c>
      <c r="BZ94" s="69">
        <f>Tabla1[[#This Row],[PVD]]-Tabla1[[#This Row],[COSTOS]]</f>
        <v>0.78498000000000012</v>
      </c>
      <c r="CA94" s="25">
        <f>Tabla1[[#This Row],[TRUPUD UNTITARIO PVD]]</f>
        <v>0.78498000000000012</v>
      </c>
      <c r="CB94" s="25">
        <f>Tabla1[[#This Row],[TRUPUT UNITARIO]]/Tabla1[[#This Row],[COSTOS]]</f>
        <v>0.86297574811459743</v>
      </c>
      <c r="CC94" s="40">
        <f>Tabla1[[#This Row],[BUFFER REAL]]/((Tabla1[[#This Row],[TIEMPO REPOSICION BUFFERS]])/1.5)</f>
        <v>37.5</v>
      </c>
      <c r="CD94" s="69">
        <f>Tabla1[[#This Row],[CONSUMO ESTIMADO]]*52*Tabla1[[#This Row],[TRUPUT UNITARIO]]</f>
        <v>1530.7110000000002</v>
      </c>
      <c r="CE94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94" s="25">
        <f>Tabla1[[#This Row],[INVERSION UNIDADES]]*Tabla1[[#This Row],[COSTOS]]</f>
        <v>204.6645</v>
      </c>
      <c r="CG94" s="25">
        <f>Tabla1[[#This Row],[TRUPUT TOTAL ESTIMADO ANUAL]]/Tabla1[[#This Row],[INVERSION USD]]</f>
        <v>7.4791231503265108</v>
      </c>
      <c r="CH94" s="27"/>
      <c r="CI94" s="27"/>
      <c r="CJ94" s="27"/>
      <c r="CK94" s="27"/>
    </row>
    <row r="95" spans="1:89">
      <c r="A95" s="7" t="s">
        <v>613</v>
      </c>
      <c r="B95" s="7" t="s">
        <v>614</v>
      </c>
      <c r="C95" s="7" t="s">
        <v>671</v>
      </c>
      <c r="D95" s="7" t="s">
        <v>712</v>
      </c>
      <c r="E95" s="7" t="s">
        <v>719</v>
      </c>
      <c r="F95" s="7" t="s">
        <v>724</v>
      </c>
      <c r="G95" s="7" t="s">
        <v>729</v>
      </c>
      <c r="H95" s="13">
        <v>7.84</v>
      </c>
      <c r="I95" s="13">
        <f>Tabla1[[#This Row],[PVP]]*74%</f>
        <v>5.8015999999999996</v>
      </c>
      <c r="J95" s="13">
        <v>3.92259</v>
      </c>
      <c r="K95" s="7">
        <v>26</v>
      </c>
      <c r="L95" s="7">
        <v>6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9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10</v>
      </c>
      <c r="AH95" s="7">
        <v>0</v>
      </c>
      <c r="AI95" s="7">
        <v>0</v>
      </c>
      <c r="AJ95" s="7">
        <v>0</v>
      </c>
      <c r="AK95" s="7">
        <v>0</v>
      </c>
      <c r="AL95" s="7">
        <v>1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2</v>
      </c>
      <c r="AU95" s="7">
        <v>0</v>
      </c>
      <c r="AV95" s="7">
        <v>0</v>
      </c>
      <c r="AW95" s="7">
        <v>0</v>
      </c>
      <c r="AX95" s="7">
        <v>0</v>
      </c>
      <c r="AY95" s="7">
        <v>5</v>
      </c>
      <c r="AZ95" s="7">
        <v>0</v>
      </c>
      <c r="BA95" s="7">
        <v>0</v>
      </c>
      <c r="BB95" s="7">
        <v>0</v>
      </c>
      <c r="BC95" s="7">
        <v>0</v>
      </c>
      <c r="BD95" s="7">
        <v>0</v>
      </c>
      <c r="BE95" s="7">
        <v>0</v>
      </c>
      <c r="BF95" s="7">
        <v>0</v>
      </c>
      <c r="BG95" s="7">
        <v>0</v>
      </c>
      <c r="BH95" s="7">
        <v>0</v>
      </c>
      <c r="BI95" s="7">
        <v>0</v>
      </c>
      <c r="BJ95" s="7">
        <v>0</v>
      </c>
      <c r="BK95" s="7">
        <v>0</v>
      </c>
      <c r="BL95" s="7">
        <v>0</v>
      </c>
      <c r="BM95" s="13">
        <v>27</v>
      </c>
      <c r="BN95" s="13">
        <f>Tabla1[[#This Row],[CONSUMO TOTAL PROPIO]]/52</f>
        <v>0.51923076923076927</v>
      </c>
      <c r="BO95" s="13" t="e">
        <f>SUM(Tabla3[[#This Row],[CONSUMO TOTAL V]]+Tabla2[[#This Row],[CONSUMO TOTAL VALORES]]+#REF!+#REF!)</f>
        <v>#REF!</v>
      </c>
      <c r="BP95" s="31">
        <v>306</v>
      </c>
      <c r="BQ95" s="13">
        <f>Tabla1[[#This Row],[CONSUMO TOTAL TODAS]]/52</f>
        <v>5.884615384615385</v>
      </c>
      <c r="BR95" s="25">
        <f>Tabla1[[#This Row],[CONSUMO PROMEDIO PROPIO]]+Tabla1[[#This Row],[CONSUMO PROMEDIO TODAS]]</f>
        <v>6.4038461538461542</v>
      </c>
      <c r="BS95" s="26">
        <f>Tabla1[[#This Row],[CONSUMO PROMEDIO TOTAL]]*(Tabla1[[#This Row],[FRECUENCIA]]+Tabla1[[#This Row],[TIEMPO REPOSICION BUFFERS]])</f>
        <v>204.92307692307693</v>
      </c>
      <c r="BT95" s="26">
        <v>50</v>
      </c>
      <c r="BU95" s="27">
        <v>1</v>
      </c>
      <c r="BV95" s="27">
        <v>16</v>
      </c>
      <c r="BW95" s="27">
        <v>16</v>
      </c>
      <c r="BX95" s="69">
        <f>Tabla1[[#This Row],[BUFFER REAL]]*Tabla1[[#This Row],[COSTOS]]</f>
        <v>196.12950000000001</v>
      </c>
      <c r="BY95" s="69">
        <f>Tabla1[[#This Row],[PVP]]-Tabla1[[#This Row],[COSTOS]]</f>
        <v>3.9174099999999998</v>
      </c>
      <c r="BZ95" s="69">
        <f>Tabla1[[#This Row],[PVD]]-Tabla1[[#This Row],[COSTOS]]</f>
        <v>1.8790099999999996</v>
      </c>
      <c r="CA95" s="25">
        <f>Tabla1[[#This Row],[TRUPUD UNTITARIO PVD]]</f>
        <v>1.8790099999999996</v>
      </c>
      <c r="CB95" s="25">
        <f>Tabla1[[#This Row],[TRUPUT UNITARIO]]/Tabla1[[#This Row],[COSTOS]]</f>
        <v>0.47902278851473123</v>
      </c>
      <c r="CC95" s="40">
        <f>Tabla1[[#This Row],[BUFFER REAL]]/((Tabla1[[#This Row],[TIEMPO REPOSICION BUFFERS]])/1.5)</f>
        <v>12.5</v>
      </c>
      <c r="CD95" s="69">
        <f>Tabla1[[#This Row],[CONSUMO ESTIMADO]]*52*Tabla1[[#This Row],[TRUPUT UNITARIO]]</f>
        <v>1221.3564999999999</v>
      </c>
      <c r="CE95" s="25">
        <f>Tabla1[[#This Row],[CONSUMO ESTIMADO]]*(Tabla1[[#This Row],[TIEMPO REPOSICION BUFFERS]]*1.5)+( Tabla1[[#This Row],[TRUPUT TOTAL ESTIMADO ANUAL]]*(Tabla1[[#This Row],[CRÉDITO CLIENTE]]-Tabla1[[#This Row],[CREDITO PROVEEDOR]]))</f>
        <v>112.5</v>
      </c>
      <c r="CF95" s="25">
        <f>Tabla1[[#This Row],[INVERSION UNIDADES]]*Tabla1[[#This Row],[COSTOS]]</f>
        <v>441.29137500000002</v>
      </c>
      <c r="CG95" s="25">
        <f>Tabla1[[#This Row],[TRUPUT TOTAL ESTIMADO ANUAL]]/Tabla1[[#This Row],[INVERSION USD]]</f>
        <v>2.7676872225295583</v>
      </c>
      <c r="CH95" s="27"/>
      <c r="CI95" s="27"/>
      <c r="CJ95" s="27"/>
      <c r="CK95" s="27"/>
    </row>
    <row r="96" spans="1:89">
      <c r="A96" s="7" t="s">
        <v>615</v>
      </c>
      <c r="B96" s="7" t="s">
        <v>616</v>
      </c>
      <c r="C96" s="7" t="s">
        <v>672</v>
      </c>
      <c r="D96" s="7" t="s">
        <v>712</v>
      </c>
      <c r="E96" s="7" t="s">
        <v>719</v>
      </c>
      <c r="F96" s="7" t="s">
        <v>724</v>
      </c>
      <c r="G96" s="7" t="s">
        <v>729</v>
      </c>
      <c r="H96" s="13">
        <v>14.39</v>
      </c>
      <c r="I96" s="13">
        <f>Tabla1[[#This Row],[PVP]]*74%</f>
        <v>10.6486</v>
      </c>
      <c r="J96" s="13">
        <v>7.23766</v>
      </c>
      <c r="K96" s="7">
        <v>26</v>
      </c>
      <c r="L96" s="7">
        <v>6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2</v>
      </c>
      <c r="AC96" s="7">
        <v>0</v>
      </c>
      <c r="AD96" s="7">
        <v>0</v>
      </c>
      <c r="AE96" s="7">
        <v>0</v>
      </c>
      <c r="AF96" s="7">
        <v>0</v>
      </c>
      <c r="AG96" s="7">
        <v>5</v>
      </c>
      <c r="AH96" s="7">
        <v>0</v>
      </c>
      <c r="AI96" s="7">
        <v>0</v>
      </c>
      <c r="AJ96" s="7">
        <v>1</v>
      </c>
      <c r="AK96" s="7">
        <v>0</v>
      </c>
      <c r="AL96" s="7">
        <v>0</v>
      </c>
      <c r="AM96" s="7">
        <v>0</v>
      </c>
      <c r="AN96" s="7">
        <v>4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5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 s="7">
        <v>6</v>
      </c>
      <c r="BE96" s="7">
        <v>0</v>
      </c>
      <c r="BF96" s="7">
        <v>0</v>
      </c>
      <c r="BG96" s="7">
        <v>2</v>
      </c>
      <c r="BH96" s="7">
        <v>0</v>
      </c>
      <c r="BI96" s="7">
        <v>0</v>
      </c>
      <c r="BJ96" s="7">
        <v>0</v>
      </c>
      <c r="BK96" s="7">
        <v>0</v>
      </c>
      <c r="BL96" s="7">
        <v>0</v>
      </c>
      <c r="BM96" s="13">
        <v>25</v>
      </c>
      <c r="BN96" s="13">
        <f>Tabla1[[#This Row],[CONSUMO TOTAL PROPIO]]/52</f>
        <v>0.48076923076923078</v>
      </c>
      <c r="BO96" s="13" t="e">
        <f>SUM(Tabla3[[#This Row],[CONSUMO TOTAL V]]+Tabla2[[#This Row],[CONSUMO TOTAL VALORES]]+#REF!+#REF!)</f>
        <v>#REF!</v>
      </c>
      <c r="BP96" s="31">
        <v>186</v>
      </c>
      <c r="BQ96" s="13">
        <f>Tabla1[[#This Row],[CONSUMO TOTAL TODAS]]/52</f>
        <v>3.5769230769230771</v>
      </c>
      <c r="BR96" s="25">
        <f>Tabla1[[#This Row],[CONSUMO PROMEDIO PROPIO]]+Tabla1[[#This Row],[CONSUMO PROMEDIO TODAS]]</f>
        <v>4.0576923076923075</v>
      </c>
      <c r="BS96" s="26">
        <f>Tabla1[[#This Row],[CONSUMO PROMEDIO TOTAL]]*(Tabla1[[#This Row],[FRECUENCIA]]+Tabla1[[#This Row],[TIEMPO REPOSICION BUFFERS]])</f>
        <v>129.84615384615384</v>
      </c>
      <c r="BT96" s="26">
        <v>50</v>
      </c>
      <c r="BU96" s="27">
        <v>1</v>
      </c>
      <c r="BV96" s="27">
        <v>16</v>
      </c>
      <c r="BW96" s="27">
        <v>16</v>
      </c>
      <c r="BX96" s="69">
        <f>Tabla1[[#This Row],[BUFFER REAL]]*Tabla1[[#This Row],[COSTOS]]</f>
        <v>361.88299999999998</v>
      </c>
      <c r="BY96" s="69">
        <f>Tabla1[[#This Row],[PVP]]-Tabla1[[#This Row],[COSTOS]]</f>
        <v>7.1523400000000006</v>
      </c>
      <c r="BZ96" s="69">
        <f>Tabla1[[#This Row],[PVD]]-Tabla1[[#This Row],[COSTOS]]</f>
        <v>3.4109400000000001</v>
      </c>
      <c r="CA96" s="25">
        <f>Tabla1[[#This Row],[TRUPUD UNTITARIO PVD]]</f>
        <v>3.4109400000000001</v>
      </c>
      <c r="CB96" s="25">
        <f>Tabla1[[#This Row],[TRUPUT UNITARIO]]/Tabla1[[#This Row],[COSTOS]]</f>
        <v>0.47127662808145176</v>
      </c>
      <c r="CC96" s="40">
        <f>Tabla1[[#This Row],[BUFFER REAL]]/((Tabla1[[#This Row],[TIEMPO REPOSICION BUFFERS]])/1.5)</f>
        <v>12.5</v>
      </c>
      <c r="CD96" s="69">
        <f>Tabla1[[#This Row],[CONSUMO ESTIMADO]]*52*Tabla1[[#This Row],[TRUPUT UNITARIO]]</f>
        <v>2217.1109999999999</v>
      </c>
      <c r="CE96" s="25">
        <f>Tabla1[[#This Row],[CONSUMO ESTIMADO]]*(Tabla1[[#This Row],[TIEMPO REPOSICION BUFFERS]]*1.5)+( Tabla1[[#This Row],[TRUPUT TOTAL ESTIMADO ANUAL]]*(Tabla1[[#This Row],[CRÉDITO CLIENTE]]-Tabla1[[#This Row],[CREDITO PROVEEDOR]]))</f>
        <v>112.5</v>
      </c>
      <c r="CF96" s="25">
        <f>Tabla1[[#This Row],[INVERSION UNIDADES]]*Tabla1[[#This Row],[COSTOS]]</f>
        <v>814.23675000000003</v>
      </c>
      <c r="CG96" s="25">
        <f>Tabla1[[#This Row],[TRUPUT TOTAL ESTIMADO ANUAL]]/Tabla1[[#This Row],[INVERSION USD]]</f>
        <v>2.7229316289150542</v>
      </c>
      <c r="CH96" s="27"/>
      <c r="CI96" s="27"/>
      <c r="CJ96" s="27"/>
      <c r="CK96" s="27"/>
    </row>
    <row r="97" spans="1:89">
      <c r="A97" s="7" t="s">
        <v>617</v>
      </c>
      <c r="B97" s="7" t="s">
        <v>618</v>
      </c>
      <c r="C97" s="7" t="s">
        <v>2</v>
      </c>
      <c r="D97" s="7" t="s">
        <v>709</v>
      </c>
      <c r="E97" s="7" t="s">
        <v>719</v>
      </c>
      <c r="F97" s="7" t="s">
        <v>724</v>
      </c>
      <c r="G97" s="7" t="s">
        <v>729</v>
      </c>
      <c r="H97" s="13">
        <v>6.3</v>
      </c>
      <c r="I97" s="13">
        <f>Tabla1[[#This Row],[PVP]]*74%</f>
        <v>4.6619999999999999</v>
      </c>
      <c r="J97" s="13">
        <v>2.4914499999999999</v>
      </c>
      <c r="K97" s="7">
        <v>26</v>
      </c>
      <c r="L97" s="7">
        <v>4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65</v>
      </c>
      <c r="Z97" s="7">
        <v>0</v>
      </c>
      <c r="AA97" s="7">
        <v>14</v>
      </c>
      <c r="AB97" s="7">
        <v>0</v>
      </c>
      <c r="AC97" s="7">
        <v>0</v>
      </c>
      <c r="AD97" s="7">
        <v>2</v>
      </c>
      <c r="AE97" s="7">
        <v>0</v>
      </c>
      <c r="AF97" s="7">
        <v>15</v>
      </c>
      <c r="AG97" s="7">
        <v>0</v>
      </c>
      <c r="AH97" s="7">
        <v>0</v>
      </c>
      <c r="AI97" s="7">
        <v>0</v>
      </c>
      <c r="AJ97" s="7">
        <v>5</v>
      </c>
      <c r="AK97" s="7">
        <v>0</v>
      </c>
      <c r="AL97" s="7">
        <v>0</v>
      </c>
      <c r="AM97" s="7">
        <v>5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4</v>
      </c>
      <c r="BC97" s="7">
        <v>0</v>
      </c>
      <c r="BD97" s="7">
        <v>0</v>
      </c>
      <c r="BE97" s="7">
        <v>0</v>
      </c>
      <c r="BF97" s="7">
        <v>0</v>
      </c>
      <c r="BG97" s="7">
        <v>0</v>
      </c>
      <c r="BH97" s="7">
        <v>0</v>
      </c>
      <c r="BI97" s="7">
        <v>0</v>
      </c>
      <c r="BJ97" s="7">
        <v>0</v>
      </c>
      <c r="BK97" s="7">
        <v>6</v>
      </c>
      <c r="BL97" s="7">
        <v>0</v>
      </c>
      <c r="BM97" s="13">
        <v>116</v>
      </c>
      <c r="BN97" s="13">
        <f>Tabla1[[#This Row],[CONSUMO TOTAL PROPIO]]/52</f>
        <v>2.2307692307692308</v>
      </c>
      <c r="BO97" s="13" t="e">
        <f>SUM(Tabla3[[#This Row],[CONSUMO TOTAL V]]+Tabla2[[#This Row],[CONSUMO TOTAL VALORES]]+#REF!+#REF!)</f>
        <v>#REF!</v>
      </c>
      <c r="BP97" s="31">
        <v>451</v>
      </c>
      <c r="BQ97" s="13">
        <f>Tabla1[[#This Row],[CONSUMO TOTAL TODAS]]/52</f>
        <v>8.6730769230769234</v>
      </c>
      <c r="BR97" s="25">
        <f>Tabla1[[#This Row],[CONSUMO PROMEDIO PROPIO]]+Tabla1[[#This Row],[CONSUMO PROMEDIO TODAS]]</f>
        <v>10.903846153846153</v>
      </c>
      <c r="BS97" s="26">
        <f>Tabla1[[#This Row],[CONSUMO PROMEDIO TOTAL]]*(Tabla1[[#This Row],[FRECUENCIA]]+Tabla1[[#This Row],[TIEMPO REPOSICION BUFFERS]])</f>
        <v>327.11538461538458</v>
      </c>
      <c r="BT97" s="26">
        <v>200</v>
      </c>
      <c r="BU97" s="27">
        <v>1</v>
      </c>
      <c r="BV97" s="27">
        <v>16</v>
      </c>
      <c r="BW97" s="27">
        <v>16</v>
      </c>
      <c r="BX97" s="69">
        <f>Tabla1[[#This Row],[BUFFER REAL]]*Tabla1[[#This Row],[COSTOS]]</f>
        <v>498.28999999999996</v>
      </c>
      <c r="BY97" s="69">
        <f>Tabla1[[#This Row],[PVP]]-Tabla1[[#This Row],[COSTOS]]</f>
        <v>3.8085499999999999</v>
      </c>
      <c r="BZ97" s="69">
        <f>Tabla1[[#This Row],[PVD]]-Tabla1[[#This Row],[COSTOS]]</f>
        <v>2.17055</v>
      </c>
      <c r="CA97" s="25">
        <f>Tabla1[[#This Row],[TRUPUD UNTITARIO PVD]]</f>
        <v>2.17055</v>
      </c>
      <c r="CB97" s="25">
        <f>Tabla1[[#This Row],[TRUPUT UNITARIO]]/Tabla1[[#This Row],[COSTOS]]</f>
        <v>0.8711995022978587</v>
      </c>
      <c r="CC97" s="40">
        <f>Tabla1[[#This Row],[BUFFER REAL]]/((Tabla1[[#This Row],[TIEMPO REPOSICION BUFFERS]])/1.5)</f>
        <v>75</v>
      </c>
      <c r="CD97" s="69">
        <f>Tabla1[[#This Row],[CONSUMO ESTIMADO]]*52*Tabla1[[#This Row],[TRUPUT UNITARIO]]</f>
        <v>8465.1450000000004</v>
      </c>
      <c r="CE97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97" s="25">
        <f>Tabla1[[#This Row],[INVERSION UNIDADES]]*Tabla1[[#This Row],[COSTOS]]</f>
        <v>1121.1524999999999</v>
      </c>
      <c r="CG97" s="25">
        <f>Tabla1[[#This Row],[TRUPUT TOTAL ESTIMADO ANUAL]]/Tabla1[[#This Row],[INVERSION USD]]</f>
        <v>7.5503956865814432</v>
      </c>
      <c r="CH97" s="27"/>
      <c r="CI97" s="27"/>
      <c r="CJ97" s="27"/>
      <c r="CK97" s="27"/>
    </row>
    <row r="98" spans="1:89">
      <c r="A98" s="7" t="s">
        <v>619</v>
      </c>
      <c r="B98" s="7" t="s">
        <v>620</v>
      </c>
      <c r="C98" s="7" t="s">
        <v>2</v>
      </c>
      <c r="D98" s="7" t="s">
        <v>709</v>
      </c>
      <c r="E98" s="7" t="s">
        <v>719</v>
      </c>
      <c r="F98" s="7" t="s">
        <v>724</v>
      </c>
      <c r="G98" s="7" t="s">
        <v>729</v>
      </c>
      <c r="H98" s="13">
        <v>29</v>
      </c>
      <c r="I98" s="13">
        <f>Tabla1[[#This Row],[PVP]]*74%</f>
        <v>21.46</v>
      </c>
      <c r="J98" s="13">
        <v>11.689489999999999</v>
      </c>
      <c r="K98" s="7">
        <v>26</v>
      </c>
      <c r="L98" s="7">
        <v>4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40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 s="7">
        <v>0</v>
      </c>
      <c r="BE98" s="7">
        <v>0</v>
      </c>
      <c r="BF98" s="7">
        <v>0</v>
      </c>
      <c r="BG98" s="7">
        <v>0</v>
      </c>
      <c r="BH98" s="7">
        <v>0</v>
      </c>
      <c r="BI98" s="7">
        <v>0</v>
      </c>
      <c r="BJ98" s="7">
        <v>0</v>
      </c>
      <c r="BK98" s="7">
        <v>0</v>
      </c>
      <c r="BL98" s="7">
        <v>0</v>
      </c>
      <c r="BM98" s="13">
        <v>40</v>
      </c>
      <c r="BN98" s="13">
        <f>Tabla1[[#This Row],[CONSUMO TOTAL PROPIO]]/52</f>
        <v>0.76923076923076927</v>
      </c>
      <c r="BO98" s="13" t="e">
        <f>SUM(Tabla3[[#This Row],[CONSUMO TOTAL V]]+Tabla2[[#This Row],[CONSUMO TOTAL VALORES]]+#REF!+#REF!)</f>
        <v>#REF!</v>
      </c>
      <c r="BP98" s="31">
        <v>286</v>
      </c>
      <c r="BQ98" s="13">
        <f>Tabla1[[#This Row],[CONSUMO TOTAL TODAS]]/52</f>
        <v>5.5</v>
      </c>
      <c r="BR98" s="25">
        <f>Tabla1[[#This Row],[CONSUMO PROMEDIO PROPIO]]+Tabla1[[#This Row],[CONSUMO PROMEDIO TODAS]]</f>
        <v>6.2692307692307692</v>
      </c>
      <c r="BS98" s="26">
        <f>Tabla1[[#This Row],[CONSUMO PROMEDIO TOTAL]]*(Tabla1[[#This Row],[FRECUENCIA]]+Tabla1[[#This Row],[TIEMPO REPOSICION BUFFERS]])</f>
        <v>188.07692307692307</v>
      </c>
      <c r="BT98" s="26">
        <v>18</v>
      </c>
      <c r="BU98" s="27">
        <v>1</v>
      </c>
      <c r="BV98" s="27">
        <v>16</v>
      </c>
      <c r="BW98" s="27">
        <v>16</v>
      </c>
      <c r="BX98" s="69">
        <f>Tabla1[[#This Row],[BUFFER REAL]]*Tabla1[[#This Row],[COSTOS]]</f>
        <v>210.41082</v>
      </c>
      <c r="BY98" s="69">
        <f>Tabla1[[#This Row],[PVP]]-Tabla1[[#This Row],[COSTOS]]</f>
        <v>17.310510000000001</v>
      </c>
      <c r="BZ98" s="69">
        <f>Tabla1[[#This Row],[PVD]]-Tabla1[[#This Row],[COSTOS]]</f>
        <v>9.7705100000000016</v>
      </c>
      <c r="CA98" s="25">
        <f>Tabla1[[#This Row],[TRUPUD UNTITARIO PVD]]</f>
        <v>9.7705100000000016</v>
      </c>
      <c r="CB98" s="25">
        <f>Tabla1[[#This Row],[TRUPUT UNITARIO]]/Tabla1[[#This Row],[COSTOS]]</f>
        <v>0.83583714943936838</v>
      </c>
      <c r="CC98" s="40">
        <f>Tabla1[[#This Row],[BUFFER REAL]]/((Tabla1[[#This Row],[TIEMPO REPOSICION BUFFERS]])/1.5)</f>
        <v>6.75</v>
      </c>
      <c r="CD98" s="69">
        <f>Tabla1[[#This Row],[CONSUMO ESTIMADO]]*52*Tabla1[[#This Row],[TRUPUT UNITARIO]]</f>
        <v>3429.4490100000007</v>
      </c>
      <c r="CE98" s="25">
        <f>Tabla1[[#This Row],[CONSUMO ESTIMADO]]*(Tabla1[[#This Row],[TIEMPO REPOSICION BUFFERS]]*1.5)+( Tabla1[[#This Row],[TRUPUT TOTAL ESTIMADO ANUAL]]*(Tabla1[[#This Row],[CRÉDITO CLIENTE]]-Tabla1[[#This Row],[CREDITO PROVEEDOR]]))</f>
        <v>40.5</v>
      </c>
      <c r="CF98" s="25">
        <f>Tabla1[[#This Row],[INVERSION UNIDADES]]*Tabla1[[#This Row],[COSTOS]]</f>
        <v>473.42434499999996</v>
      </c>
      <c r="CG98" s="25">
        <f>Tabla1[[#This Row],[TRUPUT TOTAL ESTIMADO ANUAL]]/Tabla1[[#This Row],[INVERSION USD]]</f>
        <v>7.2439219618078594</v>
      </c>
      <c r="CH98" s="27"/>
      <c r="CI98" s="27"/>
      <c r="CJ98" s="27"/>
      <c r="CK98" s="27"/>
    </row>
    <row r="99" spans="1:89">
      <c r="A99" s="7" t="s">
        <v>621</v>
      </c>
      <c r="B99" s="7" t="s">
        <v>622</v>
      </c>
      <c r="C99" s="7" t="s">
        <v>2</v>
      </c>
      <c r="D99" s="7" t="s">
        <v>712</v>
      </c>
      <c r="E99" s="7" t="s">
        <v>719</v>
      </c>
      <c r="F99" s="7" t="s">
        <v>724</v>
      </c>
      <c r="G99" s="7" t="s">
        <v>729</v>
      </c>
      <c r="H99" s="13">
        <v>1.99</v>
      </c>
      <c r="I99" s="13">
        <f>Tabla1[[#This Row],[PVP]]*74%</f>
        <v>1.4725999999999999</v>
      </c>
      <c r="J99" s="13">
        <v>0.89849999999999997</v>
      </c>
      <c r="K99" s="7">
        <v>26</v>
      </c>
      <c r="L99" s="7">
        <v>4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4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100</v>
      </c>
      <c r="AE99" s="7">
        <v>0</v>
      </c>
      <c r="AF99" s="7">
        <v>0</v>
      </c>
      <c r="AG99" s="7">
        <v>10</v>
      </c>
      <c r="AH99" s="7">
        <v>0</v>
      </c>
      <c r="AI99" s="7">
        <v>0</v>
      </c>
      <c r="AJ99" s="7">
        <v>0</v>
      </c>
      <c r="AK99" s="7">
        <v>110</v>
      </c>
      <c r="AL99" s="7">
        <v>0</v>
      </c>
      <c r="AM99" s="7">
        <v>150</v>
      </c>
      <c r="AN99" s="7">
        <v>100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12</v>
      </c>
      <c r="AV99" s="7">
        <v>2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 s="7">
        <v>0</v>
      </c>
      <c r="BE99" s="7">
        <v>0</v>
      </c>
      <c r="BF99" s="7">
        <v>0</v>
      </c>
      <c r="BG99" s="7">
        <v>0</v>
      </c>
      <c r="BH99" s="7">
        <v>0</v>
      </c>
      <c r="BI99" s="7">
        <v>0</v>
      </c>
      <c r="BJ99" s="7">
        <v>0</v>
      </c>
      <c r="BK99" s="7">
        <v>0</v>
      </c>
      <c r="BL99" s="7">
        <v>0</v>
      </c>
      <c r="BM99" s="13">
        <v>488</v>
      </c>
      <c r="BN99" s="13">
        <f>Tabla1[[#This Row],[CONSUMO TOTAL PROPIO]]/52</f>
        <v>9.384615384615385</v>
      </c>
      <c r="BO99" s="13" t="e">
        <f>SUM(Tabla3[[#This Row],[CONSUMO TOTAL V]]+Tabla2[[#This Row],[CONSUMO TOTAL VALORES]]+#REF!+#REF!)</f>
        <v>#REF!</v>
      </c>
      <c r="BP99" s="31">
        <v>0</v>
      </c>
      <c r="BQ99" s="13">
        <f>Tabla1[[#This Row],[CONSUMO TOTAL TODAS]]/52</f>
        <v>0</v>
      </c>
      <c r="BR99" s="25">
        <f>Tabla1[[#This Row],[CONSUMO PROMEDIO PROPIO]]+Tabla1[[#This Row],[CONSUMO PROMEDIO TODAS]]</f>
        <v>9.384615384615385</v>
      </c>
      <c r="BS99" s="26">
        <f>Tabla1[[#This Row],[CONSUMO PROMEDIO TOTAL]]*(Tabla1[[#This Row],[FRECUENCIA]]+Tabla1[[#This Row],[TIEMPO REPOSICION BUFFERS]])</f>
        <v>281.53846153846155</v>
      </c>
      <c r="BT99" s="26">
        <v>300</v>
      </c>
      <c r="BU99" s="27">
        <v>1</v>
      </c>
      <c r="BV99" s="27">
        <v>16</v>
      </c>
      <c r="BW99" s="27">
        <v>16</v>
      </c>
      <c r="BX99" s="69">
        <f>Tabla1[[#This Row],[BUFFER REAL]]*Tabla1[[#This Row],[COSTOS]]</f>
        <v>269.55</v>
      </c>
      <c r="BY99" s="69">
        <f>Tabla1[[#This Row],[PVP]]-Tabla1[[#This Row],[COSTOS]]</f>
        <v>1.0914999999999999</v>
      </c>
      <c r="BZ99" s="69">
        <f>Tabla1[[#This Row],[PVD]]-Tabla1[[#This Row],[COSTOS]]</f>
        <v>0.57409999999999994</v>
      </c>
      <c r="CA99" s="25">
        <f>Tabla1[[#This Row],[TRUPUD UNTITARIO PVD]]</f>
        <v>0.57409999999999994</v>
      </c>
      <c r="CB99" s="25">
        <f>Tabla1[[#This Row],[TRUPUT UNITARIO]]/Tabla1[[#This Row],[COSTOS]]</f>
        <v>0.63895381190873679</v>
      </c>
      <c r="CC99" s="40">
        <f>Tabla1[[#This Row],[BUFFER REAL]]/((Tabla1[[#This Row],[TIEMPO REPOSICION BUFFERS]])/1.5)</f>
        <v>112.5</v>
      </c>
      <c r="CD99" s="69">
        <f>Tabla1[[#This Row],[CONSUMO ESTIMADO]]*52*Tabla1[[#This Row],[TRUPUT UNITARIO]]</f>
        <v>3358.4849999999997</v>
      </c>
      <c r="CE99" s="25">
        <f>Tabla1[[#This Row],[CONSUMO ESTIMADO]]*(Tabla1[[#This Row],[TIEMPO REPOSICION BUFFERS]]*1.5)+( Tabla1[[#This Row],[TRUPUT TOTAL ESTIMADO ANUAL]]*(Tabla1[[#This Row],[CRÉDITO CLIENTE]]-Tabla1[[#This Row],[CREDITO PROVEEDOR]]))</f>
        <v>675</v>
      </c>
      <c r="CF99" s="25">
        <f>Tabla1[[#This Row],[INVERSION UNIDADES]]*Tabla1[[#This Row],[COSTOS]]</f>
        <v>606.48749999999995</v>
      </c>
      <c r="CG99" s="25">
        <f>Tabla1[[#This Row],[TRUPUT TOTAL ESTIMADO ANUAL]]/Tabla1[[#This Row],[INVERSION USD]]</f>
        <v>5.537599703209052</v>
      </c>
      <c r="CH99" s="27"/>
      <c r="CI99" s="27"/>
      <c r="CJ99" s="27"/>
      <c r="CK99" s="27"/>
    </row>
    <row r="100" spans="1:89">
      <c r="A100" s="7" t="s">
        <v>623</v>
      </c>
      <c r="B100" s="7" t="s">
        <v>624</v>
      </c>
      <c r="C100" s="7" t="s">
        <v>686</v>
      </c>
      <c r="D100" s="7" t="s">
        <v>712</v>
      </c>
      <c r="E100" s="7" t="s">
        <v>719</v>
      </c>
      <c r="F100" s="7" t="s">
        <v>724</v>
      </c>
      <c r="G100" s="7" t="s">
        <v>729</v>
      </c>
      <c r="H100" s="13">
        <v>2.99</v>
      </c>
      <c r="I100" s="13">
        <f>Tabla1[[#This Row],[PVP]]*74%</f>
        <v>2.2126000000000001</v>
      </c>
      <c r="J100" s="13">
        <v>1.29596</v>
      </c>
      <c r="K100" s="7">
        <v>26</v>
      </c>
      <c r="L100" s="7">
        <v>4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200</v>
      </c>
      <c r="AE100" s="7">
        <v>0</v>
      </c>
      <c r="AF100" s="7">
        <v>0</v>
      </c>
      <c r="AG100" s="7">
        <v>0</v>
      </c>
      <c r="AH100" s="7">
        <v>1</v>
      </c>
      <c r="AI100" s="7">
        <v>300</v>
      </c>
      <c r="AJ100" s="7">
        <v>0</v>
      </c>
      <c r="AK100" s="7">
        <v>0</v>
      </c>
      <c r="AL100" s="7">
        <v>160</v>
      </c>
      <c r="AM100" s="7">
        <v>100</v>
      </c>
      <c r="AN100" s="7">
        <v>150</v>
      </c>
      <c r="AO100" s="7">
        <v>0</v>
      </c>
      <c r="AP100" s="7">
        <v>0</v>
      </c>
      <c r="AQ100" s="7">
        <v>250</v>
      </c>
      <c r="AR100" s="7">
        <v>0</v>
      </c>
      <c r="AS100" s="7">
        <v>250</v>
      </c>
      <c r="AT100" s="7">
        <v>0</v>
      </c>
      <c r="AU100" s="7">
        <v>8</v>
      </c>
      <c r="AV100" s="7">
        <v>0</v>
      </c>
      <c r="AW100" s="7">
        <v>0</v>
      </c>
      <c r="AX100" s="7">
        <v>100</v>
      </c>
      <c r="AY100" s="7">
        <v>100</v>
      </c>
      <c r="AZ100" s="7">
        <v>0</v>
      </c>
      <c r="BA100" s="7">
        <v>0</v>
      </c>
      <c r="BB100" s="7">
        <v>0</v>
      </c>
      <c r="BC100" s="7">
        <v>0</v>
      </c>
      <c r="BD100" s="7">
        <v>0</v>
      </c>
      <c r="BE100" s="7">
        <v>0</v>
      </c>
      <c r="BF100" s="7">
        <v>0</v>
      </c>
      <c r="BG100" s="7">
        <v>0</v>
      </c>
      <c r="BH100" s="7">
        <v>0</v>
      </c>
      <c r="BI100" s="7">
        <v>0</v>
      </c>
      <c r="BJ100" s="7">
        <v>0</v>
      </c>
      <c r="BK100" s="7">
        <v>0</v>
      </c>
      <c r="BL100" s="7">
        <v>102</v>
      </c>
      <c r="BM100" s="13">
        <v>1721</v>
      </c>
      <c r="BN100" s="13">
        <f>Tabla1[[#This Row],[CONSUMO TOTAL PROPIO]]/52</f>
        <v>33.096153846153847</v>
      </c>
      <c r="BO100" s="13" t="e">
        <f>SUM(Tabla3[[#This Row],[CONSUMO TOTAL V]]+Tabla2[[#This Row],[CONSUMO TOTAL VALORES]]+#REF!+#REF!)</f>
        <v>#REF!</v>
      </c>
      <c r="BP100" s="31">
        <v>274</v>
      </c>
      <c r="BQ100" s="13">
        <f>Tabla1[[#This Row],[CONSUMO TOTAL TODAS]]/52</f>
        <v>5.2692307692307692</v>
      </c>
      <c r="BR100" s="25">
        <f>Tabla1[[#This Row],[CONSUMO PROMEDIO PROPIO]]+Tabla1[[#This Row],[CONSUMO PROMEDIO TODAS]]</f>
        <v>38.365384615384613</v>
      </c>
      <c r="BS100" s="26">
        <f>Tabla1[[#This Row],[CONSUMO PROMEDIO TOTAL]]*(Tabla1[[#This Row],[FRECUENCIA]]+Tabla1[[#This Row],[TIEMPO REPOSICION BUFFERS]])</f>
        <v>1150.9615384615383</v>
      </c>
      <c r="BT100" s="26">
        <v>800</v>
      </c>
      <c r="BU100" s="27">
        <v>1</v>
      </c>
      <c r="BV100" s="27">
        <v>16</v>
      </c>
      <c r="BW100" s="27">
        <v>16</v>
      </c>
      <c r="BX100" s="69">
        <f>Tabla1[[#This Row],[BUFFER REAL]]*Tabla1[[#This Row],[COSTOS]]</f>
        <v>1036.768</v>
      </c>
      <c r="BY100" s="69">
        <f>Tabla1[[#This Row],[PVP]]-Tabla1[[#This Row],[COSTOS]]</f>
        <v>1.6940400000000002</v>
      </c>
      <c r="BZ100" s="69">
        <f>Tabla1[[#This Row],[PVD]]-Tabla1[[#This Row],[COSTOS]]</f>
        <v>0.91664000000000012</v>
      </c>
      <c r="CA100" s="25">
        <f>Tabla1[[#This Row],[TRUPUD UNTITARIO PVD]]</f>
        <v>0.91664000000000012</v>
      </c>
      <c r="CB100" s="25">
        <f>Tabla1[[#This Row],[TRUPUT UNITARIO]]/Tabla1[[#This Row],[COSTOS]]</f>
        <v>0.70730578104262487</v>
      </c>
      <c r="CC100" s="40">
        <f>Tabla1[[#This Row],[BUFFER REAL]]/((Tabla1[[#This Row],[TIEMPO REPOSICION BUFFERS]])/1.5)</f>
        <v>300</v>
      </c>
      <c r="CD100" s="69">
        <f>Tabla1[[#This Row],[CONSUMO ESTIMADO]]*52*Tabla1[[#This Row],[TRUPUT UNITARIO]]</f>
        <v>14299.584000000003</v>
      </c>
      <c r="CE100" s="25">
        <f>Tabla1[[#This Row],[CONSUMO ESTIMADO]]*(Tabla1[[#This Row],[TIEMPO REPOSICION BUFFERS]]*1.5)+( Tabla1[[#This Row],[TRUPUT TOTAL ESTIMADO ANUAL]]*(Tabla1[[#This Row],[CRÉDITO CLIENTE]]-Tabla1[[#This Row],[CREDITO PROVEEDOR]]))</f>
        <v>1800</v>
      </c>
      <c r="CF100" s="25">
        <f>Tabla1[[#This Row],[INVERSION UNIDADES]]*Tabla1[[#This Row],[COSTOS]]</f>
        <v>2332.7280000000001</v>
      </c>
      <c r="CG100" s="25">
        <f>Tabla1[[#This Row],[TRUPUT TOTAL ESTIMADO ANUAL]]/Tabla1[[#This Row],[INVERSION USD]]</f>
        <v>6.1299834357027487</v>
      </c>
      <c r="CH100" s="27"/>
      <c r="CI100" s="27"/>
      <c r="CJ100" s="27"/>
      <c r="CK100" s="27"/>
    </row>
    <row r="101" spans="1:89">
      <c r="A101" s="7" t="s">
        <v>625</v>
      </c>
      <c r="B101" s="7" t="s">
        <v>626</v>
      </c>
      <c r="C101" s="7" t="s">
        <v>2</v>
      </c>
      <c r="D101" s="7" t="s">
        <v>712</v>
      </c>
      <c r="E101" s="7" t="s">
        <v>719</v>
      </c>
      <c r="F101" s="7" t="s">
        <v>724</v>
      </c>
      <c r="G101" s="7" t="s">
        <v>729</v>
      </c>
      <c r="H101" s="13">
        <v>12.99</v>
      </c>
      <c r="I101" s="13">
        <f>Tabla1[[#This Row],[PVP]]*74%</f>
        <v>9.6126000000000005</v>
      </c>
      <c r="J101" s="13">
        <v>5.7310499999999998</v>
      </c>
      <c r="K101" s="7">
        <v>26</v>
      </c>
      <c r="L101" s="7">
        <v>4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50</v>
      </c>
      <c r="Y101" s="7">
        <v>0</v>
      </c>
      <c r="Z101" s="7">
        <v>0</v>
      </c>
      <c r="AA101" s="7">
        <v>60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100</v>
      </c>
      <c r="AH101" s="7">
        <v>0</v>
      </c>
      <c r="AI101" s="7">
        <v>0</v>
      </c>
      <c r="AJ101" s="7">
        <v>0</v>
      </c>
      <c r="AK101" s="7">
        <v>60</v>
      </c>
      <c r="AL101" s="7">
        <v>0</v>
      </c>
      <c r="AM101" s="7">
        <v>30</v>
      </c>
      <c r="AN101" s="7">
        <v>34</v>
      </c>
      <c r="AO101" s="7">
        <v>66</v>
      </c>
      <c r="AP101" s="7">
        <v>0</v>
      </c>
      <c r="AQ101" s="7">
        <v>34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 s="7">
        <v>0</v>
      </c>
      <c r="BE101" s="7">
        <v>0</v>
      </c>
      <c r="BF101" s="7">
        <v>0</v>
      </c>
      <c r="BG101" s="7">
        <v>0</v>
      </c>
      <c r="BH101" s="7">
        <v>0</v>
      </c>
      <c r="BI101" s="7">
        <v>0</v>
      </c>
      <c r="BJ101" s="7">
        <v>0</v>
      </c>
      <c r="BK101" s="7">
        <v>0</v>
      </c>
      <c r="BL101" s="7">
        <v>0</v>
      </c>
      <c r="BM101" s="13">
        <v>434</v>
      </c>
      <c r="BN101" s="13">
        <f>Tabla1[[#This Row],[CONSUMO TOTAL PROPIO]]/52</f>
        <v>8.3461538461538467</v>
      </c>
      <c r="BO101" s="13" t="e">
        <f>SUM(Tabla3[[#This Row],[CONSUMO TOTAL V]]+Tabla2[[#This Row],[CONSUMO TOTAL VALORES]]+#REF!+#REF!)</f>
        <v>#REF!</v>
      </c>
      <c r="BP101" s="31">
        <v>3</v>
      </c>
      <c r="BQ101" s="13">
        <f>Tabla1[[#This Row],[CONSUMO TOTAL TODAS]]/52</f>
        <v>5.7692307692307696E-2</v>
      </c>
      <c r="BR101" s="25">
        <f>Tabla1[[#This Row],[CONSUMO PROMEDIO PROPIO]]+Tabla1[[#This Row],[CONSUMO PROMEDIO TODAS]]</f>
        <v>8.4038461538461551</v>
      </c>
      <c r="BS101" s="26">
        <f>Tabla1[[#This Row],[CONSUMO PROMEDIO TOTAL]]*(Tabla1[[#This Row],[FRECUENCIA]]+Tabla1[[#This Row],[TIEMPO REPOSICION BUFFERS]])</f>
        <v>252.11538461538464</v>
      </c>
      <c r="BT101" s="26">
        <v>200</v>
      </c>
      <c r="BU101" s="27">
        <v>1</v>
      </c>
      <c r="BV101" s="27">
        <v>16</v>
      </c>
      <c r="BW101" s="27">
        <v>16</v>
      </c>
      <c r="BX101" s="69">
        <f>Tabla1[[#This Row],[BUFFER REAL]]*Tabla1[[#This Row],[COSTOS]]</f>
        <v>1146.21</v>
      </c>
      <c r="BY101" s="69">
        <f>Tabla1[[#This Row],[PVP]]-Tabla1[[#This Row],[COSTOS]]</f>
        <v>7.2589500000000005</v>
      </c>
      <c r="BZ101" s="69">
        <f>Tabla1[[#This Row],[PVD]]-Tabla1[[#This Row],[COSTOS]]</f>
        <v>3.8815500000000007</v>
      </c>
      <c r="CA101" s="25">
        <f>Tabla1[[#This Row],[TRUPUD UNTITARIO PVD]]</f>
        <v>3.8815500000000007</v>
      </c>
      <c r="CB101" s="25">
        <f>Tabla1[[#This Row],[TRUPUT UNITARIO]]/Tabla1[[#This Row],[COSTOS]]</f>
        <v>0.67728426728086488</v>
      </c>
      <c r="CC101" s="40">
        <f>Tabla1[[#This Row],[BUFFER REAL]]/((Tabla1[[#This Row],[TIEMPO REPOSICION BUFFERS]])/1.5)</f>
        <v>75</v>
      </c>
      <c r="CD101" s="69">
        <f>Tabla1[[#This Row],[CONSUMO ESTIMADO]]*52*Tabla1[[#This Row],[TRUPUT UNITARIO]]</f>
        <v>15138.045000000004</v>
      </c>
      <c r="CE101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101" s="25">
        <f>Tabla1[[#This Row],[INVERSION UNIDADES]]*Tabla1[[#This Row],[COSTOS]]</f>
        <v>2578.9724999999999</v>
      </c>
      <c r="CG101" s="25">
        <f>Tabla1[[#This Row],[TRUPUT TOTAL ESTIMADO ANUAL]]/Tabla1[[#This Row],[INVERSION USD]]</f>
        <v>5.8697969831008301</v>
      </c>
      <c r="CH101" s="27"/>
      <c r="CI101" s="27"/>
      <c r="CJ101" s="27"/>
      <c r="CK101" s="27"/>
    </row>
    <row r="102" spans="1:89">
      <c r="A102" s="7" t="s">
        <v>627</v>
      </c>
      <c r="B102" s="7" t="s">
        <v>628</v>
      </c>
      <c r="C102" s="7" t="s">
        <v>677</v>
      </c>
      <c r="D102" s="7" t="s">
        <v>712</v>
      </c>
      <c r="E102" s="7" t="s">
        <v>715</v>
      </c>
      <c r="F102" s="7" t="s">
        <v>724</v>
      </c>
      <c r="G102" s="7" t="s">
        <v>729</v>
      </c>
      <c r="H102" s="13">
        <v>2.59</v>
      </c>
      <c r="I102" s="13">
        <f>Tabla1[[#This Row],[PVP]]*65%</f>
        <v>1.6835</v>
      </c>
      <c r="J102" s="13">
        <v>1.1613199999999999</v>
      </c>
      <c r="K102" s="7">
        <v>8</v>
      </c>
      <c r="L102" s="7">
        <v>4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6</v>
      </c>
      <c r="AV102" s="7">
        <v>0</v>
      </c>
      <c r="AW102" s="7">
        <v>21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 s="7">
        <v>0</v>
      </c>
      <c r="BE102" s="7">
        <v>21</v>
      </c>
      <c r="BF102" s="7">
        <v>0</v>
      </c>
      <c r="BG102" s="7">
        <v>0</v>
      </c>
      <c r="BH102" s="7">
        <v>0</v>
      </c>
      <c r="BI102" s="7">
        <v>0</v>
      </c>
      <c r="BJ102" s="7">
        <v>0</v>
      </c>
      <c r="BK102" s="7">
        <v>0</v>
      </c>
      <c r="BL102" s="7">
        <v>0</v>
      </c>
      <c r="BM102" s="13">
        <v>48</v>
      </c>
      <c r="BN102" s="13">
        <f>Tabla1[[#This Row],[CONSUMO TOTAL PROPIO]]/52</f>
        <v>0.92307692307692313</v>
      </c>
      <c r="BO102" s="13" t="e">
        <f>SUM(Tabla3[[#This Row],[CONSUMO TOTAL V]]+Tabla2[[#This Row],[CONSUMO TOTAL VALORES]]+#REF!+#REF!)</f>
        <v>#REF!</v>
      </c>
      <c r="BP102" s="31">
        <v>0</v>
      </c>
      <c r="BQ102" s="13">
        <f>Tabla1[[#This Row],[CONSUMO TOTAL TODAS]]/52</f>
        <v>0</v>
      </c>
      <c r="BR102" s="25">
        <f>Tabla1[[#This Row],[CONSUMO PROMEDIO PROPIO]]+Tabla1[[#This Row],[CONSUMO PROMEDIO TODAS]]</f>
        <v>0.92307692307692313</v>
      </c>
      <c r="BS102" s="26">
        <f>Tabla1[[#This Row],[CONSUMO PROMEDIO TOTAL]]*(Tabla1[[#This Row],[FRECUENCIA]]+Tabla1[[#This Row],[TIEMPO REPOSICION BUFFERS]])</f>
        <v>11.076923076923077</v>
      </c>
      <c r="BT102" s="26">
        <v>17</v>
      </c>
      <c r="BU102" s="27">
        <v>1</v>
      </c>
      <c r="BV102" s="27">
        <v>16</v>
      </c>
      <c r="BW102" s="27">
        <v>16</v>
      </c>
      <c r="BX102" s="69">
        <f>Tabla1[[#This Row],[BUFFER REAL]]*Tabla1[[#This Row],[COSTOS]]</f>
        <v>19.742439999999998</v>
      </c>
      <c r="BY102" s="69">
        <f>Tabla1[[#This Row],[PVP]]-Tabla1[[#This Row],[COSTOS]]</f>
        <v>1.4286799999999999</v>
      </c>
      <c r="BZ102" s="69">
        <f>Tabla1[[#This Row],[PVD]]-Tabla1[[#This Row],[COSTOS]]</f>
        <v>0.52218000000000009</v>
      </c>
      <c r="CA102" s="25">
        <f>Tabla1[[#This Row],[TRUPUD UNTITARIO PVD]]</f>
        <v>0.52218000000000009</v>
      </c>
      <c r="CB102" s="25">
        <f>Tabla1[[#This Row],[TRUPUT UNITARIO]]/Tabla1[[#This Row],[COSTOS]]</f>
        <v>0.44964350911032286</v>
      </c>
      <c r="CC102" s="40">
        <f>Tabla1[[#This Row],[BUFFER REAL]]/((Tabla1[[#This Row],[TIEMPO REPOSICION BUFFERS]])/1.5)</f>
        <v>6.375</v>
      </c>
      <c r="CD102" s="69">
        <f>Tabla1[[#This Row],[CONSUMO ESTIMADO]]*52*Tabla1[[#This Row],[TRUPUT UNITARIO]]</f>
        <v>173.10267000000002</v>
      </c>
      <c r="CE102" s="25">
        <f>Tabla1[[#This Row],[CONSUMO ESTIMADO]]*(Tabla1[[#This Row],[TIEMPO REPOSICION BUFFERS]]*1.5)+( Tabla1[[#This Row],[TRUPUT TOTAL ESTIMADO ANUAL]]*(Tabla1[[#This Row],[CRÉDITO CLIENTE]]-Tabla1[[#This Row],[CREDITO PROVEEDOR]]))</f>
        <v>38.25</v>
      </c>
      <c r="CF102" s="25">
        <f>Tabla1[[#This Row],[INVERSION UNIDADES]]*Tabla1[[#This Row],[COSTOS]]</f>
        <v>44.420489999999994</v>
      </c>
      <c r="CG102" s="25">
        <f>Tabla1[[#This Row],[TRUPUT TOTAL ESTIMADO ANUAL]]/Tabla1[[#This Row],[INVERSION USD]]</f>
        <v>3.8969104122894644</v>
      </c>
      <c r="CH102" s="27"/>
      <c r="CI102" s="27"/>
      <c r="CJ102" s="27"/>
      <c r="CK102" s="27"/>
    </row>
    <row r="103" spans="1:89">
      <c r="A103" s="7" t="s">
        <v>629</v>
      </c>
      <c r="B103" s="7" t="s">
        <v>630</v>
      </c>
      <c r="C103" s="7" t="s">
        <v>702</v>
      </c>
      <c r="D103" s="7" t="s">
        <v>712</v>
      </c>
      <c r="E103" s="7" t="s">
        <v>715</v>
      </c>
      <c r="F103" s="7" t="s">
        <v>724</v>
      </c>
      <c r="G103" s="7" t="s">
        <v>729</v>
      </c>
      <c r="H103" s="13">
        <v>5.49</v>
      </c>
      <c r="I103" s="13">
        <f>Tabla1[[#This Row],[PVP]]*65%</f>
        <v>3.5685000000000002</v>
      </c>
      <c r="J103" s="13">
        <v>3.1145999999999998</v>
      </c>
      <c r="K103" s="7">
        <v>8</v>
      </c>
      <c r="L103" s="7">
        <v>4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12</v>
      </c>
      <c r="Z103" s="7">
        <v>0</v>
      </c>
      <c r="AA103" s="7">
        <v>0</v>
      </c>
      <c r="AB103" s="7">
        <v>0</v>
      </c>
      <c r="AC103" s="7">
        <v>0</v>
      </c>
      <c r="AD103" s="7">
        <v>10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21</v>
      </c>
      <c r="AQ103" s="7">
        <v>0</v>
      </c>
      <c r="AR103" s="7">
        <v>0</v>
      </c>
      <c r="AS103" s="7">
        <v>0</v>
      </c>
      <c r="AT103" s="7">
        <v>0</v>
      </c>
      <c r="AU103" s="7">
        <v>12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 s="7">
        <v>30</v>
      </c>
      <c r="BE103" s="7">
        <v>0</v>
      </c>
      <c r="BF103" s="7">
        <v>0</v>
      </c>
      <c r="BG103" s="7">
        <v>0</v>
      </c>
      <c r="BH103" s="7">
        <v>0</v>
      </c>
      <c r="BI103" s="7">
        <v>0</v>
      </c>
      <c r="BJ103" s="7">
        <v>0</v>
      </c>
      <c r="BK103" s="7">
        <v>0</v>
      </c>
      <c r="BL103" s="7">
        <v>0</v>
      </c>
      <c r="BM103" s="13">
        <v>85</v>
      </c>
      <c r="BN103" s="13">
        <f>Tabla1[[#This Row],[CONSUMO TOTAL PROPIO]]/52</f>
        <v>1.6346153846153846</v>
      </c>
      <c r="BO103" s="13" t="e">
        <f>SUM(Tabla3[[#This Row],[CONSUMO TOTAL V]]+Tabla2[[#This Row],[CONSUMO TOTAL VALORES]]+#REF!+#REF!)</f>
        <v>#REF!</v>
      </c>
      <c r="BP103" s="31">
        <v>423</v>
      </c>
      <c r="BQ103" s="13">
        <f>Tabla1[[#This Row],[CONSUMO TOTAL TODAS]]/52</f>
        <v>8.134615384615385</v>
      </c>
      <c r="BR103" s="25">
        <f>Tabla1[[#This Row],[CONSUMO PROMEDIO PROPIO]]+Tabla1[[#This Row],[CONSUMO PROMEDIO TODAS]]</f>
        <v>9.7692307692307701</v>
      </c>
      <c r="BS103" s="26">
        <f>Tabla1[[#This Row],[CONSUMO PROMEDIO TOTAL]]*(Tabla1[[#This Row],[FRECUENCIA]]+Tabla1[[#This Row],[TIEMPO REPOSICION BUFFERS]])</f>
        <v>117.23076923076924</v>
      </c>
      <c r="BT103" s="26">
        <v>100</v>
      </c>
      <c r="BU103" s="27">
        <v>1</v>
      </c>
      <c r="BV103" s="27">
        <v>16</v>
      </c>
      <c r="BW103" s="27">
        <v>16</v>
      </c>
      <c r="BX103" s="69">
        <f>Tabla1[[#This Row],[BUFFER REAL]]*Tabla1[[#This Row],[COSTOS]]</f>
        <v>311.45999999999998</v>
      </c>
      <c r="BY103" s="69">
        <f>Tabla1[[#This Row],[PVP]]-Tabla1[[#This Row],[COSTOS]]</f>
        <v>2.3754000000000004</v>
      </c>
      <c r="BZ103" s="69">
        <f>Tabla1[[#This Row],[PVD]]-Tabla1[[#This Row],[COSTOS]]</f>
        <v>0.45390000000000041</v>
      </c>
      <c r="CA103" s="25">
        <f>Tabla1[[#This Row],[TRUPUD UNTITARIO PVD]]</f>
        <v>0.45390000000000041</v>
      </c>
      <c r="CB103" s="25">
        <f>Tabla1[[#This Row],[TRUPUT UNITARIO]]/Tabla1[[#This Row],[COSTOS]]</f>
        <v>0.14573299942207682</v>
      </c>
      <c r="CC103" s="40">
        <f>Tabla1[[#This Row],[BUFFER REAL]]/((Tabla1[[#This Row],[TIEMPO REPOSICION BUFFERS]])/1.5)</f>
        <v>37.5</v>
      </c>
      <c r="CD103" s="69">
        <f>Tabla1[[#This Row],[CONSUMO ESTIMADO]]*52*Tabla1[[#This Row],[TRUPUT UNITARIO]]</f>
        <v>885.10500000000081</v>
      </c>
      <c r="CE103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103" s="25">
        <f>Tabla1[[#This Row],[INVERSION UNIDADES]]*Tabla1[[#This Row],[COSTOS]]</f>
        <v>700.78499999999997</v>
      </c>
      <c r="CG103" s="25">
        <f>Tabla1[[#This Row],[TRUPUT TOTAL ESTIMADO ANUAL]]/Tabla1[[#This Row],[INVERSION USD]]</f>
        <v>1.2630193283246658</v>
      </c>
      <c r="CH103" s="27"/>
      <c r="CI103" s="27"/>
      <c r="CJ103" s="27"/>
      <c r="CK103" s="27"/>
    </row>
    <row r="104" spans="1:89">
      <c r="A104" s="7" t="s">
        <v>631</v>
      </c>
      <c r="B104" s="7" t="s">
        <v>632</v>
      </c>
      <c r="C104" s="7" t="s">
        <v>2</v>
      </c>
      <c r="D104" s="7" t="s">
        <v>712</v>
      </c>
      <c r="E104" s="7" t="s">
        <v>715</v>
      </c>
      <c r="F104" s="7" t="s">
        <v>724</v>
      </c>
      <c r="G104" s="7" t="s">
        <v>729</v>
      </c>
      <c r="H104" s="13">
        <v>9.99</v>
      </c>
      <c r="I104" s="13">
        <f>Tabla1[[#This Row],[PVP]]*74%</f>
        <v>7.3925999999999998</v>
      </c>
      <c r="J104" s="13">
        <v>5.7749499999999996</v>
      </c>
      <c r="K104" s="7">
        <v>8</v>
      </c>
      <c r="L104" s="7">
        <v>4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5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5</v>
      </c>
      <c r="AU104" s="7">
        <v>6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 s="7">
        <v>0</v>
      </c>
      <c r="BE104" s="7">
        <v>0</v>
      </c>
      <c r="BF104" s="7">
        <v>0</v>
      </c>
      <c r="BG104" s="7">
        <v>0</v>
      </c>
      <c r="BH104" s="7">
        <v>0</v>
      </c>
      <c r="BI104" s="7">
        <v>0</v>
      </c>
      <c r="BJ104" s="7">
        <v>0</v>
      </c>
      <c r="BK104" s="7">
        <v>0</v>
      </c>
      <c r="BL104" s="7">
        <v>0</v>
      </c>
      <c r="BM104" s="13">
        <v>16</v>
      </c>
      <c r="BN104" s="13">
        <f>Tabla1[[#This Row],[CONSUMO TOTAL PROPIO]]/52</f>
        <v>0.30769230769230771</v>
      </c>
      <c r="BO104" s="13" t="e">
        <f>SUM(Tabla3[[#This Row],[CONSUMO TOTAL V]]+Tabla2[[#This Row],[CONSUMO TOTAL VALORES]]+#REF!+#REF!)</f>
        <v>#REF!</v>
      </c>
      <c r="BP104" s="31">
        <v>128</v>
      </c>
      <c r="BQ104" s="13">
        <f>Tabla1[[#This Row],[CONSUMO TOTAL TODAS]]/52</f>
        <v>2.4615384615384617</v>
      </c>
      <c r="BR104" s="25">
        <f>Tabla1[[#This Row],[CONSUMO PROMEDIO PROPIO]]+Tabla1[[#This Row],[CONSUMO PROMEDIO TODAS]]</f>
        <v>2.7692307692307692</v>
      </c>
      <c r="BS104" s="26">
        <f>Tabla1[[#This Row],[CONSUMO PROMEDIO TOTAL]]*(Tabla1[[#This Row],[FRECUENCIA]]+Tabla1[[#This Row],[TIEMPO REPOSICION BUFFERS]])</f>
        <v>33.230769230769226</v>
      </c>
      <c r="BT104" s="26">
        <v>10</v>
      </c>
      <c r="BU104" s="27">
        <v>1</v>
      </c>
      <c r="BV104" s="27">
        <v>16</v>
      </c>
      <c r="BW104" s="27">
        <v>16</v>
      </c>
      <c r="BX104" s="69">
        <f>Tabla1[[#This Row],[BUFFER REAL]]*Tabla1[[#This Row],[COSTOS]]</f>
        <v>57.749499999999998</v>
      </c>
      <c r="BY104" s="69">
        <f>Tabla1[[#This Row],[PVP]]-Tabla1[[#This Row],[COSTOS]]</f>
        <v>4.2150500000000006</v>
      </c>
      <c r="BZ104" s="69">
        <f>Tabla1[[#This Row],[PVD]]-Tabla1[[#This Row],[COSTOS]]</f>
        <v>1.6176500000000003</v>
      </c>
      <c r="CA104" s="25">
        <f>Tabla1[[#This Row],[TRUPUD UNTITARIO PVD]]</f>
        <v>1.6176500000000003</v>
      </c>
      <c r="CB104" s="25">
        <f>Tabla1[[#This Row],[TRUPUT UNITARIO]]/Tabla1[[#This Row],[COSTOS]]</f>
        <v>0.28011497935047064</v>
      </c>
      <c r="CC104" s="40">
        <f>Tabla1[[#This Row],[BUFFER REAL]]/((Tabla1[[#This Row],[TIEMPO REPOSICION BUFFERS]])/1.5)</f>
        <v>3.75</v>
      </c>
      <c r="CD104" s="69">
        <f>Tabla1[[#This Row],[CONSUMO ESTIMADO]]*52*Tabla1[[#This Row],[TRUPUT UNITARIO]]</f>
        <v>315.44175000000007</v>
      </c>
      <c r="CE104" s="25">
        <f>Tabla1[[#This Row],[CONSUMO ESTIMADO]]*(Tabla1[[#This Row],[TIEMPO REPOSICION BUFFERS]]*1.5)+( Tabla1[[#This Row],[TRUPUT TOTAL ESTIMADO ANUAL]]*(Tabla1[[#This Row],[CRÉDITO CLIENTE]]-Tabla1[[#This Row],[CREDITO PROVEEDOR]]))</f>
        <v>22.5</v>
      </c>
      <c r="CF104" s="25">
        <f>Tabla1[[#This Row],[INVERSION UNIDADES]]*Tabla1[[#This Row],[COSTOS]]</f>
        <v>129.936375</v>
      </c>
      <c r="CG104" s="25">
        <f>Tabla1[[#This Row],[TRUPUT TOTAL ESTIMADO ANUAL]]/Tabla1[[#This Row],[INVERSION USD]]</f>
        <v>2.4276631543707454</v>
      </c>
      <c r="CH104" s="27"/>
      <c r="CI104" s="27"/>
      <c r="CJ104" s="27"/>
      <c r="CK104" s="27"/>
    </row>
    <row r="105" spans="1:89">
      <c r="A105" s="7" t="s">
        <v>633</v>
      </c>
      <c r="B105" s="7" t="s">
        <v>634</v>
      </c>
      <c r="C105" s="7" t="s">
        <v>702</v>
      </c>
      <c r="D105" s="7" t="s">
        <v>712</v>
      </c>
      <c r="E105" s="7" t="s">
        <v>715</v>
      </c>
      <c r="F105" s="7" t="s">
        <v>724</v>
      </c>
      <c r="G105" s="7" t="s">
        <v>729</v>
      </c>
      <c r="H105" s="13">
        <v>18.989999999999998</v>
      </c>
      <c r="I105" s="13">
        <f>Tabla1[[#This Row],[PVP]]*74%</f>
        <v>14.052599999999998</v>
      </c>
      <c r="J105" s="13">
        <v>7.9442899999999996</v>
      </c>
      <c r="K105" s="7">
        <v>8</v>
      </c>
      <c r="L105" s="7">
        <v>4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172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12</v>
      </c>
      <c r="AE105" s="7">
        <v>20</v>
      </c>
      <c r="AF105" s="7">
        <v>0</v>
      </c>
      <c r="AG105" s="7">
        <v>0</v>
      </c>
      <c r="AH105" s="7">
        <v>0</v>
      </c>
      <c r="AI105" s="7">
        <v>0</v>
      </c>
      <c r="AJ105" s="7">
        <v>80</v>
      </c>
      <c r="AK105" s="7">
        <v>20</v>
      </c>
      <c r="AL105" s="7">
        <v>0</v>
      </c>
      <c r="AM105" s="7">
        <v>0</v>
      </c>
      <c r="AN105" s="7">
        <v>0</v>
      </c>
      <c r="AO105" s="7">
        <v>0</v>
      </c>
      <c r="AP105" s="7">
        <v>20</v>
      </c>
      <c r="AQ105" s="7">
        <v>0</v>
      </c>
      <c r="AR105" s="7">
        <v>0</v>
      </c>
      <c r="AS105" s="7">
        <v>120</v>
      </c>
      <c r="AT105" s="7">
        <v>44</v>
      </c>
      <c r="AU105" s="7">
        <v>4</v>
      </c>
      <c r="AV105" s="7">
        <v>0</v>
      </c>
      <c r="AW105" s="7">
        <v>0</v>
      </c>
      <c r="AX105" s="7">
        <v>100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 s="7">
        <v>5</v>
      </c>
      <c r="BE105" s="7">
        <v>0</v>
      </c>
      <c r="BF105" s="7">
        <v>0</v>
      </c>
      <c r="BG105" s="7">
        <v>0</v>
      </c>
      <c r="BH105" s="7">
        <v>0</v>
      </c>
      <c r="BI105" s="7">
        <v>0</v>
      </c>
      <c r="BJ105" s="7">
        <v>0</v>
      </c>
      <c r="BK105" s="7">
        <v>0</v>
      </c>
      <c r="BL105" s="7">
        <v>120</v>
      </c>
      <c r="BM105" s="13">
        <v>717</v>
      </c>
      <c r="BN105" s="13">
        <f>Tabla1[[#This Row],[CONSUMO TOTAL PROPIO]]/52</f>
        <v>13.788461538461538</v>
      </c>
      <c r="BO105" s="13" t="e">
        <f>SUM(Tabla3[[#This Row],[CONSUMO TOTAL V]]+Tabla2[[#This Row],[CONSUMO TOTAL VALORES]]+#REF!+#REF!)</f>
        <v>#REF!</v>
      </c>
      <c r="BP105" s="31">
        <v>181</v>
      </c>
      <c r="BQ105" s="13">
        <f>Tabla1[[#This Row],[CONSUMO TOTAL TODAS]]/52</f>
        <v>3.4807692307692308</v>
      </c>
      <c r="BR105" s="25">
        <f>Tabla1[[#This Row],[CONSUMO PROMEDIO PROPIO]]+Tabla1[[#This Row],[CONSUMO PROMEDIO TODAS]]</f>
        <v>17.26923076923077</v>
      </c>
      <c r="BS105" s="26">
        <f>Tabla1[[#This Row],[CONSUMO PROMEDIO TOTAL]]*(Tabla1[[#This Row],[FRECUENCIA]]+Tabla1[[#This Row],[TIEMPO REPOSICION BUFFERS]])</f>
        <v>207.23076923076923</v>
      </c>
      <c r="BT105" s="26">
        <v>200</v>
      </c>
      <c r="BU105" s="27">
        <v>1</v>
      </c>
      <c r="BV105" s="27">
        <v>16</v>
      </c>
      <c r="BW105" s="27">
        <v>16</v>
      </c>
      <c r="BX105" s="69">
        <f>Tabla1[[#This Row],[BUFFER REAL]]*Tabla1[[#This Row],[COSTOS]]</f>
        <v>1588.8579999999999</v>
      </c>
      <c r="BY105" s="69">
        <f>Tabla1[[#This Row],[PVP]]-Tabla1[[#This Row],[COSTOS]]</f>
        <v>11.04571</v>
      </c>
      <c r="BZ105" s="69">
        <f>Tabla1[[#This Row],[PVD]]-Tabla1[[#This Row],[COSTOS]]</f>
        <v>6.1083099999999986</v>
      </c>
      <c r="CA105" s="25">
        <f>Tabla1[[#This Row],[TRUPUD UNTITARIO PVD]]</f>
        <v>6.1083099999999986</v>
      </c>
      <c r="CB105" s="25">
        <f>Tabla1[[#This Row],[TRUPUT UNITARIO]]/Tabla1[[#This Row],[COSTOS]]</f>
        <v>0.76889312953076971</v>
      </c>
      <c r="CC105" s="40">
        <f>Tabla1[[#This Row],[BUFFER REAL]]/((Tabla1[[#This Row],[TIEMPO REPOSICION BUFFERS]])/1.5)</f>
        <v>75</v>
      </c>
      <c r="CD105" s="69">
        <f>Tabla1[[#This Row],[CONSUMO ESTIMADO]]*52*Tabla1[[#This Row],[TRUPUT UNITARIO]]</f>
        <v>23822.408999999996</v>
      </c>
      <c r="CE105" s="25">
        <f>Tabla1[[#This Row],[CONSUMO ESTIMADO]]*(Tabla1[[#This Row],[TIEMPO REPOSICION BUFFERS]]*1.5)+( Tabla1[[#This Row],[TRUPUT TOTAL ESTIMADO ANUAL]]*(Tabla1[[#This Row],[CRÉDITO CLIENTE]]-Tabla1[[#This Row],[CREDITO PROVEEDOR]]))</f>
        <v>450</v>
      </c>
      <c r="CF105" s="25">
        <f>Tabla1[[#This Row],[INVERSION UNIDADES]]*Tabla1[[#This Row],[COSTOS]]</f>
        <v>3574.9304999999999</v>
      </c>
      <c r="CG105" s="25">
        <f>Tabla1[[#This Row],[TRUPUT TOTAL ESTIMADO ANUAL]]/Tabla1[[#This Row],[INVERSION USD]]</f>
        <v>6.663740455933338</v>
      </c>
      <c r="CH105" s="27"/>
      <c r="CI105" s="27"/>
      <c r="CJ105" s="27"/>
      <c r="CK105" s="27"/>
    </row>
    <row r="106" spans="1:89">
      <c r="A106" s="7" t="s">
        <v>635</v>
      </c>
      <c r="B106" s="7" t="s">
        <v>636</v>
      </c>
      <c r="C106" s="7" t="s">
        <v>2</v>
      </c>
      <c r="D106" s="7" t="s">
        <v>709</v>
      </c>
      <c r="E106" s="7" t="s">
        <v>719</v>
      </c>
      <c r="F106" s="7" t="s">
        <v>724</v>
      </c>
      <c r="G106" s="7" t="s">
        <v>729</v>
      </c>
      <c r="H106" s="13">
        <v>1.99</v>
      </c>
      <c r="I106" s="13">
        <f>Tabla1[[#This Row],[PVP]]*74%</f>
        <v>1.4725999999999999</v>
      </c>
      <c r="J106" s="13">
        <v>0.81947000000000003</v>
      </c>
      <c r="K106" s="7">
        <v>26</v>
      </c>
      <c r="L106" s="7">
        <v>4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24</v>
      </c>
      <c r="Z106" s="7">
        <v>0</v>
      </c>
      <c r="AA106" s="7">
        <v>12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10</v>
      </c>
      <c r="AH106" s="7">
        <v>0</v>
      </c>
      <c r="AI106" s="7">
        <v>0</v>
      </c>
      <c r="AJ106" s="7">
        <v>5</v>
      </c>
      <c r="AK106" s="7">
        <v>0</v>
      </c>
      <c r="AL106" s="7">
        <v>0</v>
      </c>
      <c r="AM106" s="7">
        <v>5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30</v>
      </c>
      <c r="AW106" s="7">
        <v>27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20</v>
      </c>
      <c r="BD106" s="7">
        <v>100</v>
      </c>
      <c r="BE106" s="7">
        <v>0</v>
      </c>
      <c r="BF106" s="7">
        <v>0</v>
      </c>
      <c r="BG106" s="7">
        <v>0</v>
      </c>
      <c r="BH106" s="7">
        <v>0</v>
      </c>
      <c r="BI106" s="7">
        <v>0</v>
      </c>
      <c r="BJ106" s="7">
        <v>0</v>
      </c>
      <c r="BK106" s="7">
        <v>12</v>
      </c>
      <c r="BL106" s="7">
        <v>0</v>
      </c>
      <c r="BM106" s="13">
        <v>245</v>
      </c>
      <c r="BN106" s="13">
        <f>Tabla1[[#This Row],[CONSUMO TOTAL PROPIO]]/52</f>
        <v>4.7115384615384617</v>
      </c>
      <c r="BO106" s="13" t="e">
        <f>SUM(Tabla3[[#This Row],[CONSUMO TOTAL V]]+Tabla2[[#This Row],[CONSUMO TOTAL VALORES]]+#REF!+#REF!)</f>
        <v>#REF!</v>
      </c>
      <c r="BP106" s="31">
        <v>83</v>
      </c>
      <c r="BQ106" s="13">
        <f>Tabla1[[#This Row],[CONSUMO TOTAL TODAS]]/52</f>
        <v>1.5961538461538463</v>
      </c>
      <c r="BR106" s="25">
        <f>Tabla1[[#This Row],[CONSUMO PROMEDIO PROPIO]]+Tabla1[[#This Row],[CONSUMO PROMEDIO TODAS]]</f>
        <v>6.3076923076923084</v>
      </c>
      <c r="BS106" s="26">
        <f>Tabla1[[#This Row],[CONSUMO PROMEDIO TOTAL]]*(Tabla1[[#This Row],[FRECUENCIA]]+Tabla1[[#This Row],[TIEMPO REPOSICION BUFFERS]])</f>
        <v>189.23076923076925</v>
      </c>
      <c r="BT106" s="26">
        <v>100</v>
      </c>
      <c r="BU106" s="27">
        <v>1</v>
      </c>
      <c r="BV106" s="27">
        <v>16</v>
      </c>
      <c r="BW106" s="27">
        <v>16</v>
      </c>
      <c r="BX106" s="69">
        <f>Tabla1[[#This Row],[BUFFER REAL]]*Tabla1[[#This Row],[COSTOS]]</f>
        <v>81.947000000000003</v>
      </c>
      <c r="BY106" s="69">
        <f>Tabla1[[#This Row],[PVP]]-Tabla1[[#This Row],[COSTOS]]</f>
        <v>1.1705299999999998</v>
      </c>
      <c r="BZ106" s="69">
        <f>Tabla1[[#This Row],[PVD]]-Tabla1[[#This Row],[COSTOS]]</f>
        <v>0.65312999999999988</v>
      </c>
      <c r="CA106" s="25">
        <f>Tabla1[[#This Row],[TRUPUD UNTITARIO PVD]]</f>
        <v>0.65312999999999988</v>
      </c>
      <c r="CB106" s="25">
        <f>Tabla1[[#This Row],[TRUPUT UNITARIO]]/Tabla1[[#This Row],[COSTOS]]</f>
        <v>0.79701514393449402</v>
      </c>
      <c r="CC106" s="40">
        <f>Tabla1[[#This Row],[BUFFER REAL]]/((Tabla1[[#This Row],[TIEMPO REPOSICION BUFFERS]])/1.5)</f>
        <v>37.5</v>
      </c>
      <c r="CD106" s="69">
        <f>Tabla1[[#This Row],[CONSUMO ESTIMADO]]*52*Tabla1[[#This Row],[TRUPUT UNITARIO]]</f>
        <v>1273.6034999999997</v>
      </c>
      <c r="CE106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106" s="25">
        <f>Tabla1[[#This Row],[INVERSION UNIDADES]]*Tabla1[[#This Row],[COSTOS]]</f>
        <v>184.38075000000001</v>
      </c>
      <c r="CG106" s="25">
        <f>Tabla1[[#This Row],[TRUPUT TOTAL ESTIMADO ANUAL]]/Tabla1[[#This Row],[INVERSION USD]]</f>
        <v>6.9074645807656152</v>
      </c>
      <c r="CH106" s="27"/>
      <c r="CI106" s="27"/>
      <c r="CJ106" s="27"/>
      <c r="CK106" s="27"/>
    </row>
    <row r="107" spans="1:89">
      <c r="A107" s="7" t="s">
        <v>637</v>
      </c>
      <c r="B107" s="7" t="s">
        <v>638</v>
      </c>
      <c r="C107" s="7" t="s">
        <v>2</v>
      </c>
      <c r="D107" s="7" t="s">
        <v>709</v>
      </c>
      <c r="E107" s="7" t="s">
        <v>719</v>
      </c>
      <c r="F107" s="7" t="s">
        <v>724</v>
      </c>
      <c r="G107" s="7" t="s">
        <v>729</v>
      </c>
      <c r="H107" s="13">
        <v>3.59</v>
      </c>
      <c r="I107" s="13">
        <f>Tabla1[[#This Row],[PVP]]*74%</f>
        <v>2.6566000000000001</v>
      </c>
      <c r="J107" s="13">
        <v>1.23912</v>
      </c>
      <c r="K107" s="7">
        <v>26</v>
      </c>
      <c r="L107" s="7">
        <v>4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100</v>
      </c>
      <c r="Y107" s="7">
        <v>236</v>
      </c>
      <c r="Z107" s="7">
        <v>0</v>
      </c>
      <c r="AA107" s="7">
        <v>32</v>
      </c>
      <c r="AB107" s="7">
        <v>0</v>
      </c>
      <c r="AC107" s="7">
        <v>0</v>
      </c>
      <c r="AD107" s="7">
        <v>2</v>
      </c>
      <c r="AE107" s="7">
        <v>30</v>
      </c>
      <c r="AF107" s="7">
        <v>15</v>
      </c>
      <c r="AG107" s="7">
        <v>0</v>
      </c>
      <c r="AH107" s="7">
        <v>0</v>
      </c>
      <c r="AI107" s="7">
        <v>0</v>
      </c>
      <c r="AJ107" s="7">
        <v>0</v>
      </c>
      <c r="AK107" s="7">
        <v>80</v>
      </c>
      <c r="AL107" s="7">
        <v>0</v>
      </c>
      <c r="AM107" s="7">
        <v>0</v>
      </c>
      <c r="AN107" s="7">
        <v>360</v>
      </c>
      <c r="AO107" s="7">
        <v>0</v>
      </c>
      <c r="AP107" s="7">
        <v>0</v>
      </c>
      <c r="AQ107" s="7">
        <v>0</v>
      </c>
      <c r="AR107" s="7">
        <v>60</v>
      </c>
      <c r="AS107" s="7">
        <v>186</v>
      </c>
      <c r="AT107" s="7">
        <v>125</v>
      </c>
      <c r="AU107" s="7">
        <v>0</v>
      </c>
      <c r="AV107" s="7">
        <v>75</v>
      </c>
      <c r="AW107" s="7">
        <v>100</v>
      </c>
      <c r="AX107" s="7">
        <v>212</v>
      </c>
      <c r="AY107" s="7">
        <v>114</v>
      </c>
      <c r="AZ107" s="7">
        <v>0</v>
      </c>
      <c r="BA107" s="7">
        <v>0</v>
      </c>
      <c r="BB107" s="7">
        <v>0</v>
      </c>
      <c r="BC107" s="7">
        <v>10</v>
      </c>
      <c r="BD107" s="7">
        <v>230</v>
      </c>
      <c r="BE107" s="7">
        <v>5</v>
      </c>
      <c r="BF107" s="7">
        <v>255</v>
      </c>
      <c r="BG107" s="7">
        <v>32</v>
      </c>
      <c r="BH107" s="7">
        <v>150</v>
      </c>
      <c r="BI107" s="7">
        <v>170</v>
      </c>
      <c r="BJ107" s="7">
        <v>15</v>
      </c>
      <c r="BK107" s="7">
        <v>38</v>
      </c>
      <c r="BL107" s="7">
        <v>3</v>
      </c>
      <c r="BM107" s="13">
        <v>2635</v>
      </c>
      <c r="BN107" s="13">
        <f>Tabla1[[#This Row],[CONSUMO TOTAL PROPIO]]/52</f>
        <v>50.67307692307692</v>
      </c>
      <c r="BO107" s="13" t="e">
        <f>SUM(Tabla3[[#This Row],[CONSUMO TOTAL V]]+Tabla2[[#This Row],[CONSUMO TOTAL VALORES]]+#REF!+#REF!)</f>
        <v>#REF!</v>
      </c>
      <c r="BP107" s="31">
        <v>185</v>
      </c>
      <c r="BQ107" s="13">
        <f>Tabla1[[#This Row],[CONSUMO TOTAL TODAS]]/52</f>
        <v>3.5576923076923075</v>
      </c>
      <c r="BR107" s="25">
        <f>Tabla1[[#This Row],[CONSUMO PROMEDIO PROPIO]]+Tabla1[[#This Row],[CONSUMO PROMEDIO TODAS]]</f>
        <v>54.230769230769226</v>
      </c>
      <c r="BS107" s="26">
        <f>Tabla1[[#This Row],[CONSUMO PROMEDIO TOTAL]]*(Tabla1[[#This Row],[FRECUENCIA]]+Tabla1[[#This Row],[TIEMPO REPOSICION BUFFERS]])</f>
        <v>1626.9230769230767</v>
      </c>
      <c r="BT107" s="26">
        <v>400</v>
      </c>
      <c r="BU107" s="27">
        <v>1</v>
      </c>
      <c r="BV107" s="27">
        <v>16</v>
      </c>
      <c r="BW107" s="27">
        <v>16</v>
      </c>
      <c r="BX107" s="69">
        <f>Tabla1[[#This Row],[BUFFER REAL]]*Tabla1[[#This Row],[COSTOS]]</f>
        <v>495.64800000000002</v>
      </c>
      <c r="BY107" s="69">
        <f>Tabla1[[#This Row],[PVP]]-Tabla1[[#This Row],[COSTOS]]</f>
        <v>2.3508800000000001</v>
      </c>
      <c r="BZ107" s="69">
        <f>Tabla1[[#This Row],[PVD]]-Tabla1[[#This Row],[COSTOS]]</f>
        <v>1.4174800000000001</v>
      </c>
      <c r="CA107" s="25">
        <f>Tabla1[[#This Row],[TRUPUD UNTITARIO PVD]]</f>
        <v>1.4174800000000001</v>
      </c>
      <c r="CB107" s="25">
        <f>Tabla1[[#This Row],[TRUPUT UNITARIO]]/Tabla1[[#This Row],[COSTOS]]</f>
        <v>1.1439408612563755</v>
      </c>
      <c r="CC107" s="40">
        <f>Tabla1[[#This Row],[BUFFER REAL]]/((Tabla1[[#This Row],[TIEMPO REPOSICION BUFFERS]])/1.5)</f>
        <v>150</v>
      </c>
      <c r="CD107" s="69">
        <f>Tabla1[[#This Row],[CONSUMO ESTIMADO]]*52*Tabla1[[#This Row],[TRUPUT UNITARIO]]</f>
        <v>11056.344000000001</v>
      </c>
      <c r="CE107" s="25">
        <f>Tabla1[[#This Row],[CONSUMO ESTIMADO]]*(Tabla1[[#This Row],[TIEMPO REPOSICION BUFFERS]]*1.5)+( Tabla1[[#This Row],[TRUPUT TOTAL ESTIMADO ANUAL]]*(Tabla1[[#This Row],[CRÉDITO CLIENTE]]-Tabla1[[#This Row],[CREDITO PROVEEDOR]]))</f>
        <v>900</v>
      </c>
      <c r="CF107" s="25">
        <f>Tabla1[[#This Row],[INVERSION UNIDADES]]*Tabla1[[#This Row],[COSTOS]]</f>
        <v>1115.2080000000001</v>
      </c>
      <c r="CG107" s="25">
        <f>Tabla1[[#This Row],[TRUPUT TOTAL ESTIMADO ANUAL]]/Tabla1[[#This Row],[INVERSION USD]]</f>
        <v>9.914154130888587</v>
      </c>
      <c r="CH107" s="27"/>
      <c r="CI107" s="27"/>
      <c r="CJ107" s="27"/>
      <c r="CK107" s="27"/>
    </row>
    <row r="108" spans="1:89">
      <c r="A108" s="7" t="s">
        <v>639</v>
      </c>
      <c r="B108" s="7" t="s">
        <v>640</v>
      </c>
      <c r="C108" s="7" t="s">
        <v>2</v>
      </c>
      <c r="D108" s="7" t="s">
        <v>709</v>
      </c>
      <c r="E108" s="7" t="s">
        <v>719</v>
      </c>
      <c r="F108" s="7" t="s">
        <v>724</v>
      </c>
      <c r="G108" s="7" t="s">
        <v>729</v>
      </c>
      <c r="H108" s="13">
        <v>5.79</v>
      </c>
      <c r="I108" s="13">
        <f>Tabla1[[#This Row],[PVP]]*74%</f>
        <v>4.2846000000000002</v>
      </c>
      <c r="J108" s="13">
        <v>2.3605499999999999</v>
      </c>
      <c r="K108" s="7">
        <v>26</v>
      </c>
      <c r="L108" s="7">
        <v>4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8</v>
      </c>
      <c r="Z108" s="7">
        <v>0</v>
      </c>
      <c r="AA108" s="7">
        <v>0</v>
      </c>
      <c r="AB108" s="7">
        <v>0</v>
      </c>
      <c r="AC108" s="7">
        <v>40</v>
      </c>
      <c r="AD108" s="7">
        <v>0</v>
      </c>
      <c r="AE108" s="7">
        <v>0</v>
      </c>
      <c r="AF108" s="7">
        <v>0</v>
      </c>
      <c r="AG108" s="7">
        <v>80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 s="7">
        <v>0</v>
      </c>
      <c r="BE108" s="7">
        <v>10</v>
      </c>
      <c r="BF108" s="7">
        <v>0</v>
      </c>
      <c r="BG108" s="7">
        <v>0</v>
      </c>
      <c r="BH108" s="7">
        <v>1</v>
      </c>
      <c r="BI108" s="7">
        <v>0</v>
      </c>
      <c r="BJ108" s="7">
        <v>20</v>
      </c>
      <c r="BK108" s="7">
        <v>0</v>
      </c>
      <c r="BL108" s="7">
        <v>0</v>
      </c>
      <c r="BM108" s="13">
        <v>159</v>
      </c>
      <c r="BN108" s="13">
        <f>Tabla1[[#This Row],[CONSUMO TOTAL PROPIO]]/52</f>
        <v>3.0576923076923075</v>
      </c>
      <c r="BO108" s="13" t="e">
        <f>SUM(Tabla3[[#This Row],[CONSUMO TOTAL V]]+Tabla2[[#This Row],[CONSUMO TOTAL VALORES]]+#REF!+#REF!)</f>
        <v>#REF!</v>
      </c>
      <c r="BP108" s="31">
        <v>17</v>
      </c>
      <c r="BQ108" s="13">
        <f>Tabla1[[#This Row],[CONSUMO TOTAL TODAS]]/52</f>
        <v>0.32692307692307693</v>
      </c>
      <c r="BR108" s="25">
        <f>Tabla1[[#This Row],[CONSUMO PROMEDIO PROPIO]]+Tabla1[[#This Row],[CONSUMO PROMEDIO TODAS]]</f>
        <v>3.3846153846153846</v>
      </c>
      <c r="BS108" s="26">
        <f>Tabla1[[#This Row],[CONSUMO PROMEDIO TOTAL]]*(Tabla1[[#This Row],[FRECUENCIA]]+Tabla1[[#This Row],[TIEMPO REPOSICION BUFFERS]])</f>
        <v>101.53846153846153</v>
      </c>
      <c r="BT108" s="26">
        <v>100</v>
      </c>
      <c r="BU108" s="27">
        <v>1</v>
      </c>
      <c r="BV108" s="27">
        <v>16</v>
      </c>
      <c r="BW108" s="27">
        <v>16</v>
      </c>
      <c r="BX108" s="69">
        <f>Tabla1[[#This Row],[BUFFER REAL]]*Tabla1[[#This Row],[COSTOS]]</f>
        <v>236.05500000000001</v>
      </c>
      <c r="BY108" s="69">
        <f>Tabla1[[#This Row],[PVP]]-Tabla1[[#This Row],[COSTOS]]</f>
        <v>3.4294500000000001</v>
      </c>
      <c r="BZ108" s="69">
        <f>Tabla1[[#This Row],[PVD]]-Tabla1[[#This Row],[COSTOS]]</f>
        <v>1.9240500000000003</v>
      </c>
      <c r="CA108" s="25">
        <f>Tabla1[[#This Row],[TRUPUD UNTITARIO PVD]]</f>
        <v>1.9240500000000003</v>
      </c>
      <c r="CB108" s="25">
        <f>Tabla1[[#This Row],[TRUPUT UNITARIO]]/Tabla1[[#This Row],[COSTOS]]</f>
        <v>0.81508546736989274</v>
      </c>
      <c r="CC108" s="40">
        <f>Tabla1[[#This Row],[BUFFER REAL]]/((Tabla1[[#This Row],[TIEMPO REPOSICION BUFFERS]])/1.5)</f>
        <v>37.5</v>
      </c>
      <c r="CD108" s="69">
        <f>Tabla1[[#This Row],[CONSUMO ESTIMADO]]*52*Tabla1[[#This Row],[TRUPUT UNITARIO]]</f>
        <v>3751.8975000000005</v>
      </c>
      <c r="CE108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108" s="25">
        <f>Tabla1[[#This Row],[INVERSION UNIDADES]]*Tabla1[[#This Row],[COSTOS]]</f>
        <v>531.12374999999997</v>
      </c>
      <c r="CG108" s="25">
        <f>Tabla1[[#This Row],[TRUPUT TOTAL ESTIMADO ANUAL]]/Tabla1[[#This Row],[INVERSION USD]]</f>
        <v>7.0640740505390704</v>
      </c>
      <c r="CH108" s="27"/>
      <c r="CI108" s="27"/>
      <c r="CJ108" s="27"/>
      <c r="CK108" s="27"/>
    </row>
    <row r="109" spans="1:89">
      <c r="A109" s="7" t="s">
        <v>641</v>
      </c>
      <c r="B109" s="7" t="s">
        <v>642</v>
      </c>
      <c r="C109" s="7" t="s">
        <v>2</v>
      </c>
      <c r="D109" s="7" t="s">
        <v>709</v>
      </c>
      <c r="E109" s="7" t="s">
        <v>719</v>
      </c>
      <c r="F109" s="7" t="s">
        <v>724</v>
      </c>
      <c r="G109" s="7" t="s">
        <v>729</v>
      </c>
      <c r="H109" s="13">
        <v>11.5</v>
      </c>
      <c r="I109" s="13">
        <f>Tabla1[[#This Row],[PVP]]*74%</f>
        <v>8.51</v>
      </c>
      <c r="J109" s="13">
        <v>4.3064900000000002</v>
      </c>
      <c r="K109" s="7">
        <v>26</v>
      </c>
      <c r="L109" s="7">
        <v>4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44</v>
      </c>
      <c r="Z109" s="7">
        <v>32</v>
      </c>
      <c r="AA109" s="7">
        <v>0</v>
      </c>
      <c r="AB109" s="7">
        <v>60</v>
      </c>
      <c r="AC109" s="7">
        <v>0</v>
      </c>
      <c r="AD109" s="7">
        <v>100</v>
      </c>
      <c r="AE109" s="7">
        <v>0</v>
      </c>
      <c r="AF109" s="7">
        <v>1</v>
      </c>
      <c r="AG109" s="7">
        <v>80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120</v>
      </c>
      <c r="AO109" s="7">
        <v>20</v>
      </c>
      <c r="AP109" s="7">
        <v>2</v>
      </c>
      <c r="AQ109" s="7">
        <v>20</v>
      </c>
      <c r="AR109" s="7">
        <v>6</v>
      </c>
      <c r="AS109" s="7">
        <v>88</v>
      </c>
      <c r="AT109" s="7">
        <v>0</v>
      </c>
      <c r="AU109" s="7">
        <v>0</v>
      </c>
      <c r="AV109" s="7">
        <v>46</v>
      </c>
      <c r="AW109" s="7">
        <v>2</v>
      </c>
      <c r="AX109" s="7">
        <v>2</v>
      </c>
      <c r="AY109" s="7">
        <v>2</v>
      </c>
      <c r="AZ109" s="7">
        <v>21</v>
      </c>
      <c r="BA109" s="7">
        <v>0</v>
      </c>
      <c r="BB109" s="7">
        <v>20</v>
      </c>
      <c r="BC109" s="7">
        <v>0</v>
      </c>
      <c r="BD109" s="7">
        <v>100</v>
      </c>
      <c r="BE109" s="7">
        <v>20</v>
      </c>
      <c r="BF109" s="7">
        <v>0</v>
      </c>
      <c r="BG109" s="7">
        <v>4</v>
      </c>
      <c r="BH109" s="7">
        <v>0</v>
      </c>
      <c r="BI109" s="7">
        <v>0</v>
      </c>
      <c r="BJ109" s="7">
        <v>20</v>
      </c>
      <c r="BK109" s="7">
        <v>0</v>
      </c>
      <c r="BL109" s="7">
        <v>200</v>
      </c>
      <c r="BM109" s="13">
        <v>1010</v>
      </c>
      <c r="BN109" s="13">
        <f>Tabla1[[#This Row],[CONSUMO TOTAL PROPIO]]/52</f>
        <v>19.423076923076923</v>
      </c>
      <c r="BO109" s="13" t="e">
        <f>SUM(Tabla3[[#This Row],[CONSUMO TOTAL V]]+Tabla2[[#This Row],[CONSUMO TOTAL VALORES]]+#REF!+#REF!)</f>
        <v>#REF!</v>
      </c>
      <c r="BP109" s="31">
        <v>84</v>
      </c>
      <c r="BQ109" s="13">
        <f>Tabla1[[#This Row],[CONSUMO TOTAL TODAS]]/52</f>
        <v>1.6153846153846154</v>
      </c>
      <c r="BR109" s="25">
        <f>Tabla1[[#This Row],[CONSUMO PROMEDIO PROPIO]]+Tabla1[[#This Row],[CONSUMO PROMEDIO TODAS]]</f>
        <v>21.03846153846154</v>
      </c>
      <c r="BS109" s="26">
        <f>Tabla1[[#This Row],[CONSUMO PROMEDIO TOTAL]]*(Tabla1[[#This Row],[FRECUENCIA]]+Tabla1[[#This Row],[TIEMPO REPOSICION BUFFERS]])</f>
        <v>631.15384615384619</v>
      </c>
      <c r="BT109" s="26">
        <v>100</v>
      </c>
      <c r="BU109" s="27">
        <v>1</v>
      </c>
      <c r="BV109" s="27">
        <v>16</v>
      </c>
      <c r="BW109" s="27">
        <v>16</v>
      </c>
      <c r="BX109" s="69">
        <f>Tabla1[[#This Row],[BUFFER REAL]]*Tabla1[[#This Row],[COSTOS]]</f>
        <v>430.649</v>
      </c>
      <c r="BY109" s="69">
        <f>Tabla1[[#This Row],[PVP]]-Tabla1[[#This Row],[COSTOS]]</f>
        <v>7.1935099999999998</v>
      </c>
      <c r="BZ109" s="69">
        <f>Tabla1[[#This Row],[PVD]]-Tabla1[[#This Row],[COSTOS]]</f>
        <v>4.2035099999999996</v>
      </c>
      <c r="CA109" s="25">
        <f>Tabla1[[#This Row],[TRUPUD UNTITARIO PVD]]</f>
        <v>4.2035099999999996</v>
      </c>
      <c r="CB109" s="25">
        <f>Tabla1[[#This Row],[TRUPUT UNITARIO]]/Tabla1[[#This Row],[COSTOS]]</f>
        <v>0.97608725435331312</v>
      </c>
      <c r="CC109" s="40">
        <f>Tabla1[[#This Row],[BUFFER REAL]]/((Tabla1[[#This Row],[TIEMPO REPOSICION BUFFERS]])/1.5)</f>
        <v>37.5</v>
      </c>
      <c r="CD109" s="69">
        <f>Tabla1[[#This Row],[CONSUMO ESTIMADO]]*52*Tabla1[[#This Row],[TRUPUT UNITARIO]]</f>
        <v>8196.8444999999992</v>
      </c>
      <c r="CE109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109" s="25">
        <f>Tabla1[[#This Row],[INVERSION UNIDADES]]*Tabla1[[#This Row],[COSTOS]]</f>
        <v>968.96025000000009</v>
      </c>
      <c r="CG109" s="25">
        <f>Tabla1[[#This Row],[TRUPUT TOTAL ESTIMADO ANUAL]]/Tabla1[[#This Row],[INVERSION USD]]</f>
        <v>8.4594228710620474</v>
      </c>
      <c r="CH109" s="27"/>
      <c r="CI109" s="27"/>
      <c r="CJ109" s="27"/>
      <c r="CK109" s="27"/>
    </row>
    <row r="110" spans="1:89">
      <c r="A110" s="7" t="s">
        <v>647</v>
      </c>
      <c r="B110" s="7" t="s">
        <v>648</v>
      </c>
      <c r="C110" s="7" t="s">
        <v>677</v>
      </c>
      <c r="D110" s="7" t="s">
        <v>708</v>
      </c>
      <c r="E110" s="7" t="s">
        <v>715</v>
      </c>
      <c r="F110" s="7" t="s">
        <v>724</v>
      </c>
      <c r="G110" s="7" t="s">
        <v>729</v>
      </c>
      <c r="H110" s="13">
        <v>24.9</v>
      </c>
      <c r="I110" s="13">
        <f>Tabla1[[#This Row],[PVP]]*85%</f>
        <v>21.164999999999999</v>
      </c>
      <c r="J110" s="13">
        <v>10.53856</v>
      </c>
      <c r="K110" s="7">
        <v>38</v>
      </c>
      <c r="L110" s="7">
        <v>4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2</v>
      </c>
      <c r="Y110" s="7">
        <v>18</v>
      </c>
      <c r="Z110" s="7">
        <v>20</v>
      </c>
      <c r="AA110" s="7">
        <v>500</v>
      </c>
      <c r="AB110" s="7">
        <v>0</v>
      </c>
      <c r="AC110" s="7">
        <v>0</v>
      </c>
      <c r="AD110" s="7">
        <v>510</v>
      </c>
      <c r="AE110" s="7">
        <v>50</v>
      </c>
      <c r="AF110" s="7">
        <v>0</v>
      </c>
      <c r="AG110" s="7">
        <v>0</v>
      </c>
      <c r="AH110" s="7">
        <v>275</v>
      </c>
      <c r="AI110" s="7">
        <v>0</v>
      </c>
      <c r="AJ110" s="7">
        <v>228</v>
      </c>
      <c r="AK110" s="7">
        <v>127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100</v>
      </c>
      <c r="AS110" s="7">
        <v>300</v>
      </c>
      <c r="AT110" s="7">
        <v>10</v>
      </c>
      <c r="AU110" s="7">
        <v>0</v>
      </c>
      <c r="AV110" s="7">
        <v>50</v>
      </c>
      <c r="AW110" s="7">
        <v>100</v>
      </c>
      <c r="AX110" s="7">
        <v>212</v>
      </c>
      <c r="AY110" s="7">
        <v>10</v>
      </c>
      <c r="AZ110" s="7">
        <v>0</v>
      </c>
      <c r="BA110" s="7">
        <v>0</v>
      </c>
      <c r="BB110" s="7">
        <v>0</v>
      </c>
      <c r="BC110" s="7">
        <v>0</v>
      </c>
      <c r="BD110" s="7">
        <v>0</v>
      </c>
      <c r="BE110" s="7">
        <v>0</v>
      </c>
      <c r="BF110" s="7">
        <v>10</v>
      </c>
      <c r="BG110" s="7">
        <v>1</v>
      </c>
      <c r="BH110" s="7">
        <v>1</v>
      </c>
      <c r="BI110" s="7">
        <v>0</v>
      </c>
      <c r="BJ110" s="7">
        <v>0</v>
      </c>
      <c r="BK110" s="7">
        <v>5</v>
      </c>
      <c r="BL110" s="7">
        <v>0</v>
      </c>
      <c r="BM110" s="13">
        <v>2529</v>
      </c>
      <c r="BN110" s="13">
        <f>Tabla1[[#This Row],[CONSUMO TOTAL PROPIO]]/52</f>
        <v>48.634615384615387</v>
      </c>
      <c r="BO110" s="13" t="e">
        <f>SUM(Tabla3[[#This Row],[CONSUMO TOTAL V]]+Tabla2[[#This Row],[CONSUMO TOTAL VALORES]]+#REF!+#REF!)</f>
        <v>#REF!</v>
      </c>
      <c r="BP110" s="31">
        <v>0</v>
      </c>
      <c r="BQ110" s="13">
        <f>Tabla1[[#This Row],[CONSUMO TOTAL TODAS]]/52</f>
        <v>0</v>
      </c>
      <c r="BR110" s="25">
        <f>Tabla1[[#This Row],[CONSUMO PROMEDIO PROPIO]]+Tabla1[[#This Row],[CONSUMO PROMEDIO TODAS]]</f>
        <v>48.634615384615387</v>
      </c>
      <c r="BS110" s="26">
        <f>Tabla1[[#This Row],[CONSUMO PROMEDIO TOTAL]]*(Tabla1[[#This Row],[FRECUENCIA]]+Tabla1[[#This Row],[TIEMPO REPOSICION BUFFERS]])</f>
        <v>2042.6538461538462</v>
      </c>
      <c r="BT110" s="26">
        <v>400</v>
      </c>
      <c r="BU110" s="27">
        <v>1</v>
      </c>
      <c r="BV110" s="27">
        <v>16</v>
      </c>
      <c r="BW110" s="27">
        <v>16</v>
      </c>
      <c r="BX110" s="69">
        <f>Tabla1[[#This Row],[BUFFER REAL]]*Tabla1[[#This Row],[COSTOS]]</f>
        <v>4215.424</v>
      </c>
      <c r="BY110" s="69">
        <f>Tabla1[[#This Row],[PVP]]-Tabla1[[#This Row],[COSTOS]]</f>
        <v>14.361439999999998</v>
      </c>
      <c r="BZ110" s="69">
        <f>Tabla1[[#This Row],[PVD]]-Tabla1[[#This Row],[COSTOS]]</f>
        <v>10.626439999999999</v>
      </c>
      <c r="CA110" s="25">
        <f>Tabla1[[#This Row],[TRUPUD UNTITARIO PVD]]</f>
        <v>10.626439999999999</v>
      </c>
      <c r="CB110" s="25">
        <f>Tabla1[[#This Row],[TRUPUT UNITARIO]]/Tabla1[[#This Row],[COSTOS]]</f>
        <v>1.0083389001912972</v>
      </c>
      <c r="CC110" s="40">
        <f>Tabla1[[#This Row],[BUFFER REAL]]/((Tabla1[[#This Row],[TIEMPO REPOSICION BUFFERS]])/1.5)</f>
        <v>150</v>
      </c>
      <c r="CD110" s="69">
        <f>Tabla1[[#This Row],[CONSUMO ESTIMADO]]*52*Tabla1[[#This Row],[TRUPUT UNITARIO]]</f>
        <v>82886.231999999989</v>
      </c>
      <c r="CE110" s="25">
        <f>Tabla1[[#This Row],[CONSUMO ESTIMADO]]*(Tabla1[[#This Row],[TIEMPO REPOSICION BUFFERS]]*1.5)+( Tabla1[[#This Row],[TRUPUT TOTAL ESTIMADO ANUAL]]*(Tabla1[[#This Row],[CRÉDITO CLIENTE]]-Tabla1[[#This Row],[CREDITO PROVEEDOR]]))</f>
        <v>900</v>
      </c>
      <c r="CF110" s="25">
        <f>Tabla1[[#This Row],[INVERSION UNIDADES]]*Tabla1[[#This Row],[COSTOS]]</f>
        <v>9484.7039999999997</v>
      </c>
      <c r="CG110" s="25">
        <f>Tabla1[[#This Row],[TRUPUT TOTAL ESTIMADO ANUAL]]/Tabla1[[#This Row],[INVERSION USD]]</f>
        <v>8.7389371349912448</v>
      </c>
      <c r="CH110" s="27"/>
      <c r="CI110" s="27"/>
      <c r="CJ110" s="27"/>
      <c r="CK110" s="27"/>
    </row>
    <row r="111" spans="1:89">
      <c r="A111" s="43" t="s">
        <v>649</v>
      </c>
      <c r="B111" s="46" t="s">
        <v>650</v>
      </c>
      <c r="C111" s="46" t="s">
        <v>673</v>
      </c>
      <c r="D111" s="46" t="s">
        <v>708</v>
      </c>
      <c r="E111" s="46" t="s">
        <v>715</v>
      </c>
      <c r="F111" s="46" t="s">
        <v>724</v>
      </c>
      <c r="G111" s="46" t="s">
        <v>729</v>
      </c>
      <c r="H111" s="49">
        <v>109.81</v>
      </c>
      <c r="I111" s="49">
        <f>Tabla1[[#This Row],[PVP]]*85%</f>
        <v>93.338499999999996</v>
      </c>
      <c r="J111" s="49">
        <v>55.988999999999997</v>
      </c>
      <c r="K111" s="46">
        <v>38</v>
      </c>
      <c r="L111" s="46">
        <v>4</v>
      </c>
      <c r="M111" s="46">
        <v>0</v>
      </c>
      <c r="N111" s="46">
        <v>0</v>
      </c>
      <c r="O111" s="46">
        <v>0</v>
      </c>
      <c r="P111" s="46">
        <v>0</v>
      </c>
      <c r="Q111" s="46">
        <v>0</v>
      </c>
      <c r="R111" s="46">
        <v>0</v>
      </c>
      <c r="S111" s="46">
        <v>0</v>
      </c>
      <c r="T111" s="46">
        <v>0</v>
      </c>
      <c r="U111" s="46">
        <v>0</v>
      </c>
      <c r="V111" s="46">
        <v>0</v>
      </c>
      <c r="W111" s="46">
        <v>0</v>
      </c>
      <c r="X111" s="46">
        <v>0</v>
      </c>
      <c r="Y111" s="46">
        <v>0</v>
      </c>
      <c r="Z111" s="46">
        <v>0</v>
      </c>
      <c r="AA111" s="46">
        <v>0</v>
      </c>
      <c r="AB111" s="46">
        <v>0</v>
      </c>
      <c r="AC111" s="46">
        <v>0</v>
      </c>
      <c r="AD111" s="46">
        <v>0</v>
      </c>
      <c r="AE111" s="46">
        <v>0</v>
      </c>
      <c r="AF111" s="46">
        <v>0</v>
      </c>
      <c r="AG111" s="46">
        <v>0</v>
      </c>
      <c r="AH111" s="46">
        <v>60</v>
      </c>
      <c r="AI111" s="46">
        <v>0</v>
      </c>
      <c r="AJ111" s="46">
        <v>0</v>
      </c>
      <c r="AK111" s="46">
        <v>0</v>
      </c>
      <c r="AL111" s="46">
        <v>0</v>
      </c>
      <c r="AM111" s="46">
        <v>0</v>
      </c>
      <c r="AN111" s="46">
        <v>0</v>
      </c>
      <c r="AO111" s="46">
        <v>0</v>
      </c>
      <c r="AP111" s="46">
        <v>0</v>
      </c>
      <c r="AQ111" s="46">
        <v>0</v>
      </c>
      <c r="AR111" s="46">
        <v>0</v>
      </c>
      <c r="AS111" s="46">
        <v>0</v>
      </c>
      <c r="AT111" s="46">
        <v>0</v>
      </c>
      <c r="AU111" s="46">
        <v>0</v>
      </c>
      <c r="AV111" s="46">
        <v>0</v>
      </c>
      <c r="AW111" s="46">
        <v>0</v>
      </c>
      <c r="AX111" s="46">
        <v>0</v>
      </c>
      <c r="AY111" s="46">
        <v>0</v>
      </c>
      <c r="AZ111" s="46">
        <v>0</v>
      </c>
      <c r="BA111" s="46">
        <v>0</v>
      </c>
      <c r="BB111" s="46">
        <v>0</v>
      </c>
      <c r="BC111" s="46">
        <v>0</v>
      </c>
      <c r="BD111" s="46">
        <v>0</v>
      </c>
      <c r="BE111" s="46">
        <v>0</v>
      </c>
      <c r="BF111" s="46">
        <v>0</v>
      </c>
      <c r="BG111" s="46">
        <v>0</v>
      </c>
      <c r="BH111" s="46">
        <v>0</v>
      </c>
      <c r="BI111" s="46">
        <v>0</v>
      </c>
      <c r="BJ111" s="46">
        <v>0</v>
      </c>
      <c r="BK111" s="46">
        <v>0</v>
      </c>
      <c r="BL111" s="46">
        <v>0</v>
      </c>
      <c r="BM111" s="49">
        <v>60</v>
      </c>
      <c r="BN111" s="13">
        <f>Tabla1[[#This Row],[CONSUMO TOTAL PROPIO]]/52</f>
        <v>1.1538461538461537</v>
      </c>
      <c r="BO111" s="13" t="e">
        <f>SUM(Tabla3[[#This Row],[CONSUMO TOTAL V]]+Tabla2[[#This Row],[CONSUMO TOTAL VALORES]]+#REF!+#REF!)</f>
        <v>#REF!</v>
      </c>
      <c r="BP111" s="60">
        <v>0</v>
      </c>
      <c r="BQ111" s="13">
        <f>Tabla1[[#This Row],[CONSUMO TOTAL TODAS]]/52</f>
        <v>0</v>
      </c>
      <c r="BR111" s="25">
        <f>Tabla1[[#This Row],[CONSUMO PROMEDIO PROPIO]]+Tabla1[[#This Row],[CONSUMO PROMEDIO TODAS]]</f>
        <v>1.1538461538461537</v>
      </c>
      <c r="BS111" s="26">
        <f>Tabla1[[#This Row],[CONSUMO PROMEDIO TOTAL]]*(Tabla1[[#This Row],[FRECUENCIA]]+Tabla1[[#This Row],[TIEMPO REPOSICION BUFFERS]])</f>
        <v>48.46153846153846</v>
      </c>
      <c r="BT111" s="53">
        <v>0</v>
      </c>
      <c r="BU111" s="55">
        <v>1</v>
      </c>
      <c r="BV111" s="27">
        <v>16</v>
      </c>
      <c r="BW111" s="27">
        <v>16</v>
      </c>
      <c r="BX111" s="69">
        <f>Tabla1[[#This Row],[BUFFER REAL]]*Tabla1[[#This Row],[COSTOS]]</f>
        <v>0</v>
      </c>
      <c r="BY111" s="69">
        <f>Tabla1[[#This Row],[PVP]]-Tabla1[[#This Row],[COSTOS]]</f>
        <v>53.821000000000005</v>
      </c>
      <c r="BZ111" s="69">
        <f>Tabla1[[#This Row],[PVD]]-Tabla1[[#This Row],[COSTOS]]</f>
        <v>37.349499999999999</v>
      </c>
      <c r="CA111" s="25">
        <f>Tabla1[[#This Row],[TRUPUD UNTITARIO PVD]]</f>
        <v>37.349499999999999</v>
      </c>
      <c r="CB111" s="25">
        <f>Tabla1[[#This Row],[TRUPUT UNITARIO]]/Tabla1[[#This Row],[COSTOS]]</f>
        <v>0.6670863919698512</v>
      </c>
      <c r="CC111" s="40">
        <f>Tabla1[[#This Row],[BUFFER REAL]]/((Tabla1[[#This Row],[TIEMPO REPOSICION BUFFERS]])/1.5)</f>
        <v>0</v>
      </c>
      <c r="CD111" s="69">
        <f>Tabla1[[#This Row],[CONSUMO ESTIMADO]]*52*Tabla1[[#This Row],[TRUPUT UNITARIO]]</f>
        <v>0</v>
      </c>
      <c r="CE111" s="25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111" s="25">
        <f>Tabla1[[#This Row],[INVERSION UNIDADES]]*Tabla1[[#This Row],[COSTOS]]</f>
        <v>0</v>
      </c>
      <c r="CG111" s="25" t="e">
        <f>Tabla1[[#This Row],[TRUPUT TOTAL ESTIMADO ANUAL]]/Tabla1[[#This Row],[INVERSION USD]]</f>
        <v>#DIV/0!</v>
      </c>
      <c r="CH111" s="27"/>
      <c r="CI111" s="27"/>
      <c r="CJ111" s="27"/>
      <c r="CK111" s="27"/>
    </row>
    <row r="112" spans="1:89">
      <c r="A112" s="41" t="s">
        <v>659</v>
      </c>
      <c r="B112" s="45" t="s">
        <v>660</v>
      </c>
      <c r="C112" s="45" t="s">
        <v>688</v>
      </c>
      <c r="D112" s="45" t="s">
        <v>707</v>
      </c>
      <c r="E112" s="45" t="s">
        <v>732</v>
      </c>
      <c r="F112" s="45" t="s">
        <v>724</v>
      </c>
      <c r="G112" s="45" t="s">
        <v>729</v>
      </c>
      <c r="H112" s="47">
        <v>189</v>
      </c>
      <c r="I112" s="47">
        <f>+H112*85%</f>
        <v>160.65</v>
      </c>
      <c r="J112" s="47">
        <v>133.21</v>
      </c>
      <c r="K112" s="45">
        <v>8</v>
      </c>
      <c r="L112" s="45">
        <v>4</v>
      </c>
      <c r="M112" s="45">
        <v>0</v>
      </c>
      <c r="N112" s="45">
        <v>0</v>
      </c>
      <c r="O112" s="45">
        <v>0</v>
      </c>
      <c r="P112" s="45">
        <v>0</v>
      </c>
      <c r="Q112" s="45">
        <v>0</v>
      </c>
      <c r="R112" s="45">
        <v>0</v>
      </c>
      <c r="S112" s="45">
        <v>0</v>
      </c>
      <c r="T112" s="45">
        <v>0</v>
      </c>
      <c r="U112" s="45">
        <v>0</v>
      </c>
      <c r="V112" s="45">
        <v>0</v>
      </c>
      <c r="W112" s="45">
        <v>0</v>
      </c>
      <c r="X112" s="45">
        <v>0</v>
      </c>
      <c r="Y112" s="45">
        <v>0</v>
      </c>
      <c r="Z112" s="45">
        <v>0</v>
      </c>
      <c r="AA112" s="45">
        <v>0</v>
      </c>
      <c r="AB112" s="45">
        <v>0</v>
      </c>
      <c r="AC112" s="45">
        <v>0</v>
      </c>
      <c r="AD112" s="45">
        <v>0</v>
      </c>
      <c r="AE112" s="45">
        <v>0</v>
      </c>
      <c r="AF112" s="45">
        <v>0</v>
      </c>
      <c r="AG112" s="45">
        <v>0</v>
      </c>
      <c r="AH112" s="45">
        <v>0</v>
      </c>
      <c r="AI112" s="45">
        <v>0</v>
      </c>
      <c r="AJ112" s="45">
        <v>0</v>
      </c>
      <c r="AK112" s="45">
        <v>0</v>
      </c>
      <c r="AL112" s="45">
        <v>0</v>
      </c>
      <c r="AM112" s="45">
        <v>0</v>
      </c>
      <c r="AN112" s="45">
        <v>0</v>
      </c>
      <c r="AO112" s="45">
        <v>0</v>
      </c>
      <c r="AP112" s="45">
        <v>0</v>
      </c>
      <c r="AQ112" s="45">
        <v>0</v>
      </c>
      <c r="AR112" s="45">
        <v>0</v>
      </c>
      <c r="AS112" s="45">
        <v>0</v>
      </c>
      <c r="AT112" s="45">
        <v>0</v>
      </c>
      <c r="AU112" s="45">
        <v>0</v>
      </c>
      <c r="AV112" s="45">
        <v>0</v>
      </c>
      <c r="AW112" s="45">
        <v>0</v>
      </c>
      <c r="AX112" s="45">
        <v>0</v>
      </c>
      <c r="AY112" s="45">
        <v>0</v>
      </c>
      <c r="AZ112" s="45">
        <v>0</v>
      </c>
      <c r="BA112" s="45">
        <v>0</v>
      </c>
      <c r="BB112" s="45">
        <v>0</v>
      </c>
      <c r="BC112" s="45">
        <v>0</v>
      </c>
      <c r="BD112" s="45">
        <v>0</v>
      </c>
      <c r="BE112" s="45">
        <v>0</v>
      </c>
      <c r="BF112" s="45">
        <v>0</v>
      </c>
      <c r="BG112" s="45">
        <v>0</v>
      </c>
      <c r="BH112" s="45">
        <v>0</v>
      </c>
      <c r="BI112" s="45">
        <v>0</v>
      </c>
      <c r="BJ112" s="45">
        <v>0</v>
      </c>
      <c r="BK112" s="45">
        <v>0</v>
      </c>
      <c r="BL112" s="45">
        <v>0</v>
      </c>
      <c r="BM112" s="47">
        <v>0</v>
      </c>
      <c r="BN112" s="13">
        <f>Tabla1[[#This Row],[CONSUMO TOTAL PROPIO]]/52</f>
        <v>0</v>
      </c>
      <c r="BO112" s="13" t="e">
        <f>SUM(Tabla3[[#This Row],[CONSUMO TOTAL V]]+Tabla2[[#This Row],[CONSUMO TOTAL VALORES]]+#REF!+#REF!)</f>
        <v>#REF!</v>
      </c>
      <c r="BP112" s="59">
        <v>0</v>
      </c>
      <c r="BQ112" s="13">
        <f>Tabla1[[#This Row],[CONSUMO TOTAL TODAS]]/52</f>
        <v>0</v>
      </c>
      <c r="BR112" s="25">
        <f>Tabla1[[#This Row],[CONSUMO PROMEDIO PROPIO]]+Tabla1[[#This Row],[CONSUMO PROMEDIO TODAS]]</f>
        <v>0</v>
      </c>
      <c r="BS112" s="26">
        <f>Tabla1[[#This Row],[CONSUMO PROMEDIO TOTAL]]*(Tabla1[[#This Row],[FRECUENCIA]]+Tabla1[[#This Row],[TIEMPO REPOSICION BUFFERS]])</f>
        <v>0</v>
      </c>
      <c r="BT112" s="52">
        <v>2</v>
      </c>
      <c r="BU112" s="54">
        <v>1</v>
      </c>
      <c r="BV112" s="27">
        <v>12</v>
      </c>
      <c r="BW112" s="27">
        <v>9</v>
      </c>
      <c r="BX112" s="69">
        <f>Tabla1[[#This Row],[BUFFER REAL]]*Tabla1[[#This Row],[COSTOS]]</f>
        <v>266.42</v>
      </c>
      <c r="BY112" s="69">
        <f>Tabla1[[#This Row],[PVP]]-Tabla1[[#This Row],[COSTOS]]</f>
        <v>55.789999999999992</v>
      </c>
      <c r="BZ112" s="69">
        <f>Tabla1[[#This Row],[PVD]]-Tabla1[[#This Row],[COSTOS]]</f>
        <v>27.439999999999998</v>
      </c>
      <c r="CA112" s="69">
        <f>Tabla1[[#This Row],[TRUPUD UNITARIO PVP]]</f>
        <v>55.789999999999992</v>
      </c>
      <c r="CB112" s="68">
        <f>Tabla1[[#This Row],[TRUPUT UNITARIO]]/Tabla1[[#This Row],[COSTOS]]</f>
        <v>0.41881240147136095</v>
      </c>
      <c r="CC112" s="71">
        <f>Tabla1[[#This Row],[BUFFER REAL]]/((Tabla1[[#This Row],[TIEMPO REPOSICION BUFFERS]])/1.5)</f>
        <v>0.75</v>
      </c>
      <c r="CD112" s="68">
        <f>Tabla1[[#This Row],[CONSUMO ESTIMADO]]*52*Tabla1[[#This Row],[TRUPUT UNITARIO]]</f>
        <v>2175.8099999999995</v>
      </c>
      <c r="CE112" s="68">
        <f>Tabla1[[#This Row],[CONSUMO ESTIMADO]]*(Tabla1[[#This Row],[TIEMPO REPOSICION BUFFERS]]*1.5)+( Tabla1[[#This Row],[TRUPUT TOTAL ESTIMADO ANUAL]]*(Tabla1[[#This Row],[CRÉDITO CLIENTE]]-Tabla1[[#This Row],[CREDITO PROVEEDOR]]))</f>
        <v>-6522.9299999999985</v>
      </c>
      <c r="CF112" s="68">
        <f>Tabla1[[#This Row],[INVERSION UNIDADES]]*Tabla1[[#This Row],[COSTOS]]</f>
        <v>-868919.50529999984</v>
      </c>
      <c r="CG112" s="68">
        <f>Tabla1[[#This Row],[TRUPUT TOTAL ESTIMADO ANUAL]]/Tabla1[[#This Row],[INVERSION USD]]</f>
        <v>-2.5040409229262124E-3</v>
      </c>
      <c r="CH112" s="27"/>
      <c r="CI112" s="27"/>
      <c r="CJ112" s="27"/>
      <c r="CK112" s="27"/>
    </row>
    <row r="113" spans="1:89">
      <c r="A113" s="7" t="s">
        <v>661</v>
      </c>
      <c r="B113" s="7" t="s">
        <v>662</v>
      </c>
      <c r="C113" s="7" t="s">
        <v>681</v>
      </c>
      <c r="D113" s="7" t="s">
        <v>707</v>
      </c>
      <c r="E113" s="7" t="s">
        <v>732</v>
      </c>
      <c r="F113" s="7" t="s">
        <v>724</v>
      </c>
      <c r="G113" s="7" t="s">
        <v>729</v>
      </c>
      <c r="H113" s="13">
        <v>38.4</v>
      </c>
      <c r="I113" s="13">
        <f>+H113*85%</f>
        <v>32.64</v>
      </c>
      <c r="J113" s="13">
        <v>27.594000000000001</v>
      </c>
      <c r="K113" s="7">
        <v>8</v>
      </c>
      <c r="L113" s="7">
        <v>4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1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 s="7">
        <v>0</v>
      </c>
      <c r="BE113" s="7">
        <v>0</v>
      </c>
      <c r="BF113" s="7">
        <v>1</v>
      </c>
      <c r="BG113" s="7">
        <v>0</v>
      </c>
      <c r="BH113" s="7">
        <v>0</v>
      </c>
      <c r="BI113" s="7">
        <v>0</v>
      </c>
      <c r="BJ113" s="7">
        <v>0</v>
      </c>
      <c r="BK113" s="7">
        <v>0</v>
      </c>
      <c r="BL113" s="7">
        <v>0</v>
      </c>
      <c r="BM113" s="13">
        <v>2</v>
      </c>
      <c r="BN113" s="13">
        <f>Tabla1[[#This Row],[CONSUMO TOTAL PROPIO]]/52</f>
        <v>3.8461538461538464E-2</v>
      </c>
      <c r="BO113" s="13" t="e">
        <f>SUM(Tabla3[[#This Row],[CONSUMO TOTAL V]]+Tabla2[[#This Row],[CONSUMO TOTAL VALORES]]+#REF!+#REF!)</f>
        <v>#REF!</v>
      </c>
      <c r="BP113" s="31">
        <v>0</v>
      </c>
      <c r="BQ113" s="13">
        <f>Tabla1[[#This Row],[CONSUMO TOTAL TODAS]]/52</f>
        <v>0</v>
      </c>
      <c r="BR113" s="25">
        <f>Tabla1[[#This Row],[CONSUMO PROMEDIO PROPIO]]+Tabla1[[#This Row],[CONSUMO PROMEDIO TODAS]]</f>
        <v>3.8461538461538464E-2</v>
      </c>
      <c r="BS113" s="26">
        <f>Tabla1[[#This Row],[CONSUMO PROMEDIO TOTAL]]*(Tabla1[[#This Row],[FRECUENCIA]]+Tabla1[[#This Row],[TIEMPO REPOSICION BUFFERS]])</f>
        <v>0.46153846153846156</v>
      </c>
      <c r="BT113" s="26">
        <v>12</v>
      </c>
      <c r="BU113" s="27">
        <v>1</v>
      </c>
      <c r="BV113" s="27">
        <v>12</v>
      </c>
      <c r="BW113" s="27">
        <v>9</v>
      </c>
      <c r="BX113" s="69">
        <f>Tabla1[[#This Row],[BUFFER REAL]]*Tabla1[[#This Row],[COSTOS]]</f>
        <v>331.12800000000004</v>
      </c>
      <c r="BY113" s="69">
        <f>Tabla1[[#This Row],[PVP]]-Tabla1[[#This Row],[COSTOS]]</f>
        <v>10.805999999999997</v>
      </c>
      <c r="BZ113" s="69">
        <f>Tabla1[[#This Row],[PVD]]-Tabla1[[#This Row],[COSTOS]]</f>
        <v>5.0459999999999994</v>
      </c>
      <c r="CA113" s="69">
        <f>Tabla1[[#This Row],[TRUPUD UNITARIO PVP]]</f>
        <v>10.805999999999997</v>
      </c>
      <c r="CB113" s="68">
        <f>Tabla1[[#This Row],[TRUPUT UNITARIO]]/Tabla1[[#This Row],[COSTOS]]</f>
        <v>0.39160687105892572</v>
      </c>
      <c r="CC113" s="71">
        <f>Tabla1[[#This Row],[BUFFER REAL]]/((Tabla1[[#This Row],[TIEMPO REPOSICION BUFFERS]])/1.5)</f>
        <v>4.5</v>
      </c>
      <c r="CD113" s="68">
        <f>Tabla1[[#This Row],[CONSUMO ESTIMADO]]*52*Tabla1[[#This Row],[TRUPUT UNITARIO]]</f>
        <v>2528.6039999999994</v>
      </c>
      <c r="CE113" s="68">
        <f>Tabla1[[#This Row],[CONSUMO ESTIMADO]]*(Tabla1[[#This Row],[TIEMPO REPOSICION BUFFERS]]*1.5)+( Tabla1[[#This Row],[TRUPUT TOTAL ESTIMADO ANUAL]]*(Tabla1[[#This Row],[CRÉDITO CLIENTE]]-Tabla1[[#This Row],[CREDITO PROVEEDOR]]))</f>
        <v>-7558.8119999999981</v>
      </c>
      <c r="CF113" s="68">
        <f>Tabla1[[#This Row],[INVERSION UNIDADES]]*Tabla1[[#This Row],[COSTOS]]</f>
        <v>-208577.85832799994</v>
      </c>
      <c r="CG113" s="68">
        <f>Tabla1[[#This Row],[TRUPUT TOTAL ESTIMADO ANUAL]]/Tabla1[[#This Row],[INVERSION USD]]</f>
        <v>-1.2123070110460302E-2</v>
      </c>
      <c r="CH113" s="27"/>
      <c r="CI113" s="27"/>
      <c r="CJ113" s="27"/>
      <c r="CK113" s="27"/>
    </row>
    <row r="114" spans="1:89">
      <c r="A114" s="41" t="s">
        <v>663</v>
      </c>
      <c r="B114" s="45" t="s">
        <v>664</v>
      </c>
      <c r="C114" s="45" t="s">
        <v>676</v>
      </c>
      <c r="D114" s="45" t="s">
        <v>707</v>
      </c>
      <c r="E114" s="45" t="s">
        <v>732</v>
      </c>
      <c r="F114" s="45" t="s">
        <v>724</v>
      </c>
      <c r="G114" s="45" t="s">
        <v>729</v>
      </c>
      <c r="H114" s="47">
        <v>10.5</v>
      </c>
      <c r="I114" s="47">
        <f>+H114*85%</f>
        <v>8.9249999999999989</v>
      </c>
      <c r="J114" s="47">
        <v>6.9065300000000001</v>
      </c>
      <c r="K114" s="45">
        <v>8</v>
      </c>
      <c r="L114" s="45">
        <v>4</v>
      </c>
      <c r="M114" s="45">
        <v>0</v>
      </c>
      <c r="N114" s="45">
        <v>0</v>
      </c>
      <c r="O114" s="45">
        <v>0</v>
      </c>
      <c r="P114" s="45">
        <v>0</v>
      </c>
      <c r="Q114" s="45">
        <v>0</v>
      </c>
      <c r="R114" s="45">
        <v>0</v>
      </c>
      <c r="S114" s="45">
        <v>0</v>
      </c>
      <c r="T114" s="45">
        <v>0</v>
      </c>
      <c r="U114" s="45">
        <v>0</v>
      </c>
      <c r="V114" s="45">
        <v>0</v>
      </c>
      <c r="W114" s="45">
        <v>0</v>
      </c>
      <c r="X114" s="45">
        <v>0</v>
      </c>
      <c r="Y114" s="45">
        <v>0</v>
      </c>
      <c r="Z114" s="45">
        <v>0</v>
      </c>
      <c r="AA114" s="45">
        <v>40</v>
      </c>
      <c r="AB114" s="45">
        <v>0</v>
      </c>
      <c r="AC114" s="45">
        <v>0</v>
      </c>
      <c r="AD114" s="45">
        <v>1</v>
      </c>
      <c r="AE114" s="45">
        <v>0</v>
      </c>
      <c r="AF114" s="45">
        <v>0</v>
      </c>
      <c r="AG114" s="45">
        <v>120</v>
      </c>
      <c r="AH114" s="45">
        <v>29</v>
      </c>
      <c r="AI114" s="45">
        <v>0</v>
      </c>
      <c r="AJ114" s="45">
        <v>0</v>
      </c>
      <c r="AK114" s="45">
        <v>0</v>
      </c>
      <c r="AL114" s="45">
        <v>0</v>
      </c>
      <c r="AM114" s="45">
        <v>10</v>
      </c>
      <c r="AN114" s="45">
        <v>0</v>
      </c>
      <c r="AO114" s="45">
        <v>0</v>
      </c>
      <c r="AP114" s="45">
        <v>0</v>
      </c>
      <c r="AQ114" s="45">
        <v>0</v>
      </c>
      <c r="AR114" s="45">
        <v>0</v>
      </c>
      <c r="AS114" s="45">
        <v>15</v>
      </c>
      <c r="AT114" s="45">
        <v>100</v>
      </c>
      <c r="AU114" s="45">
        <v>0</v>
      </c>
      <c r="AV114" s="45">
        <v>20</v>
      </c>
      <c r="AW114" s="45">
        <v>0</v>
      </c>
      <c r="AX114" s="45">
        <v>0</v>
      </c>
      <c r="AY114" s="45">
        <v>0</v>
      </c>
      <c r="AZ114" s="45">
        <v>0</v>
      </c>
      <c r="BA114" s="45">
        <v>0</v>
      </c>
      <c r="BB114" s="45">
        <v>2</v>
      </c>
      <c r="BC114" s="45">
        <v>0</v>
      </c>
      <c r="BD114" s="45">
        <v>0</v>
      </c>
      <c r="BE114" s="45">
        <v>0</v>
      </c>
      <c r="BF114" s="45">
        <v>20</v>
      </c>
      <c r="BG114" s="45">
        <v>0</v>
      </c>
      <c r="BH114" s="45">
        <v>0</v>
      </c>
      <c r="BI114" s="45">
        <v>0</v>
      </c>
      <c r="BJ114" s="45">
        <v>0</v>
      </c>
      <c r="BK114" s="45">
        <v>0</v>
      </c>
      <c r="BL114" s="45">
        <v>0</v>
      </c>
      <c r="BM114" s="47">
        <v>357</v>
      </c>
      <c r="BN114" s="13">
        <f>Tabla1[[#This Row],[CONSUMO TOTAL PROPIO]]/52</f>
        <v>6.865384615384615</v>
      </c>
      <c r="BO114" s="13" t="e">
        <f>SUM(Tabla3[[#This Row],[CONSUMO TOTAL V]]+Tabla2[[#This Row],[CONSUMO TOTAL VALORES]]+#REF!+#REF!)</f>
        <v>#REF!</v>
      </c>
      <c r="BP114" s="59">
        <v>22</v>
      </c>
      <c r="BQ114" s="13">
        <f>Tabla1[[#This Row],[CONSUMO TOTAL TODAS]]/52</f>
        <v>0.42307692307692307</v>
      </c>
      <c r="BR114" s="25">
        <f>Tabla1[[#This Row],[CONSUMO PROMEDIO PROPIO]]+Tabla1[[#This Row],[CONSUMO PROMEDIO TODAS]]</f>
        <v>7.2884615384615383</v>
      </c>
      <c r="BS114" s="26">
        <f>Tabla1[[#This Row],[CONSUMO PROMEDIO TOTAL]]*(Tabla1[[#This Row],[FRECUENCIA]]+Tabla1[[#This Row],[TIEMPO REPOSICION BUFFERS]])</f>
        <v>87.461538461538453</v>
      </c>
      <c r="BT114" s="52">
        <v>100</v>
      </c>
      <c r="BU114" s="54">
        <v>1</v>
      </c>
      <c r="BV114" s="27">
        <v>12</v>
      </c>
      <c r="BW114" s="27">
        <v>9</v>
      </c>
      <c r="BX114" s="69">
        <f>Tabla1[[#This Row],[BUFFER REAL]]*Tabla1[[#This Row],[COSTOS]]</f>
        <v>690.65300000000002</v>
      </c>
      <c r="BY114" s="69">
        <f>Tabla1[[#This Row],[PVP]]-Tabla1[[#This Row],[COSTOS]]</f>
        <v>3.5934699999999999</v>
      </c>
      <c r="BZ114" s="69">
        <f>Tabla1[[#This Row],[PVD]]-Tabla1[[#This Row],[COSTOS]]</f>
        <v>2.0184699999999989</v>
      </c>
      <c r="CA114" s="69">
        <f>Tabla1[[#This Row],[TRUPUD UNITARIO PVP]]</f>
        <v>3.5934699999999999</v>
      </c>
      <c r="CB114" s="68">
        <f>Tabla1[[#This Row],[TRUPUT UNITARIO]]/Tabla1[[#This Row],[COSTOS]]</f>
        <v>0.52030035343363457</v>
      </c>
      <c r="CC114" s="71">
        <f>Tabla1[[#This Row],[BUFFER REAL]]/((Tabla1[[#This Row],[TIEMPO REPOSICION BUFFERS]])/1.5)</f>
        <v>37.5</v>
      </c>
      <c r="CD114" s="68">
        <f>Tabla1[[#This Row],[CONSUMO ESTIMADO]]*52*Tabla1[[#This Row],[TRUPUT UNITARIO]]</f>
        <v>7007.2664999999997</v>
      </c>
      <c r="CE114" s="68">
        <f>Tabla1[[#This Row],[CONSUMO ESTIMADO]]*(Tabla1[[#This Row],[TIEMPO REPOSICION BUFFERS]]*1.5)+( Tabla1[[#This Row],[TRUPUT TOTAL ESTIMADO ANUAL]]*(Tabla1[[#This Row],[CRÉDITO CLIENTE]]-Tabla1[[#This Row],[CREDITO PROVEEDOR]]))</f>
        <v>-20796.799500000001</v>
      </c>
      <c r="CF114" s="68">
        <f>Tabla1[[#This Row],[INVERSION UNIDADES]]*Tabla1[[#This Row],[COSTOS]]</f>
        <v>-143633.719650735</v>
      </c>
      <c r="CG114" s="68">
        <f>Tabla1[[#This Row],[TRUPUT TOTAL ESTIMADO ANUAL]]/Tabla1[[#This Row],[INVERSION USD]]</f>
        <v>-4.8785664794026955E-2</v>
      </c>
      <c r="CH114" s="27"/>
      <c r="CI114" s="27"/>
      <c r="CJ114" s="27"/>
      <c r="CK114" s="27"/>
    </row>
    <row r="115" spans="1:89">
      <c r="A115" s="41" t="s">
        <v>733</v>
      </c>
      <c r="B115" s="45" t="s">
        <v>734</v>
      </c>
      <c r="C115" s="45" t="s">
        <v>735</v>
      </c>
      <c r="D115" s="45" t="s">
        <v>709</v>
      </c>
      <c r="E115" s="45" t="s">
        <v>732</v>
      </c>
      <c r="F115" s="45" t="s">
        <v>724</v>
      </c>
      <c r="G115" s="45" t="s">
        <v>729</v>
      </c>
      <c r="H115" s="47">
        <v>30.15</v>
      </c>
      <c r="I115" s="47">
        <f>+H115*85%</f>
        <v>25.627499999999998</v>
      </c>
      <c r="J115" s="47">
        <v>16.13</v>
      </c>
      <c r="K115" s="45">
        <v>8</v>
      </c>
      <c r="L115" s="45">
        <v>4</v>
      </c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  <c r="AU115" s="45"/>
      <c r="AV115" s="45"/>
      <c r="AW115" s="45"/>
      <c r="AX115" s="45"/>
      <c r="AY115" s="45"/>
      <c r="AZ115" s="45"/>
      <c r="BA115" s="45"/>
      <c r="BB115" s="45"/>
      <c r="BC115" s="45"/>
      <c r="BD115" s="45"/>
      <c r="BE115" s="45"/>
      <c r="BF115" s="45"/>
      <c r="BG115" s="45"/>
      <c r="BH115" s="45"/>
      <c r="BI115" s="45"/>
      <c r="BJ115" s="45"/>
      <c r="BK115" s="45"/>
      <c r="BL115" s="45"/>
      <c r="BM115" s="47">
        <v>0</v>
      </c>
      <c r="BN115" s="13">
        <f>Tabla1[[#This Row],[CONSUMO TOTAL PROPIO]]/52</f>
        <v>0</v>
      </c>
      <c r="BO115" s="13" t="e">
        <f>SUM(Tabla3[[#This Row],[CONSUMO TOTAL V]]+Tabla2[[#This Row],[CONSUMO TOTAL VALORES]]+#REF!+#REF!)</f>
        <v>#REF!</v>
      </c>
      <c r="BP115" s="59">
        <v>0</v>
      </c>
      <c r="BQ115" s="13">
        <f>Tabla1[[#This Row],[CONSUMO TOTAL TODAS]]/52</f>
        <v>0</v>
      </c>
      <c r="BR115" s="25">
        <f>Tabla1[[#This Row],[CONSUMO PROMEDIO PROPIO]]+Tabla1[[#This Row],[CONSUMO PROMEDIO TODAS]]</f>
        <v>0</v>
      </c>
      <c r="BS115" s="26">
        <f>Tabla1[[#This Row],[CONSUMO PROMEDIO TOTAL]]*(Tabla1[[#This Row],[FRECUENCIA]]+Tabla1[[#This Row],[TIEMPO REPOSICION BUFFERS]])</f>
        <v>0</v>
      </c>
      <c r="BT115" s="52">
        <v>40</v>
      </c>
      <c r="BU115" s="54">
        <v>1</v>
      </c>
      <c r="BV115" s="27">
        <v>12</v>
      </c>
      <c r="BW115" s="27">
        <v>9</v>
      </c>
      <c r="BX115" s="69">
        <f>Tabla1[[#This Row],[BUFFER REAL]]*Tabla1[[#This Row],[COSTOS]]</f>
        <v>645.19999999999993</v>
      </c>
      <c r="BY115" s="69">
        <f>Tabla1[[#This Row],[PVP]]-Tabla1[[#This Row],[COSTOS]]</f>
        <v>14.02</v>
      </c>
      <c r="BZ115" s="69">
        <f>Tabla1[[#This Row],[PVD]]-Tabla1[[#This Row],[COSTOS]]</f>
        <v>9.4974999999999987</v>
      </c>
      <c r="CA115" s="69">
        <f>Tabla1[[#This Row],[TRUPUD UNITARIO PVP]]</f>
        <v>14.02</v>
      </c>
      <c r="CB115" s="68">
        <f>Tabla1[[#This Row],[TRUPUT UNITARIO]]/Tabla1[[#This Row],[COSTOS]]</f>
        <v>0.86918784872907628</v>
      </c>
      <c r="CC115" s="71">
        <f>Tabla1[[#This Row],[BUFFER REAL]]/((Tabla1[[#This Row],[TIEMPO REPOSICION BUFFERS]])/1.5)</f>
        <v>15</v>
      </c>
      <c r="CD115" s="68">
        <f>Tabla1[[#This Row],[CONSUMO ESTIMADO]]*52*Tabla1[[#This Row],[TRUPUT UNITARIO]]</f>
        <v>10935.6</v>
      </c>
      <c r="CE115" s="68">
        <f>Tabla1[[#This Row],[CONSUMO ESTIMADO]]*(Tabla1[[#This Row],[TIEMPO REPOSICION BUFFERS]]*1.5)+( Tabla1[[#This Row],[TRUPUT TOTAL ESTIMADO ANUAL]]*(Tabla1[[#This Row],[CRÉDITO CLIENTE]]-Tabla1[[#This Row],[CREDITO PROVEEDOR]]))</f>
        <v>-32716.800000000003</v>
      </c>
      <c r="CF115" s="68">
        <f>Tabla1[[#This Row],[INVERSION UNIDADES]]*Tabla1[[#This Row],[COSTOS]]</f>
        <v>-527721.98400000005</v>
      </c>
      <c r="CG115" s="68">
        <f>Tabla1[[#This Row],[TRUPUT TOTAL ESTIMADO ANUAL]]/Tabla1[[#This Row],[INVERSION USD]]</f>
        <v>-2.0722274855996901E-2</v>
      </c>
      <c r="CH115" s="27"/>
      <c r="CI115" s="27"/>
      <c r="CJ115" s="27"/>
      <c r="CK115" s="27"/>
    </row>
    <row r="116" spans="1:89">
      <c r="A116" s="7" t="s">
        <v>730</v>
      </c>
      <c r="B116" s="7" t="s">
        <v>731</v>
      </c>
      <c r="C116" s="7" t="s">
        <v>676</v>
      </c>
      <c r="D116" s="7" t="s">
        <v>709</v>
      </c>
      <c r="E116" s="7" t="s">
        <v>732</v>
      </c>
      <c r="F116" s="45" t="s">
        <v>724</v>
      </c>
      <c r="G116" s="7" t="s">
        <v>729</v>
      </c>
      <c r="H116" s="13">
        <v>108</v>
      </c>
      <c r="I116" s="13">
        <f>+H116*85%</f>
        <v>91.8</v>
      </c>
      <c r="J116" s="13">
        <v>62.6</v>
      </c>
      <c r="K116" s="7">
        <v>8</v>
      </c>
      <c r="L116" s="7">
        <v>4</v>
      </c>
      <c r="BM116" s="13">
        <v>0</v>
      </c>
      <c r="BN116" s="13">
        <f>Tabla1[[#This Row],[CONSUMO TOTAL PROPIO]]/52</f>
        <v>0</v>
      </c>
      <c r="BO116" s="13" t="e">
        <f>SUM(Tabla3[[#This Row],[CONSUMO TOTAL V]]+Tabla2[[#This Row],[CONSUMO TOTAL VALORES]]+#REF!+#REF!)</f>
        <v>#REF!</v>
      </c>
      <c r="BP116" s="31">
        <v>0</v>
      </c>
      <c r="BQ116" s="13">
        <f>Tabla1[[#This Row],[CONSUMO TOTAL TODAS]]/52</f>
        <v>0</v>
      </c>
      <c r="BR116" s="25">
        <f>Tabla1[[#This Row],[CONSUMO PROMEDIO PROPIO]]+Tabla1[[#This Row],[CONSUMO PROMEDIO TODAS]]</f>
        <v>0</v>
      </c>
      <c r="BS116" s="26">
        <f>Tabla1[[#This Row],[CONSUMO PROMEDIO TOTAL]]*(Tabla1[[#This Row],[FRECUENCIA]]+Tabla1[[#This Row],[TIEMPO REPOSICION BUFFERS]])</f>
        <v>0</v>
      </c>
      <c r="BT116" s="26">
        <v>20</v>
      </c>
      <c r="BU116" s="54">
        <v>1</v>
      </c>
      <c r="BV116" s="27">
        <v>12</v>
      </c>
      <c r="BW116" s="27">
        <v>9</v>
      </c>
      <c r="BX116" s="70">
        <f>Tabla1[[#This Row],[BUFFER REAL]]*Tabla1[[#This Row],[COSTOS]]</f>
        <v>1252</v>
      </c>
      <c r="BY116" s="70">
        <f>Tabla1[[#This Row],[PVP]]-Tabla1[[#This Row],[COSTOS]]</f>
        <v>45.4</v>
      </c>
      <c r="BZ116" s="70">
        <f>Tabla1[[#This Row],[PVD]]-Tabla1[[#This Row],[COSTOS]]</f>
        <v>29.199999999999996</v>
      </c>
      <c r="CA116" s="69">
        <f>Tabla1[[#This Row],[TRUPUD UNITARIO PVP]]</f>
        <v>45.4</v>
      </c>
      <c r="CB116" s="68">
        <f>Tabla1[[#This Row],[TRUPUT UNITARIO]]/Tabla1[[#This Row],[COSTOS]]</f>
        <v>0.72523961661341851</v>
      </c>
      <c r="CC116" s="71">
        <f>Tabla1[[#This Row],[BUFFER REAL]]/((Tabla1[[#This Row],[TIEMPO REPOSICION BUFFERS]])/1.5)</f>
        <v>7.5</v>
      </c>
      <c r="CD116" s="68">
        <f>Tabla1[[#This Row],[CONSUMO ESTIMADO]]*52*Tabla1[[#This Row],[TRUPUT UNITARIO]]</f>
        <v>17706</v>
      </c>
      <c r="CE116" s="68">
        <f>Tabla1[[#This Row],[CONSUMO ESTIMADO]]*(Tabla1[[#This Row],[TIEMPO REPOSICION BUFFERS]]*1.5)+( Tabla1[[#This Row],[TRUPUT TOTAL ESTIMADO ANUAL]]*(Tabla1[[#This Row],[CRÉDITO CLIENTE]]-Tabla1[[#This Row],[CREDITO PROVEEDOR]]))</f>
        <v>-53073</v>
      </c>
      <c r="CF116" s="68">
        <f>Tabla1[[#This Row],[INVERSION UNIDADES]]*Tabla1[[#This Row],[COSTOS]]</f>
        <v>-3322369.8000000003</v>
      </c>
      <c r="CG116" s="68">
        <f>Tabla1[[#This Row],[TRUPUT TOTAL ESTIMADO ANUAL]]/Tabla1[[#This Row],[INVERSION USD]]</f>
        <v>-5.3293284811341589E-3</v>
      </c>
      <c r="CH116" s="27"/>
      <c r="CI116" s="27"/>
      <c r="CJ116" s="27"/>
      <c r="CK116" s="27"/>
    </row>
    <row r="117" spans="1:89">
      <c r="A117" s="7" t="s">
        <v>665</v>
      </c>
      <c r="B117" s="7" t="s">
        <v>666</v>
      </c>
      <c r="C117" s="7" t="s">
        <v>677</v>
      </c>
      <c r="D117" s="7" t="s">
        <v>709</v>
      </c>
      <c r="E117" s="7" t="s">
        <v>715</v>
      </c>
      <c r="F117" s="45" t="s">
        <v>724</v>
      </c>
      <c r="G117" s="7" t="s">
        <v>729</v>
      </c>
      <c r="H117" s="13">
        <v>6.5</v>
      </c>
      <c r="I117" s="13">
        <f>Tabla1[[#This Row],[PVP]]*74%</f>
        <v>4.8099999999999996</v>
      </c>
      <c r="J117" s="13">
        <v>1.3393999999999999</v>
      </c>
      <c r="K117" s="7">
        <v>8</v>
      </c>
      <c r="L117" s="7">
        <v>4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15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15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20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5</v>
      </c>
      <c r="AU117" s="7">
        <v>0</v>
      </c>
      <c r="AV117" s="7">
        <v>1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6</v>
      </c>
      <c r="BD117" s="7">
        <v>102</v>
      </c>
      <c r="BE117" s="7">
        <v>0</v>
      </c>
      <c r="BF117" s="7">
        <v>0</v>
      </c>
      <c r="BG117" s="7">
        <v>3</v>
      </c>
      <c r="BH117" s="7">
        <v>0</v>
      </c>
      <c r="BI117" s="7">
        <v>100</v>
      </c>
      <c r="BJ117" s="7">
        <v>0</v>
      </c>
      <c r="BK117" s="7">
        <v>6</v>
      </c>
      <c r="BL117" s="7">
        <v>12</v>
      </c>
      <c r="BM117" s="13">
        <v>285</v>
      </c>
      <c r="BN117" s="13">
        <f>Tabla1[[#This Row],[CONSUMO TOTAL PROPIO]]/52</f>
        <v>5.4807692307692308</v>
      </c>
      <c r="BO117" s="13" t="e">
        <f>SUM(Tabla3[[#This Row],[CONSUMO TOTAL V]]+Tabla2[[#This Row],[CONSUMO TOTAL VALORES]]+#REF!+#REF!)</f>
        <v>#REF!</v>
      </c>
      <c r="BP117" s="31">
        <v>318</v>
      </c>
      <c r="BQ117" s="13">
        <f>Tabla1[[#This Row],[CONSUMO TOTAL TODAS]]/52</f>
        <v>6.115384615384615</v>
      </c>
      <c r="BR117" s="25">
        <f>Tabla1[[#This Row],[CONSUMO PROMEDIO PROPIO]]+Tabla1[[#This Row],[CONSUMO PROMEDIO TODAS]]</f>
        <v>11.596153846153847</v>
      </c>
      <c r="BS117" s="26">
        <f>Tabla1[[#This Row],[CONSUMO PROMEDIO TOTAL]]*(Tabla1[[#This Row],[FRECUENCIA]]+Tabla1[[#This Row],[TIEMPO REPOSICION BUFFERS]])</f>
        <v>139.15384615384616</v>
      </c>
      <c r="BT117" s="26">
        <v>400</v>
      </c>
      <c r="BU117" s="54">
        <v>1</v>
      </c>
      <c r="BV117" s="27">
        <v>16</v>
      </c>
      <c r="BW117" s="27">
        <v>16</v>
      </c>
      <c r="BX117" s="70">
        <f>Tabla1[[#This Row],[BUFFER REAL]]*Tabla1[[#This Row],[COSTOS]]</f>
        <v>535.76</v>
      </c>
      <c r="BY117" s="70">
        <f>Tabla1[[#This Row],[PVP]]-Tabla1[[#This Row],[COSTOS]]</f>
        <v>5.1606000000000005</v>
      </c>
      <c r="BZ117" s="70">
        <f>Tabla1[[#This Row],[PVD]]-Tabla1[[#This Row],[COSTOS]]</f>
        <v>3.4705999999999997</v>
      </c>
      <c r="CA117" s="25">
        <f>Tabla1[[#This Row],[TRUPUD UNTITARIO PVD]]</f>
        <v>3.4705999999999997</v>
      </c>
      <c r="CB117" s="25">
        <f>Tabla1[[#This Row],[TRUPUT UNITARIO]]/Tabla1[[#This Row],[COSTOS]]</f>
        <v>2.5911602209944751</v>
      </c>
      <c r="CC117" s="40">
        <f>Tabla1[[#This Row],[BUFFER REAL]]/((Tabla1[[#This Row],[TIEMPO REPOSICION BUFFERS]])/1.5)</f>
        <v>150</v>
      </c>
      <c r="CD117" s="69">
        <f>Tabla1[[#This Row],[CONSUMO ESTIMADO]]*52*Tabla1[[#This Row],[TRUPUT UNITARIO]]</f>
        <v>27070.679999999997</v>
      </c>
      <c r="CE117" s="25">
        <f>Tabla1[[#This Row],[CONSUMO ESTIMADO]]*(Tabla1[[#This Row],[TIEMPO REPOSICION BUFFERS]]*1.5)+( Tabla1[[#This Row],[TRUPUT TOTAL ESTIMADO ANUAL]]*(Tabla1[[#This Row],[CRÉDITO CLIENTE]]-Tabla1[[#This Row],[CREDITO PROVEEDOR]]))</f>
        <v>900</v>
      </c>
      <c r="CF117" s="25">
        <f>Tabla1[[#This Row],[INVERSION UNIDADES]]*Tabla1[[#This Row],[COSTOS]]</f>
        <v>1205.46</v>
      </c>
      <c r="CG117" s="25">
        <f>Tabla1[[#This Row],[TRUPUT TOTAL ESTIMADO ANUAL]]/Tabla1[[#This Row],[INVERSION USD]]</f>
        <v>22.456721915285449</v>
      </c>
      <c r="CH117" s="27"/>
      <c r="CI117" s="27"/>
      <c r="CJ117" s="27"/>
      <c r="CK117" s="27"/>
    </row>
    <row r="118" spans="1:89">
      <c r="A118" s="7" t="s">
        <v>667</v>
      </c>
      <c r="B118" s="7" t="s">
        <v>668</v>
      </c>
      <c r="C118" s="7" t="s">
        <v>676</v>
      </c>
      <c r="D118" s="7" t="s">
        <v>709</v>
      </c>
      <c r="E118" s="7" t="s">
        <v>715</v>
      </c>
      <c r="F118" s="45" t="s">
        <v>724</v>
      </c>
      <c r="G118" s="7" t="s">
        <v>729</v>
      </c>
      <c r="H118" s="13">
        <v>59</v>
      </c>
      <c r="I118" s="13">
        <f>Tabla1[[#This Row],[PVP]]*74%</f>
        <v>43.66</v>
      </c>
      <c r="J118" s="13">
        <v>11.42244</v>
      </c>
      <c r="K118" s="7">
        <v>8</v>
      </c>
      <c r="L118" s="7">
        <v>4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22</v>
      </c>
      <c r="AG118" s="7">
        <v>0</v>
      </c>
      <c r="AH118" s="7">
        <v>0</v>
      </c>
      <c r="AI118" s="7">
        <v>0</v>
      </c>
      <c r="AJ118" s="7">
        <v>1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1</v>
      </c>
      <c r="AQ118" s="7">
        <v>0</v>
      </c>
      <c r="AR118" s="7">
        <v>5</v>
      </c>
      <c r="AS118" s="7">
        <v>4</v>
      </c>
      <c r="AT118" s="7">
        <v>3</v>
      </c>
      <c r="AU118" s="7">
        <v>0</v>
      </c>
      <c r="AV118" s="7">
        <v>2</v>
      </c>
      <c r="AW118" s="7">
        <v>0</v>
      </c>
      <c r="AX118" s="7">
        <v>60</v>
      </c>
      <c r="AY118" s="7">
        <v>0</v>
      </c>
      <c r="AZ118" s="7">
        <v>0</v>
      </c>
      <c r="BA118" s="7">
        <v>0</v>
      </c>
      <c r="BB118" s="7">
        <v>2</v>
      </c>
      <c r="BC118" s="7">
        <v>0</v>
      </c>
      <c r="BD118" s="7">
        <v>0</v>
      </c>
      <c r="BE118" s="7">
        <v>0</v>
      </c>
      <c r="BF118" s="7">
        <v>0</v>
      </c>
      <c r="BG118" s="7">
        <v>0</v>
      </c>
      <c r="BH118" s="7">
        <v>0</v>
      </c>
      <c r="BI118" s="7">
        <v>5</v>
      </c>
      <c r="BJ118" s="7">
        <v>0</v>
      </c>
      <c r="BK118" s="7">
        <v>0</v>
      </c>
      <c r="BL118" s="7">
        <v>0</v>
      </c>
      <c r="BM118" s="13">
        <v>105</v>
      </c>
      <c r="BN118" s="13">
        <f>Tabla1[[#This Row],[CONSUMO TOTAL PROPIO]]/52</f>
        <v>2.0192307692307692</v>
      </c>
      <c r="BO118" s="13" t="e">
        <f>SUM(Tabla3[[#This Row],[CONSUMO TOTAL V]]+Tabla2[[#This Row],[CONSUMO TOTAL VALORES]]+#REF!+#REF!)</f>
        <v>#REF!</v>
      </c>
      <c r="BP118" s="31">
        <v>238</v>
      </c>
      <c r="BQ118" s="13">
        <f>Tabla1[[#This Row],[CONSUMO TOTAL TODAS]]/52</f>
        <v>4.5769230769230766</v>
      </c>
      <c r="BR118" s="25">
        <f>Tabla1[[#This Row],[CONSUMO PROMEDIO PROPIO]]+Tabla1[[#This Row],[CONSUMO PROMEDIO TODAS]]</f>
        <v>6.5961538461538458</v>
      </c>
      <c r="BS118" s="26">
        <f>Tabla1[[#This Row],[CONSUMO PROMEDIO TOTAL]]*(Tabla1[[#This Row],[FRECUENCIA]]+Tabla1[[#This Row],[TIEMPO REPOSICION BUFFERS]])</f>
        <v>79.153846153846146</v>
      </c>
      <c r="BT118" s="26">
        <v>100</v>
      </c>
      <c r="BU118" s="54">
        <v>1</v>
      </c>
      <c r="BV118" s="27">
        <v>16</v>
      </c>
      <c r="BW118" s="27">
        <v>16</v>
      </c>
      <c r="BX118" s="70">
        <f>Tabla1[[#This Row],[BUFFER REAL]]*Tabla1[[#This Row],[COSTOS]]</f>
        <v>1142.2439999999999</v>
      </c>
      <c r="BY118" s="70">
        <f>Tabla1[[#This Row],[PVP]]-Tabla1[[#This Row],[COSTOS]]</f>
        <v>47.577559999999998</v>
      </c>
      <c r="BZ118" s="70">
        <f>Tabla1[[#This Row],[PVD]]-Tabla1[[#This Row],[COSTOS]]</f>
        <v>32.237559999999995</v>
      </c>
      <c r="CA118" s="25">
        <f>Tabla1[[#This Row],[TRUPUD UNTITARIO PVD]]</f>
        <v>32.237559999999995</v>
      </c>
      <c r="CB118" s="25">
        <f>Tabla1[[#This Row],[TRUPUT UNITARIO]]/Tabla1[[#This Row],[COSTOS]]</f>
        <v>2.8223006643063999</v>
      </c>
      <c r="CC118" s="40">
        <f>Tabla1[[#This Row],[BUFFER REAL]]/((Tabla1[[#This Row],[TIEMPO REPOSICION BUFFERS]])/1.5)</f>
        <v>37.5</v>
      </c>
      <c r="CD118" s="69">
        <f>Tabla1[[#This Row],[CONSUMO ESTIMADO]]*52*Tabla1[[#This Row],[TRUPUT UNITARIO]]</f>
        <v>62863.241999999991</v>
      </c>
      <c r="CE118" s="25">
        <f>Tabla1[[#This Row],[CONSUMO ESTIMADO]]*(Tabla1[[#This Row],[TIEMPO REPOSICION BUFFERS]]*1.5)+( Tabla1[[#This Row],[TRUPUT TOTAL ESTIMADO ANUAL]]*(Tabla1[[#This Row],[CRÉDITO CLIENTE]]-Tabla1[[#This Row],[CREDITO PROVEEDOR]]))</f>
        <v>225</v>
      </c>
      <c r="CF118" s="25">
        <f>Tabla1[[#This Row],[INVERSION UNIDADES]]*Tabla1[[#This Row],[COSTOS]]</f>
        <v>2570.049</v>
      </c>
      <c r="CG118" s="25">
        <f>Tabla1[[#This Row],[TRUPUT TOTAL ESTIMADO ANUAL]]/Tabla1[[#This Row],[INVERSION USD]]</f>
        <v>24.459939090655467</v>
      </c>
      <c r="CH118" s="27"/>
      <c r="CI118" s="27"/>
      <c r="CJ118" s="27"/>
      <c r="CK118" s="27"/>
    </row>
    <row r="119" spans="1:89">
      <c r="A119" s="7" t="s">
        <v>669</v>
      </c>
      <c r="B119" s="7" t="s">
        <v>670</v>
      </c>
      <c r="C119" s="7" t="s">
        <v>703</v>
      </c>
      <c r="D119" s="7" t="s">
        <v>708</v>
      </c>
      <c r="E119" s="7" t="s">
        <v>715</v>
      </c>
      <c r="F119" s="45" t="s">
        <v>724</v>
      </c>
      <c r="G119" s="7" t="s">
        <v>729</v>
      </c>
      <c r="H119" s="13">
        <v>7.32</v>
      </c>
      <c r="I119" s="13">
        <f>Tabla1[[#This Row],[PVP]]*74%</f>
        <v>5.4168000000000003</v>
      </c>
      <c r="J119" s="13">
        <v>1.46333</v>
      </c>
      <c r="K119" s="7">
        <v>38</v>
      </c>
      <c r="L119" s="7">
        <v>4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500</v>
      </c>
      <c r="AO119" s="7">
        <v>0</v>
      </c>
      <c r="AP119" s="7">
        <v>40</v>
      </c>
      <c r="AQ119" s="7">
        <v>0</v>
      </c>
      <c r="AR119" s="7">
        <v>0</v>
      </c>
      <c r="AS119" s="7">
        <v>256</v>
      </c>
      <c r="AT119" s="7">
        <v>10</v>
      </c>
      <c r="AU119" s="7">
        <v>30</v>
      </c>
      <c r="AV119" s="7">
        <v>70</v>
      </c>
      <c r="AW119" s="7">
        <v>100</v>
      </c>
      <c r="AX119" s="7">
        <v>212</v>
      </c>
      <c r="AY119" s="7">
        <v>10</v>
      </c>
      <c r="AZ119" s="7">
        <v>0</v>
      </c>
      <c r="BA119" s="7">
        <v>0</v>
      </c>
      <c r="BB119" s="7">
        <v>0</v>
      </c>
      <c r="BC119" s="7">
        <v>0</v>
      </c>
      <c r="BD119" s="7">
        <v>0</v>
      </c>
      <c r="BE119" s="7">
        <v>0</v>
      </c>
      <c r="BF119" s="7">
        <v>10</v>
      </c>
      <c r="BG119" s="7">
        <v>4</v>
      </c>
      <c r="BH119" s="7">
        <v>1</v>
      </c>
      <c r="BI119" s="7">
        <v>0</v>
      </c>
      <c r="BJ119" s="7">
        <v>0</v>
      </c>
      <c r="BK119" s="7">
        <v>5</v>
      </c>
      <c r="BL119" s="7">
        <v>0</v>
      </c>
      <c r="BM119" s="13">
        <v>1248</v>
      </c>
      <c r="BN119" s="13">
        <f>Tabla1[[#This Row],[CONSUMO TOTAL PROPIO]]/52</f>
        <v>24</v>
      </c>
      <c r="BO119" s="13">
        <v>0</v>
      </c>
      <c r="BP119" s="31">
        <v>54</v>
      </c>
      <c r="BQ119" s="13">
        <f>Tabla1[[#This Row],[CONSUMO TOTAL TODAS]]/52</f>
        <v>1.0384615384615385</v>
      </c>
      <c r="BR119" s="25">
        <f>Tabla1[[#This Row],[CONSUMO PROMEDIO PROPIO]]+Tabla1[[#This Row],[CONSUMO PROMEDIO TODAS]]</f>
        <v>25.03846153846154</v>
      </c>
      <c r="BS119" s="52">
        <f>Tabla1[[#This Row],[CONSUMO PROMEDIO TOTAL]]*(Tabla1[[#This Row],[FRECUENCIA]]+Tabla1[[#This Row],[TIEMPO REPOSICION BUFFERS]])</f>
        <v>1051.6153846153848</v>
      </c>
      <c r="BT119" s="26">
        <v>400</v>
      </c>
      <c r="BU119" s="54">
        <v>1</v>
      </c>
      <c r="BV119" s="27">
        <v>16</v>
      </c>
      <c r="BW119" s="27">
        <v>16</v>
      </c>
      <c r="BX119" s="70">
        <f>Tabla1[[#This Row],[BUFFER REAL]]*Tabla1[[#This Row],[COSTOS]]</f>
        <v>585.33199999999999</v>
      </c>
      <c r="BY119" s="70">
        <f>Tabla1[[#This Row],[PVP]]-Tabla1[[#This Row],[COSTOS]]</f>
        <v>5.8566700000000003</v>
      </c>
      <c r="BZ119" s="70">
        <f>Tabla1[[#This Row],[PVD]]-Tabla1[[#This Row],[COSTOS]]</f>
        <v>3.9534700000000003</v>
      </c>
      <c r="CA119" s="25">
        <f>Tabla1[[#This Row],[TRUPUD UNTITARIO PVD]]</f>
        <v>3.9534700000000003</v>
      </c>
      <c r="CB119" s="25">
        <f>Tabla1[[#This Row],[TRUPUT UNITARIO]]/Tabla1[[#This Row],[COSTOS]]</f>
        <v>2.7016940813077026</v>
      </c>
      <c r="CC119" s="40">
        <f>Tabla1[[#This Row],[BUFFER REAL]]/((Tabla1[[#This Row],[TIEMPO REPOSICION BUFFERS]])/1.5)</f>
        <v>150</v>
      </c>
      <c r="CD119" s="69">
        <f>Tabla1[[#This Row],[CONSUMO ESTIMADO]]*52*Tabla1[[#This Row],[TRUPUT UNITARIO]]</f>
        <v>30837.066000000003</v>
      </c>
      <c r="CE119" s="25">
        <f>Tabla1[[#This Row],[CONSUMO ESTIMADO]]*(Tabla1[[#This Row],[TIEMPO REPOSICION BUFFERS]]*1.5)+( Tabla1[[#This Row],[TRUPUT TOTAL ESTIMADO ANUAL]]*(Tabla1[[#This Row],[CRÉDITO CLIENTE]]-Tabla1[[#This Row],[CREDITO PROVEEDOR]]))</f>
        <v>900</v>
      </c>
      <c r="CF119" s="25">
        <f>Tabla1[[#This Row],[INVERSION UNIDADES]]*Tabla1[[#This Row],[COSTOS]]</f>
        <v>1316.9970000000001</v>
      </c>
      <c r="CG119" s="25">
        <f>Tabla1[[#This Row],[TRUPUT TOTAL ESTIMADO ANUAL]]/Tabla1[[#This Row],[INVERSION USD]]</f>
        <v>23.414682038000088</v>
      </c>
      <c r="CH119" s="27"/>
      <c r="CI119" s="27"/>
      <c r="CJ119" s="27"/>
      <c r="CK119" s="27"/>
    </row>
    <row r="120" spans="1:89">
      <c r="A120" s="7" t="s">
        <v>920</v>
      </c>
      <c r="B120" s="7" t="s">
        <v>922</v>
      </c>
      <c r="C120" s="20" t="s">
        <v>676</v>
      </c>
      <c r="D120" s="20" t="s">
        <v>712</v>
      </c>
      <c r="E120" s="20" t="s">
        <v>719</v>
      </c>
      <c r="F120" s="20"/>
      <c r="G120" s="20"/>
      <c r="H120" s="21"/>
      <c r="I120" s="21">
        <f>+H120*75%</f>
        <v>0</v>
      </c>
      <c r="J120" s="21"/>
      <c r="K120" s="111"/>
      <c r="L120" s="20">
        <v>4</v>
      </c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1"/>
      <c r="BN120" s="21">
        <f>Tabla1[[#This Row],[CONSUMO TOTAL PROPIO]]/52</f>
        <v>0</v>
      </c>
      <c r="BO120" s="21" t="e">
        <f>SUM(Tabla3[[#This Row],[CONSUMO TOTAL V]]+Tabla2[[#This Row],[CONSUMO TOTAL VALORES]]+#REF!+#REF!)</f>
        <v>#VALUE!</v>
      </c>
      <c r="BP120" s="61"/>
      <c r="BQ120" s="21">
        <f>Tabla1[[#This Row],[CONSUMO TOTAL TODAS]]/52</f>
        <v>0</v>
      </c>
      <c r="BR120" s="28">
        <f>Tabla1[[#This Row],[CONSUMO PROMEDIO PROPIO]]+Tabla1[[#This Row],[CONSUMO PROMEDIO TODAS]]</f>
        <v>0</v>
      </c>
      <c r="BS120" s="33">
        <f>Tabla1[[#This Row],[CONSUMO PROMEDIO TOTAL]]*(Tabla1[[#This Row],[FRECUENCIA]]+Tabla1[[#This Row],[TIEMPO REPOSICION BUFFERS]])</f>
        <v>0</v>
      </c>
      <c r="BT120" s="33"/>
      <c r="BU120" s="30"/>
      <c r="BV120" s="30"/>
      <c r="BW120" s="30"/>
      <c r="BX120" s="70">
        <f>Tabla1[[#This Row],[BUFFER REAL]]*Tabla1[[#This Row],[COSTOS]]</f>
        <v>0</v>
      </c>
      <c r="BY120" s="70">
        <f>Tabla1[[#This Row],[PVP]]-Tabla1[[#This Row],[COSTOS]]</f>
        <v>0</v>
      </c>
      <c r="BZ120" s="70">
        <f>Tabla1[[#This Row],[PVD]]-Tabla1[[#This Row],[COSTOS]]</f>
        <v>0</v>
      </c>
      <c r="CA120" s="109"/>
      <c r="CB120" s="109" t="e">
        <f>Tabla1[[#This Row],[TRUPUT UNITARIO]]/Tabla1[[#This Row],[COSTOS]]</f>
        <v>#DIV/0!</v>
      </c>
      <c r="CC120" s="112">
        <f>Tabla1[[#This Row],[BUFFER REAL]]/((Tabla1[[#This Row],[TIEMPO REPOSICION BUFFERS]])/1.5)</f>
        <v>0</v>
      </c>
      <c r="CD120" s="109">
        <f>Tabla1[[#This Row],[CONSUMO ESTIMADO]]*52*Tabla1[[#This Row],[TRUPUT UNITARIO]]</f>
        <v>0</v>
      </c>
      <c r="CE120" s="109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120" s="109">
        <f>Tabla1[[#This Row],[INVERSION UNIDADES]]*Tabla1[[#This Row],[COSTOS]]</f>
        <v>0</v>
      </c>
      <c r="CG120" s="109" t="e">
        <f>Tabla1[[#This Row],[TRUPUT TOTAL ESTIMADO ANUAL]]/Tabla1[[#This Row],[INVERSION USD]]</f>
        <v>#DIV/0!</v>
      </c>
      <c r="CH120" s="109"/>
      <c r="CI120" s="30"/>
      <c r="CJ120" s="30"/>
      <c r="CK120" s="30"/>
    </row>
    <row r="121" spans="1:89">
      <c r="A121" s="20" t="s">
        <v>926</v>
      </c>
      <c r="B121" s="20" t="s">
        <v>927</v>
      </c>
      <c r="C121" s="7" t="s">
        <v>702</v>
      </c>
      <c r="D121" s="7" t="s">
        <v>712</v>
      </c>
      <c r="E121" s="7" t="s">
        <v>715</v>
      </c>
      <c r="F121" s="7" t="s">
        <v>724</v>
      </c>
      <c r="G121" s="7" t="s">
        <v>729</v>
      </c>
      <c r="H121" s="13"/>
      <c r="I121" s="13"/>
      <c r="J121" s="13"/>
      <c r="K121" s="7">
        <v>8</v>
      </c>
      <c r="L121" s="7">
        <v>4</v>
      </c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0"/>
      <c r="BM121" s="21"/>
      <c r="BN121" s="21">
        <f>Tabla1[[#This Row],[CONSUMO TOTAL PROPIO]]/52</f>
        <v>0</v>
      </c>
      <c r="BO121" s="21" t="e">
        <f>SUM(Tabla3[[#This Row],[CONSUMO TOTAL V]]+Tabla2[[#This Row],[CONSUMO TOTAL VALORES]]+#REF!+#REF!)</f>
        <v>#VALUE!</v>
      </c>
      <c r="BP121" s="61"/>
      <c r="BQ121" s="21">
        <f>Tabla1[[#This Row],[CONSUMO TOTAL TODAS]]/52</f>
        <v>0</v>
      </c>
      <c r="BR121" s="28">
        <f>Tabla1[[#This Row],[CONSUMO PROMEDIO PROPIO]]+Tabla1[[#This Row],[CONSUMO PROMEDIO TODAS]]</f>
        <v>0</v>
      </c>
      <c r="BS121" s="33">
        <f>Tabla1[[#This Row],[CONSUMO PROMEDIO TOTAL]]*(Tabla1[[#This Row],[FRECUENCIA]]+Tabla1[[#This Row],[TIEMPO REPOSICION BUFFERS]])</f>
        <v>0</v>
      </c>
      <c r="BT121" s="33"/>
      <c r="BU121" s="30"/>
      <c r="BV121" s="30"/>
      <c r="BW121" s="30"/>
      <c r="BX121" s="70">
        <f>Tabla1[[#This Row],[BUFFER REAL]]*Tabla1[[#This Row],[COSTOS]]</f>
        <v>0</v>
      </c>
      <c r="BY121" s="70">
        <f>Tabla1[[#This Row],[PVP]]-Tabla1[[#This Row],[COSTOS]]</f>
        <v>0</v>
      </c>
      <c r="BZ121" s="70">
        <f>Tabla1[[#This Row],[PVD]]-Tabla1[[#This Row],[COSTOS]]</f>
        <v>0</v>
      </c>
      <c r="CA121" s="109"/>
      <c r="CB121" s="109" t="e">
        <f>Tabla1[[#This Row],[TRUPUT UNITARIO]]/Tabla1[[#This Row],[COSTOS]]</f>
        <v>#DIV/0!</v>
      </c>
      <c r="CC121" s="112">
        <f>Tabla1[[#This Row],[BUFFER REAL]]/((Tabla1[[#This Row],[TIEMPO REPOSICION BUFFERS]])/1.5)</f>
        <v>0</v>
      </c>
      <c r="CD121" s="109">
        <f>Tabla1[[#This Row],[CONSUMO ESTIMADO]]*52*Tabla1[[#This Row],[TRUPUT UNITARIO]]</f>
        <v>0</v>
      </c>
      <c r="CE121" s="109">
        <f>Tabla1[[#This Row],[CONSUMO ESTIMADO]]*(Tabla1[[#This Row],[TIEMPO REPOSICION BUFFERS]]*1.5)+( Tabla1[[#This Row],[TRUPUT TOTAL ESTIMADO ANUAL]]*(Tabla1[[#This Row],[CRÉDITO CLIENTE]]-Tabla1[[#This Row],[CREDITO PROVEEDOR]]))</f>
        <v>0</v>
      </c>
      <c r="CF121" s="109">
        <f>Tabla1[[#This Row],[INVERSION UNIDADES]]*Tabla1[[#This Row],[COSTOS]]</f>
        <v>0</v>
      </c>
      <c r="CG121" s="109" t="e">
        <f>Tabla1[[#This Row],[TRUPUT TOTAL ESTIMADO ANUAL]]/Tabla1[[#This Row],[INVERSION USD]]</f>
        <v>#DIV/0!</v>
      </c>
      <c r="CH121" s="109"/>
      <c r="CI121" s="30"/>
      <c r="CJ121" s="30"/>
      <c r="CK121" s="30"/>
    </row>
  </sheetData>
  <pageMargins left="0.7" right="0.7" top="0.75" bottom="0.75" header="0.3" footer="0.3"/>
  <pageSetup paperSize="9" orientation="portrait" horizontalDpi="120" verticalDpi="72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BR1589"/>
  <sheetViews>
    <sheetView showGridLines="0" workbookViewId="0">
      <pane xSplit="2" topLeftCell="C1" activePane="topRight" state="frozen"/>
      <selection pane="topRight" activeCell="B17" sqref="B17"/>
    </sheetView>
  </sheetViews>
  <sheetFormatPr baseColWidth="10" defaultColWidth="11.42578125" defaultRowHeight="15"/>
  <cols>
    <col min="2" max="2" width="45.28515625" customWidth="1"/>
    <col min="5" max="5" width="27" bestFit="1" customWidth="1"/>
    <col min="6" max="7" width="18.28515625" style="3" customWidth="1"/>
    <col min="11" max="11" width="14.140625" customWidth="1"/>
    <col min="12" max="12" width="21.7109375" customWidth="1"/>
    <col min="13" max="63" width="11.42578125" hidden="1" customWidth="1"/>
    <col min="64" max="64" width="13.140625" hidden="1" customWidth="1"/>
    <col min="66" max="66" width="11.42578125" style="3"/>
    <col min="67" max="67" width="11.42578125" style="24"/>
    <col min="68" max="68" width="11.42578125" style="36"/>
    <col min="70" max="16384" width="11.42578125" style="7"/>
  </cols>
  <sheetData>
    <row r="1" spans="1:70" ht="30.75" thickBot="1">
      <c r="A1" s="23" t="s">
        <v>0</v>
      </c>
      <c r="B1" s="12" t="s">
        <v>1</v>
      </c>
      <c r="C1" s="12" t="s">
        <v>2</v>
      </c>
      <c r="D1" s="12" t="s">
        <v>6</v>
      </c>
      <c r="E1" s="12" t="s">
        <v>7</v>
      </c>
      <c r="F1" s="12" t="s">
        <v>721</v>
      </c>
      <c r="G1" s="12" t="s">
        <v>728</v>
      </c>
      <c r="H1" s="22" t="s">
        <v>3</v>
      </c>
      <c r="I1" s="22" t="s">
        <v>4</v>
      </c>
      <c r="J1" s="22" t="s">
        <v>5</v>
      </c>
      <c r="K1" s="12" t="s">
        <v>8</v>
      </c>
      <c r="L1" s="12" t="s">
        <v>9</v>
      </c>
      <c r="M1" s="8" t="s">
        <v>10</v>
      </c>
      <c r="N1" s="8" t="s">
        <v>11</v>
      </c>
      <c r="O1" s="8" t="s">
        <v>12</v>
      </c>
      <c r="P1" s="8" t="s">
        <v>13</v>
      </c>
      <c r="Q1" s="8" t="s">
        <v>14</v>
      </c>
      <c r="R1" s="8" t="s">
        <v>15</v>
      </c>
      <c r="S1" s="8" t="s">
        <v>16</v>
      </c>
      <c r="T1" s="8" t="s">
        <v>17</v>
      </c>
      <c r="U1" s="8" t="s">
        <v>18</v>
      </c>
      <c r="V1" s="8" t="s">
        <v>19</v>
      </c>
      <c r="W1" s="8" t="s">
        <v>20</v>
      </c>
      <c r="X1" s="8" t="s">
        <v>21</v>
      </c>
      <c r="Y1" s="8" t="s">
        <v>22</v>
      </c>
      <c r="Z1" s="8" t="s">
        <v>23</v>
      </c>
      <c r="AA1" s="8" t="s">
        <v>24</v>
      </c>
      <c r="AB1" s="8" t="s">
        <v>25</v>
      </c>
      <c r="AC1" s="8" t="s">
        <v>26</v>
      </c>
      <c r="AD1" s="8" t="s">
        <v>27</v>
      </c>
      <c r="AE1" s="8" t="s">
        <v>28</v>
      </c>
      <c r="AF1" s="8" t="s">
        <v>29</v>
      </c>
      <c r="AG1" s="8" t="s">
        <v>30</v>
      </c>
      <c r="AH1" s="8" t="s">
        <v>31</v>
      </c>
      <c r="AI1" s="8" t="s">
        <v>32</v>
      </c>
      <c r="AJ1" s="8" t="s">
        <v>33</v>
      </c>
      <c r="AK1" s="8" t="s">
        <v>34</v>
      </c>
      <c r="AL1" s="8" t="s">
        <v>35</v>
      </c>
      <c r="AM1" s="8" t="s">
        <v>36</v>
      </c>
      <c r="AN1" s="8" t="s">
        <v>37</v>
      </c>
      <c r="AO1" s="8" t="s">
        <v>38</v>
      </c>
      <c r="AP1" s="8" t="s">
        <v>39</v>
      </c>
      <c r="AQ1" s="8" t="s">
        <v>40</v>
      </c>
      <c r="AR1" s="8" t="s">
        <v>41</v>
      </c>
      <c r="AS1" s="8" t="s">
        <v>42</v>
      </c>
      <c r="AT1" s="8" t="s">
        <v>43</v>
      </c>
      <c r="AU1" s="8" t="s">
        <v>44</v>
      </c>
      <c r="AV1" s="8" t="s">
        <v>45</v>
      </c>
      <c r="AW1" s="8" t="s">
        <v>46</v>
      </c>
      <c r="AX1" s="8" t="s">
        <v>47</v>
      </c>
      <c r="AY1" s="8" t="s">
        <v>48</v>
      </c>
      <c r="AZ1" s="8" t="s">
        <v>49</v>
      </c>
      <c r="BA1" s="8" t="s">
        <v>50</v>
      </c>
      <c r="BB1" s="8" t="s">
        <v>51</v>
      </c>
      <c r="BC1" s="8" t="s">
        <v>52</v>
      </c>
      <c r="BD1" s="8" t="s">
        <v>53</v>
      </c>
      <c r="BE1" s="8" t="s">
        <v>54</v>
      </c>
      <c r="BF1" s="8" t="s">
        <v>55</v>
      </c>
      <c r="BG1" s="8" t="s">
        <v>56</v>
      </c>
      <c r="BH1" s="8" t="s">
        <v>57</v>
      </c>
      <c r="BI1" s="8" t="s">
        <v>58</v>
      </c>
      <c r="BJ1" s="8" t="s">
        <v>59</v>
      </c>
      <c r="BK1" s="8" t="s">
        <v>60</v>
      </c>
      <c r="BL1" s="8" t="s">
        <v>61</v>
      </c>
      <c r="BM1" s="12" t="s">
        <v>748</v>
      </c>
      <c r="BN1" s="12" t="s">
        <v>790</v>
      </c>
      <c r="BO1" s="12" t="s">
        <v>753</v>
      </c>
      <c r="BP1" s="35" t="s">
        <v>768</v>
      </c>
      <c r="BQ1" s="6" t="s">
        <v>759</v>
      </c>
      <c r="BR1" s="38" t="s">
        <v>760</v>
      </c>
    </row>
    <row r="2" spans="1:70">
      <c r="A2" s="1" t="s">
        <v>85</v>
      </c>
      <c r="B2" s="1" t="s">
        <v>86</v>
      </c>
      <c r="C2" s="1" t="s">
        <v>682</v>
      </c>
      <c r="D2" s="1" t="s">
        <v>707</v>
      </c>
      <c r="E2" s="7" t="s">
        <v>715</v>
      </c>
      <c r="F2" s="7" t="s">
        <v>724</v>
      </c>
      <c r="G2" s="7" t="s">
        <v>729</v>
      </c>
      <c r="H2" s="13">
        <v>0.84</v>
      </c>
      <c r="I2" s="13">
        <f t="shared" ref="I2:I25" si="0">+H2*75%</f>
        <v>0.63</v>
      </c>
      <c r="J2" s="13">
        <v>0.50012999999999996</v>
      </c>
      <c r="K2" s="7">
        <v>1</v>
      </c>
      <c r="L2" s="19">
        <v>0.6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9">
        <f>SUM(Tabla3[[#This Row],[SEM.1]:[SEM.52]])</f>
        <v>0</v>
      </c>
      <c r="BN2" s="9">
        <v>0</v>
      </c>
      <c r="BO2" s="24">
        <f>Tabla3[[#This Row],[CONSUMO TOTAL V]]/52</f>
        <v>0</v>
      </c>
      <c r="BP2" s="36">
        <f>Tabla3[[#This Row],[CONSUMO PROMEDIO ]]*Tabla3[[#This Row],[FRECUENCIA]]*Tabla3[[#This Row],[TIEMPO REPOSICION ]]*1.5*2.4</f>
        <v>0</v>
      </c>
      <c r="BQ2">
        <v>0</v>
      </c>
      <c r="BR2" s="13"/>
    </row>
    <row r="3" spans="1:70">
      <c r="A3" s="1" t="s">
        <v>87</v>
      </c>
      <c r="B3" s="1" t="s">
        <v>88</v>
      </c>
      <c r="C3" s="1" t="s">
        <v>682</v>
      </c>
      <c r="D3" s="1" t="s">
        <v>707</v>
      </c>
      <c r="E3" s="7" t="s">
        <v>715</v>
      </c>
      <c r="F3" s="7" t="s">
        <v>724</v>
      </c>
      <c r="G3" s="7" t="s">
        <v>729</v>
      </c>
      <c r="H3" s="13">
        <v>1.45</v>
      </c>
      <c r="I3" s="13">
        <f t="shared" si="0"/>
        <v>1.0874999999999999</v>
      </c>
      <c r="J3" s="13">
        <v>0.73028999999999999</v>
      </c>
      <c r="K3" s="7">
        <v>1</v>
      </c>
      <c r="L3" s="19">
        <v>0.6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9">
        <f>SUM(Tabla3[[#This Row],[SEM.1]:[SEM.52]])</f>
        <v>0</v>
      </c>
      <c r="BN3" s="9">
        <v>0</v>
      </c>
      <c r="BO3" s="24">
        <f>Tabla3[[#This Row],[CONSUMO TOTAL V]]/52</f>
        <v>0</v>
      </c>
      <c r="BP3" s="36">
        <f>Tabla3[[#This Row],[CONSUMO PROMEDIO ]]*Tabla3[[#This Row],[FRECUENCIA]]*Tabla3[[#This Row],[TIEMPO REPOSICION ]]*1.5*2.4</f>
        <v>0</v>
      </c>
      <c r="BQ3">
        <v>0</v>
      </c>
      <c r="BR3" s="13"/>
    </row>
    <row r="4" spans="1:70">
      <c r="A4" s="1" t="s">
        <v>89</v>
      </c>
      <c r="B4" s="1" t="s">
        <v>90</v>
      </c>
      <c r="C4" s="1" t="s">
        <v>2</v>
      </c>
      <c r="D4" s="1" t="s">
        <v>707</v>
      </c>
      <c r="E4" s="7" t="s">
        <v>715</v>
      </c>
      <c r="F4" s="7" t="s">
        <v>724</v>
      </c>
      <c r="G4" s="7" t="s">
        <v>729</v>
      </c>
      <c r="H4" s="13">
        <v>4.05</v>
      </c>
      <c r="I4" s="13">
        <f t="shared" si="0"/>
        <v>3.0374999999999996</v>
      </c>
      <c r="J4" s="13">
        <v>2.46251</v>
      </c>
      <c r="K4" s="7">
        <v>1</v>
      </c>
      <c r="L4" s="19">
        <v>0.6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2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1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2</v>
      </c>
      <c r="BK4" s="1">
        <v>0</v>
      </c>
      <c r="BL4" s="1">
        <v>0</v>
      </c>
      <c r="BM4" s="9">
        <f>SUM(Tabla3[[#This Row],[SEM.1]:[SEM.52]])</f>
        <v>5</v>
      </c>
      <c r="BN4" s="9">
        <v>5</v>
      </c>
      <c r="BO4" s="24">
        <f>Tabla3[[#This Row],[CONSUMO TOTAL V]]/52</f>
        <v>9.6153846153846159E-2</v>
      </c>
      <c r="BP4" s="36">
        <f>Tabla3[[#This Row],[CONSUMO PROMEDIO ]]*Tabla3[[#This Row],[FRECUENCIA]]*Tabla3[[#This Row],[TIEMPO REPOSICION ]]*1.5*2.4</f>
        <v>0.20769230769230768</v>
      </c>
      <c r="BQ4">
        <v>0</v>
      </c>
      <c r="BR4" s="13"/>
    </row>
    <row r="5" spans="1:70">
      <c r="A5" s="1" t="s">
        <v>91</v>
      </c>
      <c r="B5" s="1" t="s">
        <v>92</v>
      </c>
      <c r="C5" s="1" t="s">
        <v>683</v>
      </c>
      <c r="D5" s="1" t="s">
        <v>707</v>
      </c>
      <c r="E5" s="7" t="s">
        <v>715</v>
      </c>
      <c r="F5" s="7" t="s">
        <v>724</v>
      </c>
      <c r="G5" s="7" t="s">
        <v>729</v>
      </c>
      <c r="H5" s="13">
        <v>3.29</v>
      </c>
      <c r="I5" s="13">
        <f t="shared" si="0"/>
        <v>2.4675000000000002</v>
      </c>
      <c r="J5" s="13">
        <v>1.96801</v>
      </c>
      <c r="K5" s="7">
        <v>1</v>
      </c>
      <c r="L5" s="19">
        <v>0.6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9">
        <f>SUM(Tabla3[[#This Row],[SEM.1]:[SEM.52]])</f>
        <v>0</v>
      </c>
      <c r="BN5" s="9">
        <v>0</v>
      </c>
      <c r="BO5" s="24">
        <f>Tabla3[[#This Row],[CONSUMO TOTAL V]]/52</f>
        <v>0</v>
      </c>
      <c r="BP5" s="36">
        <f>Tabla3[[#This Row],[CONSUMO PROMEDIO ]]*Tabla3[[#This Row],[FRECUENCIA]]*Tabla3[[#This Row],[TIEMPO REPOSICION ]]*1.5*2.4</f>
        <v>0</v>
      </c>
      <c r="BQ5">
        <v>0</v>
      </c>
      <c r="BR5" s="13"/>
    </row>
    <row r="6" spans="1:70">
      <c r="A6" s="1" t="s">
        <v>93</v>
      </c>
      <c r="B6" s="1" t="s">
        <v>94</v>
      </c>
      <c r="C6" s="1" t="s">
        <v>672</v>
      </c>
      <c r="D6" s="1" t="s">
        <v>707</v>
      </c>
      <c r="E6" s="7" t="s">
        <v>715</v>
      </c>
      <c r="F6" s="7" t="s">
        <v>724</v>
      </c>
      <c r="G6" s="7" t="s">
        <v>729</v>
      </c>
      <c r="H6" s="13">
        <v>4.99</v>
      </c>
      <c r="I6" s="13">
        <f t="shared" si="0"/>
        <v>3.7425000000000002</v>
      </c>
      <c r="J6" s="13">
        <v>2.1820200000000001</v>
      </c>
      <c r="K6" s="7">
        <v>1</v>
      </c>
      <c r="L6" s="19">
        <v>0.6</v>
      </c>
      <c r="M6" s="1">
        <v>0</v>
      </c>
      <c r="N6" s="1">
        <v>2</v>
      </c>
      <c r="O6" s="1">
        <v>0</v>
      </c>
      <c r="P6" s="1">
        <v>20</v>
      </c>
      <c r="Q6" s="1">
        <v>0</v>
      </c>
      <c r="R6" s="1">
        <v>0</v>
      </c>
      <c r="S6" s="1">
        <v>26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12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58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30</v>
      </c>
      <c r="AU6" s="1">
        <v>0</v>
      </c>
      <c r="AV6" s="1">
        <v>0</v>
      </c>
      <c r="AW6" s="1">
        <v>1</v>
      </c>
      <c r="AX6" s="1">
        <v>0</v>
      </c>
      <c r="AY6" s="1">
        <v>0</v>
      </c>
      <c r="AZ6" s="1">
        <v>0</v>
      </c>
      <c r="BA6" s="1">
        <v>45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30</v>
      </c>
      <c r="BI6" s="1">
        <v>0</v>
      </c>
      <c r="BJ6" s="1">
        <v>0</v>
      </c>
      <c r="BK6" s="1">
        <v>0</v>
      </c>
      <c r="BL6" s="1">
        <v>0</v>
      </c>
      <c r="BM6" s="9">
        <f>SUM(Tabla3[[#This Row],[SEM.1]:[SEM.52]])</f>
        <v>224</v>
      </c>
      <c r="BN6" s="9">
        <v>224</v>
      </c>
      <c r="BO6" s="24">
        <f>Tabla3[[#This Row],[CONSUMO TOTAL V]]/52</f>
        <v>4.3076923076923075</v>
      </c>
      <c r="BP6" s="36">
        <f>Tabla3[[#This Row],[CONSUMO PROMEDIO ]]*Tabla3[[#This Row],[FRECUENCIA]]*Tabla3[[#This Row],[TIEMPO REPOSICION ]]*1.5*2.4</f>
        <v>9.3046153846153832</v>
      </c>
      <c r="BQ6">
        <v>25</v>
      </c>
      <c r="BR6" s="13"/>
    </row>
    <row r="7" spans="1:70">
      <c r="A7" s="1" t="s">
        <v>95</v>
      </c>
      <c r="B7" s="1" t="s">
        <v>96</v>
      </c>
      <c r="C7" s="1" t="s">
        <v>672</v>
      </c>
      <c r="D7" s="1" t="s">
        <v>707</v>
      </c>
      <c r="E7" s="7" t="s">
        <v>715</v>
      </c>
      <c r="F7" s="7" t="s">
        <v>724</v>
      </c>
      <c r="G7" s="7" t="s">
        <v>729</v>
      </c>
      <c r="H7" s="13">
        <v>5.49</v>
      </c>
      <c r="I7" s="13">
        <f t="shared" si="0"/>
        <v>4.1174999999999997</v>
      </c>
      <c r="J7" s="13">
        <v>2.4620600000000001</v>
      </c>
      <c r="K7" s="7">
        <v>1</v>
      </c>
      <c r="L7" s="19">
        <v>0.6</v>
      </c>
      <c r="M7" s="1">
        <v>0</v>
      </c>
      <c r="N7" s="1">
        <v>9</v>
      </c>
      <c r="O7" s="1">
        <v>0</v>
      </c>
      <c r="P7" s="1">
        <v>41</v>
      </c>
      <c r="Q7" s="1">
        <v>5</v>
      </c>
      <c r="R7" s="1">
        <v>0</v>
      </c>
      <c r="S7" s="1">
        <v>1</v>
      </c>
      <c r="T7" s="1">
        <v>0</v>
      </c>
      <c r="U7" s="1">
        <v>0</v>
      </c>
      <c r="V7" s="1">
        <v>1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10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21</v>
      </c>
      <c r="AW7" s="1">
        <v>0</v>
      </c>
      <c r="AX7" s="1">
        <v>21</v>
      </c>
      <c r="AY7" s="1">
        <v>0</v>
      </c>
      <c r="AZ7" s="1">
        <v>10</v>
      </c>
      <c r="BA7" s="1">
        <v>0</v>
      </c>
      <c r="BB7" s="1">
        <v>11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9">
        <f>SUM(Tabla3[[#This Row],[SEM.1]:[SEM.52]])</f>
        <v>130</v>
      </c>
      <c r="BN7" s="9">
        <v>130</v>
      </c>
      <c r="BO7" s="24">
        <f>Tabla3[[#This Row],[CONSUMO TOTAL V]]/52</f>
        <v>2.5</v>
      </c>
      <c r="BP7" s="36">
        <f>Tabla3[[#This Row],[CONSUMO PROMEDIO ]]*Tabla3[[#This Row],[FRECUENCIA]]*Tabla3[[#This Row],[TIEMPO REPOSICION ]]*1.5*2.4</f>
        <v>5.3999999999999995</v>
      </c>
      <c r="BQ7">
        <v>25</v>
      </c>
      <c r="BR7" s="13"/>
    </row>
    <row r="8" spans="1:70">
      <c r="A8" s="1" t="s">
        <v>97</v>
      </c>
      <c r="B8" s="1" t="s">
        <v>98</v>
      </c>
      <c r="C8" s="1" t="s">
        <v>672</v>
      </c>
      <c r="D8" s="1" t="s">
        <v>707</v>
      </c>
      <c r="E8" s="7" t="s">
        <v>715</v>
      </c>
      <c r="F8" s="7" t="s">
        <v>724</v>
      </c>
      <c r="G8" s="7" t="s">
        <v>729</v>
      </c>
      <c r="H8" s="13">
        <v>4.99</v>
      </c>
      <c r="I8" s="13">
        <f t="shared" si="0"/>
        <v>3.7425000000000002</v>
      </c>
      <c r="J8" s="13">
        <v>2.2353399999999999</v>
      </c>
      <c r="K8" s="7">
        <v>1</v>
      </c>
      <c r="L8" s="19">
        <v>0.6</v>
      </c>
      <c r="M8" s="1">
        <v>0</v>
      </c>
      <c r="N8" s="1">
        <v>7</v>
      </c>
      <c r="O8" s="1">
        <v>0</v>
      </c>
      <c r="P8" s="1">
        <v>21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21</v>
      </c>
      <c r="X8" s="1">
        <v>0</v>
      </c>
      <c r="Y8" s="1">
        <v>1</v>
      </c>
      <c r="Z8" s="1">
        <v>0</v>
      </c>
      <c r="AA8" s="1">
        <v>0</v>
      </c>
      <c r="AB8" s="1">
        <v>22</v>
      </c>
      <c r="AC8" s="1">
        <v>16</v>
      </c>
      <c r="AD8" s="1">
        <v>0</v>
      </c>
      <c r="AE8" s="1">
        <v>0</v>
      </c>
      <c r="AF8" s="1">
        <v>21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60</v>
      </c>
      <c r="AO8" s="1">
        <v>0</v>
      </c>
      <c r="AP8" s="1">
        <v>10</v>
      </c>
      <c r="AQ8" s="1">
        <v>1</v>
      </c>
      <c r="AR8" s="1">
        <v>0</v>
      </c>
      <c r="AS8" s="1">
        <v>0</v>
      </c>
      <c r="AT8" s="1">
        <v>21</v>
      </c>
      <c r="AU8" s="1">
        <v>40</v>
      </c>
      <c r="AV8" s="1">
        <v>20</v>
      </c>
      <c r="AW8" s="1">
        <v>0</v>
      </c>
      <c r="AX8" s="1">
        <v>0</v>
      </c>
      <c r="AY8" s="1">
        <v>0</v>
      </c>
      <c r="AZ8" s="1">
        <v>21</v>
      </c>
      <c r="BA8" s="1">
        <v>36</v>
      </c>
      <c r="BB8" s="1">
        <v>0</v>
      </c>
      <c r="BC8" s="1">
        <v>0</v>
      </c>
      <c r="BD8" s="1">
        <v>0</v>
      </c>
      <c r="BE8" s="1">
        <v>0</v>
      </c>
      <c r="BF8" s="1">
        <v>21</v>
      </c>
      <c r="BG8" s="1">
        <v>0</v>
      </c>
      <c r="BH8" s="1">
        <v>2</v>
      </c>
      <c r="BI8" s="1">
        <v>0</v>
      </c>
      <c r="BJ8" s="1">
        <v>2</v>
      </c>
      <c r="BK8" s="1">
        <v>2</v>
      </c>
      <c r="BL8" s="1">
        <v>0</v>
      </c>
      <c r="BM8" s="9">
        <f>SUM(Tabla3[[#This Row],[SEM.1]:[SEM.52]])</f>
        <v>345</v>
      </c>
      <c r="BN8" s="9">
        <v>345</v>
      </c>
      <c r="BO8" s="24">
        <f>Tabla3[[#This Row],[CONSUMO TOTAL V]]/52</f>
        <v>6.634615384615385</v>
      </c>
      <c r="BP8" s="36">
        <f>Tabla3[[#This Row],[CONSUMO PROMEDIO ]]*Tabla3[[#This Row],[FRECUENCIA]]*Tabla3[[#This Row],[TIEMPO REPOSICION ]]*1.5*2.4</f>
        <v>14.330769230769231</v>
      </c>
      <c r="BQ8">
        <v>25</v>
      </c>
      <c r="BR8" s="13"/>
    </row>
    <row r="9" spans="1:70">
      <c r="A9" s="1" t="s">
        <v>99</v>
      </c>
      <c r="B9" s="1" t="s">
        <v>100</v>
      </c>
      <c r="C9" s="1" t="s">
        <v>672</v>
      </c>
      <c r="D9" s="1" t="s">
        <v>707</v>
      </c>
      <c r="E9" s="7" t="s">
        <v>715</v>
      </c>
      <c r="F9" s="7" t="s">
        <v>724</v>
      </c>
      <c r="G9" s="7" t="s">
        <v>729</v>
      </c>
      <c r="H9" s="13">
        <v>4.99</v>
      </c>
      <c r="I9" s="13">
        <f t="shared" si="0"/>
        <v>3.7425000000000002</v>
      </c>
      <c r="J9" s="13">
        <v>2.8702399999999999</v>
      </c>
      <c r="K9" s="7">
        <v>1</v>
      </c>
      <c r="L9" s="19">
        <v>0.6</v>
      </c>
      <c r="M9" s="1">
        <v>0</v>
      </c>
      <c r="N9" s="1">
        <v>2</v>
      </c>
      <c r="O9" s="1">
        <v>25</v>
      </c>
      <c r="P9" s="1">
        <v>20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1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1</v>
      </c>
      <c r="AX9" s="1">
        <v>0</v>
      </c>
      <c r="AY9" s="1">
        <v>0</v>
      </c>
      <c r="AZ9" s="1">
        <v>0</v>
      </c>
      <c r="BA9" s="1">
        <v>31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10</v>
      </c>
      <c r="BJ9" s="1">
        <v>0</v>
      </c>
      <c r="BK9" s="1">
        <v>0</v>
      </c>
      <c r="BL9" s="1">
        <v>0</v>
      </c>
      <c r="BM9" s="9">
        <f>SUM(Tabla3[[#This Row],[SEM.1]:[SEM.52]])</f>
        <v>90</v>
      </c>
      <c r="BN9" s="9">
        <v>90</v>
      </c>
      <c r="BO9" s="24">
        <f>Tabla3[[#This Row],[CONSUMO TOTAL V]]/52</f>
        <v>1.7307692307692308</v>
      </c>
      <c r="BP9" s="36">
        <f>Tabla3[[#This Row],[CONSUMO PROMEDIO ]]*Tabla3[[#This Row],[FRECUENCIA]]*Tabla3[[#This Row],[TIEMPO REPOSICION ]]*1.5*2.4</f>
        <v>3.7384615384615389</v>
      </c>
      <c r="BQ9">
        <v>25</v>
      </c>
      <c r="BR9" s="13"/>
    </row>
    <row r="10" spans="1:70">
      <c r="A10" s="1" t="s">
        <v>101</v>
      </c>
      <c r="B10" s="1" t="s">
        <v>102</v>
      </c>
      <c r="C10" s="1" t="s">
        <v>2</v>
      </c>
      <c r="D10" s="1" t="s">
        <v>707</v>
      </c>
      <c r="E10" s="7" t="s">
        <v>715</v>
      </c>
      <c r="F10" s="7" t="s">
        <v>724</v>
      </c>
      <c r="G10" s="7" t="s">
        <v>729</v>
      </c>
      <c r="H10" s="13">
        <v>2.29</v>
      </c>
      <c r="I10" s="13">
        <f t="shared" si="0"/>
        <v>1.7175</v>
      </c>
      <c r="J10" s="13">
        <v>0.83140999999999998</v>
      </c>
      <c r="K10" s="7">
        <v>1</v>
      </c>
      <c r="L10" s="19">
        <v>0.6</v>
      </c>
      <c r="M10" s="1">
        <v>0</v>
      </c>
      <c r="N10" s="1">
        <v>10</v>
      </c>
      <c r="O10" s="1">
        <v>0</v>
      </c>
      <c r="P10" s="1">
        <v>21</v>
      </c>
      <c r="Q10" s="1">
        <v>1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9">
        <f>SUM(Tabla3[[#This Row],[SEM.1]:[SEM.52]])</f>
        <v>32</v>
      </c>
      <c r="BN10" s="9">
        <v>32</v>
      </c>
      <c r="BO10" s="24">
        <f>Tabla3[[#This Row],[CONSUMO TOTAL V]]/52</f>
        <v>0.61538461538461542</v>
      </c>
      <c r="BP10" s="36">
        <f>Tabla3[[#This Row],[CONSUMO PROMEDIO ]]*Tabla3[[#This Row],[FRECUENCIA]]*Tabla3[[#This Row],[TIEMPO REPOSICION ]]*1.5*2.4</f>
        <v>1.3292307692307692</v>
      </c>
      <c r="BQ10">
        <v>5</v>
      </c>
      <c r="BR10" s="13"/>
    </row>
    <row r="11" spans="1:70">
      <c r="A11" s="1" t="s">
        <v>103</v>
      </c>
      <c r="B11" s="1" t="s">
        <v>104</v>
      </c>
      <c r="C11" s="1" t="s">
        <v>682</v>
      </c>
      <c r="D11" s="1" t="s">
        <v>707</v>
      </c>
      <c r="E11" s="7" t="s">
        <v>715</v>
      </c>
      <c r="F11" s="7" t="s">
        <v>724</v>
      </c>
      <c r="G11" s="7" t="s">
        <v>729</v>
      </c>
      <c r="H11" s="13">
        <v>3.59</v>
      </c>
      <c r="I11" s="13">
        <f t="shared" si="0"/>
        <v>2.6924999999999999</v>
      </c>
      <c r="J11" s="13">
        <v>1.47041</v>
      </c>
      <c r="K11" s="7">
        <v>1</v>
      </c>
      <c r="L11" s="19">
        <v>0.6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21</v>
      </c>
      <c r="X11" s="1">
        <v>13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2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20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10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9">
        <f>SUM(Tabla3[[#This Row],[SEM.1]:[SEM.52]])</f>
        <v>66</v>
      </c>
      <c r="BN11" s="9">
        <v>66</v>
      </c>
      <c r="BO11" s="24">
        <f>Tabla3[[#This Row],[CONSUMO TOTAL V]]/52</f>
        <v>1.2692307692307692</v>
      </c>
      <c r="BP11" s="36">
        <f>Tabla3[[#This Row],[CONSUMO PROMEDIO ]]*Tabla3[[#This Row],[FRECUENCIA]]*Tabla3[[#This Row],[TIEMPO REPOSICION ]]*1.5*2.4</f>
        <v>2.7415384615384615</v>
      </c>
      <c r="BQ11">
        <v>4</v>
      </c>
      <c r="BR11" s="13"/>
    </row>
    <row r="12" spans="1:70">
      <c r="A12" s="1" t="s">
        <v>105</v>
      </c>
      <c r="B12" s="1" t="s">
        <v>106</v>
      </c>
      <c r="C12" s="1" t="s">
        <v>685</v>
      </c>
      <c r="D12" s="1" t="s">
        <v>707</v>
      </c>
      <c r="E12" s="7" t="s">
        <v>715</v>
      </c>
      <c r="F12" s="7" t="s">
        <v>724</v>
      </c>
      <c r="G12" s="7" t="s">
        <v>729</v>
      </c>
      <c r="H12" s="13">
        <v>21.89</v>
      </c>
      <c r="I12" s="13">
        <f t="shared" si="0"/>
        <v>16.4175</v>
      </c>
      <c r="J12" s="13">
        <v>8.3870000000000005</v>
      </c>
      <c r="K12" s="7">
        <v>1</v>
      </c>
      <c r="L12" s="19">
        <v>0.6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9">
        <f>SUM(Tabla3[[#This Row],[SEM.1]:[SEM.52]])</f>
        <v>0</v>
      </c>
      <c r="BN12" s="9">
        <v>0</v>
      </c>
      <c r="BO12" s="24">
        <f>Tabla3[[#This Row],[CONSUMO TOTAL V]]/52</f>
        <v>0</v>
      </c>
      <c r="BP12" s="36">
        <f>Tabla3[[#This Row],[CONSUMO PROMEDIO ]]*Tabla3[[#This Row],[FRECUENCIA]]*Tabla3[[#This Row],[TIEMPO REPOSICION ]]*1.5*2.4</f>
        <v>0</v>
      </c>
      <c r="BQ12">
        <v>0</v>
      </c>
      <c r="BR12" s="13"/>
    </row>
    <row r="13" spans="1:70">
      <c r="A13" s="1" t="s">
        <v>107</v>
      </c>
      <c r="B13" s="1" t="s">
        <v>108</v>
      </c>
      <c r="C13" s="1" t="s">
        <v>2</v>
      </c>
      <c r="D13" s="1" t="s">
        <v>707</v>
      </c>
      <c r="E13" s="7" t="s">
        <v>715</v>
      </c>
      <c r="F13" s="7" t="s">
        <v>724</v>
      </c>
      <c r="G13" s="7" t="s">
        <v>729</v>
      </c>
      <c r="H13" s="13">
        <v>6.49</v>
      </c>
      <c r="I13" s="13">
        <f t="shared" si="0"/>
        <v>4.8674999999999997</v>
      </c>
      <c r="J13" s="13">
        <v>2.6114600000000001</v>
      </c>
      <c r="K13" s="7">
        <v>1</v>
      </c>
      <c r="L13" s="19">
        <v>0.6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12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10</v>
      </c>
      <c r="BC13" s="1">
        <v>10</v>
      </c>
      <c r="BD13" s="1">
        <v>0</v>
      </c>
      <c r="BE13" s="1">
        <v>0</v>
      </c>
      <c r="BF13" s="1">
        <v>0</v>
      </c>
      <c r="BG13" s="1">
        <v>3</v>
      </c>
      <c r="BH13" s="1">
        <v>0</v>
      </c>
      <c r="BI13" s="1">
        <v>10</v>
      </c>
      <c r="BJ13" s="1">
        <v>4</v>
      </c>
      <c r="BK13" s="1">
        <v>0</v>
      </c>
      <c r="BL13" s="1">
        <v>0</v>
      </c>
      <c r="BM13" s="9">
        <f>SUM(Tabla3[[#This Row],[SEM.1]:[SEM.52]])</f>
        <v>49</v>
      </c>
      <c r="BN13" s="9">
        <v>49</v>
      </c>
      <c r="BO13" s="24">
        <f>Tabla3[[#This Row],[CONSUMO TOTAL V]]/52</f>
        <v>0.94230769230769229</v>
      </c>
      <c r="BP13" s="36">
        <f>Tabla3[[#This Row],[CONSUMO PROMEDIO ]]*Tabla3[[#This Row],[FRECUENCIA]]*Tabla3[[#This Row],[TIEMPO REPOSICION ]]*1.5*2.4</f>
        <v>2.0353846153846153</v>
      </c>
      <c r="BQ13">
        <v>2</v>
      </c>
      <c r="BR13" s="13"/>
    </row>
    <row r="14" spans="1:70">
      <c r="A14" s="1" t="s">
        <v>109</v>
      </c>
      <c r="B14" s="1" t="s">
        <v>110</v>
      </c>
      <c r="C14" s="1" t="s">
        <v>686</v>
      </c>
      <c r="D14" s="1" t="s">
        <v>707</v>
      </c>
      <c r="E14" s="7" t="s">
        <v>715</v>
      </c>
      <c r="F14" s="7" t="s">
        <v>724</v>
      </c>
      <c r="G14" s="7" t="s">
        <v>729</v>
      </c>
      <c r="H14" s="13">
        <v>2.75</v>
      </c>
      <c r="I14" s="13">
        <f t="shared" si="0"/>
        <v>2.0625</v>
      </c>
      <c r="J14" s="13">
        <v>1.4165300000000001</v>
      </c>
      <c r="K14" s="7">
        <v>1</v>
      </c>
      <c r="L14" s="19">
        <v>0.6</v>
      </c>
      <c r="M14" s="1">
        <v>0</v>
      </c>
      <c r="N14" s="1">
        <v>2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21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12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21</v>
      </c>
      <c r="BF14" s="1">
        <v>0</v>
      </c>
      <c r="BG14" s="1">
        <v>0</v>
      </c>
      <c r="BH14" s="1">
        <v>10</v>
      </c>
      <c r="BI14" s="1">
        <v>0</v>
      </c>
      <c r="BJ14" s="1">
        <v>0</v>
      </c>
      <c r="BK14" s="1">
        <v>0</v>
      </c>
      <c r="BL14" s="1">
        <v>0</v>
      </c>
      <c r="BM14" s="9">
        <f>SUM(Tabla3[[#This Row],[SEM.1]:[SEM.52]])</f>
        <v>66</v>
      </c>
      <c r="BN14" s="9">
        <v>66</v>
      </c>
      <c r="BO14" s="24">
        <f>Tabla3[[#This Row],[CONSUMO TOTAL V]]/52</f>
        <v>1.2692307692307692</v>
      </c>
      <c r="BP14" s="36">
        <f>Tabla3[[#This Row],[CONSUMO PROMEDIO ]]*Tabla3[[#This Row],[FRECUENCIA]]*Tabla3[[#This Row],[TIEMPO REPOSICION ]]*1.5*2.4</f>
        <v>2.7415384615384615</v>
      </c>
      <c r="BQ14">
        <v>40</v>
      </c>
      <c r="BR14" s="13"/>
    </row>
    <row r="15" spans="1:70">
      <c r="A15" s="1" t="s">
        <v>111</v>
      </c>
      <c r="B15" s="1" t="s">
        <v>112</v>
      </c>
      <c r="C15" s="1" t="s">
        <v>682</v>
      </c>
      <c r="D15" s="1" t="s">
        <v>707</v>
      </c>
      <c r="E15" s="7" t="s">
        <v>715</v>
      </c>
      <c r="F15" s="7" t="s">
        <v>724</v>
      </c>
      <c r="G15" s="7" t="s">
        <v>729</v>
      </c>
      <c r="H15" s="13">
        <v>5.84</v>
      </c>
      <c r="I15" s="13">
        <f t="shared" si="0"/>
        <v>4.38</v>
      </c>
      <c r="J15" s="13">
        <v>2.5375299999999998</v>
      </c>
      <c r="K15" s="7">
        <v>1</v>
      </c>
      <c r="L15" s="19">
        <v>0.6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9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21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20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20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9">
        <f>SUM(Tabla3[[#This Row],[SEM.1]:[SEM.52]])</f>
        <v>70</v>
      </c>
      <c r="BN15" s="9">
        <v>70</v>
      </c>
      <c r="BO15" s="24">
        <f>Tabla3[[#This Row],[CONSUMO TOTAL V]]/52</f>
        <v>1.3461538461538463</v>
      </c>
      <c r="BP15" s="36">
        <f>Tabla3[[#This Row],[CONSUMO PROMEDIO ]]*Tabla3[[#This Row],[FRECUENCIA]]*Tabla3[[#This Row],[TIEMPO REPOSICION ]]*1.5*2.4</f>
        <v>2.907692307692308</v>
      </c>
      <c r="BQ15">
        <v>4</v>
      </c>
      <c r="BR15" s="13"/>
    </row>
    <row r="16" spans="1:70">
      <c r="A16" s="1" t="s">
        <v>113</v>
      </c>
      <c r="B16" s="1" t="s">
        <v>114</v>
      </c>
      <c r="C16" s="1" t="s">
        <v>2</v>
      </c>
      <c r="D16" s="1" t="s">
        <v>707</v>
      </c>
      <c r="E16" s="7" t="s">
        <v>715</v>
      </c>
      <c r="F16" s="7" t="s">
        <v>724</v>
      </c>
      <c r="G16" s="7" t="s">
        <v>729</v>
      </c>
      <c r="H16" s="13">
        <v>9.49</v>
      </c>
      <c r="I16" s="13">
        <f t="shared" si="0"/>
        <v>7.1174999999999997</v>
      </c>
      <c r="J16" s="13">
        <v>4.6144999999999996</v>
      </c>
      <c r="K16" s="7">
        <v>1</v>
      </c>
      <c r="L16" s="19">
        <v>0.6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9">
        <f>SUM(Tabla3[[#This Row],[SEM.1]:[SEM.52]])</f>
        <v>0</v>
      </c>
      <c r="BN16" s="9">
        <v>0</v>
      </c>
      <c r="BO16" s="24">
        <f>Tabla3[[#This Row],[CONSUMO TOTAL V]]/52</f>
        <v>0</v>
      </c>
      <c r="BP16" s="36">
        <f>Tabla3[[#This Row],[CONSUMO PROMEDIO ]]*Tabla3[[#This Row],[FRECUENCIA]]*Tabla3[[#This Row],[TIEMPO REPOSICION ]]*1.5*2.4</f>
        <v>0</v>
      </c>
      <c r="BQ16">
        <v>0</v>
      </c>
      <c r="BR16" s="13"/>
    </row>
    <row r="17" spans="1:70">
      <c r="A17" s="1" t="s">
        <v>115</v>
      </c>
      <c r="B17" s="1" t="s">
        <v>116</v>
      </c>
      <c r="C17" s="1" t="s">
        <v>682</v>
      </c>
      <c r="D17" s="1" t="s">
        <v>707</v>
      </c>
      <c r="E17" s="7" t="s">
        <v>715</v>
      </c>
      <c r="F17" s="7" t="s">
        <v>724</v>
      </c>
      <c r="G17" s="7" t="s">
        <v>729</v>
      </c>
      <c r="H17" s="13">
        <v>3.69</v>
      </c>
      <c r="I17" s="13">
        <f t="shared" si="0"/>
        <v>2.7675000000000001</v>
      </c>
      <c r="J17" s="13">
        <v>1.6554500000000001</v>
      </c>
      <c r="K17" s="7">
        <v>1</v>
      </c>
      <c r="L17" s="19">
        <v>0.6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4</v>
      </c>
      <c r="V17" s="1">
        <v>0</v>
      </c>
      <c r="W17" s="1">
        <v>0</v>
      </c>
      <c r="X17" s="1">
        <v>10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12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9">
        <f>SUM(Tabla3[[#This Row],[SEM.1]:[SEM.52]])</f>
        <v>26</v>
      </c>
      <c r="BN17" s="9">
        <v>26</v>
      </c>
      <c r="BO17" s="24">
        <f>Tabla3[[#This Row],[CONSUMO TOTAL V]]/52</f>
        <v>0.5</v>
      </c>
      <c r="BP17" s="36">
        <f>Tabla3[[#This Row],[CONSUMO PROMEDIO ]]*Tabla3[[#This Row],[FRECUENCIA]]*Tabla3[[#This Row],[TIEMPO REPOSICION ]]*1.5*2.4</f>
        <v>1.0799999999999998</v>
      </c>
      <c r="BQ17">
        <v>4</v>
      </c>
      <c r="BR17" s="13"/>
    </row>
    <row r="18" spans="1:70">
      <c r="A18" s="1" t="s">
        <v>117</v>
      </c>
      <c r="B18" s="1" t="s">
        <v>118</v>
      </c>
      <c r="C18" s="1" t="s">
        <v>2</v>
      </c>
      <c r="D18" s="1" t="s">
        <v>707</v>
      </c>
      <c r="E18" s="7" t="s">
        <v>727</v>
      </c>
      <c r="F18" s="7" t="s">
        <v>724</v>
      </c>
      <c r="G18" s="7" t="s">
        <v>729</v>
      </c>
      <c r="H18" s="13">
        <v>6.69</v>
      </c>
      <c r="I18" s="13">
        <f t="shared" si="0"/>
        <v>5.0175000000000001</v>
      </c>
      <c r="J18" s="13">
        <v>3.6382699999999999</v>
      </c>
      <c r="K18" s="7">
        <v>1</v>
      </c>
      <c r="L18" s="19">
        <v>0.6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12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9">
        <f>SUM(Tabla3[[#This Row],[SEM.1]:[SEM.52]])</f>
        <v>12</v>
      </c>
      <c r="BN18" s="9">
        <v>12</v>
      </c>
      <c r="BO18" s="24">
        <f>Tabla3[[#This Row],[CONSUMO TOTAL V]]/52</f>
        <v>0.23076923076923078</v>
      </c>
      <c r="BP18" s="36">
        <f>Tabla3[[#This Row],[CONSUMO PROMEDIO ]]*Tabla3[[#This Row],[FRECUENCIA]]*Tabla3[[#This Row],[TIEMPO REPOSICION ]]*1.5*2.4</f>
        <v>0.49846153846153846</v>
      </c>
      <c r="BQ18">
        <v>0</v>
      </c>
      <c r="BR18" s="13"/>
    </row>
    <row r="19" spans="1:70">
      <c r="A19" s="1" t="s">
        <v>119</v>
      </c>
      <c r="B19" s="1" t="s">
        <v>120</v>
      </c>
      <c r="C19" s="1" t="s">
        <v>672</v>
      </c>
      <c r="D19" s="1" t="s">
        <v>707</v>
      </c>
      <c r="E19" s="7" t="s">
        <v>715</v>
      </c>
      <c r="F19" s="7" t="s">
        <v>724</v>
      </c>
      <c r="G19" s="7" t="s">
        <v>729</v>
      </c>
      <c r="H19" s="13">
        <v>5.49</v>
      </c>
      <c r="I19" s="13">
        <f t="shared" si="0"/>
        <v>4.1174999999999997</v>
      </c>
      <c r="J19" s="13">
        <v>2.5527600000000001</v>
      </c>
      <c r="K19" s="7">
        <v>1</v>
      </c>
      <c r="L19" s="19">
        <v>0.6</v>
      </c>
      <c r="M19" s="1">
        <v>0</v>
      </c>
      <c r="N19" s="1">
        <v>8</v>
      </c>
      <c r="O19" s="1">
        <v>0</v>
      </c>
      <c r="P19" s="1">
        <v>0</v>
      </c>
      <c r="Q19" s="1">
        <v>69</v>
      </c>
      <c r="R19" s="1">
        <v>0</v>
      </c>
      <c r="S19" s="1">
        <v>0</v>
      </c>
      <c r="T19" s="1">
        <v>0</v>
      </c>
      <c r="U19" s="1">
        <v>0</v>
      </c>
      <c r="V19" s="1">
        <v>12</v>
      </c>
      <c r="W19" s="1">
        <v>0</v>
      </c>
      <c r="X19" s="1">
        <v>21</v>
      </c>
      <c r="Y19" s="1">
        <v>0</v>
      </c>
      <c r="Z19" s="1">
        <v>6</v>
      </c>
      <c r="AA19" s="1">
        <v>73</v>
      </c>
      <c r="AB19" s="1">
        <v>17</v>
      </c>
      <c r="AC19" s="1">
        <v>0</v>
      </c>
      <c r="AD19" s="1">
        <v>10</v>
      </c>
      <c r="AE19" s="1">
        <v>0</v>
      </c>
      <c r="AF19" s="1">
        <v>21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21</v>
      </c>
      <c r="AM19" s="1">
        <v>0</v>
      </c>
      <c r="AN19" s="1">
        <v>0</v>
      </c>
      <c r="AO19" s="1">
        <v>21</v>
      </c>
      <c r="AP19" s="1">
        <v>0</v>
      </c>
      <c r="AQ19" s="1">
        <v>14</v>
      </c>
      <c r="AR19" s="1">
        <v>0</v>
      </c>
      <c r="AS19" s="1">
        <v>33</v>
      </c>
      <c r="AT19" s="1">
        <v>15</v>
      </c>
      <c r="AU19" s="1">
        <v>43</v>
      </c>
      <c r="AV19" s="1">
        <v>0</v>
      </c>
      <c r="AW19" s="1">
        <v>21</v>
      </c>
      <c r="AX19" s="1">
        <v>28</v>
      </c>
      <c r="AY19" s="1">
        <v>0</v>
      </c>
      <c r="AZ19" s="1">
        <v>0</v>
      </c>
      <c r="BA19" s="1">
        <v>84</v>
      </c>
      <c r="BB19" s="1">
        <v>20</v>
      </c>
      <c r="BC19" s="1">
        <v>45</v>
      </c>
      <c r="BD19" s="1">
        <v>2</v>
      </c>
      <c r="BE19" s="1">
        <v>0</v>
      </c>
      <c r="BF19" s="1">
        <v>0</v>
      </c>
      <c r="BG19" s="1">
        <v>8</v>
      </c>
      <c r="BH19" s="1">
        <v>32</v>
      </c>
      <c r="BI19" s="1">
        <v>25</v>
      </c>
      <c r="BJ19" s="1">
        <v>12</v>
      </c>
      <c r="BK19" s="1">
        <v>10</v>
      </c>
      <c r="BL19" s="1">
        <v>0</v>
      </c>
      <c r="BM19" s="9">
        <f>SUM(Tabla3[[#This Row],[SEM.1]:[SEM.52]])</f>
        <v>671</v>
      </c>
      <c r="BN19" s="9">
        <v>671</v>
      </c>
      <c r="BO19" s="24">
        <f>Tabla3[[#This Row],[CONSUMO TOTAL V]]/52</f>
        <v>12.903846153846153</v>
      </c>
      <c r="BP19" s="36">
        <f>Tabla3[[#This Row],[CONSUMO PROMEDIO ]]*Tabla3[[#This Row],[FRECUENCIA]]*Tabla3[[#This Row],[TIEMPO REPOSICION ]]*1.5*2.4</f>
        <v>27.87230769230769</v>
      </c>
      <c r="BQ19">
        <v>25</v>
      </c>
      <c r="BR19" s="13"/>
    </row>
    <row r="20" spans="1:70">
      <c r="A20" s="1" t="s">
        <v>121</v>
      </c>
      <c r="B20" s="1" t="s">
        <v>122</v>
      </c>
      <c r="C20" s="1" t="s">
        <v>682</v>
      </c>
      <c r="D20" s="1" t="s">
        <v>707</v>
      </c>
      <c r="E20" s="7" t="s">
        <v>715</v>
      </c>
      <c r="F20" s="7" t="s">
        <v>724</v>
      </c>
      <c r="G20" s="7" t="s">
        <v>729</v>
      </c>
      <c r="H20" s="13">
        <v>2.79</v>
      </c>
      <c r="I20" s="13">
        <f t="shared" si="0"/>
        <v>2.0925000000000002</v>
      </c>
      <c r="J20" s="13">
        <v>1.4903299999999999</v>
      </c>
      <c r="K20" s="7">
        <v>1</v>
      </c>
      <c r="L20" s="19">
        <v>0.6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6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9">
        <f>SUM(Tabla3[[#This Row],[SEM.1]:[SEM.52]])</f>
        <v>6</v>
      </c>
      <c r="BN20" s="9">
        <v>6</v>
      </c>
      <c r="BO20" s="24">
        <f>Tabla3[[#This Row],[CONSUMO TOTAL V]]/52</f>
        <v>0.11538461538461539</v>
      </c>
      <c r="BP20" s="36">
        <f>Tabla3[[#This Row],[CONSUMO PROMEDIO ]]*Tabla3[[#This Row],[FRECUENCIA]]*Tabla3[[#This Row],[TIEMPO REPOSICION ]]*1.5*2.4</f>
        <v>0.24923076923076923</v>
      </c>
      <c r="BQ20">
        <v>0</v>
      </c>
      <c r="BR20" s="13"/>
    </row>
    <row r="21" spans="1:70">
      <c r="A21" s="1" t="s">
        <v>123</v>
      </c>
      <c r="B21" s="1" t="s">
        <v>124</v>
      </c>
      <c r="C21" s="1" t="s">
        <v>681</v>
      </c>
      <c r="D21" s="1" t="s">
        <v>707</v>
      </c>
      <c r="E21" s="7" t="s">
        <v>715</v>
      </c>
      <c r="F21" s="7" t="s">
        <v>724</v>
      </c>
      <c r="G21" s="7" t="s">
        <v>729</v>
      </c>
      <c r="H21" s="13">
        <v>16.989999999999998</v>
      </c>
      <c r="I21" s="13">
        <f t="shared" si="0"/>
        <v>12.7425</v>
      </c>
      <c r="J21" s="13">
        <v>8.3179999999999996</v>
      </c>
      <c r="K21" s="7">
        <v>1</v>
      </c>
      <c r="L21" s="19">
        <v>0.6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9">
        <f>SUM(Tabla3[[#This Row],[SEM.1]:[SEM.52]])</f>
        <v>0</v>
      </c>
      <c r="BN21" s="9">
        <v>0</v>
      </c>
      <c r="BO21" s="24">
        <f>Tabla3[[#This Row],[CONSUMO TOTAL V]]/52</f>
        <v>0</v>
      </c>
      <c r="BP21" s="36">
        <f>Tabla3[[#This Row],[CONSUMO PROMEDIO ]]*Tabla3[[#This Row],[FRECUENCIA]]*Tabla3[[#This Row],[TIEMPO REPOSICION ]]*1.5*2.4</f>
        <v>0</v>
      </c>
      <c r="BQ21">
        <v>0</v>
      </c>
      <c r="BR21" s="13"/>
    </row>
    <row r="22" spans="1:70">
      <c r="A22" s="1" t="s">
        <v>125</v>
      </c>
      <c r="B22" s="1" t="s">
        <v>126</v>
      </c>
      <c r="C22" s="1" t="s">
        <v>676</v>
      </c>
      <c r="D22" s="1" t="s">
        <v>707</v>
      </c>
      <c r="E22" s="7" t="s">
        <v>715</v>
      </c>
      <c r="F22" s="7" t="s">
        <v>724</v>
      </c>
      <c r="G22" s="7" t="s">
        <v>729</v>
      </c>
      <c r="H22" s="13">
        <v>4.99</v>
      </c>
      <c r="I22" s="13">
        <f t="shared" si="0"/>
        <v>3.7425000000000002</v>
      </c>
      <c r="J22" s="13">
        <v>1.98929</v>
      </c>
      <c r="K22" s="7">
        <v>1</v>
      </c>
      <c r="L22" s="19">
        <v>0.6</v>
      </c>
      <c r="M22" s="1">
        <v>0</v>
      </c>
      <c r="N22" s="1">
        <v>0</v>
      </c>
      <c r="O22" s="1">
        <v>0</v>
      </c>
      <c r="P22" s="1">
        <v>8</v>
      </c>
      <c r="Q22" s="1">
        <v>0</v>
      </c>
      <c r="R22" s="1">
        <v>0</v>
      </c>
      <c r="S22" s="1">
        <v>0</v>
      </c>
      <c r="T22" s="1">
        <v>0</v>
      </c>
      <c r="U22" s="1">
        <v>2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9">
        <f>SUM(Tabla3[[#This Row],[SEM.1]:[SEM.52]])</f>
        <v>10</v>
      </c>
      <c r="BN22" s="9">
        <v>10</v>
      </c>
      <c r="BO22" s="24">
        <f>Tabla3[[#This Row],[CONSUMO TOTAL V]]/52</f>
        <v>0.19230769230769232</v>
      </c>
      <c r="BP22" s="36">
        <f>Tabla3[[#This Row],[CONSUMO PROMEDIO ]]*Tabla3[[#This Row],[FRECUENCIA]]*Tabla3[[#This Row],[TIEMPO REPOSICION ]]*1.5*2.4</f>
        <v>0.41538461538461535</v>
      </c>
      <c r="BQ22">
        <v>0</v>
      </c>
      <c r="BR22" s="13"/>
    </row>
    <row r="23" spans="1:70">
      <c r="A23" s="1" t="s">
        <v>130</v>
      </c>
      <c r="B23" s="1" t="s">
        <v>131</v>
      </c>
      <c r="C23" s="1" t="s">
        <v>673</v>
      </c>
      <c r="D23" s="1" t="s">
        <v>707</v>
      </c>
      <c r="E23" s="7" t="s">
        <v>715</v>
      </c>
      <c r="F23" s="7" t="s">
        <v>724</v>
      </c>
      <c r="G23" s="7" t="s">
        <v>729</v>
      </c>
      <c r="H23" s="13">
        <v>4.25</v>
      </c>
      <c r="I23" s="13">
        <f t="shared" si="0"/>
        <v>3.1875</v>
      </c>
      <c r="J23" s="13">
        <v>1.7721800000000001</v>
      </c>
      <c r="K23" s="7">
        <v>1</v>
      </c>
      <c r="L23" s="19">
        <v>0.6</v>
      </c>
      <c r="M23" s="1">
        <v>0</v>
      </c>
      <c r="N23" s="1">
        <v>2</v>
      </c>
      <c r="O23" s="1">
        <v>21</v>
      </c>
      <c r="P23" s="1">
        <v>0</v>
      </c>
      <c r="Q23" s="1">
        <v>0</v>
      </c>
      <c r="R23" s="1">
        <v>0</v>
      </c>
      <c r="S23" s="1">
        <v>11</v>
      </c>
      <c r="T23" s="1">
        <v>0</v>
      </c>
      <c r="U23" s="1">
        <v>0</v>
      </c>
      <c r="V23" s="1">
        <v>10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20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12</v>
      </c>
      <c r="AM23" s="1">
        <v>0</v>
      </c>
      <c r="AN23" s="1">
        <v>0</v>
      </c>
      <c r="AO23" s="1">
        <v>0</v>
      </c>
      <c r="AP23" s="1">
        <v>21</v>
      </c>
      <c r="AQ23" s="1">
        <v>0</v>
      </c>
      <c r="AR23" s="1">
        <v>0</v>
      </c>
      <c r="AS23" s="1">
        <v>0</v>
      </c>
      <c r="AT23" s="1">
        <v>21</v>
      </c>
      <c r="AU23" s="1">
        <v>0</v>
      </c>
      <c r="AV23" s="1">
        <v>0</v>
      </c>
      <c r="AW23" s="1">
        <v>42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21</v>
      </c>
      <c r="BL23" s="1">
        <v>8</v>
      </c>
      <c r="BM23" s="9">
        <f>SUM(Tabla3[[#This Row],[SEM.1]:[SEM.52]])</f>
        <v>189</v>
      </c>
      <c r="BN23" s="9">
        <v>189</v>
      </c>
      <c r="BO23" s="24">
        <f>Tabla3[[#This Row],[CONSUMO TOTAL V]]/52</f>
        <v>3.6346153846153846</v>
      </c>
      <c r="BP23" s="36">
        <f>Tabla3[[#This Row],[CONSUMO PROMEDIO ]]*Tabla3[[#This Row],[FRECUENCIA]]*Tabla3[[#This Row],[TIEMPO REPOSICION ]]*1.5*2.4</f>
        <v>7.8507692307692292</v>
      </c>
      <c r="BQ23">
        <v>100</v>
      </c>
      <c r="BR23" s="13"/>
    </row>
    <row r="24" spans="1:70">
      <c r="A24" s="1" t="s">
        <v>132</v>
      </c>
      <c r="B24" s="1" t="s">
        <v>133</v>
      </c>
      <c r="C24" s="1" t="s">
        <v>681</v>
      </c>
      <c r="D24" s="1" t="s">
        <v>707</v>
      </c>
      <c r="E24" s="7" t="s">
        <v>715</v>
      </c>
      <c r="F24" s="7" t="s">
        <v>724</v>
      </c>
      <c r="G24" s="7" t="s">
        <v>729</v>
      </c>
      <c r="H24" s="13">
        <v>26.99</v>
      </c>
      <c r="I24" s="13">
        <f t="shared" si="0"/>
        <v>20.2425</v>
      </c>
      <c r="J24" s="13">
        <v>13.186500000000001</v>
      </c>
      <c r="K24" s="7">
        <v>1</v>
      </c>
      <c r="L24" s="19">
        <v>0.6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9">
        <f>SUM(Tabla3[[#This Row],[SEM.1]:[SEM.52]])</f>
        <v>0</v>
      </c>
      <c r="BN24" s="9">
        <v>0</v>
      </c>
      <c r="BO24" s="24">
        <f>Tabla3[[#This Row],[CONSUMO TOTAL V]]/52</f>
        <v>0</v>
      </c>
      <c r="BP24" s="36">
        <f>Tabla3[[#This Row],[CONSUMO PROMEDIO ]]*Tabla3[[#This Row],[FRECUENCIA]]*Tabla3[[#This Row],[TIEMPO REPOSICION ]]*1.5*2.4</f>
        <v>0</v>
      </c>
      <c r="BQ24">
        <v>0</v>
      </c>
      <c r="BR24" s="13"/>
    </row>
    <row r="25" spans="1:70">
      <c r="A25" s="1" t="s">
        <v>134</v>
      </c>
      <c r="B25" s="1" t="s">
        <v>135</v>
      </c>
      <c r="C25" s="1" t="s">
        <v>676</v>
      </c>
      <c r="D25" s="1" t="s">
        <v>707</v>
      </c>
      <c r="E25" s="7" t="s">
        <v>715</v>
      </c>
      <c r="F25" s="7" t="s">
        <v>724</v>
      </c>
      <c r="G25" s="7" t="s">
        <v>729</v>
      </c>
      <c r="H25" s="13">
        <v>7.59</v>
      </c>
      <c r="I25" s="13">
        <f t="shared" si="0"/>
        <v>5.6924999999999999</v>
      </c>
      <c r="J25" s="13">
        <v>3.00095</v>
      </c>
      <c r="K25" s="7">
        <v>1</v>
      </c>
      <c r="L25" s="19">
        <v>0.6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12</v>
      </c>
      <c r="AV25" s="1">
        <v>0</v>
      </c>
      <c r="AW25" s="1">
        <v>20</v>
      </c>
      <c r="AX25" s="1">
        <v>1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6</v>
      </c>
      <c r="BI25" s="1">
        <v>12</v>
      </c>
      <c r="BJ25" s="1">
        <v>0</v>
      </c>
      <c r="BK25" s="1">
        <v>3</v>
      </c>
      <c r="BL25" s="1">
        <v>0</v>
      </c>
      <c r="BM25" s="9">
        <f>SUM(Tabla3[[#This Row],[SEM.1]:[SEM.52]])</f>
        <v>54</v>
      </c>
      <c r="BN25" s="9">
        <v>54</v>
      </c>
      <c r="BO25" s="24">
        <f>Tabla3[[#This Row],[CONSUMO TOTAL V]]/52</f>
        <v>1.0384615384615385</v>
      </c>
      <c r="BP25" s="36">
        <f>Tabla3[[#This Row],[CONSUMO PROMEDIO ]]*Tabla3[[#This Row],[FRECUENCIA]]*Tabla3[[#This Row],[TIEMPO REPOSICION ]]*1.5*2.4</f>
        <v>2.2430769230769232</v>
      </c>
      <c r="BQ25">
        <v>4</v>
      </c>
      <c r="BR25" s="13"/>
    </row>
    <row r="26" spans="1:70">
      <c r="A26" s="1" t="s">
        <v>138</v>
      </c>
      <c r="B26" s="1" t="s">
        <v>139</v>
      </c>
      <c r="C26" s="1" t="s">
        <v>676</v>
      </c>
      <c r="D26" s="1" t="s">
        <v>707</v>
      </c>
      <c r="E26" s="7" t="s">
        <v>732</v>
      </c>
      <c r="F26" s="7" t="s">
        <v>724</v>
      </c>
      <c r="G26" s="7" t="s">
        <v>729</v>
      </c>
      <c r="H26" s="13">
        <v>25</v>
      </c>
      <c r="I26" s="13">
        <f>+H26*85%</f>
        <v>21.25</v>
      </c>
      <c r="J26" s="13">
        <v>15.11</v>
      </c>
      <c r="K26" s="7">
        <v>1</v>
      </c>
      <c r="L26" s="19">
        <v>0.6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9">
        <f>SUM(Tabla3[[#This Row],[SEM.1]:[SEM.52]])</f>
        <v>0</v>
      </c>
      <c r="BN26" s="9">
        <v>0</v>
      </c>
      <c r="BO26" s="24">
        <f>Tabla3[[#This Row],[CONSUMO TOTAL V]]/52</f>
        <v>0</v>
      </c>
      <c r="BP26" s="36">
        <f>Tabla3[[#This Row],[CONSUMO PROMEDIO ]]*Tabla3[[#This Row],[FRECUENCIA]]*Tabla3[[#This Row],[TIEMPO REPOSICION ]]*1.5*2.4</f>
        <v>0</v>
      </c>
      <c r="BQ26">
        <v>0</v>
      </c>
      <c r="BR26" s="13"/>
    </row>
    <row r="27" spans="1:70">
      <c r="A27" s="1" t="s">
        <v>140</v>
      </c>
      <c r="B27" s="1" t="s">
        <v>141</v>
      </c>
      <c r="C27" s="1" t="s">
        <v>674</v>
      </c>
      <c r="D27" s="1" t="s">
        <v>707</v>
      </c>
      <c r="E27" s="7" t="s">
        <v>732</v>
      </c>
      <c r="F27" s="7" t="s">
        <v>724</v>
      </c>
      <c r="G27" s="7" t="s">
        <v>729</v>
      </c>
      <c r="H27" s="13">
        <v>372</v>
      </c>
      <c r="I27" s="13">
        <f>+H27*85%</f>
        <v>316.2</v>
      </c>
      <c r="J27" s="13">
        <v>267</v>
      </c>
      <c r="K27" s="7">
        <v>1</v>
      </c>
      <c r="L27" s="19">
        <v>0.6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9">
        <f>SUM(Tabla3[[#This Row],[SEM.1]:[SEM.52]])</f>
        <v>0</v>
      </c>
      <c r="BN27" s="9">
        <v>0</v>
      </c>
      <c r="BO27" s="24">
        <f>Tabla3[[#This Row],[CONSUMO TOTAL V]]/52</f>
        <v>0</v>
      </c>
      <c r="BP27" s="36">
        <f>Tabla3[[#This Row],[CONSUMO PROMEDIO ]]*Tabla3[[#This Row],[FRECUENCIA]]*Tabla3[[#This Row],[TIEMPO REPOSICION ]]*1.5*2.4</f>
        <v>0</v>
      </c>
      <c r="BQ27">
        <v>2</v>
      </c>
      <c r="BR27" s="13"/>
    </row>
    <row r="28" spans="1:70">
      <c r="A28" s="1" t="s">
        <v>142</v>
      </c>
      <c r="B28" s="1" t="s">
        <v>143</v>
      </c>
      <c r="C28" s="1" t="s">
        <v>2</v>
      </c>
      <c r="D28" s="1" t="s">
        <v>709</v>
      </c>
      <c r="E28" s="7" t="s">
        <v>719</v>
      </c>
      <c r="F28" s="7" t="s">
        <v>724</v>
      </c>
      <c r="G28" s="7" t="s">
        <v>729</v>
      </c>
      <c r="H28" s="13">
        <v>3.2</v>
      </c>
      <c r="I28" s="13">
        <f t="shared" ref="I28:I33" si="1">+H28*75%</f>
        <v>2.4000000000000004</v>
      </c>
      <c r="J28" s="13">
        <v>1.2278500000000001</v>
      </c>
      <c r="K28" s="7">
        <v>1</v>
      </c>
      <c r="L28" s="19">
        <v>0.6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9">
        <f>SUM(Tabla3[[#This Row],[SEM.1]:[SEM.52]])</f>
        <v>0</v>
      </c>
      <c r="BN28" s="9">
        <v>0</v>
      </c>
      <c r="BO28" s="24">
        <f>Tabla3[[#This Row],[CONSUMO TOTAL V]]/52</f>
        <v>0</v>
      </c>
      <c r="BP28" s="36">
        <f>Tabla3[[#This Row],[CONSUMO PROMEDIO ]]*Tabla3[[#This Row],[FRECUENCIA]]*Tabla3[[#This Row],[TIEMPO REPOSICION ]]*1.5*2.4</f>
        <v>0</v>
      </c>
      <c r="BQ28">
        <v>0</v>
      </c>
      <c r="BR28" s="13"/>
    </row>
    <row r="29" spans="1:70">
      <c r="A29" s="1" t="s">
        <v>144</v>
      </c>
      <c r="B29" s="1" t="s">
        <v>145</v>
      </c>
      <c r="C29" s="1" t="s">
        <v>679</v>
      </c>
      <c r="D29" s="1" t="s">
        <v>709</v>
      </c>
      <c r="E29" s="7" t="s">
        <v>719</v>
      </c>
      <c r="F29" s="7" t="s">
        <v>724</v>
      </c>
      <c r="G29" s="7" t="s">
        <v>729</v>
      </c>
      <c r="H29" s="13">
        <v>6.69</v>
      </c>
      <c r="I29" s="13">
        <f t="shared" si="1"/>
        <v>5.0175000000000001</v>
      </c>
      <c r="J29" s="13">
        <v>2.9537499999999999</v>
      </c>
      <c r="K29" s="7">
        <v>1</v>
      </c>
      <c r="L29" s="19">
        <v>0.6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9">
        <f>SUM(Tabla3[[#This Row],[SEM.1]:[SEM.52]])</f>
        <v>0</v>
      </c>
      <c r="BN29" s="9">
        <v>0</v>
      </c>
      <c r="BO29" s="24">
        <f>Tabla3[[#This Row],[CONSUMO TOTAL V]]/52</f>
        <v>0</v>
      </c>
      <c r="BP29" s="36">
        <f>Tabla3[[#This Row],[CONSUMO PROMEDIO ]]*Tabla3[[#This Row],[FRECUENCIA]]*Tabla3[[#This Row],[TIEMPO REPOSICION ]]*1.5*2.4</f>
        <v>0</v>
      </c>
      <c r="BQ29">
        <v>0</v>
      </c>
      <c r="BR29" s="13"/>
    </row>
    <row r="30" spans="1:70">
      <c r="A30" s="1" t="s">
        <v>146</v>
      </c>
      <c r="B30" s="1" t="s">
        <v>147</v>
      </c>
      <c r="C30" s="1" t="s">
        <v>673</v>
      </c>
      <c r="D30" s="1" t="s">
        <v>709</v>
      </c>
      <c r="E30" s="7" t="s">
        <v>719</v>
      </c>
      <c r="F30" s="7" t="s">
        <v>724</v>
      </c>
      <c r="G30" s="7" t="s">
        <v>729</v>
      </c>
      <c r="H30" s="13">
        <v>12.39</v>
      </c>
      <c r="I30" s="13">
        <f t="shared" si="1"/>
        <v>9.2925000000000004</v>
      </c>
      <c r="J30" s="13">
        <v>4.6379999999999999</v>
      </c>
      <c r="K30" s="7">
        <v>1</v>
      </c>
      <c r="L30" s="19">
        <v>0.6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9">
        <f>SUM(Tabla3[[#This Row],[SEM.1]:[SEM.52]])</f>
        <v>0</v>
      </c>
      <c r="BN30" s="9">
        <v>0</v>
      </c>
      <c r="BO30" s="24">
        <f>Tabla3[[#This Row],[CONSUMO TOTAL V]]/52</f>
        <v>0</v>
      </c>
      <c r="BP30" s="36">
        <f>Tabla3[[#This Row],[CONSUMO PROMEDIO ]]*Tabla3[[#This Row],[FRECUENCIA]]*Tabla3[[#This Row],[TIEMPO REPOSICION ]]*1.5*2.4</f>
        <v>0</v>
      </c>
      <c r="BQ30">
        <v>0</v>
      </c>
      <c r="BR30" s="13"/>
    </row>
    <row r="31" spans="1:70">
      <c r="A31" s="1" t="s">
        <v>148</v>
      </c>
      <c r="B31" s="1" t="s">
        <v>149</v>
      </c>
      <c r="C31" s="1" t="s">
        <v>2</v>
      </c>
      <c r="D31" s="1" t="s">
        <v>709</v>
      </c>
      <c r="E31" s="7" t="s">
        <v>719</v>
      </c>
      <c r="F31" s="7" t="s">
        <v>724</v>
      </c>
      <c r="G31" s="7" t="s">
        <v>729</v>
      </c>
      <c r="H31" s="13">
        <v>23.9</v>
      </c>
      <c r="I31" s="13">
        <f t="shared" si="1"/>
        <v>17.924999999999997</v>
      </c>
      <c r="J31" s="13">
        <v>9.1568299999999994</v>
      </c>
      <c r="K31" s="7">
        <v>1</v>
      </c>
      <c r="L31" s="19">
        <v>0.6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9">
        <f>SUM(Tabla3[[#This Row],[SEM.1]:[SEM.52]])</f>
        <v>0</v>
      </c>
      <c r="BN31" s="9">
        <v>0</v>
      </c>
      <c r="BO31" s="24">
        <f>Tabla3[[#This Row],[CONSUMO TOTAL V]]/52</f>
        <v>0</v>
      </c>
      <c r="BP31" s="36">
        <f>Tabla3[[#This Row],[CONSUMO PROMEDIO ]]*Tabla3[[#This Row],[FRECUENCIA]]*Tabla3[[#This Row],[TIEMPO REPOSICION ]]*1.5*2.4</f>
        <v>0</v>
      </c>
      <c r="BQ31">
        <v>0</v>
      </c>
      <c r="BR31" s="13"/>
    </row>
    <row r="32" spans="1:70">
      <c r="A32" s="1" t="s">
        <v>150</v>
      </c>
      <c r="B32" s="1" t="s">
        <v>151</v>
      </c>
      <c r="C32" s="1" t="s">
        <v>682</v>
      </c>
      <c r="D32" s="1" t="s">
        <v>709</v>
      </c>
      <c r="E32" s="7" t="s">
        <v>719</v>
      </c>
      <c r="F32" s="7" t="s">
        <v>724</v>
      </c>
      <c r="G32" s="7" t="s">
        <v>729</v>
      </c>
      <c r="H32" s="13">
        <v>16.5</v>
      </c>
      <c r="I32" s="13">
        <f t="shared" si="1"/>
        <v>12.375</v>
      </c>
      <c r="J32" s="13">
        <v>10.832000000000001</v>
      </c>
      <c r="K32" s="7">
        <v>1</v>
      </c>
      <c r="L32" s="19">
        <v>0.6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9">
        <f>SUM(Tabla3[[#This Row],[SEM.1]:[SEM.52]])</f>
        <v>0</v>
      </c>
      <c r="BN32" s="9">
        <v>0</v>
      </c>
      <c r="BO32" s="24">
        <f>Tabla3[[#This Row],[CONSUMO TOTAL V]]/52</f>
        <v>0</v>
      </c>
      <c r="BP32" s="36">
        <f>Tabla3[[#This Row],[CONSUMO PROMEDIO ]]*Tabla3[[#This Row],[FRECUENCIA]]*Tabla3[[#This Row],[TIEMPO REPOSICION ]]*1.5*2.4</f>
        <v>0</v>
      </c>
      <c r="BQ32">
        <v>0</v>
      </c>
      <c r="BR32" s="13"/>
    </row>
    <row r="33" spans="1:70">
      <c r="A33" s="1" t="s">
        <v>152</v>
      </c>
      <c r="B33" s="1" t="s">
        <v>153</v>
      </c>
      <c r="C33" s="1" t="s">
        <v>676</v>
      </c>
      <c r="D33" s="1" t="s">
        <v>709</v>
      </c>
      <c r="E33" s="7" t="s">
        <v>719</v>
      </c>
      <c r="F33" s="7" t="s">
        <v>724</v>
      </c>
      <c r="G33" s="7" t="s">
        <v>729</v>
      </c>
      <c r="H33" s="13">
        <v>33</v>
      </c>
      <c r="I33" s="13">
        <f t="shared" si="1"/>
        <v>24.75</v>
      </c>
      <c r="J33" s="13">
        <v>22.288</v>
      </c>
      <c r="K33" s="7">
        <v>1</v>
      </c>
      <c r="L33" s="19">
        <v>0.6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9">
        <f>SUM(Tabla3[[#This Row],[SEM.1]:[SEM.52]])</f>
        <v>0</v>
      </c>
      <c r="BN33" s="9">
        <v>0</v>
      </c>
      <c r="BO33" s="24">
        <f>Tabla3[[#This Row],[CONSUMO TOTAL V]]/52</f>
        <v>0</v>
      </c>
      <c r="BP33" s="36">
        <f>Tabla3[[#This Row],[CONSUMO PROMEDIO ]]*Tabla3[[#This Row],[FRECUENCIA]]*Tabla3[[#This Row],[TIEMPO REPOSICION ]]*1.5*2.4</f>
        <v>0</v>
      </c>
      <c r="BQ33">
        <v>0</v>
      </c>
      <c r="BR33" s="13"/>
    </row>
    <row r="34" spans="1:70">
      <c r="A34" s="7" t="s">
        <v>736</v>
      </c>
      <c r="B34" s="7" t="s">
        <v>739</v>
      </c>
      <c r="C34" s="7" t="s">
        <v>744</v>
      </c>
      <c r="D34" s="7" t="s">
        <v>712</v>
      </c>
      <c r="E34" s="7" t="s">
        <v>732</v>
      </c>
      <c r="F34" s="7" t="s">
        <v>724</v>
      </c>
      <c r="G34" s="7" t="s">
        <v>729</v>
      </c>
      <c r="H34" s="13">
        <v>5.2</v>
      </c>
      <c r="I34" s="13">
        <f>+H34*85%</f>
        <v>4.42</v>
      </c>
      <c r="J34" s="13">
        <v>2.89</v>
      </c>
      <c r="K34" s="7">
        <v>1</v>
      </c>
      <c r="L34" s="19">
        <v>0.6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9">
        <f>SUM(Tabla3[[#This Row],[SEM.1]:[SEM.52]])</f>
        <v>0</v>
      </c>
      <c r="BN34" s="9">
        <v>0</v>
      </c>
      <c r="BO34" s="24">
        <f>Tabla3[[#This Row],[CONSUMO TOTAL V]]/52</f>
        <v>0</v>
      </c>
      <c r="BP34" s="36">
        <f>Tabla3[[#This Row],[CONSUMO PROMEDIO ]]*Tabla3[[#This Row],[FRECUENCIA]]*Tabla3[[#This Row],[TIEMPO REPOSICION ]]*1.5*2.4</f>
        <v>0</v>
      </c>
      <c r="BQ34">
        <v>0</v>
      </c>
      <c r="BR34" s="13"/>
    </row>
    <row r="35" spans="1:70">
      <c r="A35" s="7" t="s">
        <v>738</v>
      </c>
      <c r="B35" s="7" t="s">
        <v>741</v>
      </c>
      <c r="C35" s="7" t="s">
        <v>745</v>
      </c>
      <c r="D35" s="7" t="s">
        <v>712</v>
      </c>
      <c r="E35" s="7" t="s">
        <v>732</v>
      </c>
      <c r="F35" s="7" t="s">
        <v>724</v>
      </c>
      <c r="G35" s="7" t="s">
        <v>729</v>
      </c>
      <c r="H35" s="13">
        <v>840</v>
      </c>
      <c r="I35" s="13">
        <f>+H35*85%</f>
        <v>714</v>
      </c>
      <c r="J35" s="13">
        <v>513.13</v>
      </c>
      <c r="K35" s="7">
        <v>1</v>
      </c>
      <c r="L35" s="19">
        <v>0.6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9">
        <f>SUM(Tabla3[[#This Row],[SEM.1]:[SEM.52]])</f>
        <v>0</v>
      </c>
      <c r="BN35" s="9">
        <v>0</v>
      </c>
      <c r="BO35" s="24">
        <f>Tabla3[[#This Row],[CONSUMO TOTAL V]]/52</f>
        <v>0</v>
      </c>
      <c r="BP35" s="36">
        <f>Tabla3[[#This Row],[CONSUMO PROMEDIO ]]*Tabla3[[#This Row],[FRECUENCIA]]*Tabla3[[#This Row],[TIEMPO REPOSICION ]]*1.5*2.4</f>
        <v>0</v>
      </c>
      <c r="BQ35">
        <v>2</v>
      </c>
      <c r="BR35" s="13"/>
    </row>
    <row r="36" spans="1:70">
      <c r="A36" s="7" t="s">
        <v>737</v>
      </c>
      <c r="B36" s="7" t="s">
        <v>740</v>
      </c>
      <c r="C36" s="7" t="s">
        <v>681</v>
      </c>
      <c r="D36" s="7" t="s">
        <v>712</v>
      </c>
      <c r="E36" s="7" t="s">
        <v>732</v>
      </c>
      <c r="F36" s="7" t="s">
        <v>724</v>
      </c>
      <c r="G36" s="7" t="s">
        <v>729</v>
      </c>
      <c r="H36" s="13">
        <v>171</v>
      </c>
      <c r="I36" s="13">
        <f>+H36*85%</f>
        <v>145.35</v>
      </c>
      <c r="J36" s="13">
        <v>99.41</v>
      </c>
      <c r="K36" s="7">
        <v>1</v>
      </c>
      <c r="L36" s="19">
        <v>0.6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9">
        <f>SUM(Tabla3[[#This Row],[SEM.1]:[SEM.52]])</f>
        <v>0</v>
      </c>
      <c r="BN36" s="9">
        <v>0</v>
      </c>
      <c r="BO36" s="24">
        <f>Tabla3[[#This Row],[CONSUMO TOTAL V]]/52</f>
        <v>0</v>
      </c>
      <c r="BP36" s="36">
        <f>Tabla3[[#This Row],[CONSUMO PROMEDIO ]]*Tabla3[[#This Row],[FRECUENCIA]]*Tabla3[[#This Row],[TIEMPO REPOSICION ]]*1.5*2.4</f>
        <v>0</v>
      </c>
      <c r="BQ36">
        <v>0</v>
      </c>
      <c r="BR36" s="13"/>
    </row>
    <row r="37" spans="1:70">
      <c r="A37" s="7" t="s">
        <v>742</v>
      </c>
      <c r="B37" s="7" t="s">
        <v>743</v>
      </c>
      <c r="C37" s="7" t="s">
        <v>676</v>
      </c>
      <c r="D37" s="7" t="s">
        <v>712</v>
      </c>
      <c r="E37" s="7" t="s">
        <v>732</v>
      </c>
      <c r="F37" s="7" t="s">
        <v>724</v>
      </c>
      <c r="G37" s="7" t="s">
        <v>729</v>
      </c>
      <c r="H37" s="13">
        <v>49.8</v>
      </c>
      <c r="I37" s="13">
        <f>+H37*85%</f>
        <v>42.33</v>
      </c>
      <c r="J37" s="13">
        <v>27.4</v>
      </c>
      <c r="K37" s="7">
        <v>1</v>
      </c>
      <c r="L37" s="19">
        <v>0.6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9">
        <f>SUM(Tabla3[[#This Row],[SEM.1]:[SEM.52]])</f>
        <v>0</v>
      </c>
      <c r="BN37" s="9">
        <v>0</v>
      </c>
      <c r="BO37" s="24">
        <f>Tabla3[[#This Row],[CONSUMO TOTAL V]]/52</f>
        <v>0</v>
      </c>
      <c r="BP37" s="36">
        <f>Tabla3[[#This Row],[CONSUMO PROMEDIO ]]*Tabla3[[#This Row],[FRECUENCIA]]*Tabla3[[#This Row],[TIEMPO REPOSICION ]]*1.5*2.4</f>
        <v>0</v>
      </c>
      <c r="BQ37">
        <v>20</v>
      </c>
      <c r="BR37" s="13"/>
    </row>
    <row r="38" spans="1:70">
      <c r="A38" s="1" t="s">
        <v>162</v>
      </c>
      <c r="B38" s="1" t="s">
        <v>163</v>
      </c>
      <c r="C38" s="1" t="s">
        <v>682</v>
      </c>
      <c r="D38" s="1" t="s">
        <v>712</v>
      </c>
      <c r="E38" s="7" t="s">
        <v>715</v>
      </c>
      <c r="F38" s="7" t="s">
        <v>724</v>
      </c>
      <c r="G38" s="7" t="s">
        <v>729</v>
      </c>
      <c r="H38" s="13">
        <v>5.7</v>
      </c>
      <c r="I38" s="13">
        <f t="shared" ref="I38:I44" si="2">+H38*75%</f>
        <v>4.2750000000000004</v>
      </c>
      <c r="J38" s="13">
        <v>1.7667200000000001</v>
      </c>
      <c r="K38" s="7">
        <v>1</v>
      </c>
      <c r="L38" s="19">
        <v>0.6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5</v>
      </c>
      <c r="X38" s="1">
        <v>0</v>
      </c>
      <c r="Y38" s="1">
        <v>0</v>
      </c>
      <c r="Z38" s="1">
        <v>6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12</v>
      </c>
      <c r="AT38" s="1">
        <v>0</v>
      </c>
      <c r="AU38" s="1">
        <v>12</v>
      </c>
      <c r="AV38" s="1">
        <v>0</v>
      </c>
      <c r="AW38" s="1">
        <v>0</v>
      </c>
      <c r="AX38" s="1">
        <v>0</v>
      </c>
      <c r="AY38" s="1">
        <v>6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9">
        <f>SUM(Tabla3[[#This Row],[SEM.1]:[SEM.52]])</f>
        <v>41</v>
      </c>
      <c r="BN38" s="9">
        <v>41</v>
      </c>
      <c r="BO38" s="24">
        <f>Tabla3[[#This Row],[CONSUMO TOTAL V]]/52</f>
        <v>0.78846153846153844</v>
      </c>
      <c r="BP38" s="36">
        <f>Tabla3[[#This Row],[CONSUMO PROMEDIO ]]*Tabla3[[#This Row],[FRECUENCIA]]*Tabla3[[#This Row],[TIEMPO REPOSICION ]]*1.5*2.4</f>
        <v>1.7030769230769229</v>
      </c>
      <c r="BQ38">
        <v>10</v>
      </c>
      <c r="BR38" s="13"/>
    </row>
    <row r="39" spans="1:70">
      <c r="A39" s="1" t="s">
        <v>164</v>
      </c>
      <c r="B39" s="1" t="s">
        <v>165</v>
      </c>
      <c r="C39" s="1" t="s">
        <v>682</v>
      </c>
      <c r="D39" s="1" t="s">
        <v>712</v>
      </c>
      <c r="E39" s="7" t="s">
        <v>715</v>
      </c>
      <c r="F39" s="7" t="s">
        <v>724</v>
      </c>
      <c r="G39" s="7" t="s">
        <v>729</v>
      </c>
      <c r="H39" s="13">
        <v>10.69</v>
      </c>
      <c r="I39" s="13">
        <f t="shared" si="2"/>
        <v>8.0175000000000001</v>
      </c>
      <c r="J39" s="13">
        <v>5.3186400000000003</v>
      </c>
      <c r="K39" s="7">
        <v>1</v>
      </c>
      <c r="L39" s="19">
        <v>0.6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2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9">
        <f>SUM(Tabla3[[#This Row],[SEM.1]:[SEM.52]])</f>
        <v>2</v>
      </c>
      <c r="BN39" s="9">
        <v>2</v>
      </c>
      <c r="BO39" s="24">
        <f>Tabla3[[#This Row],[CONSUMO TOTAL V]]/52</f>
        <v>3.8461538461538464E-2</v>
      </c>
      <c r="BP39" s="36">
        <f>Tabla3[[#This Row],[CONSUMO PROMEDIO ]]*Tabla3[[#This Row],[FRECUENCIA]]*Tabla3[[#This Row],[TIEMPO REPOSICION ]]*1.5*2.4</f>
        <v>8.3076923076923076E-2</v>
      </c>
      <c r="BQ39">
        <v>0</v>
      </c>
      <c r="BR39" s="13"/>
    </row>
    <row r="40" spans="1:70">
      <c r="A40" s="1" t="s">
        <v>166</v>
      </c>
      <c r="B40" s="1" t="s">
        <v>167</v>
      </c>
      <c r="C40" s="1" t="s">
        <v>676</v>
      </c>
      <c r="D40" s="1" t="s">
        <v>712</v>
      </c>
      <c r="E40" s="7" t="s">
        <v>715</v>
      </c>
      <c r="F40" s="7" t="s">
        <v>724</v>
      </c>
      <c r="G40" s="7" t="s">
        <v>729</v>
      </c>
      <c r="H40" s="13">
        <v>20.49</v>
      </c>
      <c r="I40" s="13">
        <f t="shared" si="2"/>
        <v>15.3675</v>
      </c>
      <c r="J40" s="13">
        <v>7.0758799999999997</v>
      </c>
      <c r="K40" s="7">
        <v>1</v>
      </c>
      <c r="L40" s="19">
        <v>0.6</v>
      </c>
      <c r="M40" s="1">
        <v>0</v>
      </c>
      <c r="N40" s="1">
        <v>0</v>
      </c>
      <c r="O40" s="1">
        <v>0</v>
      </c>
      <c r="P40" s="1">
        <v>0</v>
      </c>
      <c r="Q40" s="1">
        <v>1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1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9">
        <f>SUM(Tabla3[[#This Row],[SEM.1]:[SEM.52]])</f>
        <v>2</v>
      </c>
      <c r="BN40" s="9">
        <v>2</v>
      </c>
      <c r="BO40" s="24">
        <f>Tabla3[[#This Row],[CONSUMO TOTAL V]]/52</f>
        <v>3.8461538461538464E-2</v>
      </c>
      <c r="BP40" s="36">
        <f>Tabla3[[#This Row],[CONSUMO PROMEDIO ]]*Tabla3[[#This Row],[FRECUENCIA]]*Tabla3[[#This Row],[TIEMPO REPOSICION ]]*1.5*2.4</f>
        <v>8.3076923076923076E-2</v>
      </c>
      <c r="BQ40">
        <v>0</v>
      </c>
      <c r="BR40" s="13"/>
    </row>
    <row r="41" spans="1:70">
      <c r="A41" s="1" t="s">
        <v>209</v>
      </c>
      <c r="B41" s="1" t="s">
        <v>210</v>
      </c>
      <c r="C41" s="1" t="s">
        <v>694</v>
      </c>
      <c r="D41" s="1" t="s">
        <v>709</v>
      </c>
      <c r="E41" s="7" t="s">
        <v>719</v>
      </c>
      <c r="F41" s="7" t="s">
        <v>724</v>
      </c>
      <c r="G41" s="7" t="s">
        <v>729</v>
      </c>
      <c r="H41" s="13">
        <v>8.9</v>
      </c>
      <c r="I41" s="13">
        <f t="shared" si="2"/>
        <v>6.6750000000000007</v>
      </c>
      <c r="J41" s="13">
        <v>2.68</v>
      </c>
      <c r="K41" s="7">
        <v>1</v>
      </c>
      <c r="L41" s="19">
        <v>0.6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9">
        <f>SUM(Tabla3[[#This Row],[SEM.1]:[SEM.52]])</f>
        <v>0</v>
      </c>
      <c r="BN41" s="9">
        <v>0</v>
      </c>
      <c r="BO41" s="24">
        <f>Tabla3[[#This Row],[CONSUMO TOTAL V]]/52</f>
        <v>0</v>
      </c>
      <c r="BP41" s="36">
        <f>Tabla3[[#This Row],[CONSUMO PROMEDIO ]]*Tabla3[[#This Row],[FRECUENCIA]]*Tabla3[[#This Row],[TIEMPO REPOSICION ]]*1.5*2.4</f>
        <v>0</v>
      </c>
      <c r="BQ41">
        <v>0</v>
      </c>
      <c r="BR41" s="13"/>
    </row>
    <row r="42" spans="1:70">
      <c r="A42" s="1" t="s">
        <v>211</v>
      </c>
      <c r="B42" s="1" t="s">
        <v>212</v>
      </c>
      <c r="C42" s="1" t="s">
        <v>694</v>
      </c>
      <c r="D42" s="1" t="s">
        <v>709</v>
      </c>
      <c r="E42" s="7" t="s">
        <v>719</v>
      </c>
      <c r="F42" s="7" t="s">
        <v>724</v>
      </c>
      <c r="G42" s="7" t="s">
        <v>729</v>
      </c>
      <c r="H42" s="13">
        <v>8.9</v>
      </c>
      <c r="I42" s="13">
        <f t="shared" si="2"/>
        <v>6.6750000000000007</v>
      </c>
      <c r="J42" s="13">
        <v>2.57334</v>
      </c>
      <c r="K42" s="7">
        <v>1</v>
      </c>
      <c r="L42" s="19">
        <v>0.6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9">
        <f>SUM(Tabla3[[#This Row],[SEM.1]:[SEM.52]])</f>
        <v>0</v>
      </c>
      <c r="BN42" s="9">
        <v>0</v>
      </c>
      <c r="BO42" s="24">
        <f>Tabla3[[#This Row],[CONSUMO TOTAL V]]/52</f>
        <v>0</v>
      </c>
      <c r="BP42" s="36">
        <f>Tabla3[[#This Row],[CONSUMO PROMEDIO ]]*Tabla3[[#This Row],[FRECUENCIA]]*Tabla3[[#This Row],[TIEMPO REPOSICION ]]*1.5*2.4</f>
        <v>0</v>
      </c>
      <c r="BQ42">
        <v>0</v>
      </c>
      <c r="BR42" s="13"/>
    </row>
    <row r="43" spans="1:70">
      <c r="A43" s="1" t="s">
        <v>215</v>
      </c>
      <c r="B43" s="1" t="s">
        <v>216</v>
      </c>
      <c r="C43" s="1" t="s">
        <v>690</v>
      </c>
      <c r="D43" s="1" t="s">
        <v>709</v>
      </c>
      <c r="E43" s="7" t="s">
        <v>719</v>
      </c>
      <c r="F43" s="7" t="s">
        <v>724</v>
      </c>
      <c r="G43" s="7" t="s">
        <v>729</v>
      </c>
      <c r="H43" s="13">
        <v>42</v>
      </c>
      <c r="I43" s="13">
        <f t="shared" si="2"/>
        <v>31.5</v>
      </c>
      <c r="J43" s="13">
        <v>12.922000000000001</v>
      </c>
      <c r="K43" s="7">
        <v>1</v>
      </c>
      <c r="L43" s="19">
        <v>0.6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9">
        <f>SUM(Tabla3[[#This Row],[SEM.1]:[SEM.52]])</f>
        <v>0</v>
      </c>
      <c r="BN43" s="9">
        <v>0</v>
      </c>
      <c r="BO43" s="24">
        <f>Tabla3[[#This Row],[CONSUMO TOTAL V]]/52</f>
        <v>0</v>
      </c>
      <c r="BP43" s="36">
        <f>Tabla3[[#This Row],[CONSUMO PROMEDIO ]]*Tabla3[[#This Row],[FRECUENCIA]]*Tabla3[[#This Row],[TIEMPO REPOSICION ]]*1.5*2.4</f>
        <v>0</v>
      </c>
      <c r="BQ43">
        <v>0</v>
      </c>
      <c r="BR43" s="13"/>
    </row>
    <row r="44" spans="1:70">
      <c r="A44" s="1" t="s">
        <v>217</v>
      </c>
      <c r="B44" s="1" t="s">
        <v>218</v>
      </c>
      <c r="C44" s="1" t="s">
        <v>694</v>
      </c>
      <c r="D44" s="1" t="s">
        <v>709</v>
      </c>
      <c r="E44" s="7" t="s">
        <v>719</v>
      </c>
      <c r="F44" s="7" t="s">
        <v>724</v>
      </c>
      <c r="G44" s="7" t="s">
        <v>729</v>
      </c>
      <c r="H44" s="13">
        <v>8.9</v>
      </c>
      <c r="I44" s="13">
        <f t="shared" si="2"/>
        <v>6.6750000000000007</v>
      </c>
      <c r="J44" s="13">
        <v>2.56</v>
      </c>
      <c r="K44" s="7">
        <v>1</v>
      </c>
      <c r="L44" s="19">
        <v>0.6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9">
        <f>SUM(Tabla3[[#This Row],[SEM.1]:[SEM.52]])</f>
        <v>0</v>
      </c>
      <c r="BN44" s="9">
        <v>0</v>
      </c>
      <c r="BO44" s="24">
        <f>Tabla3[[#This Row],[CONSUMO TOTAL V]]/52</f>
        <v>0</v>
      </c>
      <c r="BP44" s="36">
        <f>Tabla3[[#This Row],[CONSUMO PROMEDIO ]]*Tabla3[[#This Row],[FRECUENCIA]]*Tabla3[[#This Row],[TIEMPO REPOSICION ]]*1.5*2.4</f>
        <v>0</v>
      </c>
      <c r="BQ44">
        <v>0</v>
      </c>
      <c r="BR44" s="13"/>
    </row>
    <row r="45" spans="1:70">
      <c r="A45" s="1" t="s">
        <v>219</v>
      </c>
      <c r="B45" s="1" t="s">
        <v>220</v>
      </c>
      <c r="C45" s="1" t="s">
        <v>676</v>
      </c>
      <c r="D45" s="1" t="s">
        <v>707</v>
      </c>
      <c r="E45" s="7" t="s">
        <v>732</v>
      </c>
      <c r="F45" s="7" t="s">
        <v>724</v>
      </c>
      <c r="G45" s="7" t="s">
        <v>729</v>
      </c>
      <c r="H45" s="13">
        <v>30.9</v>
      </c>
      <c r="I45" s="13">
        <f>+H45*85%</f>
        <v>26.264999999999997</v>
      </c>
      <c r="J45" s="13">
        <v>20.172999999999998</v>
      </c>
      <c r="K45" s="7">
        <v>1</v>
      </c>
      <c r="L45" s="19">
        <v>0.6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9">
        <f>SUM(Tabla3[[#This Row],[SEM.1]:[SEM.52]])</f>
        <v>0</v>
      </c>
      <c r="BN45" s="9">
        <v>0</v>
      </c>
      <c r="BO45" s="24">
        <f>Tabla3[[#This Row],[CONSUMO TOTAL V]]/52</f>
        <v>0</v>
      </c>
      <c r="BP45" s="36">
        <f>Tabla3[[#This Row],[CONSUMO PROMEDIO ]]*Tabla3[[#This Row],[FRECUENCIA]]*Tabla3[[#This Row],[TIEMPO REPOSICION ]]*1.5*2.4</f>
        <v>0</v>
      </c>
      <c r="BQ45">
        <v>6</v>
      </c>
      <c r="BR45" s="13"/>
    </row>
    <row r="46" spans="1:70">
      <c r="A46" s="1" t="s">
        <v>227</v>
      </c>
      <c r="B46" s="1" t="s">
        <v>228</v>
      </c>
      <c r="C46" s="1" t="s">
        <v>2</v>
      </c>
      <c r="D46" s="1" t="s">
        <v>709</v>
      </c>
      <c r="E46" s="7" t="s">
        <v>719</v>
      </c>
      <c r="F46" s="7" t="s">
        <v>724</v>
      </c>
      <c r="G46" s="7" t="s">
        <v>729</v>
      </c>
      <c r="H46" s="13">
        <v>2.44</v>
      </c>
      <c r="I46" s="13">
        <f>+H46*75%</f>
        <v>1.83</v>
      </c>
      <c r="J46" s="13">
        <v>1.1113999999999999</v>
      </c>
      <c r="K46" s="7">
        <v>1</v>
      </c>
      <c r="L46" s="19">
        <v>0.6</v>
      </c>
      <c r="M46" s="1">
        <v>0</v>
      </c>
      <c r="N46" s="1">
        <v>0</v>
      </c>
      <c r="O46" s="1">
        <v>5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9">
        <f>SUM(Tabla3[[#This Row],[SEM.1]:[SEM.52]])</f>
        <v>5</v>
      </c>
      <c r="BN46" s="9">
        <v>5</v>
      </c>
      <c r="BO46" s="24">
        <f>Tabla3[[#This Row],[CONSUMO TOTAL V]]/52</f>
        <v>9.6153846153846159E-2</v>
      </c>
      <c r="BP46" s="36">
        <f>Tabla3[[#This Row],[CONSUMO PROMEDIO ]]*Tabla3[[#This Row],[FRECUENCIA]]*Tabla3[[#This Row],[TIEMPO REPOSICION ]]*1.5*2.4</f>
        <v>0.20769230769230768</v>
      </c>
      <c r="BQ46">
        <v>10</v>
      </c>
      <c r="BR46" s="13"/>
    </row>
    <row r="47" spans="1:70">
      <c r="A47" s="1" t="s">
        <v>229</v>
      </c>
      <c r="B47" s="1" t="s">
        <v>230</v>
      </c>
      <c r="C47" s="1" t="s">
        <v>2</v>
      </c>
      <c r="D47" s="1" t="s">
        <v>709</v>
      </c>
      <c r="E47" s="7" t="s">
        <v>719</v>
      </c>
      <c r="F47" s="7" t="s">
        <v>724</v>
      </c>
      <c r="G47" s="7" t="s">
        <v>729</v>
      </c>
      <c r="H47" s="13">
        <v>6.49</v>
      </c>
      <c r="I47" s="13">
        <f>+H47*75%</f>
        <v>4.8674999999999997</v>
      </c>
      <c r="J47" s="13">
        <v>2.9872800000000002</v>
      </c>
      <c r="K47" s="7">
        <v>1</v>
      </c>
      <c r="L47" s="19">
        <v>0.6</v>
      </c>
      <c r="M47" s="1">
        <v>0</v>
      </c>
      <c r="N47" s="1">
        <v>0</v>
      </c>
      <c r="O47" s="1">
        <v>5</v>
      </c>
      <c r="P47" s="1">
        <v>30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9">
        <f>SUM(Tabla3[[#This Row],[SEM.1]:[SEM.52]])</f>
        <v>35</v>
      </c>
      <c r="BN47" s="9">
        <v>35</v>
      </c>
      <c r="BO47" s="24">
        <f>Tabla3[[#This Row],[CONSUMO TOTAL V]]/52</f>
        <v>0.67307692307692313</v>
      </c>
      <c r="BP47" s="36">
        <f>Tabla3[[#This Row],[CONSUMO PROMEDIO ]]*Tabla3[[#This Row],[FRECUENCIA]]*Tabla3[[#This Row],[TIEMPO REPOSICION ]]*1.5*2.4</f>
        <v>1.453846153846154</v>
      </c>
      <c r="BQ47">
        <v>10</v>
      </c>
      <c r="BR47" s="13"/>
    </row>
    <row r="48" spans="1:70">
      <c r="A48" s="20" t="s">
        <v>746</v>
      </c>
      <c r="B48" s="20" t="s">
        <v>747</v>
      </c>
      <c r="C48" s="20" t="s">
        <v>676</v>
      </c>
      <c r="D48" s="20" t="s">
        <v>709</v>
      </c>
      <c r="E48" s="7" t="s">
        <v>732</v>
      </c>
      <c r="F48" s="7" t="s">
        <v>724</v>
      </c>
      <c r="G48" s="7" t="s">
        <v>729</v>
      </c>
      <c r="H48" s="21">
        <v>13.24</v>
      </c>
      <c r="I48" s="13">
        <f>+H48*85%</f>
        <v>11.254</v>
      </c>
      <c r="J48" s="21">
        <v>8.15</v>
      </c>
      <c r="K48" s="7">
        <v>1</v>
      </c>
      <c r="L48" s="19">
        <v>0.6</v>
      </c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9">
        <f>SUM(Tabla3[[#This Row],[SEM.1]:[SEM.52]])</f>
        <v>0</v>
      </c>
      <c r="BN48" s="9">
        <v>0</v>
      </c>
      <c r="BO48" s="24">
        <f>Tabla3[[#This Row],[CONSUMO TOTAL V]]/52</f>
        <v>0</v>
      </c>
      <c r="BP48" s="36">
        <f>Tabla3[[#This Row],[CONSUMO PROMEDIO ]]*Tabla3[[#This Row],[FRECUENCIA]]*Tabla3[[#This Row],[TIEMPO REPOSICION ]]*1.5*2.4</f>
        <v>0</v>
      </c>
      <c r="BQ48">
        <v>20</v>
      </c>
      <c r="BR48" s="13"/>
    </row>
    <row r="49" spans="1:70">
      <c r="A49" s="1" t="s">
        <v>462</v>
      </c>
      <c r="B49" s="1" t="s">
        <v>463</v>
      </c>
      <c r="C49" s="1" t="s">
        <v>682</v>
      </c>
      <c r="D49" s="1" t="s">
        <v>707</v>
      </c>
      <c r="E49" s="7" t="s">
        <v>715</v>
      </c>
      <c r="F49" s="7" t="s">
        <v>724</v>
      </c>
      <c r="G49" s="7" t="s">
        <v>729</v>
      </c>
      <c r="H49" s="13">
        <v>1.48</v>
      </c>
      <c r="I49" s="13">
        <v>1.48</v>
      </c>
      <c r="J49" s="13">
        <v>1.2250000000000001</v>
      </c>
      <c r="K49" s="7">
        <v>1</v>
      </c>
      <c r="L49" s="19">
        <v>0.6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9">
        <f>SUM(Tabla3[[#This Row],[SEM.1]:[SEM.52]])</f>
        <v>0</v>
      </c>
      <c r="BN49" s="9">
        <v>0</v>
      </c>
      <c r="BO49" s="24">
        <f>Tabla3[[#This Row],[CONSUMO TOTAL V]]/52</f>
        <v>0</v>
      </c>
      <c r="BP49" s="36">
        <f>Tabla3[[#This Row],[CONSUMO PROMEDIO ]]*Tabla3[[#This Row],[FRECUENCIA]]*Tabla3[[#This Row],[TIEMPO REPOSICION ]]*1.5*2.4</f>
        <v>0</v>
      </c>
      <c r="BQ49">
        <v>0</v>
      </c>
      <c r="BR49" s="13"/>
    </row>
    <row r="50" spans="1:70">
      <c r="A50" s="1" t="s">
        <v>464</v>
      </c>
      <c r="B50" s="1" t="s">
        <v>465</v>
      </c>
      <c r="C50" s="1" t="s">
        <v>682</v>
      </c>
      <c r="D50" s="1" t="s">
        <v>707</v>
      </c>
      <c r="E50" s="7" t="s">
        <v>715</v>
      </c>
      <c r="F50" s="7" t="s">
        <v>724</v>
      </c>
      <c r="G50" s="7" t="s">
        <v>729</v>
      </c>
      <c r="H50" s="13">
        <v>2.95</v>
      </c>
      <c r="I50" s="13">
        <v>2.95</v>
      </c>
      <c r="J50" s="13">
        <v>2.1850000000000001</v>
      </c>
      <c r="K50" s="7">
        <v>1</v>
      </c>
      <c r="L50" s="19">
        <v>0.6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9">
        <f>SUM(Tabla3[[#This Row],[SEM.1]:[SEM.52]])</f>
        <v>0</v>
      </c>
      <c r="BN50" s="9">
        <v>0</v>
      </c>
      <c r="BO50" s="24">
        <f>Tabla3[[#This Row],[CONSUMO TOTAL V]]/52</f>
        <v>0</v>
      </c>
      <c r="BP50" s="36">
        <f>Tabla3[[#This Row],[CONSUMO PROMEDIO ]]*Tabla3[[#This Row],[FRECUENCIA]]*Tabla3[[#This Row],[TIEMPO REPOSICION ]]*1.5*2.4</f>
        <v>0</v>
      </c>
      <c r="BQ50">
        <v>0</v>
      </c>
      <c r="BR50" s="13"/>
    </row>
    <row r="51" spans="1:70">
      <c r="A51" s="1" t="s">
        <v>466</v>
      </c>
      <c r="B51" s="1" t="s">
        <v>467</v>
      </c>
      <c r="C51" s="1" t="s">
        <v>676</v>
      </c>
      <c r="D51" s="1" t="s">
        <v>707</v>
      </c>
      <c r="E51" s="7" t="s">
        <v>715</v>
      </c>
      <c r="F51" s="7" t="s">
        <v>724</v>
      </c>
      <c r="G51" s="7" t="s">
        <v>729</v>
      </c>
      <c r="H51" s="13">
        <v>5.9</v>
      </c>
      <c r="I51" s="13">
        <v>5.9</v>
      </c>
      <c r="J51" s="13">
        <v>4.2649999999999997</v>
      </c>
      <c r="K51" s="7">
        <v>1</v>
      </c>
      <c r="L51" s="19">
        <v>0.6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9">
        <f>SUM(Tabla3[[#This Row],[SEM.1]:[SEM.52]])</f>
        <v>0</v>
      </c>
      <c r="BN51" s="9">
        <v>0</v>
      </c>
      <c r="BO51" s="24">
        <f>Tabla3[[#This Row],[CONSUMO TOTAL V]]/52</f>
        <v>0</v>
      </c>
      <c r="BP51" s="36">
        <f>Tabla3[[#This Row],[CONSUMO PROMEDIO ]]*Tabla3[[#This Row],[FRECUENCIA]]*Tabla3[[#This Row],[TIEMPO REPOSICION ]]*1.5*2.4</f>
        <v>0</v>
      </c>
      <c r="BQ51">
        <v>0</v>
      </c>
      <c r="BR51" s="13"/>
    </row>
    <row r="52" spans="1:70">
      <c r="A52" s="1" t="s">
        <v>474</v>
      </c>
      <c r="B52" s="1" t="s">
        <v>475</v>
      </c>
      <c r="C52" s="1" t="s">
        <v>700</v>
      </c>
      <c r="D52" s="1" t="s">
        <v>709</v>
      </c>
      <c r="E52" s="7" t="s">
        <v>719</v>
      </c>
      <c r="F52" s="7" t="s">
        <v>724</v>
      </c>
      <c r="G52" s="7" t="s">
        <v>729</v>
      </c>
      <c r="H52" s="13">
        <v>8.9</v>
      </c>
      <c r="I52" s="13">
        <f>+H52*75%</f>
        <v>6.6750000000000007</v>
      </c>
      <c r="J52" s="13">
        <v>3.1481499999999998</v>
      </c>
      <c r="K52" s="7">
        <v>1</v>
      </c>
      <c r="L52" s="19">
        <v>0.6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2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4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6</v>
      </c>
      <c r="BL52" s="1">
        <v>0</v>
      </c>
      <c r="BM52" s="9">
        <f>SUM(Tabla3[[#This Row],[SEM.1]:[SEM.52]])</f>
        <v>12</v>
      </c>
      <c r="BN52" s="9">
        <v>12</v>
      </c>
      <c r="BO52" s="24">
        <f>Tabla3[[#This Row],[CONSUMO TOTAL V]]/52</f>
        <v>0.23076923076923078</v>
      </c>
      <c r="BP52" s="36">
        <f>Tabla3[[#This Row],[CONSUMO PROMEDIO ]]*Tabla3[[#This Row],[FRECUENCIA]]*Tabla3[[#This Row],[TIEMPO REPOSICION ]]*1.5*2.4</f>
        <v>0.49846153846153846</v>
      </c>
      <c r="BQ52">
        <v>1</v>
      </c>
      <c r="BR52" s="13"/>
    </row>
    <row r="53" spans="1:70">
      <c r="A53" s="1" t="s">
        <v>495</v>
      </c>
      <c r="B53" s="1" t="s">
        <v>496</v>
      </c>
      <c r="C53" s="1" t="s">
        <v>679</v>
      </c>
      <c r="D53" s="1" t="s">
        <v>707</v>
      </c>
      <c r="E53" s="7" t="s">
        <v>732</v>
      </c>
      <c r="F53" s="7" t="s">
        <v>724</v>
      </c>
      <c r="G53" s="7" t="s">
        <v>729</v>
      </c>
      <c r="H53" s="13">
        <v>9.49</v>
      </c>
      <c r="I53" s="13">
        <f>+H53*85%</f>
        <v>8.0664999999999996</v>
      </c>
      <c r="J53" s="13">
        <v>4.8321800000000001</v>
      </c>
      <c r="K53" s="7">
        <v>1</v>
      </c>
      <c r="L53" s="19">
        <v>0.6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4</v>
      </c>
      <c r="S53" s="1">
        <v>4</v>
      </c>
      <c r="T53" s="1">
        <v>0</v>
      </c>
      <c r="U53" s="1">
        <v>0</v>
      </c>
      <c r="V53" s="1">
        <v>0</v>
      </c>
      <c r="W53" s="1">
        <v>0</v>
      </c>
      <c r="X53" s="1">
        <v>10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9">
        <f>SUM(Tabla3[[#This Row],[SEM.1]:[SEM.52]])</f>
        <v>18</v>
      </c>
      <c r="BN53" s="9">
        <v>18</v>
      </c>
      <c r="BO53" s="24">
        <f>Tabla3[[#This Row],[CONSUMO TOTAL V]]/52</f>
        <v>0.34615384615384615</v>
      </c>
      <c r="BP53" s="36">
        <f>Tabla3[[#This Row],[CONSUMO PROMEDIO ]]*Tabla3[[#This Row],[FRECUENCIA]]*Tabla3[[#This Row],[TIEMPO REPOSICION ]]*1.5*2.4</f>
        <v>0.74769230769230766</v>
      </c>
      <c r="BQ53">
        <v>20</v>
      </c>
      <c r="BR53" s="13"/>
    </row>
    <row r="54" spans="1:70">
      <c r="A54" s="1" t="s">
        <v>497</v>
      </c>
      <c r="B54" s="1" t="s">
        <v>498</v>
      </c>
      <c r="C54" s="1" t="s">
        <v>676</v>
      </c>
      <c r="D54" s="1" t="s">
        <v>707</v>
      </c>
      <c r="E54" s="7" t="s">
        <v>732</v>
      </c>
      <c r="F54" s="7" t="s">
        <v>724</v>
      </c>
      <c r="G54" s="7" t="s">
        <v>729</v>
      </c>
      <c r="H54" s="13">
        <v>28.9</v>
      </c>
      <c r="I54" s="13">
        <f>+H54*85%</f>
        <v>24.564999999999998</v>
      </c>
      <c r="J54" s="13">
        <v>17.377780000000001</v>
      </c>
      <c r="K54" s="7">
        <v>1</v>
      </c>
      <c r="L54" s="19">
        <v>0.6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1</v>
      </c>
      <c r="S54" s="1">
        <v>1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11</v>
      </c>
      <c r="AQ54" s="1">
        <v>4</v>
      </c>
      <c r="AR54" s="1">
        <v>0</v>
      </c>
      <c r="AS54" s="1">
        <v>0</v>
      </c>
      <c r="AT54" s="1">
        <v>5</v>
      </c>
      <c r="AU54" s="1">
        <v>0</v>
      </c>
      <c r="AV54" s="1">
        <v>5</v>
      </c>
      <c r="AW54" s="1">
        <v>0</v>
      </c>
      <c r="AX54" s="1">
        <v>0</v>
      </c>
      <c r="AY54" s="1">
        <v>2</v>
      </c>
      <c r="AZ54" s="1">
        <v>5</v>
      </c>
      <c r="BA54" s="1">
        <v>2</v>
      </c>
      <c r="BB54" s="1">
        <v>0</v>
      </c>
      <c r="BC54" s="1">
        <v>5</v>
      </c>
      <c r="BD54" s="1">
        <v>0</v>
      </c>
      <c r="BE54" s="1">
        <v>0</v>
      </c>
      <c r="BF54" s="1">
        <v>5</v>
      </c>
      <c r="BG54" s="1">
        <v>2</v>
      </c>
      <c r="BH54" s="1">
        <v>0</v>
      </c>
      <c r="BI54" s="1">
        <v>1</v>
      </c>
      <c r="BJ54" s="1">
        <v>0</v>
      </c>
      <c r="BK54" s="1">
        <v>0</v>
      </c>
      <c r="BL54" s="1">
        <v>0</v>
      </c>
      <c r="BM54" s="9">
        <f>SUM(Tabla3[[#This Row],[SEM.1]:[SEM.52]])</f>
        <v>49</v>
      </c>
      <c r="BN54" s="9">
        <v>49</v>
      </c>
      <c r="BO54" s="24">
        <f>Tabla3[[#This Row],[CONSUMO TOTAL V]]/52</f>
        <v>0.94230769230769229</v>
      </c>
      <c r="BP54" s="36">
        <f>Tabla3[[#This Row],[CONSUMO PROMEDIO ]]*Tabla3[[#This Row],[FRECUENCIA]]*Tabla3[[#This Row],[TIEMPO REPOSICION ]]*1.5*2.4</f>
        <v>2.0353846153846153</v>
      </c>
      <c r="BQ54">
        <v>10</v>
      </c>
      <c r="BR54" s="13"/>
    </row>
    <row r="55" spans="1:70">
      <c r="A55" s="1" t="s">
        <v>499</v>
      </c>
      <c r="B55" s="1" t="s">
        <v>500</v>
      </c>
      <c r="C55" s="1" t="s">
        <v>684</v>
      </c>
      <c r="D55" s="1" t="s">
        <v>708</v>
      </c>
      <c r="E55" s="7" t="s">
        <v>715</v>
      </c>
      <c r="F55" s="7" t="s">
        <v>724</v>
      </c>
      <c r="G55" s="7" t="s">
        <v>729</v>
      </c>
      <c r="H55" s="13">
        <v>127.72</v>
      </c>
      <c r="I55" s="13">
        <f t="shared" ref="I55:I60" si="3">+H55*75%</f>
        <v>95.789999999999992</v>
      </c>
      <c r="J55" s="13">
        <v>64.302109999999999</v>
      </c>
      <c r="K55" s="7">
        <v>1</v>
      </c>
      <c r="L55" s="19">
        <v>0.6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2</v>
      </c>
      <c r="BI55" s="1">
        <v>0</v>
      </c>
      <c r="BJ55" s="1">
        <v>0</v>
      </c>
      <c r="BK55" s="1">
        <v>0</v>
      </c>
      <c r="BL55" s="1">
        <v>0</v>
      </c>
      <c r="BM55" s="9">
        <f>SUM(Tabla3[[#This Row],[SEM.1]:[SEM.52]])</f>
        <v>2</v>
      </c>
      <c r="BN55" s="9">
        <v>2</v>
      </c>
      <c r="BO55" s="24">
        <f>Tabla3[[#This Row],[CONSUMO TOTAL V]]/52</f>
        <v>3.8461538461538464E-2</v>
      </c>
      <c r="BP55" s="36">
        <f>Tabla3[[#This Row],[CONSUMO PROMEDIO ]]*Tabla3[[#This Row],[FRECUENCIA]]*Tabla3[[#This Row],[TIEMPO REPOSICION ]]*1.5*2.4</f>
        <v>8.3076923076923076E-2</v>
      </c>
      <c r="BQ55">
        <v>2</v>
      </c>
      <c r="BR55" s="13"/>
    </row>
    <row r="56" spans="1:70">
      <c r="A56" s="1" t="s">
        <v>501</v>
      </c>
      <c r="B56" s="1" t="s">
        <v>502</v>
      </c>
      <c r="C56" s="1" t="s">
        <v>681</v>
      </c>
      <c r="D56" s="1" t="s">
        <v>708</v>
      </c>
      <c r="E56" s="7" t="s">
        <v>715</v>
      </c>
      <c r="F56" s="7" t="s">
        <v>724</v>
      </c>
      <c r="G56" s="7" t="s">
        <v>729</v>
      </c>
      <c r="H56" s="13">
        <v>25.91</v>
      </c>
      <c r="I56" s="13">
        <f t="shared" si="3"/>
        <v>19.432500000000001</v>
      </c>
      <c r="J56" s="13">
        <v>14.05664</v>
      </c>
      <c r="K56" s="7">
        <v>1</v>
      </c>
      <c r="L56" s="19">
        <v>0.6</v>
      </c>
      <c r="M56" s="1">
        <v>0</v>
      </c>
      <c r="N56" s="1">
        <v>0</v>
      </c>
      <c r="O56" s="1">
        <v>6</v>
      </c>
      <c r="P56" s="1">
        <v>8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2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2</v>
      </c>
      <c r="AY56" s="1">
        <v>2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6</v>
      </c>
      <c r="BL56" s="1">
        <v>0</v>
      </c>
      <c r="BM56" s="9">
        <f>SUM(Tabla3[[#This Row],[SEM.1]:[SEM.52]])</f>
        <v>26</v>
      </c>
      <c r="BN56" s="9">
        <v>26</v>
      </c>
      <c r="BO56" s="24">
        <f>Tabla3[[#This Row],[CONSUMO TOTAL V]]/52</f>
        <v>0.5</v>
      </c>
      <c r="BP56" s="36">
        <f>Tabla3[[#This Row],[CONSUMO PROMEDIO ]]*Tabla3[[#This Row],[FRECUENCIA]]*Tabla3[[#This Row],[TIEMPO REPOSICION ]]*1.5*2.4</f>
        <v>1.0799999999999998</v>
      </c>
      <c r="BQ56">
        <v>6</v>
      </c>
      <c r="BR56" s="13"/>
    </row>
    <row r="57" spans="1:70">
      <c r="A57" s="1" t="s">
        <v>503</v>
      </c>
      <c r="B57" s="1" t="s">
        <v>504</v>
      </c>
      <c r="C57" s="1" t="s">
        <v>676</v>
      </c>
      <c r="D57" s="1" t="s">
        <v>708</v>
      </c>
      <c r="E57" s="7" t="s">
        <v>715</v>
      </c>
      <c r="F57" s="7" t="s">
        <v>724</v>
      </c>
      <c r="G57" s="7" t="s">
        <v>729</v>
      </c>
      <c r="H57" s="13">
        <v>7.22</v>
      </c>
      <c r="I57" s="13">
        <f t="shared" si="3"/>
        <v>5.415</v>
      </c>
      <c r="J57" s="13">
        <v>4.0850299999999997</v>
      </c>
      <c r="K57" s="7">
        <v>1</v>
      </c>
      <c r="L57" s="19">
        <v>0.6</v>
      </c>
      <c r="M57" s="1">
        <v>0</v>
      </c>
      <c r="N57" s="1">
        <v>0</v>
      </c>
      <c r="O57" s="1">
        <v>52</v>
      </c>
      <c r="P57" s="1">
        <v>18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40</v>
      </c>
      <c r="W57" s="1">
        <v>0</v>
      </c>
      <c r="X57" s="1">
        <v>0</v>
      </c>
      <c r="Y57" s="1">
        <v>38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31</v>
      </c>
      <c r="AF57" s="1">
        <v>0</v>
      </c>
      <c r="AG57" s="1">
        <v>60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40</v>
      </c>
      <c r="AO57" s="1">
        <v>20</v>
      </c>
      <c r="AP57" s="1">
        <v>0</v>
      </c>
      <c r="AQ57" s="1">
        <v>0</v>
      </c>
      <c r="AR57" s="1">
        <v>0</v>
      </c>
      <c r="AS57" s="1">
        <v>0</v>
      </c>
      <c r="AT57" s="1">
        <v>1</v>
      </c>
      <c r="AU57" s="1">
        <v>0</v>
      </c>
      <c r="AV57" s="1">
        <v>0</v>
      </c>
      <c r="AW57" s="1">
        <v>20</v>
      </c>
      <c r="AX57" s="1">
        <v>0</v>
      </c>
      <c r="AY57" s="1">
        <v>0</v>
      </c>
      <c r="AZ57" s="1">
        <v>6</v>
      </c>
      <c r="BA57" s="1">
        <v>0</v>
      </c>
      <c r="BB57" s="1">
        <v>0</v>
      </c>
      <c r="BC57" s="1">
        <v>20</v>
      </c>
      <c r="BD57" s="1">
        <v>0</v>
      </c>
      <c r="BE57" s="1">
        <v>0</v>
      </c>
      <c r="BF57" s="1">
        <v>0</v>
      </c>
      <c r="BG57" s="1">
        <v>0</v>
      </c>
      <c r="BH57" s="1">
        <v>2</v>
      </c>
      <c r="BI57" s="1">
        <v>0</v>
      </c>
      <c r="BJ57" s="1">
        <v>0</v>
      </c>
      <c r="BK57" s="1">
        <v>21</v>
      </c>
      <c r="BL57" s="1">
        <v>0</v>
      </c>
      <c r="BM57" s="9">
        <f>SUM(Tabla3[[#This Row],[SEM.1]:[SEM.52]])</f>
        <v>370</v>
      </c>
      <c r="BN57" s="9">
        <v>370</v>
      </c>
      <c r="BO57" s="24">
        <f>Tabla3[[#This Row],[CONSUMO TOTAL V]]/52</f>
        <v>7.115384615384615</v>
      </c>
      <c r="BP57" s="36">
        <f>Tabla3[[#This Row],[CONSUMO PROMEDIO ]]*Tabla3[[#This Row],[FRECUENCIA]]*Tabla3[[#This Row],[TIEMPO REPOSICION ]]*1.5*2.4</f>
        <v>15.369230769230768</v>
      </c>
      <c r="BQ57">
        <v>40</v>
      </c>
      <c r="BR57" s="13"/>
    </row>
    <row r="58" spans="1:70">
      <c r="A58" s="1" t="s">
        <v>512</v>
      </c>
      <c r="B58" s="1" t="s">
        <v>513</v>
      </c>
      <c r="C58" s="1" t="s">
        <v>679</v>
      </c>
      <c r="D58" s="1" t="s">
        <v>709</v>
      </c>
      <c r="E58" s="7" t="s">
        <v>719</v>
      </c>
      <c r="F58" s="7" t="s">
        <v>724</v>
      </c>
      <c r="G58" s="7" t="s">
        <v>729</v>
      </c>
      <c r="H58" s="13">
        <v>1.89</v>
      </c>
      <c r="I58" s="13">
        <f t="shared" si="3"/>
        <v>1.4175</v>
      </c>
      <c r="J58" s="13">
        <v>1.1559999999999999</v>
      </c>
      <c r="K58" s="7">
        <v>1</v>
      </c>
      <c r="L58" s="19">
        <v>0.6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9">
        <f>SUM(Tabla3[[#This Row],[SEM.1]:[SEM.52]])</f>
        <v>0</v>
      </c>
      <c r="BN58" s="9">
        <v>0</v>
      </c>
      <c r="BO58" s="24">
        <f>Tabla3[[#This Row],[CONSUMO TOTAL V]]/52</f>
        <v>0</v>
      </c>
      <c r="BP58" s="36">
        <f>Tabla3[[#This Row],[CONSUMO PROMEDIO ]]*Tabla3[[#This Row],[FRECUENCIA]]*Tabla3[[#This Row],[TIEMPO REPOSICION ]]*1.5*2.4</f>
        <v>0</v>
      </c>
      <c r="BQ58">
        <v>0</v>
      </c>
      <c r="BR58" s="13"/>
    </row>
    <row r="59" spans="1:70">
      <c r="A59" s="1" t="s">
        <v>514</v>
      </c>
      <c r="B59" s="1" t="s">
        <v>515</v>
      </c>
      <c r="C59" s="1" t="s">
        <v>673</v>
      </c>
      <c r="D59" s="1" t="s">
        <v>709</v>
      </c>
      <c r="E59" s="7" t="s">
        <v>719</v>
      </c>
      <c r="F59" s="7" t="s">
        <v>724</v>
      </c>
      <c r="G59" s="7" t="s">
        <v>729</v>
      </c>
      <c r="H59" s="13">
        <v>3.37</v>
      </c>
      <c r="I59" s="13">
        <f t="shared" si="3"/>
        <v>2.5274999999999999</v>
      </c>
      <c r="J59" s="13">
        <v>2.137</v>
      </c>
      <c r="K59" s="7">
        <v>1</v>
      </c>
      <c r="L59" s="19">
        <v>0.6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9">
        <f>SUM(Tabla3[[#This Row],[SEM.1]:[SEM.52]])</f>
        <v>0</v>
      </c>
      <c r="BN59" s="9">
        <v>0</v>
      </c>
      <c r="BO59" s="24">
        <f>Tabla3[[#This Row],[CONSUMO TOTAL V]]/52</f>
        <v>0</v>
      </c>
      <c r="BP59" s="36">
        <f>Tabla3[[#This Row],[CONSUMO PROMEDIO ]]*Tabla3[[#This Row],[FRECUENCIA]]*Tabla3[[#This Row],[TIEMPO REPOSICION ]]*1.5*2.4</f>
        <v>0</v>
      </c>
      <c r="BQ59">
        <v>0</v>
      </c>
      <c r="BR59" s="13"/>
    </row>
    <row r="60" spans="1:70">
      <c r="A60" s="1" t="s">
        <v>516</v>
      </c>
      <c r="B60" s="1" t="s">
        <v>517</v>
      </c>
      <c r="C60" s="1" t="s">
        <v>676</v>
      </c>
      <c r="D60" s="1" t="s">
        <v>709</v>
      </c>
      <c r="E60" s="7" t="s">
        <v>719</v>
      </c>
      <c r="F60" s="7" t="s">
        <v>724</v>
      </c>
      <c r="G60" s="7" t="s">
        <v>729</v>
      </c>
      <c r="H60" s="13">
        <v>5.4</v>
      </c>
      <c r="I60" s="13">
        <f t="shared" si="3"/>
        <v>4.0500000000000007</v>
      </c>
      <c r="J60" s="13">
        <v>4.8540000000000001</v>
      </c>
      <c r="K60" s="7">
        <v>1</v>
      </c>
      <c r="L60" s="19">
        <v>0.6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  <c r="BL60" s="1">
        <v>0</v>
      </c>
      <c r="BM60" s="9">
        <f>SUM(Tabla3[[#This Row],[SEM.1]:[SEM.52]])</f>
        <v>0</v>
      </c>
      <c r="BN60" s="9">
        <v>0</v>
      </c>
      <c r="BO60" s="24">
        <f>Tabla3[[#This Row],[CONSUMO TOTAL V]]/52</f>
        <v>0</v>
      </c>
      <c r="BP60" s="36">
        <f>Tabla3[[#This Row],[CONSUMO PROMEDIO ]]*Tabla3[[#This Row],[FRECUENCIA]]*Tabla3[[#This Row],[TIEMPO REPOSICION ]]*1.5*2.4</f>
        <v>0</v>
      </c>
      <c r="BQ60">
        <v>0</v>
      </c>
      <c r="BR60" s="13"/>
    </row>
    <row r="61" spans="1:70">
      <c r="A61" s="7" t="s">
        <v>524</v>
      </c>
      <c r="B61" s="7" t="s">
        <v>525</v>
      </c>
      <c r="C61" s="7" t="s">
        <v>677</v>
      </c>
      <c r="D61" s="7" t="s">
        <v>709</v>
      </c>
      <c r="E61" s="7" t="s">
        <v>719</v>
      </c>
      <c r="F61" s="7" t="s">
        <v>724</v>
      </c>
      <c r="G61" s="7" t="s">
        <v>729</v>
      </c>
      <c r="H61" s="13">
        <v>0.85</v>
      </c>
      <c r="I61" s="13">
        <v>0.63749999999999996</v>
      </c>
      <c r="J61" s="13">
        <v>0.48699999999999999</v>
      </c>
      <c r="K61" s="7">
        <v>1</v>
      </c>
      <c r="L61" s="19">
        <v>0.6</v>
      </c>
      <c r="M61" s="7">
        <v>0</v>
      </c>
      <c r="N61" s="13">
        <v>0</v>
      </c>
      <c r="O61" s="13">
        <v>0</v>
      </c>
      <c r="P61" s="21">
        <v>0</v>
      </c>
      <c r="Q61" s="13">
        <v>0</v>
      </c>
      <c r="R61" s="13">
        <v>0</v>
      </c>
      <c r="S61" s="25">
        <v>0</v>
      </c>
      <c r="T61" s="26">
        <v>0</v>
      </c>
      <c r="U61" s="26">
        <v>0</v>
      </c>
      <c r="V61" s="27">
        <v>0</v>
      </c>
      <c r="W61" s="2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  <c r="AD61" s="7"/>
      <c r="AE61" s="7">
        <v>0</v>
      </c>
      <c r="AF61" s="7">
        <v>0</v>
      </c>
      <c r="AG61" s="7">
        <v>0</v>
      </c>
      <c r="AH61" s="7">
        <v>0</v>
      </c>
      <c r="AI61" s="7">
        <v>0</v>
      </c>
      <c r="AJ61" s="7">
        <v>0</v>
      </c>
      <c r="AK61" s="7">
        <v>0</v>
      </c>
      <c r="AL61" s="7">
        <v>0</v>
      </c>
      <c r="AM61" s="7">
        <v>0</v>
      </c>
      <c r="AN61" s="7">
        <v>0</v>
      </c>
      <c r="AO61" s="7">
        <v>0</v>
      </c>
      <c r="AP61" s="7">
        <v>0</v>
      </c>
      <c r="AQ61" s="7">
        <v>0</v>
      </c>
      <c r="AR61" s="7">
        <v>0</v>
      </c>
      <c r="AS61" s="7">
        <v>0</v>
      </c>
      <c r="AT61" s="7">
        <v>0</v>
      </c>
      <c r="AU61" s="7">
        <v>0</v>
      </c>
      <c r="AV61" s="7">
        <v>0</v>
      </c>
      <c r="AW61" s="7">
        <v>0</v>
      </c>
      <c r="AX61" s="7">
        <v>0</v>
      </c>
      <c r="AY61" s="7">
        <v>0</v>
      </c>
      <c r="AZ61" s="7">
        <v>0</v>
      </c>
      <c r="BA61" s="7">
        <v>0</v>
      </c>
      <c r="BB61" s="7">
        <v>0</v>
      </c>
      <c r="BC61" s="7">
        <v>0</v>
      </c>
      <c r="BD61" s="7">
        <v>0</v>
      </c>
      <c r="BE61" s="7">
        <v>0</v>
      </c>
      <c r="BF61" s="7">
        <v>0</v>
      </c>
      <c r="BG61" s="7">
        <v>0</v>
      </c>
      <c r="BH61" s="7">
        <v>0</v>
      </c>
      <c r="BI61" s="7">
        <v>0</v>
      </c>
      <c r="BJ61" s="7">
        <v>0</v>
      </c>
      <c r="BK61" s="7">
        <v>0</v>
      </c>
      <c r="BL61" s="7">
        <v>0</v>
      </c>
      <c r="BM61" s="9">
        <f>SUM(Tabla3[[#This Row],[SEM.1]:[SEM.52]])</f>
        <v>0</v>
      </c>
      <c r="BN61" s="9">
        <v>0</v>
      </c>
      <c r="BO61" s="24">
        <f>Tabla3[[#This Row],[CONSUMO TOTAL V]]/52</f>
        <v>0</v>
      </c>
      <c r="BP61" s="36">
        <f>Tabla3[[#This Row],[CONSUMO PROMEDIO ]]*Tabla3[[#This Row],[FRECUENCIA]]*Tabla3[[#This Row],[TIEMPO REPOSICION ]]*1.5*2.4</f>
        <v>0</v>
      </c>
      <c r="BQ61" s="7">
        <v>0</v>
      </c>
    </row>
    <row r="62" spans="1:70">
      <c r="A62" s="42" t="s">
        <v>526</v>
      </c>
      <c r="B62" s="42" t="s">
        <v>527</v>
      </c>
      <c r="C62" s="42" t="s">
        <v>702</v>
      </c>
      <c r="D62" s="42" t="s">
        <v>712</v>
      </c>
      <c r="E62" s="42" t="s">
        <v>719</v>
      </c>
      <c r="F62" s="42" t="s">
        <v>724</v>
      </c>
      <c r="G62" s="42" t="s">
        <v>729</v>
      </c>
      <c r="H62" s="48">
        <v>3.49</v>
      </c>
      <c r="I62" s="48">
        <f t="shared" ref="I62:I74" si="4">+H62*75%</f>
        <v>2.6175000000000002</v>
      </c>
      <c r="J62" s="48">
        <v>1.4508700000000001</v>
      </c>
      <c r="K62" s="7">
        <v>1</v>
      </c>
      <c r="L62" s="19">
        <v>0.6</v>
      </c>
      <c r="M62" s="42">
        <v>0</v>
      </c>
      <c r="N62" s="42">
        <v>0</v>
      </c>
      <c r="O62" s="42">
        <v>0</v>
      </c>
      <c r="P62" s="42">
        <v>0</v>
      </c>
      <c r="Q62" s="42">
        <v>0</v>
      </c>
      <c r="R62" s="42">
        <v>0</v>
      </c>
      <c r="S62" s="42">
        <v>0</v>
      </c>
      <c r="T62" s="42">
        <v>0</v>
      </c>
      <c r="U62" s="42">
        <v>0</v>
      </c>
      <c r="V62" s="42">
        <v>0</v>
      </c>
      <c r="W62" s="42">
        <v>0</v>
      </c>
      <c r="X62" s="42">
        <v>0</v>
      </c>
      <c r="Y62" s="42">
        <v>0</v>
      </c>
      <c r="Z62" s="42">
        <v>0</v>
      </c>
      <c r="AA62" s="42">
        <v>0</v>
      </c>
      <c r="AB62" s="42">
        <v>0</v>
      </c>
      <c r="AC62" s="42">
        <v>0</v>
      </c>
      <c r="AD62" s="42">
        <v>0</v>
      </c>
      <c r="AE62" s="42">
        <v>0</v>
      </c>
      <c r="AF62" s="42">
        <v>0</v>
      </c>
      <c r="AG62" s="42">
        <v>0</v>
      </c>
      <c r="AH62" s="42">
        <v>0</v>
      </c>
      <c r="AI62" s="42">
        <v>0</v>
      </c>
      <c r="AJ62" s="42">
        <v>0</v>
      </c>
      <c r="AK62" s="42">
        <v>0</v>
      </c>
      <c r="AL62" s="42">
        <v>0</v>
      </c>
      <c r="AM62" s="42">
        <v>0</v>
      </c>
      <c r="AN62" s="42">
        <v>0</v>
      </c>
      <c r="AO62" s="42">
        <v>0</v>
      </c>
      <c r="AP62" s="42">
        <v>0</v>
      </c>
      <c r="AQ62" s="42">
        <v>0</v>
      </c>
      <c r="AR62" s="42">
        <v>0</v>
      </c>
      <c r="AS62" s="42">
        <v>0</v>
      </c>
      <c r="AT62" s="42">
        <v>0</v>
      </c>
      <c r="AU62" s="42">
        <v>0</v>
      </c>
      <c r="AV62" s="42">
        <v>0</v>
      </c>
      <c r="AW62" s="42">
        <v>0</v>
      </c>
      <c r="AX62" s="42">
        <v>0</v>
      </c>
      <c r="AY62" s="42">
        <v>0</v>
      </c>
      <c r="AZ62" s="42">
        <v>0</v>
      </c>
      <c r="BA62" s="42">
        <v>0</v>
      </c>
      <c r="BB62" s="42">
        <v>0</v>
      </c>
      <c r="BC62" s="42">
        <v>0</v>
      </c>
      <c r="BD62" s="42">
        <v>0</v>
      </c>
      <c r="BE62" s="42">
        <v>0</v>
      </c>
      <c r="BF62" s="42">
        <v>0</v>
      </c>
      <c r="BG62" s="42">
        <v>0</v>
      </c>
      <c r="BH62" s="42">
        <v>0</v>
      </c>
      <c r="BI62" s="42">
        <v>0</v>
      </c>
      <c r="BJ62" s="42">
        <v>0</v>
      </c>
      <c r="BK62" s="42">
        <v>0</v>
      </c>
      <c r="BL62" s="42">
        <v>0</v>
      </c>
      <c r="BM62" s="9">
        <f>SUM(Tabla3[[#This Row],[SEM.1]:[SEM.52]])</f>
        <v>0</v>
      </c>
      <c r="BN62" s="9">
        <v>0</v>
      </c>
      <c r="BO62" s="24">
        <f>Tabla3[[#This Row],[CONSUMO TOTAL V]]/52</f>
        <v>0</v>
      </c>
      <c r="BP62" s="36">
        <f>Tabla3[[#This Row],[CONSUMO PROMEDIO ]]*Tabla3[[#This Row],[FRECUENCIA]]*Tabla3[[#This Row],[TIEMPO REPOSICION ]]*1.5*2.4</f>
        <v>0</v>
      </c>
      <c r="BQ62" s="48">
        <v>0</v>
      </c>
      <c r="BR62" s="48">
        <f>Tabla17[[#This Row],[CONSUMO TOTAL TODAS]]/52</f>
        <v>0</v>
      </c>
    </row>
    <row r="63" spans="1:70">
      <c r="A63" s="44" t="s">
        <v>528</v>
      </c>
      <c r="B63" s="44" t="s">
        <v>529</v>
      </c>
      <c r="C63" s="44" t="s">
        <v>2</v>
      </c>
      <c r="D63" s="44" t="s">
        <v>712</v>
      </c>
      <c r="E63" s="44" t="s">
        <v>719</v>
      </c>
      <c r="F63" s="44" t="s">
        <v>724</v>
      </c>
      <c r="G63" s="44" t="s">
        <v>729</v>
      </c>
      <c r="H63" s="50">
        <v>7.59</v>
      </c>
      <c r="I63" s="50">
        <f t="shared" si="4"/>
        <v>5.6924999999999999</v>
      </c>
      <c r="J63" s="50">
        <v>3.3767399999999999</v>
      </c>
      <c r="K63" s="7">
        <v>1</v>
      </c>
      <c r="L63" s="19">
        <v>0.6</v>
      </c>
      <c r="M63" s="44">
        <v>0</v>
      </c>
      <c r="N63" s="44">
        <v>0</v>
      </c>
      <c r="O63" s="44">
        <v>0</v>
      </c>
      <c r="P63" s="44">
        <v>0</v>
      </c>
      <c r="Q63" s="44">
        <v>0</v>
      </c>
      <c r="R63" s="44">
        <v>0</v>
      </c>
      <c r="S63" s="44">
        <v>0</v>
      </c>
      <c r="T63" s="44">
        <v>0</v>
      </c>
      <c r="U63" s="44">
        <v>0</v>
      </c>
      <c r="V63" s="44">
        <v>0</v>
      </c>
      <c r="W63" s="44">
        <v>0</v>
      </c>
      <c r="X63" s="44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0</v>
      </c>
      <c r="AG63" s="44">
        <v>0</v>
      </c>
      <c r="AH63" s="44">
        <v>0</v>
      </c>
      <c r="AI63" s="44">
        <v>0</v>
      </c>
      <c r="AJ63" s="44">
        <v>0</v>
      </c>
      <c r="AK63" s="44">
        <v>0</v>
      </c>
      <c r="AL63" s="44">
        <v>0</v>
      </c>
      <c r="AM63" s="44">
        <v>0</v>
      </c>
      <c r="AN63" s="44">
        <v>0</v>
      </c>
      <c r="AO63" s="44">
        <v>0</v>
      </c>
      <c r="AP63" s="44">
        <v>0</v>
      </c>
      <c r="AQ63" s="44">
        <v>0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0</v>
      </c>
      <c r="AY63" s="44">
        <v>0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0</v>
      </c>
      <c r="BK63" s="44">
        <v>0</v>
      </c>
      <c r="BL63" s="44">
        <v>0</v>
      </c>
      <c r="BM63" s="9">
        <f>SUM(Tabla3[[#This Row],[SEM.1]:[SEM.52]])</f>
        <v>0</v>
      </c>
      <c r="BN63" s="9">
        <v>0</v>
      </c>
      <c r="BO63" s="24">
        <f>Tabla3[[#This Row],[CONSUMO TOTAL V]]/52</f>
        <v>0</v>
      </c>
      <c r="BP63" s="36">
        <f>Tabla3[[#This Row],[CONSUMO PROMEDIO ]]*Tabla3[[#This Row],[FRECUENCIA]]*Tabla3[[#This Row],[TIEMPO REPOSICION ]]*1.5*2.4</f>
        <v>0</v>
      </c>
      <c r="BQ63" s="50">
        <v>0</v>
      </c>
      <c r="BR63" s="50">
        <f>Tabla17[[#This Row],[CONSUMO TOTAL TODAS]]/52</f>
        <v>0</v>
      </c>
    </row>
    <row r="64" spans="1:70">
      <c r="A64" s="42" t="s">
        <v>530</v>
      </c>
      <c r="B64" s="42" t="s">
        <v>531</v>
      </c>
      <c r="C64" s="42" t="s">
        <v>2</v>
      </c>
      <c r="D64" s="42" t="s">
        <v>712</v>
      </c>
      <c r="E64" s="42" t="s">
        <v>719</v>
      </c>
      <c r="F64" s="42" t="s">
        <v>724</v>
      </c>
      <c r="G64" s="42" t="s">
        <v>729</v>
      </c>
      <c r="H64" s="48">
        <v>13.99</v>
      </c>
      <c r="I64" s="48">
        <f t="shared" si="4"/>
        <v>10.4925</v>
      </c>
      <c r="J64" s="48">
        <v>6.3399099999999997</v>
      </c>
      <c r="K64" s="7">
        <v>1</v>
      </c>
      <c r="L64" s="19">
        <v>0.6</v>
      </c>
      <c r="M64" s="44">
        <v>0</v>
      </c>
      <c r="N64" s="44">
        <v>0</v>
      </c>
      <c r="O64" s="44">
        <v>0</v>
      </c>
      <c r="P64" s="44">
        <v>0</v>
      </c>
      <c r="Q64" s="44">
        <v>0</v>
      </c>
      <c r="R64" s="44">
        <v>0</v>
      </c>
      <c r="S64" s="44">
        <v>0</v>
      </c>
      <c r="T64" s="44">
        <v>0</v>
      </c>
      <c r="U64" s="44">
        <v>0</v>
      </c>
      <c r="V64" s="44">
        <v>0</v>
      </c>
      <c r="W64" s="44">
        <v>0</v>
      </c>
      <c r="X64" s="44">
        <v>0</v>
      </c>
      <c r="Y64" s="44">
        <v>0</v>
      </c>
      <c r="Z64" s="44">
        <v>0</v>
      </c>
      <c r="AA64" s="44">
        <v>0</v>
      </c>
      <c r="AB64" s="44">
        <v>0</v>
      </c>
      <c r="AC64" s="44">
        <v>0</v>
      </c>
      <c r="AD64" s="44">
        <v>0</v>
      </c>
      <c r="AE64" s="44">
        <v>0</v>
      </c>
      <c r="AF64" s="44">
        <v>0</v>
      </c>
      <c r="AG64" s="44">
        <v>0</v>
      </c>
      <c r="AH64" s="44">
        <v>0</v>
      </c>
      <c r="AI64" s="44">
        <v>0</v>
      </c>
      <c r="AJ64" s="44">
        <v>0</v>
      </c>
      <c r="AK64" s="44">
        <v>0</v>
      </c>
      <c r="AL64" s="44">
        <v>0</v>
      </c>
      <c r="AM64" s="44">
        <v>0</v>
      </c>
      <c r="AN64" s="44">
        <v>0</v>
      </c>
      <c r="AO64" s="44">
        <v>0</v>
      </c>
      <c r="AP64" s="44">
        <v>0</v>
      </c>
      <c r="AQ64" s="44">
        <v>0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0</v>
      </c>
      <c r="BM64" s="9">
        <f>SUM(Tabla3[[#This Row],[SEM.1]:[SEM.52]])</f>
        <v>0</v>
      </c>
      <c r="BN64" s="9">
        <v>0</v>
      </c>
      <c r="BO64" s="24">
        <f>Tabla3[[#This Row],[CONSUMO TOTAL V]]/52</f>
        <v>0</v>
      </c>
      <c r="BP64" s="36">
        <f>Tabla3[[#This Row],[CONSUMO PROMEDIO ]]*Tabla3[[#This Row],[FRECUENCIA]]*Tabla3[[#This Row],[TIEMPO REPOSICION ]]*1.5*2.4</f>
        <v>0</v>
      </c>
      <c r="BQ64" s="48">
        <v>0</v>
      </c>
      <c r="BR64" s="48">
        <f>Tabla17[[#This Row],[CONSUMO TOTAL TODAS]]/52</f>
        <v>0</v>
      </c>
    </row>
    <row r="65" spans="1:70">
      <c r="A65" s="1" t="s">
        <v>538</v>
      </c>
      <c r="B65" s="1" t="s">
        <v>539</v>
      </c>
      <c r="C65" s="1" t="s">
        <v>692</v>
      </c>
      <c r="D65" s="1" t="s">
        <v>709</v>
      </c>
      <c r="E65" s="7" t="s">
        <v>719</v>
      </c>
      <c r="F65" s="7" t="s">
        <v>724</v>
      </c>
      <c r="G65" s="7" t="s">
        <v>729</v>
      </c>
      <c r="H65" s="13">
        <v>4.07</v>
      </c>
      <c r="I65" s="13">
        <f t="shared" si="4"/>
        <v>3.0525000000000002</v>
      </c>
      <c r="J65" s="13">
        <v>1.47461</v>
      </c>
      <c r="K65" s="7">
        <v>1</v>
      </c>
      <c r="L65" s="19">
        <v>0.6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  <c r="BL65" s="1">
        <v>0</v>
      </c>
      <c r="BM65" s="9">
        <f>SUM(Tabla3[[#This Row],[SEM.1]:[SEM.52]])</f>
        <v>0</v>
      </c>
      <c r="BN65" s="9">
        <v>0</v>
      </c>
      <c r="BO65" s="24">
        <f>Tabla3[[#This Row],[CONSUMO TOTAL V]]/52</f>
        <v>0</v>
      </c>
      <c r="BP65" s="36">
        <f>Tabla3[[#This Row],[CONSUMO PROMEDIO ]]*Tabla3[[#This Row],[FRECUENCIA]]*Tabla3[[#This Row],[TIEMPO REPOSICION ]]*1.5*2.4</f>
        <v>0</v>
      </c>
      <c r="BQ65">
        <v>0</v>
      </c>
      <c r="BR65" s="13">
        <f>Tabla17[[#This Row],[CONSUMO TOTAL TODAS]]/52</f>
        <v>0</v>
      </c>
    </row>
    <row r="66" spans="1:70">
      <c r="A66" s="1" t="s">
        <v>542</v>
      </c>
      <c r="B66" s="1" t="s">
        <v>543</v>
      </c>
      <c r="C66" s="1" t="s">
        <v>2</v>
      </c>
      <c r="D66" s="1" t="s">
        <v>707</v>
      </c>
      <c r="E66" s="7" t="s">
        <v>715</v>
      </c>
      <c r="F66" s="7" t="s">
        <v>724</v>
      </c>
      <c r="G66" s="7" t="s">
        <v>729</v>
      </c>
      <c r="H66" s="13">
        <v>2.99</v>
      </c>
      <c r="I66" s="13">
        <f t="shared" si="4"/>
        <v>2.2425000000000002</v>
      </c>
      <c r="J66" s="13">
        <v>1.1879500000000001</v>
      </c>
      <c r="K66" s="7">
        <v>1</v>
      </c>
      <c r="L66" s="19">
        <v>0.6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">
        <v>0</v>
      </c>
      <c r="AW66" s="1">
        <v>0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  <c r="BL66" s="1">
        <v>0</v>
      </c>
      <c r="BM66" s="9">
        <f>SUM(Tabla3[[#This Row],[SEM.1]:[SEM.52]])</f>
        <v>0</v>
      </c>
      <c r="BN66" s="9">
        <v>12</v>
      </c>
      <c r="BO66" s="24">
        <f>Tabla3[[#This Row],[CONSUMO TOTAL V]]/52</f>
        <v>0.23076923076923078</v>
      </c>
      <c r="BP66" s="36">
        <f>Tabla3[[#This Row],[CONSUMO PROMEDIO ]]*Tabla3[[#This Row],[FRECUENCIA]]*Tabla3[[#This Row],[TIEMPO REPOSICION ]]*1.5*2.4</f>
        <v>0.49846153846153846</v>
      </c>
      <c r="BQ66">
        <v>10</v>
      </c>
      <c r="BR66" s="13">
        <f>Tabla17[[#This Row],[CONSUMO TOTAL TODAS]]/52</f>
        <v>0</v>
      </c>
    </row>
    <row r="67" spans="1:70">
      <c r="A67" s="1" t="s">
        <v>544</v>
      </c>
      <c r="B67" s="1" t="s">
        <v>545</v>
      </c>
      <c r="C67" s="1" t="s">
        <v>673</v>
      </c>
      <c r="D67" s="1" t="s">
        <v>707</v>
      </c>
      <c r="E67" s="7" t="s">
        <v>715</v>
      </c>
      <c r="F67" s="7" t="s">
        <v>724</v>
      </c>
      <c r="G67" s="7" t="s">
        <v>729</v>
      </c>
      <c r="H67" s="13">
        <v>4.99</v>
      </c>
      <c r="I67" s="13">
        <f t="shared" si="4"/>
        <v>3.7425000000000002</v>
      </c>
      <c r="J67" s="13">
        <v>1.97786</v>
      </c>
      <c r="K67" s="7">
        <v>1</v>
      </c>
      <c r="L67" s="19">
        <v>0.6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12</v>
      </c>
      <c r="AT67" s="1">
        <v>0</v>
      </c>
      <c r="AU67" s="1">
        <v>0</v>
      </c>
      <c r="AV67" s="1">
        <v>0</v>
      </c>
      <c r="AW67" s="1">
        <v>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6</v>
      </c>
      <c r="BF67" s="1">
        <v>0</v>
      </c>
      <c r="BG67" s="1">
        <v>0</v>
      </c>
      <c r="BH67" s="1">
        <v>0</v>
      </c>
      <c r="BI67" s="1">
        <v>0</v>
      </c>
      <c r="BJ67" s="1">
        <v>0</v>
      </c>
      <c r="BK67" s="1">
        <v>21</v>
      </c>
      <c r="BL67" s="1">
        <v>0</v>
      </c>
      <c r="BM67" s="9">
        <f>SUM(Tabla3[[#This Row],[SEM.1]:[SEM.52]])</f>
        <v>39</v>
      </c>
      <c r="BN67" s="9">
        <v>39</v>
      </c>
      <c r="BO67" s="24">
        <f>Tabla3[[#This Row],[CONSUMO TOTAL V]]/52</f>
        <v>0.75</v>
      </c>
      <c r="BP67" s="36">
        <f>Tabla3[[#This Row],[CONSUMO PROMEDIO ]]*Tabla3[[#This Row],[FRECUENCIA]]*Tabla3[[#This Row],[TIEMPO REPOSICION ]]*1.5*2.4</f>
        <v>1.6199999999999999</v>
      </c>
      <c r="BQ67">
        <v>2</v>
      </c>
      <c r="BR67" s="13">
        <f>Tabla17[[#This Row],[CONSUMO TOTAL TODAS]]/52</f>
        <v>0</v>
      </c>
    </row>
    <row r="68" spans="1:70">
      <c r="A68" s="1" t="s">
        <v>546</v>
      </c>
      <c r="B68" s="1" t="s">
        <v>547</v>
      </c>
      <c r="C68" s="1" t="s">
        <v>2</v>
      </c>
      <c r="D68" s="1" t="s">
        <v>707</v>
      </c>
      <c r="E68" s="7" t="s">
        <v>715</v>
      </c>
      <c r="F68" s="7" t="s">
        <v>724</v>
      </c>
      <c r="G68" s="7" t="s">
        <v>729</v>
      </c>
      <c r="H68" s="13">
        <v>29.9</v>
      </c>
      <c r="I68" s="13">
        <f t="shared" si="4"/>
        <v>22.424999999999997</v>
      </c>
      <c r="J68" s="13">
        <v>16.429510000000001</v>
      </c>
      <c r="K68" s="7">
        <v>1</v>
      </c>
      <c r="L68" s="19">
        <v>0.6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1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">
        <v>0</v>
      </c>
      <c r="AW68" s="1">
        <v>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 s="1">
        <v>0</v>
      </c>
      <c r="BI68" s="1">
        <v>0</v>
      </c>
      <c r="BJ68" s="1">
        <v>1</v>
      </c>
      <c r="BK68" s="1">
        <v>0</v>
      </c>
      <c r="BL68" s="1">
        <v>0</v>
      </c>
      <c r="BM68" s="9">
        <f>SUM(Tabla3[[#This Row],[SEM.1]:[SEM.52]])</f>
        <v>2</v>
      </c>
      <c r="BN68" s="9">
        <v>2</v>
      </c>
      <c r="BO68" s="24">
        <f>Tabla3[[#This Row],[CONSUMO TOTAL V]]/52</f>
        <v>3.8461538461538464E-2</v>
      </c>
      <c r="BP68" s="36">
        <f>Tabla3[[#This Row],[CONSUMO PROMEDIO ]]*Tabla3[[#This Row],[FRECUENCIA]]*Tabla3[[#This Row],[TIEMPO REPOSICION ]]*1.5*2.4</f>
        <v>8.3076923076923076E-2</v>
      </c>
      <c r="BQ68">
        <v>0</v>
      </c>
      <c r="BR68" s="13">
        <f>Tabla17[[#This Row],[CONSUMO TOTAL TODAS]]/52</f>
        <v>0</v>
      </c>
    </row>
    <row r="69" spans="1:70">
      <c r="A69" s="1" t="s">
        <v>548</v>
      </c>
      <c r="B69" s="1" t="s">
        <v>549</v>
      </c>
      <c r="C69" s="1" t="s">
        <v>2</v>
      </c>
      <c r="D69" s="1" t="s">
        <v>707</v>
      </c>
      <c r="E69" s="7" t="s">
        <v>715</v>
      </c>
      <c r="F69" s="7" t="s">
        <v>724</v>
      </c>
      <c r="G69" s="7" t="s">
        <v>729</v>
      </c>
      <c r="H69" s="13">
        <v>8.69</v>
      </c>
      <c r="I69" s="13">
        <f t="shared" si="4"/>
        <v>6.5175000000000001</v>
      </c>
      <c r="J69" s="13">
        <v>3.4231600000000002</v>
      </c>
      <c r="K69" s="7">
        <v>1</v>
      </c>
      <c r="L69" s="19">
        <v>0.6</v>
      </c>
      <c r="M69" s="1">
        <v>0</v>
      </c>
      <c r="N69" s="1">
        <v>0</v>
      </c>
      <c r="O69" s="1">
        <v>0</v>
      </c>
      <c r="P69" s="1">
        <v>10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2</v>
      </c>
      <c r="AM69" s="1">
        <v>0</v>
      </c>
      <c r="AN69" s="1">
        <v>0</v>
      </c>
      <c r="AO69" s="1">
        <v>2</v>
      </c>
      <c r="AP69" s="1">
        <v>1</v>
      </c>
      <c r="AQ69" s="1">
        <v>20</v>
      </c>
      <c r="AR69" s="1">
        <v>1</v>
      </c>
      <c r="AS69" s="1">
        <v>12</v>
      </c>
      <c r="AT69" s="1">
        <v>0</v>
      </c>
      <c r="AU69" s="1">
        <v>26</v>
      </c>
      <c r="AV69" s="1">
        <v>0</v>
      </c>
      <c r="AW69" s="1">
        <v>0</v>
      </c>
      <c r="AX69" s="1">
        <v>0</v>
      </c>
      <c r="AY69" s="1">
        <v>21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K69" s="1">
        <v>0</v>
      </c>
      <c r="BL69" s="1">
        <v>0</v>
      </c>
      <c r="BM69" s="9">
        <f>SUM(Tabla3[[#This Row],[SEM.1]:[SEM.52]])</f>
        <v>95</v>
      </c>
      <c r="BN69" s="9">
        <v>95</v>
      </c>
      <c r="BO69" s="24">
        <f>Tabla3[[#This Row],[CONSUMO TOTAL V]]/52</f>
        <v>1.8269230769230769</v>
      </c>
      <c r="BP69" s="36">
        <f>Tabla3[[#This Row],[CONSUMO PROMEDIO ]]*Tabla3[[#This Row],[FRECUENCIA]]*Tabla3[[#This Row],[TIEMPO REPOSICION ]]*1.5*2.4</f>
        <v>3.9461538461538459</v>
      </c>
      <c r="BQ69">
        <v>6</v>
      </c>
      <c r="BR69" s="13">
        <f>Tabla17[[#This Row],[CONSUMO TOTAL TODAS]]/52</f>
        <v>0</v>
      </c>
    </row>
    <row r="70" spans="1:70">
      <c r="A70" s="1" t="s">
        <v>553</v>
      </c>
      <c r="B70" s="1" t="s">
        <v>554</v>
      </c>
      <c r="C70" s="1" t="s">
        <v>683</v>
      </c>
      <c r="D70" s="1" t="s">
        <v>712</v>
      </c>
      <c r="E70" s="7" t="s">
        <v>715</v>
      </c>
      <c r="F70" s="7" t="s">
        <v>724</v>
      </c>
      <c r="G70" s="7" t="s">
        <v>729</v>
      </c>
      <c r="H70" s="13">
        <v>7.59</v>
      </c>
      <c r="I70" s="13">
        <f t="shared" si="4"/>
        <v>5.6924999999999999</v>
      </c>
      <c r="J70" s="13">
        <v>4.9675900000000004</v>
      </c>
      <c r="K70" s="7">
        <v>1</v>
      </c>
      <c r="L70" s="19">
        <v>0.6</v>
      </c>
      <c r="M70" s="1">
        <v>0</v>
      </c>
      <c r="N70" s="1">
        <v>0</v>
      </c>
      <c r="O70" s="1">
        <v>0</v>
      </c>
      <c r="P70" s="1">
        <v>21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21</v>
      </c>
      <c r="X70" s="1">
        <v>0</v>
      </c>
      <c r="Y70" s="1">
        <v>21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12</v>
      </c>
      <c r="AS70" s="1">
        <v>0</v>
      </c>
      <c r="AT70" s="1">
        <v>0</v>
      </c>
      <c r="AU70" s="1">
        <v>0</v>
      </c>
      <c r="AV70" s="1">
        <v>0</v>
      </c>
      <c r="AW70" s="1">
        <v>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 s="1">
        <v>0</v>
      </c>
      <c r="BI70" s="1">
        <v>0</v>
      </c>
      <c r="BJ70" s="1">
        <v>0</v>
      </c>
      <c r="BK70" s="1">
        <v>0</v>
      </c>
      <c r="BL70" s="1">
        <v>0</v>
      </c>
      <c r="BM70" s="9">
        <f>SUM(Tabla3[[#This Row],[SEM.1]:[SEM.52]])</f>
        <v>75</v>
      </c>
      <c r="BN70" s="9">
        <v>75</v>
      </c>
      <c r="BO70" s="24">
        <f>Tabla3[[#This Row],[CONSUMO TOTAL V]]/52</f>
        <v>1.4423076923076923</v>
      </c>
      <c r="BP70" s="36">
        <f>Tabla3[[#This Row],[CONSUMO PROMEDIO ]]*Tabla3[[#This Row],[FRECUENCIA]]*Tabla3[[#This Row],[TIEMPO REPOSICION ]]*1.5*2.4</f>
        <v>3.115384615384615</v>
      </c>
      <c r="BQ70">
        <v>10</v>
      </c>
      <c r="BR70" s="13">
        <f>Tabla17[[#This Row],[CONSUMO TOTAL TODAS]]/52</f>
        <v>0</v>
      </c>
    </row>
    <row r="71" spans="1:70">
      <c r="A71" s="1" t="s">
        <v>555</v>
      </c>
      <c r="B71" s="1" t="s">
        <v>556</v>
      </c>
      <c r="C71" s="1" t="s">
        <v>690</v>
      </c>
      <c r="D71" s="1" t="s">
        <v>712</v>
      </c>
      <c r="E71" s="7" t="s">
        <v>719</v>
      </c>
      <c r="F71" s="7" t="s">
        <v>724</v>
      </c>
      <c r="G71" s="7" t="s">
        <v>729</v>
      </c>
      <c r="H71" s="13">
        <v>0</v>
      </c>
      <c r="I71" s="13">
        <f t="shared" si="4"/>
        <v>0</v>
      </c>
      <c r="J71" s="13">
        <v>2.37</v>
      </c>
      <c r="K71" s="7">
        <v>1</v>
      </c>
      <c r="L71" s="19">
        <v>0.6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>
        <v>0</v>
      </c>
      <c r="AS71" s="1">
        <v>0</v>
      </c>
      <c r="AT71" s="1">
        <v>0</v>
      </c>
      <c r="AU71" s="1">
        <v>0</v>
      </c>
      <c r="AV71" s="1">
        <v>0</v>
      </c>
      <c r="AW71" s="1">
        <v>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 s="1">
        <v>0</v>
      </c>
      <c r="BI71" s="1">
        <v>0</v>
      </c>
      <c r="BJ71" s="1">
        <v>0</v>
      </c>
      <c r="BK71" s="1">
        <v>0</v>
      </c>
      <c r="BL71" s="1">
        <v>0</v>
      </c>
      <c r="BM71" s="9">
        <f>SUM(Tabla3[[#This Row],[SEM.1]:[SEM.52]])</f>
        <v>0</v>
      </c>
      <c r="BN71" s="9">
        <v>0</v>
      </c>
      <c r="BO71" s="24">
        <f>Tabla3[[#This Row],[CONSUMO TOTAL V]]/52</f>
        <v>0</v>
      </c>
      <c r="BP71" s="36">
        <f>Tabla3[[#This Row],[CONSUMO PROMEDIO ]]*Tabla3[[#This Row],[FRECUENCIA]]*Tabla3[[#This Row],[TIEMPO REPOSICION ]]*1.5*2.4</f>
        <v>0</v>
      </c>
      <c r="BQ71">
        <v>0</v>
      </c>
      <c r="BR71" s="13">
        <f>Tabla17[[#This Row],[CONSUMO TOTAL TODAS]]/52</f>
        <v>0</v>
      </c>
    </row>
    <row r="72" spans="1:70">
      <c r="A72" s="1" t="s">
        <v>557</v>
      </c>
      <c r="B72" s="1" t="s">
        <v>558</v>
      </c>
      <c r="C72" s="1" t="s">
        <v>671</v>
      </c>
      <c r="D72" s="1" t="s">
        <v>712</v>
      </c>
      <c r="E72" s="7" t="s">
        <v>719</v>
      </c>
      <c r="F72" s="7" t="s">
        <v>724</v>
      </c>
      <c r="G72" s="7" t="s">
        <v>729</v>
      </c>
      <c r="H72" s="13">
        <v>0</v>
      </c>
      <c r="I72" s="13">
        <f t="shared" si="4"/>
        <v>0</v>
      </c>
      <c r="J72" s="13">
        <v>4.4870000000000001</v>
      </c>
      <c r="K72" s="7">
        <v>1</v>
      </c>
      <c r="L72" s="19">
        <v>0.6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>
        <v>0</v>
      </c>
      <c r="AS72" s="1">
        <v>0</v>
      </c>
      <c r="AT72" s="1">
        <v>0</v>
      </c>
      <c r="AU72" s="1">
        <v>0</v>
      </c>
      <c r="AV72" s="1">
        <v>0</v>
      </c>
      <c r="AW72" s="1">
        <v>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 s="1">
        <v>0</v>
      </c>
      <c r="BI72" s="1">
        <v>0</v>
      </c>
      <c r="BJ72" s="1">
        <v>0</v>
      </c>
      <c r="BK72" s="1">
        <v>0</v>
      </c>
      <c r="BL72" s="1">
        <v>0</v>
      </c>
      <c r="BM72" s="9">
        <f>SUM(Tabla3[[#This Row],[SEM.1]:[SEM.52]])</f>
        <v>0</v>
      </c>
      <c r="BN72" s="9">
        <v>0</v>
      </c>
      <c r="BO72" s="24">
        <f>Tabla3[[#This Row],[CONSUMO TOTAL V]]/52</f>
        <v>0</v>
      </c>
      <c r="BP72" s="36">
        <f>Tabla3[[#This Row],[CONSUMO PROMEDIO ]]*Tabla3[[#This Row],[FRECUENCIA]]*Tabla3[[#This Row],[TIEMPO REPOSICION ]]*1.5*2.4</f>
        <v>0</v>
      </c>
      <c r="BQ72">
        <v>0</v>
      </c>
      <c r="BR72" s="13">
        <f>Tabla17[[#This Row],[CONSUMO TOTAL TODAS]]/52</f>
        <v>0</v>
      </c>
    </row>
    <row r="73" spans="1:70">
      <c r="A73" s="1" t="s">
        <v>559</v>
      </c>
      <c r="B73" s="1" t="s">
        <v>560</v>
      </c>
      <c r="C73" s="1" t="s">
        <v>2</v>
      </c>
      <c r="D73" s="1" t="s">
        <v>712</v>
      </c>
      <c r="E73" s="7" t="s">
        <v>719</v>
      </c>
      <c r="F73" s="7" t="s">
        <v>724</v>
      </c>
      <c r="G73" s="7" t="s">
        <v>729</v>
      </c>
      <c r="H73" s="13">
        <v>4.8899999999999997</v>
      </c>
      <c r="I73" s="13">
        <f t="shared" si="4"/>
        <v>3.6674999999999995</v>
      </c>
      <c r="J73" s="13">
        <v>2.6898399999999998</v>
      </c>
      <c r="K73" s="7">
        <v>1</v>
      </c>
      <c r="L73" s="19">
        <v>0.6</v>
      </c>
      <c r="M73" s="1">
        <v>0</v>
      </c>
      <c r="N73" s="1">
        <v>0</v>
      </c>
      <c r="O73" s="1">
        <v>12</v>
      </c>
      <c r="P73" s="1">
        <v>1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43</v>
      </c>
      <c r="W73" s="1">
        <v>0</v>
      </c>
      <c r="X73" s="1">
        <v>0</v>
      </c>
      <c r="Y73" s="1">
        <v>18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>
        <v>21</v>
      </c>
      <c r="AS73" s="1">
        <v>0</v>
      </c>
      <c r="AT73" s="1">
        <v>0</v>
      </c>
      <c r="AU73" s="1">
        <v>0</v>
      </c>
      <c r="AV73" s="1">
        <v>0</v>
      </c>
      <c r="AW73" s="1">
        <v>0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D73" s="1">
        <v>0</v>
      </c>
      <c r="BE73" s="1">
        <v>0</v>
      </c>
      <c r="BF73" s="1">
        <v>0</v>
      </c>
      <c r="BG73" s="1">
        <v>0</v>
      </c>
      <c r="BH73" s="1">
        <v>0</v>
      </c>
      <c r="BI73" s="1">
        <v>0</v>
      </c>
      <c r="BJ73" s="1">
        <v>0</v>
      </c>
      <c r="BK73" s="1">
        <v>0</v>
      </c>
      <c r="BL73" s="1">
        <v>0</v>
      </c>
      <c r="BM73" s="9">
        <f>SUM(Tabla3[[#This Row],[SEM.1]:[SEM.52]])</f>
        <v>95</v>
      </c>
      <c r="BN73" s="9">
        <v>95</v>
      </c>
      <c r="BO73" s="24">
        <f>Tabla3[[#This Row],[CONSUMO TOTAL V]]/52</f>
        <v>1.8269230769230769</v>
      </c>
      <c r="BP73" s="36">
        <f>Tabla3[[#This Row],[CONSUMO PROMEDIO ]]*Tabla3[[#This Row],[FRECUENCIA]]*Tabla3[[#This Row],[TIEMPO REPOSICION ]]*1.5*2.4</f>
        <v>3.9461538461538459</v>
      </c>
      <c r="BQ73">
        <v>10</v>
      </c>
      <c r="BR73" s="13">
        <f>Tabla17[[#This Row],[CONSUMO TOTAL TODAS]]/52</f>
        <v>0</v>
      </c>
    </row>
    <row r="74" spans="1:70">
      <c r="A74" s="1" t="s">
        <v>561</v>
      </c>
      <c r="B74" s="1" t="s">
        <v>562</v>
      </c>
      <c r="C74" s="1" t="s">
        <v>2</v>
      </c>
      <c r="D74" s="1" t="s">
        <v>712</v>
      </c>
      <c r="E74" s="7" t="s">
        <v>719</v>
      </c>
      <c r="F74" s="7" t="s">
        <v>724</v>
      </c>
      <c r="G74" s="7" t="s">
        <v>729</v>
      </c>
      <c r="H74" s="13">
        <v>9.2899999999999991</v>
      </c>
      <c r="I74" s="13">
        <f t="shared" si="4"/>
        <v>6.9674999999999994</v>
      </c>
      <c r="J74" s="13">
        <v>4.96136</v>
      </c>
      <c r="K74" s="7">
        <v>1</v>
      </c>
      <c r="L74" s="19">
        <v>0.6</v>
      </c>
      <c r="M74" s="1">
        <v>0</v>
      </c>
      <c r="N74" s="1">
        <v>0</v>
      </c>
      <c r="O74" s="1">
        <v>0</v>
      </c>
      <c r="P74" s="1">
        <v>31</v>
      </c>
      <c r="Q74" s="1">
        <v>6</v>
      </c>
      <c r="R74" s="1">
        <v>0</v>
      </c>
      <c r="S74" s="1">
        <v>0</v>
      </c>
      <c r="T74" s="1">
        <v>0</v>
      </c>
      <c r="U74" s="1">
        <v>6</v>
      </c>
      <c r="V74" s="1">
        <v>27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21</v>
      </c>
      <c r="AC74" s="1">
        <v>0</v>
      </c>
      <c r="AD74" s="1">
        <v>4</v>
      </c>
      <c r="AE74" s="1">
        <v>0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0</v>
      </c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0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  <c r="BL74" s="1">
        <v>0</v>
      </c>
      <c r="BM74" s="9">
        <f>SUM(Tabla3[[#This Row],[SEM.1]:[SEM.52]])</f>
        <v>95</v>
      </c>
      <c r="BN74" s="9">
        <v>95</v>
      </c>
      <c r="BO74" s="24">
        <f>Tabla3[[#This Row],[CONSUMO TOTAL V]]/52</f>
        <v>1.8269230769230769</v>
      </c>
      <c r="BP74" s="36">
        <f>Tabla3[[#This Row],[CONSUMO PROMEDIO ]]*Tabla3[[#This Row],[FRECUENCIA]]*Tabla3[[#This Row],[TIEMPO REPOSICION ]]*1.5*2.4</f>
        <v>3.9461538461538459</v>
      </c>
      <c r="BQ74">
        <v>10</v>
      </c>
      <c r="BR74" s="13">
        <f>Tabla17[[#This Row],[CONSUMO TOTAL TODAS]]/52</f>
        <v>0</v>
      </c>
    </row>
    <row r="75" spans="1:70">
      <c r="A75" s="1" t="s">
        <v>576</v>
      </c>
      <c r="B75" s="1" t="s">
        <v>577</v>
      </c>
      <c r="C75" s="1" t="s">
        <v>682</v>
      </c>
      <c r="D75" s="1" t="s">
        <v>709</v>
      </c>
      <c r="E75" s="7" t="s">
        <v>715</v>
      </c>
      <c r="F75" s="7" t="s">
        <v>724</v>
      </c>
      <c r="G75" s="7" t="s">
        <v>729</v>
      </c>
      <c r="H75" s="13">
        <v>2.4700000000000002</v>
      </c>
      <c r="I75" s="13">
        <v>2.4700000000000002</v>
      </c>
      <c r="J75" s="13">
        <v>0.97</v>
      </c>
      <c r="K75" s="7">
        <v>1</v>
      </c>
      <c r="L75" s="19">
        <v>0.6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0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0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1">
        <v>0</v>
      </c>
      <c r="BM75" s="9">
        <f>SUM(Tabla3[[#This Row],[SEM.1]:[SEM.52]])</f>
        <v>0</v>
      </c>
      <c r="BN75" s="9">
        <v>0</v>
      </c>
      <c r="BO75" s="24">
        <f>Tabla3[[#This Row],[CONSUMO TOTAL V]]/52</f>
        <v>0</v>
      </c>
      <c r="BP75" s="36">
        <f>Tabla3[[#This Row],[CONSUMO PROMEDIO ]]*Tabla3[[#This Row],[FRECUENCIA]]*Tabla3[[#This Row],[TIEMPO REPOSICION ]]*1.5*2.4</f>
        <v>0</v>
      </c>
      <c r="BQ75">
        <v>0</v>
      </c>
      <c r="BR75" s="13">
        <f>Tabla17[[#This Row],[CONSUMO TOTAL TODAS]]/52</f>
        <v>0</v>
      </c>
    </row>
    <row r="76" spans="1:70">
      <c r="A76" s="1" t="s">
        <v>578</v>
      </c>
      <c r="B76" s="1" t="s">
        <v>579</v>
      </c>
      <c r="C76" s="1" t="s">
        <v>682</v>
      </c>
      <c r="D76" s="1" t="s">
        <v>709</v>
      </c>
      <c r="E76" s="7" t="s">
        <v>715</v>
      </c>
      <c r="F76" s="7" t="s">
        <v>724</v>
      </c>
      <c r="G76" s="7" t="s">
        <v>729</v>
      </c>
      <c r="H76" s="13">
        <v>4.25</v>
      </c>
      <c r="I76" s="13">
        <v>4.25</v>
      </c>
      <c r="J76" s="13">
        <v>2.3239999999999998</v>
      </c>
      <c r="K76" s="7">
        <v>1</v>
      </c>
      <c r="L76" s="19">
        <v>0.6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D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1">
        <v>0</v>
      </c>
      <c r="BM76" s="9">
        <f>SUM(Tabla3[[#This Row],[SEM.1]:[SEM.52]])</f>
        <v>0</v>
      </c>
      <c r="BN76" s="9">
        <v>0</v>
      </c>
      <c r="BO76" s="24">
        <f>Tabla3[[#This Row],[CONSUMO TOTAL V]]/52</f>
        <v>0</v>
      </c>
      <c r="BP76" s="36">
        <f>Tabla3[[#This Row],[CONSUMO PROMEDIO ]]*Tabla3[[#This Row],[FRECUENCIA]]*Tabla3[[#This Row],[TIEMPO REPOSICION ]]*1.5*2.4</f>
        <v>0</v>
      </c>
      <c r="BQ76">
        <v>0</v>
      </c>
      <c r="BR76" s="13">
        <f>Tabla17[[#This Row],[CONSUMO TOTAL TODAS]]/52</f>
        <v>0</v>
      </c>
    </row>
    <row r="77" spans="1:70">
      <c r="A77" s="1" t="s">
        <v>580</v>
      </c>
      <c r="B77" s="1" t="s">
        <v>581</v>
      </c>
      <c r="C77" s="1" t="s">
        <v>682</v>
      </c>
      <c r="D77" s="1" t="s">
        <v>709</v>
      </c>
      <c r="E77" s="7" t="s">
        <v>715</v>
      </c>
      <c r="F77" s="7" t="s">
        <v>724</v>
      </c>
      <c r="G77" s="7" t="s">
        <v>729</v>
      </c>
      <c r="H77" s="13">
        <v>8.5</v>
      </c>
      <c r="I77" s="13">
        <v>8.5</v>
      </c>
      <c r="J77" s="13">
        <v>3.9209999999999998</v>
      </c>
      <c r="K77" s="7">
        <v>1</v>
      </c>
      <c r="L77" s="19">
        <v>0.6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1">
        <v>0</v>
      </c>
      <c r="BM77" s="9">
        <f>SUM(Tabla3[[#This Row],[SEM.1]:[SEM.52]])</f>
        <v>0</v>
      </c>
      <c r="BN77" s="9">
        <v>0</v>
      </c>
      <c r="BO77" s="24">
        <f>Tabla3[[#This Row],[CONSUMO TOTAL V]]/52</f>
        <v>0</v>
      </c>
      <c r="BP77" s="36">
        <f>Tabla3[[#This Row],[CONSUMO PROMEDIO ]]*Tabla3[[#This Row],[FRECUENCIA]]*Tabla3[[#This Row],[TIEMPO REPOSICION ]]*1.5*2.4</f>
        <v>0</v>
      </c>
      <c r="BQ77">
        <v>0</v>
      </c>
      <c r="BR77" s="13">
        <f>Tabla17[[#This Row],[CONSUMO TOTAL TODAS]]/52</f>
        <v>0</v>
      </c>
    </row>
    <row r="78" spans="1:70">
      <c r="A78" s="1" t="s">
        <v>582</v>
      </c>
      <c r="B78" s="1" t="s">
        <v>583</v>
      </c>
      <c r="C78" s="1" t="s">
        <v>676</v>
      </c>
      <c r="D78" s="1" t="s">
        <v>709</v>
      </c>
      <c r="E78" s="7" t="s">
        <v>715</v>
      </c>
      <c r="F78" s="7" t="s">
        <v>724</v>
      </c>
      <c r="G78" s="7" t="s">
        <v>729</v>
      </c>
      <c r="H78" s="13">
        <v>17</v>
      </c>
      <c r="I78" s="13">
        <v>17</v>
      </c>
      <c r="J78" s="13">
        <v>9.2989999999999995</v>
      </c>
      <c r="K78" s="7">
        <v>1</v>
      </c>
      <c r="L78" s="19">
        <v>0.6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1">
        <v>0</v>
      </c>
      <c r="BM78" s="9">
        <f>SUM(Tabla3[[#This Row],[SEM.1]:[SEM.52]])</f>
        <v>0</v>
      </c>
      <c r="BN78" s="9">
        <v>0</v>
      </c>
      <c r="BO78" s="24">
        <f>Tabla3[[#This Row],[CONSUMO TOTAL V]]/52</f>
        <v>0</v>
      </c>
      <c r="BP78" s="36">
        <f>Tabla3[[#This Row],[CONSUMO PROMEDIO ]]*Tabla3[[#This Row],[FRECUENCIA]]*Tabla3[[#This Row],[TIEMPO REPOSICION ]]*1.5*2.4</f>
        <v>0</v>
      </c>
      <c r="BQ78">
        <v>0</v>
      </c>
      <c r="BR78" s="13">
        <f>Tabla17[[#This Row],[CONSUMO TOTAL TODAS]]/52</f>
        <v>0</v>
      </c>
    </row>
    <row r="79" spans="1:70">
      <c r="A79" s="1" t="s">
        <v>584</v>
      </c>
      <c r="B79" s="1" t="s">
        <v>585</v>
      </c>
      <c r="C79" s="1" t="s">
        <v>672</v>
      </c>
      <c r="D79" s="1" t="s">
        <v>707</v>
      </c>
      <c r="E79" s="7" t="s">
        <v>715</v>
      </c>
      <c r="F79" s="7" t="s">
        <v>724</v>
      </c>
      <c r="G79" s="7" t="s">
        <v>729</v>
      </c>
      <c r="H79" s="13">
        <v>19.95</v>
      </c>
      <c r="I79" s="13">
        <f t="shared" ref="I79:I107" si="5">+H79*75%</f>
        <v>14.962499999999999</v>
      </c>
      <c r="J79" s="13">
        <v>12.155939999999999</v>
      </c>
      <c r="K79" s="7">
        <v>1</v>
      </c>
      <c r="L79" s="19">
        <v>0.6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 s="1">
        <v>0</v>
      </c>
      <c r="BI79" s="1">
        <v>0</v>
      </c>
      <c r="BJ79" s="1">
        <v>0</v>
      </c>
      <c r="BK79" s="1">
        <v>0</v>
      </c>
      <c r="BL79" s="1">
        <v>0</v>
      </c>
      <c r="BM79" s="9">
        <f>SUM(Tabla3[[#This Row],[SEM.1]:[SEM.52]])</f>
        <v>0</v>
      </c>
      <c r="BN79" s="9">
        <v>0</v>
      </c>
      <c r="BO79" s="24">
        <f>Tabla3[[#This Row],[CONSUMO TOTAL V]]/52</f>
        <v>0</v>
      </c>
      <c r="BP79" s="36">
        <f>Tabla3[[#This Row],[CONSUMO PROMEDIO ]]*Tabla3[[#This Row],[FRECUENCIA]]*Tabla3[[#This Row],[TIEMPO REPOSICION ]]*1.5*2.4</f>
        <v>0</v>
      </c>
      <c r="BQ79">
        <v>10</v>
      </c>
      <c r="BR79" s="13">
        <f>Tabla17[[#This Row],[CONSUMO TOTAL TODAS]]/52</f>
        <v>0</v>
      </c>
    </row>
    <row r="80" spans="1:70">
      <c r="A80" s="1" t="s">
        <v>586</v>
      </c>
      <c r="B80" s="1" t="s">
        <v>587</v>
      </c>
      <c r="C80" s="1" t="s">
        <v>681</v>
      </c>
      <c r="D80" s="1" t="s">
        <v>707</v>
      </c>
      <c r="E80" s="7" t="s">
        <v>715</v>
      </c>
      <c r="F80" s="7" t="s">
        <v>724</v>
      </c>
      <c r="G80" s="7" t="s">
        <v>729</v>
      </c>
      <c r="H80" s="13">
        <v>19.989999999999998</v>
      </c>
      <c r="I80" s="13">
        <f t="shared" si="5"/>
        <v>14.9925</v>
      </c>
      <c r="J80" s="13">
        <v>11.233000000000001</v>
      </c>
      <c r="K80" s="7">
        <v>1</v>
      </c>
      <c r="L80" s="19">
        <v>0.6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 s="1">
        <v>0</v>
      </c>
      <c r="BI80" s="1">
        <v>0</v>
      </c>
      <c r="BJ80" s="1">
        <v>0</v>
      </c>
      <c r="BK80" s="1">
        <v>0</v>
      </c>
      <c r="BL80" s="1">
        <v>0</v>
      </c>
      <c r="BM80" s="9">
        <f>SUM(Tabla3[[#This Row],[SEM.1]:[SEM.52]])</f>
        <v>0</v>
      </c>
      <c r="BN80" s="9">
        <v>0</v>
      </c>
      <c r="BO80" s="24">
        <f>Tabla3[[#This Row],[CONSUMO TOTAL V]]/52</f>
        <v>0</v>
      </c>
      <c r="BP80" s="36">
        <f>Tabla3[[#This Row],[CONSUMO PROMEDIO ]]*Tabla3[[#This Row],[FRECUENCIA]]*Tabla3[[#This Row],[TIEMPO REPOSICION ]]*1.5*2.4</f>
        <v>0</v>
      </c>
      <c r="BQ80">
        <v>0</v>
      </c>
      <c r="BR80" s="13">
        <f>Tabla17[[#This Row],[CONSUMO TOTAL TODAS]]/52</f>
        <v>0</v>
      </c>
    </row>
    <row r="81" spans="1:70">
      <c r="A81" s="1" t="s">
        <v>588</v>
      </c>
      <c r="B81" s="1" t="s">
        <v>589</v>
      </c>
      <c r="C81" s="1" t="s">
        <v>676</v>
      </c>
      <c r="D81" s="1" t="s">
        <v>707</v>
      </c>
      <c r="E81" s="7" t="s">
        <v>715</v>
      </c>
      <c r="F81" s="7" t="s">
        <v>724</v>
      </c>
      <c r="G81" s="7" t="s">
        <v>729</v>
      </c>
      <c r="H81" s="13">
        <v>5.39</v>
      </c>
      <c r="I81" s="13">
        <f t="shared" si="5"/>
        <v>4.0424999999999995</v>
      </c>
      <c r="J81" s="13">
        <v>2.9348399999999999</v>
      </c>
      <c r="K81" s="7">
        <v>1</v>
      </c>
      <c r="L81" s="19">
        <v>0.6</v>
      </c>
      <c r="M81" s="1">
        <v>10</v>
      </c>
      <c r="N81" s="1">
        <v>11</v>
      </c>
      <c r="O81" s="1">
        <v>0</v>
      </c>
      <c r="P81" s="1">
        <v>21</v>
      </c>
      <c r="Q81" s="1">
        <v>0</v>
      </c>
      <c r="R81" s="1">
        <v>0</v>
      </c>
      <c r="S81" s="1">
        <v>0</v>
      </c>
      <c r="T81" s="1">
        <v>0</v>
      </c>
      <c r="U81" s="1">
        <v>3</v>
      </c>
      <c r="V81" s="1">
        <v>21</v>
      </c>
      <c r="W81" s="1">
        <v>6</v>
      </c>
      <c r="X81" s="1">
        <v>0</v>
      </c>
      <c r="Y81" s="1">
        <v>0</v>
      </c>
      <c r="Z81" s="1">
        <v>21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21</v>
      </c>
      <c r="AG81" s="1">
        <v>0</v>
      </c>
      <c r="AH81" s="1">
        <v>0</v>
      </c>
      <c r="AI81" s="1">
        <v>0</v>
      </c>
      <c r="AJ81" s="1">
        <v>0</v>
      </c>
      <c r="AK81" s="1">
        <v>4</v>
      </c>
      <c r="AL81" s="1">
        <v>0</v>
      </c>
      <c r="AM81" s="1">
        <v>0</v>
      </c>
      <c r="AN81" s="1">
        <v>0</v>
      </c>
      <c r="AO81" s="1">
        <v>1</v>
      </c>
      <c r="AP81" s="1">
        <v>41</v>
      </c>
      <c r="AQ81" s="1">
        <v>0</v>
      </c>
      <c r="AR81" s="1">
        <v>0</v>
      </c>
      <c r="AS81" s="1">
        <v>0</v>
      </c>
      <c r="AT81" s="1">
        <v>0</v>
      </c>
      <c r="AU81" s="1">
        <v>12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4</v>
      </c>
      <c r="BD81" s="1">
        <v>0</v>
      </c>
      <c r="BE81" s="1">
        <v>0</v>
      </c>
      <c r="BF81" s="1">
        <v>0</v>
      </c>
      <c r="BG81" s="1">
        <v>0</v>
      </c>
      <c r="BH81" s="1">
        <v>0</v>
      </c>
      <c r="BI81" s="1">
        <v>0</v>
      </c>
      <c r="BJ81" s="1">
        <v>21</v>
      </c>
      <c r="BK81" s="1">
        <v>14</v>
      </c>
      <c r="BL81" s="1">
        <v>0</v>
      </c>
      <c r="BM81" s="9">
        <f>SUM(Tabla3[[#This Row],[SEM.1]:[SEM.52]])</f>
        <v>211</v>
      </c>
      <c r="BN81" s="9">
        <v>211</v>
      </c>
      <c r="BO81" s="24">
        <f>Tabla3[[#This Row],[CONSUMO TOTAL V]]/52</f>
        <v>4.0576923076923075</v>
      </c>
      <c r="BP81" s="36">
        <f>Tabla3[[#This Row],[CONSUMO PROMEDIO ]]*Tabla3[[#This Row],[FRECUENCIA]]*Tabla3[[#This Row],[TIEMPO REPOSICION ]]*1.5*2.4</f>
        <v>8.764615384615384</v>
      </c>
      <c r="BQ81">
        <v>10</v>
      </c>
      <c r="BR81" s="13">
        <f>Tabla17[[#This Row],[CONSUMO TOTAL TODAS]]/52</f>
        <v>0</v>
      </c>
    </row>
    <row r="82" spans="1:70">
      <c r="A82" s="1" t="s">
        <v>594</v>
      </c>
      <c r="B82" s="1" t="s">
        <v>595</v>
      </c>
      <c r="C82" s="1" t="s">
        <v>676</v>
      </c>
      <c r="D82" s="1" t="s">
        <v>712</v>
      </c>
      <c r="E82" s="7" t="s">
        <v>715</v>
      </c>
      <c r="F82" s="7" t="s">
        <v>724</v>
      </c>
      <c r="G82" s="7" t="s">
        <v>729</v>
      </c>
      <c r="H82" s="13">
        <v>41</v>
      </c>
      <c r="I82" s="13">
        <f t="shared" si="5"/>
        <v>30.75</v>
      </c>
      <c r="J82" s="13">
        <v>20.475470000000001</v>
      </c>
      <c r="K82" s="7">
        <v>1</v>
      </c>
      <c r="L82" s="19">
        <v>0.6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2</v>
      </c>
      <c r="X82" s="1">
        <v>6</v>
      </c>
      <c r="Y82" s="1">
        <v>0</v>
      </c>
      <c r="Z82" s="1">
        <v>2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2</v>
      </c>
      <c r="AL82" s="1">
        <v>3</v>
      </c>
      <c r="AM82" s="1">
        <v>0</v>
      </c>
      <c r="AN82" s="1">
        <v>2</v>
      </c>
      <c r="AO82" s="1">
        <v>6</v>
      </c>
      <c r="AP82" s="1">
        <v>4</v>
      </c>
      <c r="AQ82" s="1">
        <v>2</v>
      </c>
      <c r="AR82" s="1">
        <v>9</v>
      </c>
      <c r="AS82" s="1">
        <v>1</v>
      </c>
      <c r="AT82" s="1">
        <v>11</v>
      </c>
      <c r="AU82" s="1">
        <v>5</v>
      </c>
      <c r="AV82" s="1">
        <v>1</v>
      </c>
      <c r="AW82" s="1">
        <v>1</v>
      </c>
      <c r="AX82" s="1">
        <v>0</v>
      </c>
      <c r="AY82" s="1">
        <v>0</v>
      </c>
      <c r="AZ82" s="1">
        <v>0</v>
      </c>
      <c r="BA82" s="1">
        <v>6</v>
      </c>
      <c r="BB82" s="1">
        <v>1</v>
      </c>
      <c r="BC82" s="1">
        <v>4</v>
      </c>
      <c r="BD82" s="1">
        <v>0</v>
      </c>
      <c r="BE82" s="1">
        <v>0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  <c r="BL82" s="1">
        <v>0</v>
      </c>
      <c r="BM82" s="9">
        <f>SUM(Tabla3[[#This Row],[SEM.1]:[SEM.52]])</f>
        <v>68</v>
      </c>
      <c r="BN82" s="9">
        <v>68</v>
      </c>
      <c r="BO82" s="24">
        <f>Tabla3[[#This Row],[CONSUMO TOTAL V]]/52</f>
        <v>1.3076923076923077</v>
      </c>
      <c r="BP82" s="36">
        <f>Tabla3[[#This Row],[CONSUMO PROMEDIO ]]*Tabla3[[#This Row],[FRECUENCIA]]*Tabla3[[#This Row],[TIEMPO REPOSICION ]]*1.5*2.4</f>
        <v>2.8246153846153845</v>
      </c>
      <c r="BQ82">
        <v>10</v>
      </c>
      <c r="BR82" s="13">
        <f>Tabla17[[#This Row],[CONSUMO TOTAL TODAS]]/52</f>
        <v>0</v>
      </c>
    </row>
    <row r="83" spans="1:70">
      <c r="A83" s="1" t="s">
        <v>596</v>
      </c>
      <c r="B83" s="1" t="s">
        <v>597</v>
      </c>
      <c r="C83" s="1" t="s">
        <v>702</v>
      </c>
      <c r="D83" s="1" t="s">
        <v>712</v>
      </c>
      <c r="E83" s="7" t="s">
        <v>715</v>
      </c>
      <c r="F83" s="7" t="s">
        <v>724</v>
      </c>
      <c r="G83" s="7" t="s">
        <v>729</v>
      </c>
      <c r="H83" s="13">
        <v>4.99</v>
      </c>
      <c r="I83" s="13">
        <f t="shared" si="5"/>
        <v>3.7425000000000002</v>
      </c>
      <c r="J83" s="13">
        <v>1.91225</v>
      </c>
      <c r="K83" s="7">
        <v>1</v>
      </c>
      <c r="L83" s="19">
        <v>0.6</v>
      </c>
      <c r="M83" s="1">
        <v>0</v>
      </c>
      <c r="N83" s="1">
        <v>0</v>
      </c>
      <c r="O83" s="1">
        <v>0</v>
      </c>
      <c r="P83" s="1">
        <v>21</v>
      </c>
      <c r="Q83" s="1">
        <v>6</v>
      </c>
      <c r="R83" s="1">
        <v>0</v>
      </c>
      <c r="S83" s="1">
        <v>0</v>
      </c>
      <c r="T83" s="1">
        <v>0</v>
      </c>
      <c r="U83" s="1">
        <v>10</v>
      </c>
      <c r="V83" s="1">
        <v>0</v>
      </c>
      <c r="W83" s="1">
        <v>16</v>
      </c>
      <c r="X83" s="1">
        <v>21</v>
      </c>
      <c r="Y83" s="1">
        <v>48</v>
      </c>
      <c r="Z83" s="1">
        <v>21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24</v>
      </c>
      <c r="AL83" s="1">
        <v>21</v>
      </c>
      <c r="AM83" s="1">
        <v>21</v>
      </c>
      <c r="AN83" s="1">
        <v>12</v>
      </c>
      <c r="AO83" s="1">
        <v>0</v>
      </c>
      <c r="AP83" s="1">
        <v>0</v>
      </c>
      <c r="AQ83" s="1">
        <v>5</v>
      </c>
      <c r="AR83" s="1">
        <v>0</v>
      </c>
      <c r="AS83" s="1">
        <v>0</v>
      </c>
      <c r="AT83" s="1">
        <v>0</v>
      </c>
      <c r="AU83" s="1">
        <v>12</v>
      </c>
      <c r="AV83" s="1">
        <v>8</v>
      </c>
      <c r="AW83" s="1">
        <v>5</v>
      </c>
      <c r="AX83" s="1">
        <v>0</v>
      </c>
      <c r="AY83" s="1">
        <v>0</v>
      </c>
      <c r="AZ83" s="1">
        <v>0</v>
      </c>
      <c r="BA83" s="1">
        <v>21</v>
      </c>
      <c r="BB83" s="1">
        <v>23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 s="1">
        <v>3</v>
      </c>
      <c r="BI83" s="1">
        <v>12</v>
      </c>
      <c r="BJ83" s="1">
        <v>0</v>
      </c>
      <c r="BK83" s="1">
        <v>0</v>
      </c>
      <c r="BL83" s="1">
        <v>0</v>
      </c>
      <c r="BM83" s="9">
        <f>SUM(Tabla3[[#This Row],[SEM.1]:[SEM.52]])</f>
        <v>310</v>
      </c>
      <c r="BN83" s="9">
        <v>310</v>
      </c>
      <c r="BO83" s="24">
        <f>Tabla3[[#This Row],[CONSUMO TOTAL V]]/52</f>
        <v>5.9615384615384617</v>
      </c>
      <c r="BP83" s="36">
        <f>Tabla3[[#This Row],[CONSUMO PROMEDIO ]]*Tabla3[[#This Row],[FRECUENCIA]]*Tabla3[[#This Row],[TIEMPO REPOSICION ]]*1.5*2.4</f>
        <v>12.876923076923077</v>
      </c>
      <c r="BQ83">
        <v>20</v>
      </c>
      <c r="BR83" s="13">
        <f>Tabla17[[#This Row],[CONSUMO TOTAL TODAS]]/52</f>
        <v>0</v>
      </c>
    </row>
    <row r="84" spans="1:70">
      <c r="A84" s="1" t="s">
        <v>598</v>
      </c>
      <c r="B84" s="1" t="s">
        <v>599</v>
      </c>
      <c r="C84" s="1" t="s">
        <v>702</v>
      </c>
      <c r="D84" s="1" t="s">
        <v>712</v>
      </c>
      <c r="E84" s="7" t="s">
        <v>715</v>
      </c>
      <c r="F84" s="7" t="s">
        <v>724</v>
      </c>
      <c r="G84" s="7" t="s">
        <v>729</v>
      </c>
      <c r="H84" s="13">
        <v>11.9</v>
      </c>
      <c r="I84" s="13">
        <f t="shared" si="5"/>
        <v>8.9250000000000007</v>
      </c>
      <c r="J84" s="13">
        <v>4.5557699999999999</v>
      </c>
      <c r="K84" s="7">
        <v>1</v>
      </c>
      <c r="L84" s="19">
        <v>0.6</v>
      </c>
      <c r="M84" s="1">
        <v>0</v>
      </c>
      <c r="N84" s="1">
        <v>0</v>
      </c>
      <c r="O84" s="1">
        <v>0</v>
      </c>
      <c r="P84" s="1">
        <v>0</v>
      </c>
      <c r="Q84" s="1">
        <v>6</v>
      </c>
      <c r="R84" s="1">
        <v>0</v>
      </c>
      <c r="S84" s="1">
        <v>0</v>
      </c>
      <c r="T84" s="1">
        <v>0</v>
      </c>
      <c r="U84" s="1">
        <v>10</v>
      </c>
      <c r="V84" s="1">
        <v>0</v>
      </c>
      <c r="W84" s="1">
        <v>25</v>
      </c>
      <c r="X84" s="1">
        <v>0</v>
      </c>
      <c r="Y84" s="1">
        <v>0</v>
      </c>
      <c r="Z84" s="1">
        <v>10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25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15</v>
      </c>
      <c r="AS84" s="1">
        <v>5</v>
      </c>
      <c r="AT84" s="1">
        <v>0</v>
      </c>
      <c r="AU84" s="1">
        <v>5</v>
      </c>
      <c r="AV84" s="1">
        <v>6</v>
      </c>
      <c r="AW84" s="1">
        <v>10</v>
      </c>
      <c r="AX84" s="1">
        <v>0</v>
      </c>
      <c r="AY84" s="1">
        <v>27</v>
      </c>
      <c r="AZ84" s="1">
        <v>0</v>
      </c>
      <c r="BA84" s="1">
        <v>0</v>
      </c>
      <c r="BB84" s="1">
        <v>5</v>
      </c>
      <c r="BC84" s="1">
        <v>1</v>
      </c>
      <c r="BD84" s="1">
        <v>0</v>
      </c>
      <c r="BE84" s="1">
        <v>0</v>
      </c>
      <c r="BF84" s="1">
        <v>0</v>
      </c>
      <c r="BG84" s="1">
        <v>0</v>
      </c>
      <c r="BH84" s="1">
        <v>0</v>
      </c>
      <c r="BI84" s="1">
        <v>1</v>
      </c>
      <c r="BJ84" s="1">
        <v>21</v>
      </c>
      <c r="BK84" s="1">
        <v>0</v>
      </c>
      <c r="BL84" s="1">
        <v>0</v>
      </c>
      <c r="BM84" s="9">
        <f>SUM(Tabla3[[#This Row],[SEM.1]:[SEM.52]])</f>
        <v>172</v>
      </c>
      <c r="BN84" s="9">
        <v>172</v>
      </c>
      <c r="BO84" s="24">
        <f>Tabla3[[#This Row],[CONSUMO TOTAL V]]/52</f>
        <v>3.3076923076923075</v>
      </c>
      <c r="BP84" s="36">
        <f>Tabla3[[#This Row],[CONSUMO PROMEDIO ]]*Tabla3[[#This Row],[FRECUENCIA]]*Tabla3[[#This Row],[TIEMPO REPOSICION ]]*1.5*2.4</f>
        <v>7.1446153846153839</v>
      </c>
      <c r="BQ84">
        <v>10</v>
      </c>
      <c r="BR84" s="13">
        <f>Tabla17[[#This Row],[CONSUMO TOTAL TODAS]]/52</f>
        <v>0</v>
      </c>
    </row>
    <row r="85" spans="1:70">
      <c r="A85" s="1" t="s">
        <v>601</v>
      </c>
      <c r="B85" s="1" t="s">
        <v>602</v>
      </c>
      <c r="C85" s="1" t="s">
        <v>684</v>
      </c>
      <c r="D85" s="1" t="s">
        <v>712</v>
      </c>
      <c r="E85" s="7" t="s">
        <v>715</v>
      </c>
      <c r="F85" s="7" t="s">
        <v>724</v>
      </c>
      <c r="G85" s="7" t="s">
        <v>729</v>
      </c>
      <c r="H85" s="13">
        <v>729</v>
      </c>
      <c r="I85" s="13">
        <f t="shared" si="5"/>
        <v>546.75</v>
      </c>
      <c r="J85" s="13">
        <v>349.85</v>
      </c>
      <c r="K85" s="7">
        <v>1</v>
      </c>
      <c r="L85" s="19">
        <v>0.6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K85" s="1">
        <v>0</v>
      </c>
      <c r="BL85" s="1">
        <v>0</v>
      </c>
      <c r="BM85" s="9">
        <f>SUM(Tabla3[[#This Row],[SEM.1]:[SEM.52]])</f>
        <v>0</v>
      </c>
      <c r="BN85" s="9">
        <v>0</v>
      </c>
      <c r="BO85" s="24">
        <f>Tabla3[[#This Row],[CONSUMO TOTAL V]]/52</f>
        <v>0</v>
      </c>
      <c r="BP85" s="36">
        <f>Tabla3[[#This Row],[CONSUMO PROMEDIO ]]*Tabla3[[#This Row],[FRECUENCIA]]*Tabla3[[#This Row],[TIEMPO REPOSICION ]]*1.5*2.4</f>
        <v>0</v>
      </c>
      <c r="BQ85">
        <v>0</v>
      </c>
      <c r="BR85" s="13">
        <f>Tabla17[[#This Row],[CONSUMO TOTAL TODAS]]/52</f>
        <v>0</v>
      </c>
    </row>
    <row r="86" spans="1:70">
      <c r="A86" s="1" t="s">
        <v>603</v>
      </c>
      <c r="B86" s="1" t="s">
        <v>604</v>
      </c>
      <c r="C86" s="1" t="s">
        <v>676</v>
      </c>
      <c r="D86" s="1" t="s">
        <v>712</v>
      </c>
      <c r="E86" s="7" t="s">
        <v>715</v>
      </c>
      <c r="F86" s="7" t="s">
        <v>724</v>
      </c>
      <c r="G86" s="7" t="s">
        <v>729</v>
      </c>
      <c r="H86" s="13">
        <v>41</v>
      </c>
      <c r="I86" s="13">
        <f t="shared" si="5"/>
        <v>30.75</v>
      </c>
      <c r="J86" s="13">
        <v>18.74315</v>
      </c>
      <c r="K86" s="7">
        <v>1</v>
      </c>
      <c r="L86" s="19">
        <v>0.6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8</v>
      </c>
      <c r="BD86" s="1">
        <v>2</v>
      </c>
      <c r="BE86" s="1">
        <v>0</v>
      </c>
      <c r="BF86" s="1">
        <v>0</v>
      </c>
      <c r="BG86" s="1">
        <v>0</v>
      </c>
      <c r="BH86" s="1">
        <v>5</v>
      </c>
      <c r="BI86" s="1">
        <v>5</v>
      </c>
      <c r="BJ86" s="1">
        <v>2</v>
      </c>
      <c r="BK86" s="1">
        <v>0</v>
      </c>
      <c r="BL86" s="1">
        <v>0</v>
      </c>
      <c r="BM86" s="9">
        <f>SUM(Tabla3[[#This Row],[SEM.1]:[SEM.52]])</f>
        <v>22</v>
      </c>
      <c r="BN86" s="9">
        <v>22</v>
      </c>
      <c r="BO86" s="24">
        <f>Tabla3[[#This Row],[CONSUMO TOTAL V]]/52</f>
        <v>0.42307692307692307</v>
      </c>
      <c r="BP86" s="36">
        <f>Tabla3[[#This Row],[CONSUMO PROMEDIO ]]*Tabla3[[#This Row],[FRECUENCIA]]*Tabla3[[#This Row],[TIEMPO REPOSICION ]]*1.5*2.4</f>
        <v>0.91384615384615375</v>
      </c>
      <c r="BQ86">
        <v>0</v>
      </c>
      <c r="BR86" s="13">
        <f>Tabla17[[#This Row],[CONSUMO TOTAL TODAS]]/52</f>
        <v>0</v>
      </c>
    </row>
    <row r="87" spans="1:70">
      <c r="A87" s="1" t="s">
        <v>605</v>
      </c>
      <c r="B87" s="1" t="s">
        <v>606</v>
      </c>
      <c r="C87" s="1" t="s">
        <v>696</v>
      </c>
      <c r="D87" s="1" t="s">
        <v>709</v>
      </c>
      <c r="E87" s="7" t="s">
        <v>719</v>
      </c>
      <c r="F87" s="7" t="s">
        <v>724</v>
      </c>
      <c r="G87" s="7" t="s">
        <v>729</v>
      </c>
      <c r="H87" s="13">
        <v>8.69</v>
      </c>
      <c r="I87" s="13">
        <f t="shared" si="5"/>
        <v>6.5175000000000001</v>
      </c>
      <c r="J87" s="13">
        <v>1.44598</v>
      </c>
      <c r="K87" s="7">
        <v>1</v>
      </c>
      <c r="L87" s="19">
        <v>0.6</v>
      </c>
      <c r="M87" s="1">
        <v>0</v>
      </c>
      <c r="N87" s="1">
        <v>0</v>
      </c>
      <c r="O87" s="1">
        <v>0</v>
      </c>
      <c r="P87" s="1">
        <v>30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40</v>
      </c>
      <c r="W87" s="1">
        <v>0</v>
      </c>
      <c r="X87" s="1">
        <v>0</v>
      </c>
      <c r="Y87" s="1">
        <v>0</v>
      </c>
      <c r="Z87" s="1">
        <v>0</v>
      </c>
      <c r="AA87" s="1">
        <v>8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8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15</v>
      </c>
      <c r="AT87" s="1">
        <v>0</v>
      </c>
      <c r="AU87" s="1">
        <v>6</v>
      </c>
      <c r="AV87" s="1">
        <v>0</v>
      </c>
      <c r="AW87" s="1">
        <v>31</v>
      </c>
      <c r="AX87" s="1">
        <v>0</v>
      </c>
      <c r="AY87" s="1">
        <v>0</v>
      </c>
      <c r="AZ87" s="1">
        <v>4</v>
      </c>
      <c r="BA87" s="1">
        <v>0</v>
      </c>
      <c r="BB87" s="1">
        <v>0</v>
      </c>
      <c r="BC87" s="1">
        <v>4</v>
      </c>
      <c r="BD87" s="1">
        <v>12</v>
      </c>
      <c r="BE87" s="1">
        <v>0</v>
      </c>
      <c r="BF87" s="1">
        <v>0</v>
      </c>
      <c r="BG87" s="1">
        <v>0</v>
      </c>
      <c r="BH87" s="1">
        <v>0</v>
      </c>
      <c r="BI87" s="1">
        <v>12</v>
      </c>
      <c r="BJ87" s="1">
        <v>21</v>
      </c>
      <c r="BK87" s="1">
        <v>21</v>
      </c>
      <c r="BL87" s="1">
        <v>0</v>
      </c>
      <c r="BM87" s="9">
        <f>SUM(Tabla3[[#This Row],[SEM.1]:[SEM.52]])</f>
        <v>212</v>
      </c>
      <c r="BN87" s="9">
        <v>212</v>
      </c>
      <c r="BO87" s="24">
        <f>Tabla3[[#This Row],[CONSUMO TOTAL V]]/52</f>
        <v>4.0769230769230766</v>
      </c>
      <c r="BP87" s="36">
        <f>Tabla3[[#This Row],[CONSUMO PROMEDIO ]]*Tabla3[[#This Row],[FRECUENCIA]]*Tabla3[[#This Row],[TIEMPO REPOSICION ]]*1.5*2.4</f>
        <v>8.806153846153844</v>
      </c>
      <c r="BQ87">
        <v>40</v>
      </c>
      <c r="BR87" s="13">
        <f>Tabla17[[#This Row],[CONSUMO TOTAL TODAS]]/52</f>
        <v>0</v>
      </c>
    </row>
    <row r="88" spans="1:70">
      <c r="A88" s="1" t="s">
        <v>607</v>
      </c>
      <c r="B88" s="1" t="s">
        <v>608</v>
      </c>
      <c r="C88" s="1" t="s">
        <v>683</v>
      </c>
      <c r="D88" s="1" t="s">
        <v>709</v>
      </c>
      <c r="E88" s="7" t="s">
        <v>719</v>
      </c>
      <c r="F88" s="7" t="s">
        <v>724</v>
      </c>
      <c r="G88" s="7" t="s">
        <v>729</v>
      </c>
      <c r="H88" s="13">
        <v>4.8899999999999997</v>
      </c>
      <c r="I88" s="13">
        <f t="shared" si="5"/>
        <v>3.6674999999999995</v>
      </c>
      <c r="J88" s="13">
        <v>0.99360000000000004</v>
      </c>
      <c r="K88" s="7">
        <v>1</v>
      </c>
      <c r="L88" s="19">
        <v>0.6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22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K88" s="1">
        <v>0</v>
      </c>
      <c r="BL88" s="1">
        <v>0</v>
      </c>
      <c r="BM88" s="9">
        <f>SUM(Tabla3[[#This Row],[SEM.1]:[SEM.52]])</f>
        <v>22</v>
      </c>
      <c r="BN88" s="9">
        <v>22</v>
      </c>
      <c r="BO88" s="24">
        <f>Tabla3[[#This Row],[CONSUMO TOTAL V]]/52</f>
        <v>0.42307692307692307</v>
      </c>
      <c r="BP88" s="36">
        <f>Tabla3[[#This Row],[CONSUMO PROMEDIO ]]*Tabla3[[#This Row],[FRECUENCIA]]*Tabla3[[#This Row],[TIEMPO REPOSICION ]]*1.5*2.4</f>
        <v>0.91384615384615375</v>
      </c>
      <c r="BQ88">
        <v>0</v>
      </c>
      <c r="BR88" s="13">
        <f>Tabla17[[#This Row],[CONSUMO TOTAL TODAS]]/52</f>
        <v>0</v>
      </c>
    </row>
    <row r="89" spans="1:70">
      <c r="A89" s="1" t="s">
        <v>609</v>
      </c>
      <c r="B89" s="1" t="s">
        <v>610</v>
      </c>
      <c r="C89" s="1" t="s">
        <v>2</v>
      </c>
      <c r="D89" s="1" t="s">
        <v>709</v>
      </c>
      <c r="E89" s="7" t="s">
        <v>719</v>
      </c>
      <c r="F89" s="7" t="s">
        <v>724</v>
      </c>
      <c r="G89" s="7" t="s">
        <v>729</v>
      </c>
      <c r="H89" s="13">
        <v>34.9</v>
      </c>
      <c r="I89" s="13">
        <f t="shared" si="5"/>
        <v>26.174999999999997</v>
      </c>
      <c r="J89" s="13">
        <v>7.2575599999999998</v>
      </c>
      <c r="K89" s="7">
        <v>1</v>
      </c>
      <c r="L89" s="19">
        <v>0.6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20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20</v>
      </c>
      <c r="AU89" s="1">
        <v>0</v>
      </c>
      <c r="AV89" s="1">
        <v>0</v>
      </c>
      <c r="AW89" s="1">
        <v>0</v>
      </c>
      <c r="AX89" s="1">
        <v>20</v>
      </c>
      <c r="AY89" s="1">
        <v>6</v>
      </c>
      <c r="AZ89" s="1">
        <v>0</v>
      </c>
      <c r="BA89" s="1">
        <v>0</v>
      </c>
      <c r="BB89" s="1">
        <v>0</v>
      </c>
      <c r="BC89" s="1">
        <v>0</v>
      </c>
      <c r="BD89" s="1">
        <v>4</v>
      </c>
      <c r="BE89" s="1">
        <v>0</v>
      </c>
      <c r="BF89" s="1">
        <v>20</v>
      </c>
      <c r="BG89" s="1">
        <v>0</v>
      </c>
      <c r="BH89" s="1">
        <v>0</v>
      </c>
      <c r="BI89" s="1">
        <v>0</v>
      </c>
      <c r="BJ89" s="1">
        <v>0</v>
      </c>
      <c r="BK89" s="1">
        <v>0</v>
      </c>
      <c r="BL89" s="1">
        <v>0</v>
      </c>
      <c r="BM89" s="9">
        <f>SUM(Tabla3[[#This Row],[SEM.1]:[SEM.52]])</f>
        <v>90</v>
      </c>
      <c r="BN89" s="9">
        <v>90</v>
      </c>
      <c r="BO89" s="24">
        <f>Tabla3[[#This Row],[CONSUMO TOTAL V]]/52</f>
        <v>1.7307692307692308</v>
      </c>
      <c r="BP89" s="36">
        <f>Tabla3[[#This Row],[CONSUMO PROMEDIO ]]*Tabla3[[#This Row],[FRECUENCIA]]*Tabla3[[#This Row],[TIEMPO REPOSICION ]]*1.5*2.4</f>
        <v>3.7384615384615389</v>
      </c>
      <c r="BQ89">
        <v>10</v>
      </c>
      <c r="BR89" s="13">
        <f>Tabla17[[#This Row],[CONSUMO TOTAL TODAS]]/52</f>
        <v>0</v>
      </c>
    </row>
    <row r="90" spans="1:70">
      <c r="A90" s="1" t="s">
        <v>611</v>
      </c>
      <c r="B90" s="1" t="s">
        <v>612</v>
      </c>
      <c r="C90" s="1" t="s">
        <v>692</v>
      </c>
      <c r="D90" s="1" t="s">
        <v>712</v>
      </c>
      <c r="E90" s="7" t="s">
        <v>719</v>
      </c>
      <c r="F90" s="7" t="s">
        <v>724</v>
      </c>
      <c r="G90" s="7" t="s">
        <v>729</v>
      </c>
      <c r="H90" s="13">
        <v>2.29</v>
      </c>
      <c r="I90" s="13">
        <f t="shared" si="5"/>
        <v>1.7175</v>
      </c>
      <c r="J90" s="13">
        <v>0.90961999999999998</v>
      </c>
      <c r="K90" s="7">
        <v>1</v>
      </c>
      <c r="L90" s="19">
        <v>0.6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2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  <c r="BL90" s="1">
        <v>0</v>
      </c>
      <c r="BM90" s="9">
        <f>SUM(Tabla3[[#This Row],[SEM.1]:[SEM.52]])</f>
        <v>2</v>
      </c>
      <c r="BN90" s="9">
        <v>2</v>
      </c>
      <c r="BO90" s="24">
        <f>Tabla3[[#This Row],[CONSUMO TOTAL V]]/52</f>
        <v>3.8461538461538464E-2</v>
      </c>
      <c r="BP90" s="36">
        <f>Tabla3[[#This Row],[CONSUMO PROMEDIO ]]*Tabla3[[#This Row],[FRECUENCIA]]*Tabla3[[#This Row],[TIEMPO REPOSICION ]]*1.5*2.4</f>
        <v>8.3076923076923076E-2</v>
      </c>
      <c r="BQ90">
        <v>0</v>
      </c>
      <c r="BR90" s="13">
        <f>Tabla17[[#This Row],[CONSUMO TOTAL TODAS]]/52</f>
        <v>0</v>
      </c>
    </row>
    <row r="91" spans="1:70">
      <c r="A91" s="1" t="s">
        <v>613</v>
      </c>
      <c r="B91" s="1" t="s">
        <v>614</v>
      </c>
      <c r="C91" s="1" t="s">
        <v>671</v>
      </c>
      <c r="D91" s="1" t="s">
        <v>712</v>
      </c>
      <c r="E91" s="7" t="s">
        <v>719</v>
      </c>
      <c r="F91" s="7" t="s">
        <v>724</v>
      </c>
      <c r="G91" s="7" t="s">
        <v>729</v>
      </c>
      <c r="H91" s="13">
        <v>7.84</v>
      </c>
      <c r="I91" s="13">
        <f t="shared" si="5"/>
        <v>5.88</v>
      </c>
      <c r="J91" s="13">
        <v>3.92259</v>
      </c>
      <c r="K91" s="7">
        <v>1</v>
      </c>
      <c r="L91" s="19">
        <v>0.6</v>
      </c>
      <c r="M91" s="1">
        <v>0</v>
      </c>
      <c r="N91" s="1">
        <v>0</v>
      </c>
      <c r="O91" s="1">
        <v>27</v>
      </c>
      <c r="P91" s="1">
        <v>21</v>
      </c>
      <c r="Q91" s="1">
        <v>0</v>
      </c>
      <c r="R91" s="1">
        <v>0</v>
      </c>
      <c r="S91" s="1">
        <v>0</v>
      </c>
      <c r="T91" s="1">
        <v>0</v>
      </c>
      <c r="U91" s="1">
        <v>27</v>
      </c>
      <c r="V91" s="1">
        <v>21</v>
      </c>
      <c r="W91" s="1">
        <v>0</v>
      </c>
      <c r="X91" s="1">
        <v>0</v>
      </c>
      <c r="Y91" s="1">
        <v>12</v>
      </c>
      <c r="Z91" s="1">
        <v>6</v>
      </c>
      <c r="AA91" s="1">
        <v>2</v>
      </c>
      <c r="AB91" s="1">
        <v>42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8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21</v>
      </c>
      <c r="BE91" s="1">
        <v>42</v>
      </c>
      <c r="BF91" s="1">
        <v>0</v>
      </c>
      <c r="BG91" s="1">
        <v>0</v>
      </c>
      <c r="BH91" s="1">
        <v>8</v>
      </c>
      <c r="BI91" s="1">
        <v>22</v>
      </c>
      <c r="BJ91" s="1">
        <v>0</v>
      </c>
      <c r="BK91" s="1">
        <v>0</v>
      </c>
      <c r="BL91" s="1">
        <v>47</v>
      </c>
      <c r="BM91" s="9">
        <f>SUM(Tabla3[[#This Row],[SEM.1]:[SEM.52]])</f>
        <v>306</v>
      </c>
      <c r="BN91" s="9">
        <v>306</v>
      </c>
      <c r="BO91" s="24">
        <f>Tabla3[[#This Row],[CONSUMO TOTAL V]]/52</f>
        <v>5.884615384615385</v>
      </c>
      <c r="BP91" s="36">
        <f>Tabla3[[#This Row],[CONSUMO PROMEDIO ]]*Tabla3[[#This Row],[FRECUENCIA]]*Tabla3[[#This Row],[TIEMPO REPOSICION ]]*1.5*2.4</f>
        <v>12.710769230769232</v>
      </c>
      <c r="BQ91">
        <v>25</v>
      </c>
      <c r="BR91" s="13">
        <f>Tabla17[[#This Row],[CONSUMO TOTAL TODAS]]/52</f>
        <v>0</v>
      </c>
    </row>
    <row r="92" spans="1:70">
      <c r="A92" s="1" t="s">
        <v>615</v>
      </c>
      <c r="B92" s="1" t="s">
        <v>616</v>
      </c>
      <c r="C92" s="1" t="s">
        <v>672</v>
      </c>
      <c r="D92" s="1" t="s">
        <v>712</v>
      </c>
      <c r="E92" s="7" t="s">
        <v>719</v>
      </c>
      <c r="F92" s="7" t="s">
        <v>724</v>
      </c>
      <c r="G92" s="7" t="s">
        <v>729</v>
      </c>
      <c r="H92" s="13">
        <v>14.39</v>
      </c>
      <c r="I92" s="13">
        <f t="shared" si="5"/>
        <v>10.7925</v>
      </c>
      <c r="J92" s="13">
        <v>7.23766</v>
      </c>
      <c r="K92" s="7">
        <v>1</v>
      </c>
      <c r="L92" s="19">
        <v>0.6</v>
      </c>
      <c r="M92" s="1">
        <v>0</v>
      </c>
      <c r="N92" s="1">
        <v>0</v>
      </c>
      <c r="O92" s="1">
        <v>33</v>
      </c>
      <c r="P92" s="1">
        <v>0</v>
      </c>
      <c r="Q92" s="1">
        <v>2</v>
      </c>
      <c r="R92" s="1">
        <v>0</v>
      </c>
      <c r="S92" s="1">
        <v>1</v>
      </c>
      <c r="T92" s="1">
        <v>0</v>
      </c>
      <c r="U92" s="1">
        <v>0</v>
      </c>
      <c r="V92" s="1">
        <v>15</v>
      </c>
      <c r="W92" s="1">
        <v>3</v>
      </c>
      <c r="X92" s="1">
        <v>0</v>
      </c>
      <c r="Y92" s="1">
        <v>20</v>
      </c>
      <c r="Z92" s="1">
        <v>2</v>
      </c>
      <c r="AA92" s="1">
        <v>0</v>
      </c>
      <c r="AB92" s="1">
        <v>0</v>
      </c>
      <c r="AC92" s="1">
        <v>2</v>
      </c>
      <c r="AD92" s="1">
        <v>0</v>
      </c>
      <c r="AE92" s="1">
        <v>2</v>
      </c>
      <c r="AF92" s="1">
        <v>21</v>
      </c>
      <c r="AG92" s="1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10</v>
      </c>
      <c r="AQ92" s="1">
        <v>0</v>
      </c>
      <c r="AR92" s="1">
        <v>0</v>
      </c>
      <c r="AS92" s="1">
        <v>10</v>
      </c>
      <c r="AT92" s="1">
        <v>15</v>
      </c>
      <c r="AU92" s="1">
        <v>0</v>
      </c>
      <c r="AV92" s="1">
        <v>0</v>
      </c>
      <c r="AW92" s="1">
        <v>0</v>
      </c>
      <c r="AX92" s="1">
        <v>0</v>
      </c>
      <c r="AY92" s="1">
        <v>10</v>
      </c>
      <c r="AZ92" s="1">
        <v>0</v>
      </c>
      <c r="BA92" s="1">
        <v>0</v>
      </c>
      <c r="BB92" s="1">
        <v>0</v>
      </c>
      <c r="BC92" s="1">
        <v>21</v>
      </c>
      <c r="BD92" s="1">
        <v>15</v>
      </c>
      <c r="BE92" s="1">
        <v>0</v>
      </c>
      <c r="BF92" s="1">
        <v>0</v>
      </c>
      <c r="BG92" s="1">
        <v>0</v>
      </c>
      <c r="BH92" s="1">
        <v>0</v>
      </c>
      <c r="BI92" s="1">
        <v>0</v>
      </c>
      <c r="BJ92" s="1">
        <v>0</v>
      </c>
      <c r="BK92" s="1">
        <v>4</v>
      </c>
      <c r="BL92" s="1">
        <v>0</v>
      </c>
      <c r="BM92" s="9">
        <f>SUM(Tabla3[[#This Row],[SEM.1]:[SEM.52]])</f>
        <v>186</v>
      </c>
      <c r="BN92" s="9">
        <v>186</v>
      </c>
      <c r="BO92" s="24">
        <f>Tabla3[[#This Row],[CONSUMO TOTAL V]]/52</f>
        <v>3.5769230769230771</v>
      </c>
      <c r="BP92" s="36">
        <f>Tabla3[[#This Row],[CONSUMO PROMEDIO ]]*Tabla3[[#This Row],[FRECUENCIA]]*Tabla3[[#This Row],[TIEMPO REPOSICION ]]*1.5*2.4</f>
        <v>7.7261538461538457</v>
      </c>
      <c r="BQ92">
        <v>25</v>
      </c>
      <c r="BR92" s="13">
        <f>Tabla17[[#This Row],[CONSUMO TOTAL TODAS]]/52</f>
        <v>0</v>
      </c>
    </row>
    <row r="93" spans="1:70">
      <c r="A93" s="1" t="s">
        <v>617</v>
      </c>
      <c r="B93" s="1" t="s">
        <v>618</v>
      </c>
      <c r="C93" s="1" t="s">
        <v>2</v>
      </c>
      <c r="D93" s="1" t="s">
        <v>709</v>
      </c>
      <c r="E93" s="7" t="s">
        <v>719</v>
      </c>
      <c r="F93" s="7" t="s">
        <v>724</v>
      </c>
      <c r="G93" s="7" t="s">
        <v>729</v>
      </c>
      <c r="H93" s="13">
        <v>6.3</v>
      </c>
      <c r="I93" s="13">
        <f t="shared" si="5"/>
        <v>4.7249999999999996</v>
      </c>
      <c r="J93" s="13">
        <v>2.4914499999999999</v>
      </c>
      <c r="K93" s="7">
        <v>1</v>
      </c>
      <c r="L93" s="19">
        <v>0.6</v>
      </c>
      <c r="M93" s="1">
        <v>0</v>
      </c>
      <c r="N93" s="1">
        <v>0</v>
      </c>
      <c r="O93" s="1">
        <v>0</v>
      </c>
      <c r="P93" s="1">
        <v>21</v>
      </c>
      <c r="Q93" s="1">
        <v>21</v>
      </c>
      <c r="R93" s="1">
        <v>0</v>
      </c>
      <c r="S93" s="1">
        <v>0</v>
      </c>
      <c r="T93" s="1">
        <v>0</v>
      </c>
      <c r="U93" s="1">
        <v>16</v>
      </c>
      <c r="V93" s="1">
        <v>0</v>
      </c>
      <c r="W93" s="1">
        <v>50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0</v>
      </c>
      <c r="AH93" s="1">
        <v>0</v>
      </c>
      <c r="AI93" s="1">
        <v>0</v>
      </c>
      <c r="AJ93" s="1">
        <v>0</v>
      </c>
      <c r="AK93" s="1">
        <v>12</v>
      </c>
      <c r="AL93" s="1">
        <v>0</v>
      </c>
      <c r="AM93" s="1">
        <v>0</v>
      </c>
      <c r="AN93" s="1">
        <v>0</v>
      </c>
      <c r="AO93" s="1">
        <v>0</v>
      </c>
      <c r="AP93" s="1">
        <v>0</v>
      </c>
      <c r="AQ93" s="1">
        <v>4</v>
      </c>
      <c r="AR93" s="1">
        <v>0</v>
      </c>
      <c r="AS93" s="1">
        <v>0</v>
      </c>
      <c r="AT93" s="1">
        <v>12</v>
      </c>
      <c r="AU93" s="1">
        <v>0</v>
      </c>
      <c r="AV93" s="1">
        <v>10</v>
      </c>
      <c r="AW93" s="1">
        <v>0</v>
      </c>
      <c r="AX93" s="1">
        <v>41</v>
      </c>
      <c r="AY93" s="1">
        <v>20</v>
      </c>
      <c r="AZ93" s="1">
        <v>11</v>
      </c>
      <c r="BA93" s="1">
        <v>30</v>
      </c>
      <c r="BB93" s="1">
        <v>50</v>
      </c>
      <c r="BC93" s="1">
        <v>2</v>
      </c>
      <c r="BD93" s="1">
        <v>21</v>
      </c>
      <c r="BE93" s="1">
        <v>0</v>
      </c>
      <c r="BF93" s="1">
        <v>0</v>
      </c>
      <c r="BG93" s="1">
        <v>20</v>
      </c>
      <c r="BH93" s="1">
        <v>44</v>
      </c>
      <c r="BI93" s="1">
        <v>0</v>
      </c>
      <c r="BJ93" s="1">
        <v>0</v>
      </c>
      <c r="BK93" s="1">
        <v>45</v>
      </c>
      <c r="BL93" s="1">
        <v>21</v>
      </c>
      <c r="BM93" s="9">
        <f>SUM(Tabla3[[#This Row],[SEM.1]:[SEM.52]])</f>
        <v>451</v>
      </c>
      <c r="BN93" s="9">
        <v>451</v>
      </c>
      <c r="BO93" s="24">
        <f>Tabla3[[#This Row],[CONSUMO TOTAL V]]/52</f>
        <v>8.6730769230769234</v>
      </c>
      <c r="BP93" s="36">
        <f>Tabla3[[#This Row],[CONSUMO PROMEDIO ]]*Tabla3[[#This Row],[FRECUENCIA]]*Tabla3[[#This Row],[TIEMPO REPOSICION ]]*1.5*2.4</f>
        <v>18.733846153846155</v>
      </c>
      <c r="BQ93">
        <v>20</v>
      </c>
      <c r="BR93" s="13">
        <f>Tabla17[[#This Row],[CONSUMO TOTAL TODAS]]/52</f>
        <v>0</v>
      </c>
    </row>
    <row r="94" spans="1:70">
      <c r="A94" s="1" t="s">
        <v>619</v>
      </c>
      <c r="B94" s="1" t="s">
        <v>620</v>
      </c>
      <c r="C94" s="1" t="s">
        <v>2</v>
      </c>
      <c r="D94" s="1" t="s">
        <v>709</v>
      </c>
      <c r="E94" s="7" t="s">
        <v>719</v>
      </c>
      <c r="F94" s="7" t="s">
        <v>724</v>
      </c>
      <c r="G94" s="7" t="s">
        <v>729</v>
      </c>
      <c r="H94" s="13">
        <v>29</v>
      </c>
      <c r="I94" s="13">
        <f t="shared" si="5"/>
        <v>21.75</v>
      </c>
      <c r="J94" s="13">
        <v>11.689489999999999</v>
      </c>
      <c r="K94" s="7">
        <v>1</v>
      </c>
      <c r="L94" s="19">
        <v>0.6</v>
      </c>
      <c r="M94" s="1">
        <v>0</v>
      </c>
      <c r="N94" s="1">
        <v>0</v>
      </c>
      <c r="O94" s="1">
        <v>20</v>
      </c>
      <c r="P94" s="1">
        <v>20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4</v>
      </c>
      <c r="Y94" s="1">
        <v>0</v>
      </c>
      <c r="Z94" s="1">
        <v>0</v>
      </c>
      <c r="AA94" s="1">
        <v>1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1">
        <v>12</v>
      </c>
      <c r="AN94" s="1">
        <v>2</v>
      </c>
      <c r="AO94" s="1">
        <v>0</v>
      </c>
      <c r="AP94" s="1">
        <v>6</v>
      </c>
      <c r="AQ94" s="1">
        <v>4</v>
      </c>
      <c r="AR94" s="1">
        <v>0</v>
      </c>
      <c r="AS94" s="1">
        <v>0</v>
      </c>
      <c r="AT94" s="1">
        <v>44</v>
      </c>
      <c r="AU94" s="1">
        <v>0</v>
      </c>
      <c r="AV94" s="1">
        <v>2</v>
      </c>
      <c r="AW94" s="1">
        <v>16</v>
      </c>
      <c r="AX94" s="1">
        <v>0</v>
      </c>
      <c r="AY94" s="1">
        <v>14</v>
      </c>
      <c r="AZ94" s="1">
        <v>0</v>
      </c>
      <c r="BA94" s="1">
        <v>13</v>
      </c>
      <c r="BB94" s="1">
        <v>0</v>
      </c>
      <c r="BC94" s="1">
        <v>48</v>
      </c>
      <c r="BD94" s="1">
        <v>4</v>
      </c>
      <c r="BE94" s="1">
        <v>12</v>
      </c>
      <c r="BF94" s="1">
        <v>36</v>
      </c>
      <c r="BG94" s="1">
        <v>0</v>
      </c>
      <c r="BH94" s="1">
        <v>14</v>
      </c>
      <c r="BI94" s="1">
        <v>0</v>
      </c>
      <c r="BJ94" s="1">
        <v>3</v>
      </c>
      <c r="BK94" s="1">
        <v>5</v>
      </c>
      <c r="BL94" s="1">
        <v>6</v>
      </c>
      <c r="BM94" s="9">
        <f>SUM(Tabla3[[#This Row],[SEM.1]:[SEM.52]])</f>
        <v>286</v>
      </c>
      <c r="BN94" s="9">
        <v>286</v>
      </c>
      <c r="BO94" s="24">
        <f>Tabla3[[#This Row],[CONSUMO TOTAL V]]/52</f>
        <v>5.5</v>
      </c>
      <c r="BP94" s="36">
        <f>Tabla3[[#This Row],[CONSUMO PROMEDIO ]]*Tabla3[[#This Row],[FRECUENCIA]]*Tabla3[[#This Row],[TIEMPO REPOSICION ]]*1.5*2.4</f>
        <v>11.879999999999997</v>
      </c>
      <c r="BQ94">
        <v>20</v>
      </c>
      <c r="BR94" s="13">
        <f>Tabla17[[#This Row],[CONSUMO TOTAL TODAS]]/52</f>
        <v>0</v>
      </c>
    </row>
    <row r="95" spans="1:70">
      <c r="A95" s="1" t="s">
        <v>621</v>
      </c>
      <c r="B95" s="1" t="s">
        <v>622</v>
      </c>
      <c r="C95" s="1" t="s">
        <v>2</v>
      </c>
      <c r="D95" s="1" t="s">
        <v>712</v>
      </c>
      <c r="E95" s="7" t="s">
        <v>719</v>
      </c>
      <c r="F95" s="7" t="s">
        <v>724</v>
      </c>
      <c r="G95" s="7" t="s">
        <v>729</v>
      </c>
      <c r="H95" s="13">
        <v>1.99</v>
      </c>
      <c r="I95" s="13">
        <f t="shared" si="5"/>
        <v>1.4924999999999999</v>
      </c>
      <c r="J95" s="13">
        <v>0.89849999999999997</v>
      </c>
      <c r="K95" s="7">
        <v>1</v>
      </c>
      <c r="L95" s="19">
        <v>0.6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0</v>
      </c>
      <c r="AG95" s="1">
        <v>0</v>
      </c>
      <c r="AH95" s="1">
        <v>0</v>
      </c>
      <c r="AI95" s="1">
        <v>0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0</v>
      </c>
      <c r="AP95" s="1">
        <v>0</v>
      </c>
      <c r="AQ95" s="1">
        <v>0</v>
      </c>
      <c r="AR95" s="1">
        <v>0</v>
      </c>
      <c r="AS95" s="1">
        <v>0</v>
      </c>
      <c r="AT95" s="1">
        <v>0</v>
      </c>
      <c r="AU95" s="1">
        <v>0</v>
      </c>
      <c r="AV95" s="1">
        <v>0</v>
      </c>
      <c r="AW95" s="1">
        <v>0</v>
      </c>
      <c r="AX95" s="1">
        <v>0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  <c r="BD95" s="1">
        <v>0</v>
      </c>
      <c r="BE95" s="1">
        <v>0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K95" s="1">
        <v>0</v>
      </c>
      <c r="BL95" s="1">
        <v>0</v>
      </c>
      <c r="BM95" s="9">
        <f>SUM(Tabla3[[#This Row],[SEM.1]:[SEM.52]])</f>
        <v>0</v>
      </c>
      <c r="BN95" s="9">
        <v>0</v>
      </c>
      <c r="BO95" s="24">
        <f>Tabla3[[#This Row],[CONSUMO TOTAL V]]/52</f>
        <v>0</v>
      </c>
      <c r="BP95" s="36">
        <f>Tabla3[[#This Row],[CONSUMO PROMEDIO ]]*Tabla3[[#This Row],[FRECUENCIA]]*Tabla3[[#This Row],[TIEMPO REPOSICION ]]*1.5*2.4</f>
        <v>0</v>
      </c>
      <c r="BQ95">
        <v>0</v>
      </c>
      <c r="BR95" s="13">
        <f>Tabla17[[#This Row],[CONSUMO TOTAL TODAS]]/52</f>
        <v>0</v>
      </c>
    </row>
    <row r="96" spans="1:70">
      <c r="A96" s="1" t="s">
        <v>623</v>
      </c>
      <c r="B96" s="1" t="s">
        <v>624</v>
      </c>
      <c r="C96" s="1" t="s">
        <v>686</v>
      </c>
      <c r="D96" s="1" t="s">
        <v>712</v>
      </c>
      <c r="E96" s="7" t="s">
        <v>719</v>
      </c>
      <c r="F96" s="7" t="s">
        <v>724</v>
      </c>
      <c r="G96" s="7" t="s">
        <v>729</v>
      </c>
      <c r="H96" s="13">
        <v>2.99</v>
      </c>
      <c r="I96" s="13">
        <f t="shared" si="5"/>
        <v>2.2425000000000002</v>
      </c>
      <c r="J96" s="13">
        <v>1.29596</v>
      </c>
      <c r="K96" s="7">
        <v>1</v>
      </c>
      <c r="L96" s="19">
        <v>0.6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21</v>
      </c>
      <c r="X96" s="1">
        <v>0</v>
      </c>
      <c r="Y96" s="1">
        <v>0</v>
      </c>
      <c r="Z96" s="1">
        <v>0</v>
      </c>
      <c r="AA96" s="1">
        <v>0</v>
      </c>
      <c r="AB96" s="1">
        <v>21</v>
      </c>
      <c r="AC96" s="1">
        <v>0</v>
      </c>
      <c r="AD96" s="1">
        <v>0</v>
      </c>
      <c r="AE96" s="1">
        <v>0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12</v>
      </c>
      <c r="AL96" s="1">
        <v>12</v>
      </c>
      <c r="AM96" s="1">
        <v>0</v>
      </c>
      <c r="AN96" s="1">
        <v>31</v>
      </c>
      <c r="AO96" s="1">
        <v>0</v>
      </c>
      <c r="AP96" s="1">
        <v>0</v>
      </c>
      <c r="AQ96" s="1">
        <v>0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W96" s="1">
        <v>150</v>
      </c>
      <c r="AX96" s="1">
        <v>0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D96" s="1">
        <v>0</v>
      </c>
      <c r="BE96" s="1">
        <v>0</v>
      </c>
      <c r="BF96" s="1">
        <v>0</v>
      </c>
      <c r="BG96" s="1">
        <v>0</v>
      </c>
      <c r="BH96" s="1">
        <v>2</v>
      </c>
      <c r="BI96" s="1">
        <v>10</v>
      </c>
      <c r="BJ96" s="1">
        <v>3</v>
      </c>
      <c r="BK96" s="1">
        <v>12</v>
      </c>
      <c r="BL96" s="1">
        <v>0</v>
      </c>
      <c r="BM96" s="9">
        <f>SUM(Tabla3[[#This Row],[SEM.1]:[SEM.52]])</f>
        <v>274</v>
      </c>
      <c r="BN96" s="9">
        <v>274</v>
      </c>
      <c r="BO96" s="24">
        <f>Tabla3[[#This Row],[CONSUMO TOTAL V]]/52</f>
        <v>5.2692307692307692</v>
      </c>
      <c r="BP96" s="36">
        <f>Tabla3[[#This Row],[CONSUMO PROMEDIO ]]*Tabla3[[#This Row],[FRECUENCIA]]*Tabla3[[#This Row],[TIEMPO REPOSICION ]]*1.5*2.4</f>
        <v>11.381538461538462</v>
      </c>
      <c r="BQ96">
        <v>20</v>
      </c>
      <c r="BR96" s="13">
        <f>Tabla17[[#This Row],[CONSUMO TOTAL TODAS]]/52</f>
        <v>0</v>
      </c>
    </row>
    <row r="97" spans="1:70">
      <c r="A97" s="1" t="s">
        <v>625</v>
      </c>
      <c r="B97" s="1" t="s">
        <v>626</v>
      </c>
      <c r="C97" s="1" t="s">
        <v>2</v>
      </c>
      <c r="D97" s="1" t="s">
        <v>712</v>
      </c>
      <c r="E97" s="7" t="s">
        <v>719</v>
      </c>
      <c r="F97" s="7" t="s">
        <v>724</v>
      </c>
      <c r="G97" s="7" t="s">
        <v>729</v>
      </c>
      <c r="H97" s="13">
        <v>12.99</v>
      </c>
      <c r="I97" s="13">
        <f t="shared" si="5"/>
        <v>9.7424999999999997</v>
      </c>
      <c r="J97" s="13">
        <v>5.7310499999999998</v>
      </c>
      <c r="K97" s="7">
        <v>1</v>
      </c>
      <c r="L97" s="19">
        <v>0.6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0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  <c r="AQ97" s="1">
        <v>0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>
        <v>0</v>
      </c>
      <c r="AX97" s="1">
        <v>0</v>
      </c>
      <c r="AY97" s="1">
        <v>0</v>
      </c>
      <c r="AZ97" s="1">
        <v>0</v>
      </c>
      <c r="BA97" s="1">
        <v>0</v>
      </c>
      <c r="BB97" s="1">
        <v>0</v>
      </c>
      <c r="BC97" s="1">
        <v>0</v>
      </c>
      <c r="BD97" s="1">
        <v>0</v>
      </c>
      <c r="BE97" s="1">
        <v>0</v>
      </c>
      <c r="BF97" s="1">
        <v>0</v>
      </c>
      <c r="BG97" s="1">
        <v>0</v>
      </c>
      <c r="BH97" s="1">
        <v>2</v>
      </c>
      <c r="BI97" s="1">
        <v>0</v>
      </c>
      <c r="BJ97" s="1">
        <v>1</v>
      </c>
      <c r="BK97" s="1">
        <v>0</v>
      </c>
      <c r="BL97" s="1">
        <v>0</v>
      </c>
      <c r="BM97" s="9">
        <f>SUM(Tabla3[[#This Row],[SEM.1]:[SEM.52]])</f>
        <v>3</v>
      </c>
      <c r="BN97" s="9">
        <v>3</v>
      </c>
      <c r="BO97" s="24">
        <f>Tabla3[[#This Row],[CONSUMO TOTAL V]]/52</f>
        <v>5.7692307692307696E-2</v>
      </c>
      <c r="BP97" s="36">
        <f>Tabla3[[#This Row],[CONSUMO PROMEDIO ]]*Tabla3[[#This Row],[FRECUENCIA]]*Tabla3[[#This Row],[TIEMPO REPOSICION ]]*1.5*2.4</f>
        <v>0.12461538461538461</v>
      </c>
      <c r="BQ97">
        <v>40</v>
      </c>
      <c r="BR97" s="13">
        <f>Tabla17[[#This Row],[CONSUMO TOTAL TODAS]]/52</f>
        <v>0</v>
      </c>
    </row>
    <row r="98" spans="1:70">
      <c r="A98" s="1" t="s">
        <v>627</v>
      </c>
      <c r="B98" s="1" t="s">
        <v>628</v>
      </c>
      <c r="C98" s="1" t="s">
        <v>677</v>
      </c>
      <c r="D98" s="1" t="s">
        <v>712</v>
      </c>
      <c r="E98" s="7" t="s">
        <v>715</v>
      </c>
      <c r="F98" s="7" t="s">
        <v>724</v>
      </c>
      <c r="G98" s="7" t="s">
        <v>729</v>
      </c>
      <c r="H98" s="13">
        <v>2.59</v>
      </c>
      <c r="I98" s="13">
        <f t="shared" si="5"/>
        <v>1.9424999999999999</v>
      </c>
      <c r="J98" s="13">
        <v>1.1613199999999999</v>
      </c>
      <c r="K98" s="7">
        <v>1</v>
      </c>
      <c r="L98" s="19">
        <v>0.6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1">
        <v>0</v>
      </c>
      <c r="AW98" s="1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  <c r="BF98" s="1">
        <v>0</v>
      </c>
      <c r="BG98" s="1">
        <v>0</v>
      </c>
      <c r="BH98" s="1">
        <v>0</v>
      </c>
      <c r="BI98" s="1">
        <v>0</v>
      </c>
      <c r="BJ98" s="1">
        <v>0</v>
      </c>
      <c r="BK98" s="1">
        <v>0</v>
      </c>
      <c r="BL98" s="1">
        <v>0</v>
      </c>
      <c r="BM98" s="9">
        <f>SUM(Tabla3[[#This Row],[SEM.1]:[SEM.52]])</f>
        <v>0</v>
      </c>
      <c r="BN98" s="9">
        <v>0</v>
      </c>
      <c r="BO98" s="24">
        <f>Tabla3[[#This Row],[CONSUMO TOTAL V]]/52</f>
        <v>0</v>
      </c>
      <c r="BP98" s="36">
        <f>Tabla3[[#This Row],[CONSUMO PROMEDIO ]]*Tabla3[[#This Row],[FRECUENCIA]]*Tabla3[[#This Row],[TIEMPO REPOSICION ]]*1.5*2.4</f>
        <v>0</v>
      </c>
      <c r="BQ98">
        <v>0</v>
      </c>
      <c r="BR98" s="13">
        <f>Tabla17[[#This Row],[CONSUMO TOTAL TODAS]]/52</f>
        <v>0</v>
      </c>
    </row>
    <row r="99" spans="1:70">
      <c r="A99" s="1" t="s">
        <v>629</v>
      </c>
      <c r="B99" s="1" t="s">
        <v>630</v>
      </c>
      <c r="C99" s="1" t="s">
        <v>702</v>
      </c>
      <c r="D99" s="1" t="s">
        <v>712</v>
      </c>
      <c r="E99" s="7" t="s">
        <v>715</v>
      </c>
      <c r="F99" s="7" t="s">
        <v>724</v>
      </c>
      <c r="G99" s="7" t="s">
        <v>729</v>
      </c>
      <c r="H99" s="13">
        <v>5.49</v>
      </c>
      <c r="I99" s="13">
        <f t="shared" si="5"/>
        <v>4.1174999999999997</v>
      </c>
      <c r="J99" s="13">
        <v>3.1145999999999998</v>
      </c>
      <c r="K99" s="7">
        <v>1</v>
      </c>
      <c r="L99" s="19">
        <v>0.6</v>
      </c>
      <c r="M99" s="1">
        <v>0</v>
      </c>
      <c r="N99" s="1">
        <v>25</v>
      </c>
      <c r="O99" s="1">
        <v>0</v>
      </c>
      <c r="P99" s="1">
        <v>27</v>
      </c>
      <c r="Q99" s="1">
        <v>0</v>
      </c>
      <c r="R99" s="1">
        <v>10</v>
      </c>
      <c r="S99" s="1">
        <v>10</v>
      </c>
      <c r="T99" s="1">
        <v>0</v>
      </c>
      <c r="U99" s="1">
        <v>6</v>
      </c>
      <c r="V99" s="1">
        <v>12</v>
      </c>
      <c r="W99" s="1">
        <v>0</v>
      </c>
      <c r="X99" s="1">
        <v>1</v>
      </c>
      <c r="Y99" s="1">
        <v>21</v>
      </c>
      <c r="Z99" s="1">
        <v>0</v>
      </c>
      <c r="AA99" s="1">
        <v>0</v>
      </c>
      <c r="AB99" s="1">
        <v>21</v>
      </c>
      <c r="AC99" s="1">
        <v>0</v>
      </c>
      <c r="AD99" s="1">
        <v>6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  <c r="AL99" s="1">
        <v>21</v>
      </c>
      <c r="AM99" s="1">
        <v>21</v>
      </c>
      <c r="AN99" s="1">
        <v>0</v>
      </c>
      <c r="AO99" s="1">
        <v>0</v>
      </c>
      <c r="AP99" s="1">
        <v>21</v>
      </c>
      <c r="AQ99" s="1">
        <v>4</v>
      </c>
      <c r="AR99" s="1">
        <v>0</v>
      </c>
      <c r="AS99" s="1">
        <v>27</v>
      </c>
      <c r="AT99" s="1">
        <v>0</v>
      </c>
      <c r="AU99" s="1">
        <v>0</v>
      </c>
      <c r="AV99" s="1">
        <v>10</v>
      </c>
      <c r="AW99" s="1">
        <v>0</v>
      </c>
      <c r="AX99" s="1">
        <v>63</v>
      </c>
      <c r="AY99" s="1">
        <v>21</v>
      </c>
      <c r="AZ99" s="1">
        <v>21</v>
      </c>
      <c r="BA99" s="1">
        <v>21</v>
      </c>
      <c r="BB99" s="1">
        <v>0</v>
      </c>
      <c r="BC99" s="1">
        <v>0</v>
      </c>
      <c r="BD99" s="1">
        <v>0</v>
      </c>
      <c r="BE99" s="1">
        <v>0</v>
      </c>
      <c r="BF99" s="1">
        <v>21</v>
      </c>
      <c r="BG99" s="1">
        <v>0</v>
      </c>
      <c r="BH99" s="1">
        <v>21</v>
      </c>
      <c r="BI99" s="1">
        <v>0</v>
      </c>
      <c r="BJ99" s="1">
        <v>0</v>
      </c>
      <c r="BK99" s="1">
        <v>12</v>
      </c>
      <c r="BL99" s="1">
        <v>0</v>
      </c>
      <c r="BM99" s="9">
        <f>SUM(Tabla3[[#This Row],[SEM.1]:[SEM.52]])</f>
        <v>423</v>
      </c>
      <c r="BN99" s="9">
        <v>423</v>
      </c>
      <c r="BO99" s="24">
        <f>Tabla3[[#This Row],[CONSUMO TOTAL V]]/52</f>
        <v>8.134615384615385</v>
      </c>
      <c r="BP99" s="36">
        <f>Tabla3[[#This Row],[CONSUMO PROMEDIO ]]*Tabla3[[#This Row],[FRECUENCIA]]*Tabla3[[#This Row],[TIEMPO REPOSICION ]]*1.5*2.4</f>
        <v>17.57076923076923</v>
      </c>
      <c r="BQ99">
        <v>20</v>
      </c>
      <c r="BR99" s="13">
        <f>Tabla17[[#This Row],[CONSUMO TOTAL TODAS]]/52</f>
        <v>0</v>
      </c>
    </row>
    <row r="100" spans="1:70">
      <c r="A100" s="1" t="s">
        <v>631</v>
      </c>
      <c r="B100" s="1" t="s">
        <v>632</v>
      </c>
      <c r="C100" s="1" t="s">
        <v>2</v>
      </c>
      <c r="D100" s="1" t="s">
        <v>712</v>
      </c>
      <c r="E100" s="7" t="s">
        <v>715</v>
      </c>
      <c r="F100" s="7" t="s">
        <v>724</v>
      </c>
      <c r="G100" s="7" t="s">
        <v>729</v>
      </c>
      <c r="H100" s="13">
        <v>9.99</v>
      </c>
      <c r="I100" s="13">
        <f t="shared" si="5"/>
        <v>7.4924999999999997</v>
      </c>
      <c r="J100" s="13">
        <v>5.7749499999999996</v>
      </c>
      <c r="K100" s="7">
        <v>1</v>
      </c>
      <c r="L100" s="19">
        <v>0.6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20</v>
      </c>
      <c r="T100" s="1">
        <v>0</v>
      </c>
      <c r="U100" s="1">
        <v>0</v>
      </c>
      <c r="V100" s="1">
        <v>0</v>
      </c>
      <c r="W100" s="1">
        <v>21</v>
      </c>
      <c r="X100" s="1">
        <v>0</v>
      </c>
      <c r="Y100" s="1">
        <v>5</v>
      </c>
      <c r="Z100" s="1">
        <v>0</v>
      </c>
      <c r="AA100" s="1">
        <v>0</v>
      </c>
      <c r="AB100" s="1">
        <v>17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0</v>
      </c>
      <c r="AP100" s="1">
        <v>0</v>
      </c>
      <c r="AQ100" s="1">
        <v>0</v>
      </c>
      <c r="AR100" s="1">
        <v>0</v>
      </c>
      <c r="AS100" s="1">
        <v>0</v>
      </c>
      <c r="AT100" s="1">
        <v>0</v>
      </c>
      <c r="AU100" s="1">
        <v>12</v>
      </c>
      <c r="AV100" s="1">
        <v>8</v>
      </c>
      <c r="AW100" s="1">
        <v>0</v>
      </c>
      <c r="AX100" s="1">
        <v>0</v>
      </c>
      <c r="AY100" s="1">
        <v>0</v>
      </c>
      <c r="AZ100" s="1">
        <v>0</v>
      </c>
      <c r="BA100" s="1">
        <v>10</v>
      </c>
      <c r="BB100" s="1">
        <v>0</v>
      </c>
      <c r="BC100" s="1">
        <v>21</v>
      </c>
      <c r="BD100" s="1">
        <v>0</v>
      </c>
      <c r="BE100" s="1">
        <v>0</v>
      </c>
      <c r="BF100" s="1">
        <v>6</v>
      </c>
      <c r="BG100" s="1">
        <v>0</v>
      </c>
      <c r="BH100" s="1">
        <v>0</v>
      </c>
      <c r="BI100" s="1">
        <v>0</v>
      </c>
      <c r="BJ100" s="1">
        <v>0</v>
      </c>
      <c r="BK100" s="1">
        <v>8</v>
      </c>
      <c r="BL100" s="1">
        <v>0</v>
      </c>
      <c r="BM100" s="9">
        <f>SUM(Tabla3[[#This Row],[SEM.1]:[SEM.52]])</f>
        <v>128</v>
      </c>
      <c r="BN100" s="9">
        <v>128</v>
      </c>
      <c r="BO100" s="24">
        <f>Tabla3[[#This Row],[CONSUMO TOTAL V]]/52</f>
        <v>2.4615384615384617</v>
      </c>
      <c r="BP100" s="36">
        <f>Tabla3[[#This Row],[CONSUMO PROMEDIO ]]*Tabla3[[#This Row],[FRECUENCIA]]*Tabla3[[#This Row],[TIEMPO REPOSICION ]]*1.5*2.4</f>
        <v>5.3169230769230769</v>
      </c>
      <c r="BQ100">
        <v>8</v>
      </c>
      <c r="BR100" s="13">
        <f>Tabla17[[#This Row],[CONSUMO TOTAL TODAS]]/52</f>
        <v>0</v>
      </c>
    </row>
    <row r="101" spans="1:70">
      <c r="A101" s="3" t="s">
        <v>633</v>
      </c>
      <c r="B101" s="3" t="s">
        <v>634</v>
      </c>
      <c r="C101" s="3" t="s">
        <v>702</v>
      </c>
      <c r="D101" s="3" t="s">
        <v>712</v>
      </c>
      <c r="E101" s="7" t="s">
        <v>715</v>
      </c>
      <c r="F101" s="7" t="s">
        <v>724</v>
      </c>
      <c r="G101" s="7" t="s">
        <v>729</v>
      </c>
      <c r="H101" s="13">
        <v>18.989999999999998</v>
      </c>
      <c r="I101" s="13">
        <f t="shared" si="5"/>
        <v>14.2425</v>
      </c>
      <c r="J101" s="13">
        <v>7.9442899999999996</v>
      </c>
      <c r="K101" s="7">
        <v>1</v>
      </c>
      <c r="L101" s="19">
        <v>0.6</v>
      </c>
      <c r="M101" s="3">
        <v>0</v>
      </c>
      <c r="N101" s="3">
        <v>0</v>
      </c>
      <c r="O101" s="3">
        <v>23</v>
      </c>
      <c r="P101" s="3">
        <v>0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V101" s="3">
        <v>10</v>
      </c>
      <c r="W101" s="3">
        <v>0</v>
      </c>
      <c r="X101" s="3">
        <v>7</v>
      </c>
      <c r="Y101" s="3">
        <v>15</v>
      </c>
      <c r="Z101" s="3">
        <v>0</v>
      </c>
      <c r="AA101" s="3">
        <v>0</v>
      </c>
      <c r="AB101" s="3">
        <v>0</v>
      </c>
      <c r="AC101" s="3">
        <v>8</v>
      </c>
      <c r="AD101" s="3">
        <v>0</v>
      </c>
      <c r="AE101" s="3">
        <v>10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>
        <v>0</v>
      </c>
      <c r="AL101" s="3">
        <v>3</v>
      </c>
      <c r="AM101" s="3">
        <v>0</v>
      </c>
      <c r="AN101" s="3">
        <v>20</v>
      </c>
      <c r="AO101" s="3">
        <v>0</v>
      </c>
      <c r="AP101" s="3">
        <v>22</v>
      </c>
      <c r="AQ101" s="3">
        <v>0</v>
      </c>
      <c r="AR101" s="3">
        <v>0</v>
      </c>
      <c r="AS101" s="3">
        <v>0</v>
      </c>
      <c r="AT101" s="3">
        <v>0</v>
      </c>
      <c r="AU101" s="3">
        <v>0</v>
      </c>
      <c r="AV101" s="3">
        <v>0</v>
      </c>
      <c r="AW101" s="3">
        <v>7</v>
      </c>
      <c r="AX101" s="3">
        <v>0</v>
      </c>
      <c r="AY101" s="3">
        <v>1</v>
      </c>
      <c r="AZ101" s="3">
        <v>0</v>
      </c>
      <c r="BA101" s="3">
        <v>21</v>
      </c>
      <c r="BB101" s="3">
        <v>0</v>
      </c>
      <c r="BC101" s="3">
        <v>24</v>
      </c>
      <c r="BD101" s="3">
        <v>8</v>
      </c>
      <c r="BE101" s="3">
        <v>0</v>
      </c>
      <c r="BF101" s="3">
        <v>0</v>
      </c>
      <c r="BG101" s="3">
        <v>0</v>
      </c>
      <c r="BH101" s="3">
        <v>0</v>
      </c>
      <c r="BI101" s="3">
        <v>1</v>
      </c>
      <c r="BJ101" s="3">
        <v>0</v>
      </c>
      <c r="BK101" s="3">
        <v>1</v>
      </c>
      <c r="BL101" s="3">
        <v>0</v>
      </c>
      <c r="BM101" s="9">
        <f>SUM(Tabla3[[#This Row],[SEM.1]:[SEM.52]])</f>
        <v>181</v>
      </c>
      <c r="BN101" s="9">
        <v>181</v>
      </c>
      <c r="BO101" s="24">
        <f>Tabla3[[#This Row],[CONSUMO TOTAL V]]/52</f>
        <v>3.4807692307692308</v>
      </c>
      <c r="BP101" s="36">
        <f>Tabla3[[#This Row],[CONSUMO PROMEDIO ]]*Tabla3[[#This Row],[FRECUENCIA]]*Tabla3[[#This Row],[TIEMPO REPOSICION ]]*1.5*2.4</f>
        <v>7.5184615384615379</v>
      </c>
      <c r="BQ101">
        <v>20</v>
      </c>
      <c r="BR101" s="13">
        <f>Tabla17[[#This Row],[CONSUMO TOTAL TODAS]]/52</f>
        <v>0</v>
      </c>
    </row>
    <row r="102" spans="1:70">
      <c r="A102" s="3" t="s">
        <v>635</v>
      </c>
      <c r="B102" s="3" t="s">
        <v>636</v>
      </c>
      <c r="C102" s="3" t="s">
        <v>2</v>
      </c>
      <c r="D102" s="3" t="s">
        <v>709</v>
      </c>
      <c r="E102" s="7" t="s">
        <v>719</v>
      </c>
      <c r="F102" s="7" t="s">
        <v>724</v>
      </c>
      <c r="G102" s="7" t="s">
        <v>729</v>
      </c>
      <c r="H102" s="13">
        <v>1.99</v>
      </c>
      <c r="I102" s="13">
        <f t="shared" si="5"/>
        <v>1.4924999999999999</v>
      </c>
      <c r="J102" s="13">
        <v>0.81947000000000003</v>
      </c>
      <c r="K102" s="7">
        <v>1</v>
      </c>
      <c r="L102" s="19">
        <v>0.6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3">
        <v>0</v>
      </c>
      <c r="T102" s="3">
        <v>0</v>
      </c>
      <c r="U102" s="3">
        <v>0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3">
        <v>0</v>
      </c>
      <c r="AB102" s="3">
        <v>0</v>
      </c>
      <c r="AC102" s="3">
        <v>0</v>
      </c>
      <c r="AD102" s="3">
        <v>0</v>
      </c>
      <c r="AE102" s="3">
        <v>0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>
        <v>0</v>
      </c>
      <c r="AL102" s="3">
        <v>0</v>
      </c>
      <c r="AM102" s="3">
        <v>0</v>
      </c>
      <c r="AN102" s="3">
        <v>21</v>
      </c>
      <c r="AO102" s="3">
        <v>0</v>
      </c>
      <c r="AP102" s="3">
        <v>0</v>
      </c>
      <c r="AQ102" s="3">
        <v>0</v>
      </c>
      <c r="AR102" s="3">
        <v>0</v>
      </c>
      <c r="AS102" s="3">
        <v>0</v>
      </c>
      <c r="AT102" s="3">
        <v>0</v>
      </c>
      <c r="AU102" s="3">
        <v>0</v>
      </c>
      <c r="AV102" s="3">
        <v>0</v>
      </c>
      <c r="AW102" s="3">
        <v>0</v>
      </c>
      <c r="AX102" s="3">
        <v>0</v>
      </c>
      <c r="AY102" s="3">
        <v>0</v>
      </c>
      <c r="AZ102" s="3">
        <v>0</v>
      </c>
      <c r="BA102" s="3">
        <v>0</v>
      </c>
      <c r="BB102" s="3">
        <v>0</v>
      </c>
      <c r="BC102" s="3">
        <v>0</v>
      </c>
      <c r="BD102" s="3">
        <v>0</v>
      </c>
      <c r="BE102" s="3">
        <v>21</v>
      </c>
      <c r="BF102" s="3">
        <v>0</v>
      </c>
      <c r="BG102" s="3">
        <v>0</v>
      </c>
      <c r="BH102" s="3">
        <v>0</v>
      </c>
      <c r="BI102" s="3">
        <v>0</v>
      </c>
      <c r="BJ102" s="3">
        <v>0</v>
      </c>
      <c r="BK102" s="3">
        <v>0</v>
      </c>
      <c r="BL102" s="3">
        <v>0</v>
      </c>
      <c r="BM102" s="9">
        <f>SUM(Tabla3[[#This Row],[SEM.1]:[SEM.52]])</f>
        <v>42</v>
      </c>
      <c r="BN102" s="9">
        <v>42</v>
      </c>
      <c r="BO102" s="24">
        <f>Tabla3[[#This Row],[CONSUMO TOTAL V]]/52</f>
        <v>0.80769230769230771</v>
      </c>
      <c r="BP102" s="36">
        <f>Tabla3[[#This Row],[CONSUMO PROMEDIO ]]*Tabla3[[#This Row],[FRECUENCIA]]*Tabla3[[#This Row],[TIEMPO REPOSICION ]]*1.5*2.4</f>
        <v>1.7446153846153845</v>
      </c>
      <c r="BQ102">
        <v>3</v>
      </c>
      <c r="BR102" s="13">
        <f>Tabla17[[#This Row],[CONSUMO TOTAL TODAS]]/52</f>
        <v>0</v>
      </c>
    </row>
    <row r="103" spans="1:70">
      <c r="A103" s="3" t="s">
        <v>637</v>
      </c>
      <c r="B103" s="3" t="s">
        <v>638</v>
      </c>
      <c r="C103" s="3" t="s">
        <v>2</v>
      </c>
      <c r="D103" s="3" t="s">
        <v>709</v>
      </c>
      <c r="E103" s="7" t="s">
        <v>719</v>
      </c>
      <c r="F103" s="7" t="s">
        <v>724</v>
      </c>
      <c r="G103" s="7" t="s">
        <v>729</v>
      </c>
      <c r="H103" s="13">
        <v>3.59</v>
      </c>
      <c r="I103" s="13">
        <f t="shared" si="5"/>
        <v>2.6924999999999999</v>
      </c>
      <c r="J103" s="13">
        <v>1.23912</v>
      </c>
      <c r="K103" s="7">
        <v>1</v>
      </c>
      <c r="L103" s="19">
        <v>0.6</v>
      </c>
      <c r="M103" s="3">
        <v>0</v>
      </c>
      <c r="N103" s="3">
        <v>21</v>
      </c>
      <c r="O103" s="3">
        <v>0</v>
      </c>
      <c r="P103" s="3">
        <v>0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0</v>
      </c>
      <c r="W103" s="3">
        <v>6</v>
      </c>
      <c r="X103" s="3">
        <v>10</v>
      </c>
      <c r="Y103" s="3">
        <v>0</v>
      </c>
      <c r="Z103" s="3">
        <v>0</v>
      </c>
      <c r="AA103" s="3">
        <v>6</v>
      </c>
      <c r="AB103" s="3">
        <v>13</v>
      </c>
      <c r="AC103" s="3">
        <v>0</v>
      </c>
      <c r="AD103" s="3">
        <v>0</v>
      </c>
      <c r="AE103" s="3">
        <v>0</v>
      </c>
      <c r="AF103" s="3">
        <v>0</v>
      </c>
      <c r="AG103" s="3">
        <v>0</v>
      </c>
      <c r="AH103" s="3">
        <v>0</v>
      </c>
      <c r="AI103" s="3">
        <v>0</v>
      </c>
      <c r="AJ103" s="3">
        <v>0</v>
      </c>
      <c r="AK103" s="3">
        <v>0</v>
      </c>
      <c r="AL103" s="3">
        <v>0</v>
      </c>
      <c r="AM103" s="3">
        <v>21</v>
      </c>
      <c r="AN103" s="3">
        <v>0</v>
      </c>
      <c r="AO103" s="3">
        <v>0</v>
      </c>
      <c r="AP103" s="3">
        <v>0</v>
      </c>
      <c r="AQ103" s="3">
        <v>26</v>
      </c>
      <c r="AR103" s="3">
        <v>0</v>
      </c>
      <c r="AS103" s="3">
        <v>0</v>
      </c>
      <c r="AT103" s="3">
        <v>12</v>
      </c>
      <c r="AU103" s="3">
        <v>0</v>
      </c>
      <c r="AV103" s="3">
        <v>0</v>
      </c>
      <c r="AW103" s="3">
        <v>21</v>
      </c>
      <c r="AX103" s="3">
        <v>0</v>
      </c>
      <c r="AY103" s="3">
        <v>0</v>
      </c>
      <c r="AZ103" s="3">
        <v>1</v>
      </c>
      <c r="BA103" s="3">
        <v>0</v>
      </c>
      <c r="BB103" s="3">
        <v>0</v>
      </c>
      <c r="BC103" s="3">
        <v>0</v>
      </c>
      <c r="BD103" s="3">
        <v>0</v>
      </c>
      <c r="BE103" s="3">
        <v>21</v>
      </c>
      <c r="BF103" s="3">
        <v>0</v>
      </c>
      <c r="BG103" s="3">
        <v>0</v>
      </c>
      <c r="BH103" s="3">
        <v>0</v>
      </c>
      <c r="BI103" s="3">
        <v>0</v>
      </c>
      <c r="BJ103" s="3">
        <v>0</v>
      </c>
      <c r="BK103" s="3">
        <v>27</v>
      </c>
      <c r="BL103" s="3">
        <v>0</v>
      </c>
      <c r="BM103" s="9">
        <f>SUM(Tabla3[[#This Row],[SEM.1]:[SEM.52]])</f>
        <v>185</v>
      </c>
      <c r="BN103" s="9">
        <v>185</v>
      </c>
      <c r="BO103" s="24">
        <f>Tabla3[[#This Row],[CONSUMO TOTAL V]]/52</f>
        <v>3.5576923076923075</v>
      </c>
      <c r="BP103" s="36">
        <f>Tabla3[[#This Row],[CONSUMO PROMEDIO ]]*Tabla3[[#This Row],[FRECUENCIA]]*Tabla3[[#This Row],[TIEMPO REPOSICION ]]*1.5*2.4</f>
        <v>7.684615384615384</v>
      </c>
      <c r="BQ103">
        <v>20</v>
      </c>
      <c r="BR103" s="13">
        <f>Tabla17[[#This Row],[CONSUMO TOTAL TODAS]]/52</f>
        <v>0</v>
      </c>
    </row>
    <row r="104" spans="1:70">
      <c r="A104" s="3" t="s">
        <v>639</v>
      </c>
      <c r="B104" s="3" t="s">
        <v>640</v>
      </c>
      <c r="C104" s="3" t="s">
        <v>2</v>
      </c>
      <c r="D104" s="3" t="s">
        <v>709</v>
      </c>
      <c r="E104" s="7" t="s">
        <v>719</v>
      </c>
      <c r="F104" s="7" t="s">
        <v>724</v>
      </c>
      <c r="G104" s="7" t="s">
        <v>729</v>
      </c>
      <c r="H104" s="13">
        <v>5.79</v>
      </c>
      <c r="I104" s="13">
        <f t="shared" si="5"/>
        <v>4.3425000000000002</v>
      </c>
      <c r="J104" s="13">
        <v>2.3605499999999999</v>
      </c>
      <c r="K104" s="7">
        <v>1</v>
      </c>
      <c r="L104" s="19">
        <v>0.6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>
        <v>0</v>
      </c>
      <c r="X104" s="3">
        <v>0</v>
      </c>
      <c r="Y104" s="3">
        <v>0</v>
      </c>
      <c r="Z104" s="3">
        <v>0</v>
      </c>
      <c r="AA104" s="3">
        <v>6</v>
      </c>
      <c r="AB104" s="3">
        <v>0</v>
      </c>
      <c r="AC104" s="3">
        <v>0</v>
      </c>
      <c r="AD104" s="3">
        <v>0</v>
      </c>
      <c r="AE104" s="3">
        <v>0</v>
      </c>
      <c r="AF104" s="3">
        <v>0</v>
      </c>
      <c r="AG104" s="3">
        <v>0</v>
      </c>
      <c r="AH104" s="3">
        <v>0</v>
      </c>
      <c r="AI104" s="3">
        <v>0</v>
      </c>
      <c r="AJ104" s="3">
        <v>0</v>
      </c>
      <c r="AK104" s="3">
        <v>0</v>
      </c>
      <c r="AL104" s="3">
        <v>0</v>
      </c>
      <c r="AM104" s="3">
        <v>0</v>
      </c>
      <c r="AN104" s="3">
        <v>0</v>
      </c>
      <c r="AO104" s="3">
        <v>0</v>
      </c>
      <c r="AP104" s="3">
        <v>0</v>
      </c>
      <c r="AQ104" s="3">
        <v>5</v>
      </c>
      <c r="AR104" s="3">
        <v>0</v>
      </c>
      <c r="AS104" s="3">
        <v>0</v>
      </c>
      <c r="AT104" s="3">
        <v>0</v>
      </c>
      <c r="AU104" s="3">
        <v>0</v>
      </c>
      <c r="AV104" s="3">
        <v>0</v>
      </c>
      <c r="AW104" s="3">
        <v>0</v>
      </c>
      <c r="AX104" s="3">
        <v>0</v>
      </c>
      <c r="AY104" s="3">
        <v>0</v>
      </c>
      <c r="AZ104" s="3">
        <v>0</v>
      </c>
      <c r="BA104" s="3">
        <v>0</v>
      </c>
      <c r="BB104" s="3">
        <v>0</v>
      </c>
      <c r="BC104" s="3">
        <v>0</v>
      </c>
      <c r="BD104" s="3">
        <v>0</v>
      </c>
      <c r="BE104" s="3">
        <v>0</v>
      </c>
      <c r="BF104" s="3">
        <v>0</v>
      </c>
      <c r="BG104" s="3">
        <v>0</v>
      </c>
      <c r="BH104" s="3">
        <v>0</v>
      </c>
      <c r="BI104" s="3">
        <v>0</v>
      </c>
      <c r="BJ104" s="3">
        <v>0</v>
      </c>
      <c r="BK104" s="3">
        <v>6</v>
      </c>
      <c r="BL104" s="3">
        <v>0</v>
      </c>
      <c r="BM104" s="9">
        <f>SUM(Tabla3[[#This Row],[SEM.1]:[SEM.52]])</f>
        <v>17</v>
      </c>
      <c r="BN104" s="9">
        <v>17</v>
      </c>
      <c r="BO104" s="24">
        <f>Tabla3[[#This Row],[CONSUMO TOTAL V]]/52</f>
        <v>0.32692307692307693</v>
      </c>
      <c r="BP104" s="36">
        <f>Tabla3[[#This Row],[CONSUMO PROMEDIO ]]*Tabla3[[#This Row],[FRECUENCIA]]*Tabla3[[#This Row],[TIEMPO REPOSICION ]]*1.5*2.4</f>
        <v>0.70615384615384613</v>
      </c>
      <c r="BQ104">
        <v>1</v>
      </c>
      <c r="BR104" s="13">
        <f>Tabla17[[#This Row],[CONSUMO TOTAL TODAS]]/52</f>
        <v>0</v>
      </c>
    </row>
    <row r="105" spans="1:70">
      <c r="A105" s="1" t="s">
        <v>641</v>
      </c>
      <c r="B105" s="1" t="s">
        <v>642</v>
      </c>
      <c r="C105" s="1" t="s">
        <v>2</v>
      </c>
      <c r="D105" s="1" t="s">
        <v>709</v>
      </c>
      <c r="E105" s="7" t="s">
        <v>719</v>
      </c>
      <c r="F105" s="7" t="s">
        <v>724</v>
      </c>
      <c r="G105" s="7" t="s">
        <v>729</v>
      </c>
      <c r="H105" s="13">
        <v>11.5</v>
      </c>
      <c r="I105" s="13">
        <f t="shared" si="5"/>
        <v>8.625</v>
      </c>
      <c r="J105" s="13">
        <v>4.3064900000000002</v>
      </c>
      <c r="K105" s="7">
        <v>1</v>
      </c>
      <c r="L105" s="19">
        <v>0.6</v>
      </c>
      <c r="M105" s="1">
        <v>0</v>
      </c>
      <c r="N105" s="1">
        <v>0</v>
      </c>
      <c r="O105" s="1">
        <v>3</v>
      </c>
      <c r="P105" s="1">
        <v>0</v>
      </c>
      <c r="Q105" s="1">
        <v>0</v>
      </c>
      <c r="R105" s="1">
        <v>0</v>
      </c>
      <c r="S105" s="1">
        <v>2</v>
      </c>
      <c r="T105" s="1">
        <v>0</v>
      </c>
      <c r="U105" s="1">
        <v>10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1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0</v>
      </c>
      <c r="AJ105" s="1">
        <v>0</v>
      </c>
      <c r="AK105" s="1">
        <v>0</v>
      </c>
      <c r="AL105" s="1">
        <v>0</v>
      </c>
      <c r="AM105" s="1">
        <v>2</v>
      </c>
      <c r="AN105" s="1">
        <v>0</v>
      </c>
      <c r="AO105" s="1">
        <v>0</v>
      </c>
      <c r="AP105" s="1">
        <v>1</v>
      </c>
      <c r="AQ105" s="1">
        <v>5</v>
      </c>
      <c r="AR105" s="1">
        <v>1</v>
      </c>
      <c r="AS105" s="1">
        <v>0</v>
      </c>
      <c r="AT105" s="1">
        <v>0</v>
      </c>
      <c r="AU105" s="1">
        <v>1</v>
      </c>
      <c r="AV105" s="1">
        <v>0</v>
      </c>
      <c r="AW105" s="1">
        <v>0</v>
      </c>
      <c r="AX105" s="1">
        <v>0</v>
      </c>
      <c r="AY105" s="1">
        <v>0</v>
      </c>
      <c r="AZ105" s="1">
        <v>0</v>
      </c>
      <c r="BA105" s="1">
        <v>1</v>
      </c>
      <c r="BB105" s="1">
        <v>0</v>
      </c>
      <c r="BC105" s="1">
        <v>1</v>
      </c>
      <c r="BD105" s="1">
        <v>0</v>
      </c>
      <c r="BE105" s="1">
        <v>0</v>
      </c>
      <c r="BF105" s="1">
        <v>0</v>
      </c>
      <c r="BG105" s="1">
        <v>0</v>
      </c>
      <c r="BH105" s="1">
        <v>3</v>
      </c>
      <c r="BI105" s="1">
        <v>3</v>
      </c>
      <c r="BJ105" s="1">
        <v>0</v>
      </c>
      <c r="BK105" s="1">
        <v>10</v>
      </c>
      <c r="BL105" s="1">
        <v>0</v>
      </c>
      <c r="BM105" s="9">
        <f>SUM(Tabla3[[#This Row],[SEM.1]:[SEM.52]])</f>
        <v>44</v>
      </c>
      <c r="BN105" s="9">
        <v>44</v>
      </c>
      <c r="BO105" s="24">
        <f>Tabla3[[#This Row],[CONSUMO TOTAL V]]/52</f>
        <v>0.84615384615384615</v>
      </c>
      <c r="BP105" s="36">
        <f>Tabla3[[#This Row],[CONSUMO PROMEDIO ]]*Tabla3[[#This Row],[FRECUENCIA]]*Tabla3[[#This Row],[TIEMPO REPOSICION ]]*1.5*2.4</f>
        <v>1.8276923076923075</v>
      </c>
      <c r="BQ105">
        <v>4</v>
      </c>
      <c r="BR105" s="13">
        <f>Tabla17[[#This Row],[CONSUMO TOTAL TODAS]]/52</f>
        <v>0</v>
      </c>
    </row>
    <row r="106" spans="1:70">
      <c r="A106" s="3" t="s">
        <v>647</v>
      </c>
      <c r="B106" s="3" t="s">
        <v>648</v>
      </c>
      <c r="C106" s="3" t="s">
        <v>677</v>
      </c>
      <c r="D106" s="3" t="s">
        <v>708</v>
      </c>
      <c r="E106" s="7" t="s">
        <v>715</v>
      </c>
      <c r="F106" s="7" t="s">
        <v>724</v>
      </c>
      <c r="G106" s="7" t="s">
        <v>729</v>
      </c>
      <c r="H106" s="13">
        <v>24.9</v>
      </c>
      <c r="I106" s="13">
        <f t="shared" si="5"/>
        <v>18.674999999999997</v>
      </c>
      <c r="J106" s="13">
        <v>10.53856</v>
      </c>
      <c r="K106" s="7">
        <v>1</v>
      </c>
      <c r="L106" s="19">
        <v>0.6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3">
        <v>0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0</v>
      </c>
      <c r="AL106" s="3">
        <v>0</v>
      </c>
      <c r="AM106" s="3">
        <v>0</v>
      </c>
      <c r="AN106" s="3">
        <v>0</v>
      </c>
      <c r="AO106" s="3">
        <v>0</v>
      </c>
      <c r="AP106" s="3">
        <v>0</v>
      </c>
      <c r="AQ106" s="3">
        <v>0</v>
      </c>
      <c r="AR106" s="3">
        <v>0</v>
      </c>
      <c r="AS106" s="3">
        <v>0</v>
      </c>
      <c r="AT106" s="3">
        <v>0</v>
      </c>
      <c r="AU106" s="3">
        <v>0</v>
      </c>
      <c r="AV106" s="3">
        <v>0</v>
      </c>
      <c r="AW106" s="3">
        <v>0</v>
      </c>
      <c r="AX106" s="3">
        <v>0</v>
      </c>
      <c r="AY106" s="3">
        <v>0</v>
      </c>
      <c r="AZ106" s="3">
        <v>0</v>
      </c>
      <c r="BA106" s="3">
        <v>0</v>
      </c>
      <c r="BB106" s="3">
        <v>0</v>
      </c>
      <c r="BC106" s="3">
        <v>0</v>
      </c>
      <c r="BD106" s="3">
        <v>0</v>
      </c>
      <c r="BE106" s="3">
        <v>0</v>
      </c>
      <c r="BF106" s="3">
        <v>0</v>
      </c>
      <c r="BG106" s="3">
        <v>0</v>
      </c>
      <c r="BH106" s="3">
        <v>0</v>
      </c>
      <c r="BI106" s="3">
        <v>0</v>
      </c>
      <c r="BJ106" s="3">
        <v>0</v>
      </c>
      <c r="BK106" s="3">
        <v>0</v>
      </c>
      <c r="BL106" s="3">
        <v>0</v>
      </c>
      <c r="BM106" s="9">
        <f>SUM(Tabla3[[#This Row],[SEM.1]:[SEM.52]])</f>
        <v>0</v>
      </c>
      <c r="BN106" s="9">
        <v>0</v>
      </c>
      <c r="BO106" s="24">
        <f>Tabla3[[#This Row],[CONSUMO TOTAL V]]/52</f>
        <v>0</v>
      </c>
      <c r="BP106" s="36">
        <f>Tabla3[[#This Row],[CONSUMO PROMEDIO ]]*Tabla3[[#This Row],[FRECUENCIA]]*Tabla3[[#This Row],[TIEMPO REPOSICION ]]*1.5*2.4</f>
        <v>0</v>
      </c>
      <c r="BQ106">
        <v>10</v>
      </c>
      <c r="BR106" s="13">
        <f>Tabla17[[#This Row],[CONSUMO TOTAL TODAS]]/52</f>
        <v>0</v>
      </c>
    </row>
    <row r="107" spans="1:70">
      <c r="A107" s="3" t="s">
        <v>649</v>
      </c>
      <c r="B107" s="3" t="s">
        <v>650</v>
      </c>
      <c r="C107" s="3" t="s">
        <v>673</v>
      </c>
      <c r="D107" s="3" t="s">
        <v>708</v>
      </c>
      <c r="E107" s="7" t="s">
        <v>715</v>
      </c>
      <c r="F107" s="7" t="s">
        <v>724</v>
      </c>
      <c r="G107" s="7" t="s">
        <v>729</v>
      </c>
      <c r="H107" s="13">
        <v>109.81</v>
      </c>
      <c r="I107" s="13">
        <f t="shared" si="5"/>
        <v>82.357500000000002</v>
      </c>
      <c r="J107" s="13">
        <v>55.988999999999997</v>
      </c>
      <c r="K107" s="7">
        <v>1</v>
      </c>
      <c r="L107" s="19">
        <v>0.6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0</v>
      </c>
      <c r="Y107" s="3">
        <v>0</v>
      </c>
      <c r="Z107" s="3">
        <v>0</v>
      </c>
      <c r="AA107" s="3">
        <v>0</v>
      </c>
      <c r="AB107" s="3">
        <v>0</v>
      </c>
      <c r="AC107" s="3">
        <v>0</v>
      </c>
      <c r="AD107" s="3">
        <v>0</v>
      </c>
      <c r="AE107" s="3">
        <v>0</v>
      </c>
      <c r="AF107" s="3">
        <v>0</v>
      </c>
      <c r="AG107" s="3">
        <v>0</v>
      </c>
      <c r="AH107" s="3">
        <v>0</v>
      </c>
      <c r="AI107" s="3">
        <v>0</v>
      </c>
      <c r="AJ107" s="3">
        <v>0</v>
      </c>
      <c r="AK107" s="3">
        <v>0</v>
      </c>
      <c r="AL107" s="3">
        <v>0</v>
      </c>
      <c r="AM107" s="3">
        <v>0</v>
      </c>
      <c r="AN107" s="3">
        <v>0</v>
      </c>
      <c r="AO107" s="3">
        <v>0</v>
      </c>
      <c r="AP107" s="3">
        <v>0</v>
      </c>
      <c r="AQ107" s="3">
        <v>0</v>
      </c>
      <c r="AR107" s="3">
        <v>0</v>
      </c>
      <c r="AS107" s="3">
        <v>0</v>
      </c>
      <c r="AT107" s="3">
        <v>0</v>
      </c>
      <c r="AU107" s="3">
        <v>0</v>
      </c>
      <c r="AV107" s="3">
        <v>0</v>
      </c>
      <c r="AW107" s="3">
        <v>0</v>
      </c>
      <c r="AX107" s="3">
        <v>0</v>
      </c>
      <c r="AY107" s="3">
        <v>0</v>
      </c>
      <c r="AZ107" s="3">
        <v>0</v>
      </c>
      <c r="BA107" s="3">
        <v>0</v>
      </c>
      <c r="BB107" s="3">
        <v>0</v>
      </c>
      <c r="BC107" s="3">
        <v>0</v>
      </c>
      <c r="BD107" s="3">
        <v>0</v>
      </c>
      <c r="BE107" s="3">
        <v>0</v>
      </c>
      <c r="BF107" s="3">
        <v>0</v>
      </c>
      <c r="BG107" s="3">
        <v>0</v>
      </c>
      <c r="BH107" s="3">
        <v>0</v>
      </c>
      <c r="BI107" s="3">
        <v>0</v>
      </c>
      <c r="BJ107" s="3">
        <v>0</v>
      </c>
      <c r="BK107" s="3">
        <v>0</v>
      </c>
      <c r="BL107" s="3">
        <v>0</v>
      </c>
      <c r="BM107" s="9">
        <f>SUM(Tabla3[[#This Row],[SEM.1]:[SEM.52]])</f>
        <v>0</v>
      </c>
      <c r="BN107" s="9">
        <v>0</v>
      </c>
      <c r="BO107" s="24">
        <f>Tabla3[[#This Row],[CONSUMO TOTAL V]]/52</f>
        <v>0</v>
      </c>
      <c r="BP107" s="36">
        <f>Tabla3[[#This Row],[CONSUMO PROMEDIO ]]*Tabla3[[#This Row],[FRECUENCIA]]*Tabla3[[#This Row],[TIEMPO REPOSICION ]]*1.5*2.4</f>
        <v>0</v>
      </c>
      <c r="BQ107">
        <v>0</v>
      </c>
      <c r="BR107" s="13">
        <f>Tabla17[[#This Row],[CONSUMO TOTAL TODAS]]/52</f>
        <v>0</v>
      </c>
    </row>
    <row r="108" spans="1:70">
      <c r="A108" s="1" t="s">
        <v>659</v>
      </c>
      <c r="B108" s="1" t="s">
        <v>660</v>
      </c>
      <c r="C108" s="1" t="s">
        <v>688</v>
      </c>
      <c r="D108" s="1" t="s">
        <v>707</v>
      </c>
      <c r="E108" s="7" t="s">
        <v>732</v>
      </c>
      <c r="F108" s="7" t="s">
        <v>724</v>
      </c>
      <c r="G108" s="7" t="s">
        <v>729</v>
      </c>
      <c r="H108" s="13">
        <v>189</v>
      </c>
      <c r="I108" s="13">
        <f>+H108*85%</f>
        <v>160.65</v>
      </c>
      <c r="J108" s="13">
        <v>133.21</v>
      </c>
      <c r="K108" s="7">
        <v>1</v>
      </c>
      <c r="L108" s="19">
        <v>0.6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0</v>
      </c>
      <c r="AK108" s="1">
        <v>0</v>
      </c>
      <c r="AL108" s="1">
        <v>0</v>
      </c>
      <c r="AM108" s="1">
        <v>0</v>
      </c>
      <c r="AN108" s="1">
        <v>0</v>
      </c>
      <c r="AO108" s="1">
        <v>0</v>
      </c>
      <c r="AP108" s="1">
        <v>0</v>
      </c>
      <c r="AQ108" s="1">
        <v>0</v>
      </c>
      <c r="AR108" s="1">
        <v>0</v>
      </c>
      <c r="AS108" s="1">
        <v>0</v>
      </c>
      <c r="AT108" s="1">
        <v>0</v>
      </c>
      <c r="AU108" s="1">
        <v>0</v>
      </c>
      <c r="AV108" s="1">
        <v>0</v>
      </c>
      <c r="AW108" s="1">
        <v>0</v>
      </c>
      <c r="AX108" s="1">
        <v>0</v>
      </c>
      <c r="AY108" s="1">
        <v>0</v>
      </c>
      <c r="AZ108" s="1">
        <v>0</v>
      </c>
      <c r="BA108" s="1">
        <v>0</v>
      </c>
      <c r="BB108" s="1">
        <v>0</v>
      </c>
      <c r="BC108" s="1">
        <v>0</v>
      </c>
      <c r="BD108" s="1">
        <v>0</v>
      </c>
      <c r="BE108" s="1">
        <v>0</v>
      </c>
      <c r="BF108" s="1">
        <v>0</v>
      </c>
      <c r="BG108" s="1">
        <v>0</v>
      </c>
      <c r="BH108" s="1">
        <v>0</v>
      </c>
      <c r="BI108" s="1">
        <v>0</v>
      </c>
      <c r="BJ108" s="1">
        <v>0</v>
      </c>
      <c r="BK108" s="1">
        <v>0</v>
      </c>
      <c r="BL108" s="1">
        <v>0</v>
      </c>
      <c r="BM108" s="9">
        <f>SUM(Tabla3[[#This Row],[SEM.1]:[SEM.52]])</f>
        <v>0</v>
      </c>
      <c r="BN108" s="9">
        <v>0</v>
      </c>
      <c r="BO108" s="24">
        <f>Tabla3[[#This Row],[CONSUMO TOTAL V]]/52</f>
        <v>0</v>
      </c>
      <c r="BP108" s="36">
        <f>Tabla3[[#This Row],[CONSUMO PROMEDIO ]]*Tabla3[[#This Row],[FRECUENCIA]]*Tabla3[[#This Row],[TIEMPO REPOSICION ]]*1.5*2.4</f>
        <v>0</v>
      </c>
      <c r="BQ108">
        <v>1</v>
      </c>
      <c r="BR108" s="13">
        <f>Tabla17[[#This Row],[CONSUMO TOTAL TODAS]]/52</f>
        <v>0</v>
      </c>
    </row>
    <row r="109" spans="1:70">
      <c r="A109" s="1" t="s">
        <v>661</v>
      </c>
      <c r="B109" s="1" t="s">
        <v>662</v>
      </c>
      <c r="C109" s="1" t="s">
        <v>681</v>
      </c>
      <c r="D109" s="1" t="s">
        <v>707</v>
      </c>
      <c r="E109" s="7" t="s">
        <v>732</v>
      </c>
      <c r="F109" s="7" t="s">
        <v>724</v>
      </c>
      <c r="G109" s="7" t="s">
        <v>729</v>
      </c>
      <c r="H109" s="13">
        <v>38.4</v>
      </c>
      <c r="I109" s="13">
        <f>+H109*85%</f>
        <v>32.64</v>
      </c>
      <c r="J109" s="13">
        <v>27.594000000000001</v>
      </c>
      <c r="K109" s="7">
        <v>1</v>
      </c>
      <c r="L109" s="19">
        <v>0.6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0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P109" s="1">
        <v>0</v>
      </c>
      <c r="AQ109" s="1">
        <v>0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W109" s="1">
        <v>0</v>
      </c>
      <c r="AX109" s="1">
        <v>0</v>
      </c>
      <c r="AY109" s="1">
        <v>0</v>
      </c>
      <c r="AZ109" s="1">
        <v>0</v>
      </c>
      <c r="BA109" s="1">
        <v>0</v>
      </c>
      <c r="BB109" s="1">
        <v>0</v>
      </c>
      <c r="BC109" s="1">
        <v>0</v>
      </c>
      <c r="BD109" s="1">
        <v>0</v>
      </c>
      <c r="BE109" s="1">
        <v>0</v>
      </c>
      <c r="BF109" s="1">
        <v>0</v>
      </c>
      <c r="BG109" s="1">
        <v>0</v>
      </c>
      <c r="BH109" s="1">
        <v>0</v>
      </c>
      <c r="BI109" s="1">
        <v>0</v>
      </c>
      <c r="BJ109" s="1">
        <v>0</v>
      </c>
      <c r="BK109" s="1">
        <v>0</v>
      </c>
      <c r="BL109" s="1">
        <v>0</v>
      </c>
      <c r="BM109" s="9">
        <f>SUM(Tabla3[[#This Row],[SEM.1]:[SEM.52]])</f>
        <v>0</v>
      </c>
      <c r="BN109" s="9">
        <v>0</v>
      </c>
      <c r="BO109" s="24">
        <f>Tabla3[[#This Row],[CONSUMO TOTAL V]]/52</f>
        <v>0</v>
      </c>
      <c r="BP109" s="36">
        <f>Tabla3[[#This Row],[CONSUMO PROMEDIO ]]*Tabla3[[#This Row],[FRECUENCIA]]*Tabla3[[#This Row],[TIEMPO REPOSICION ]]*1.5*2.4</f>
        <v>0</v>
      </c>
      <c r="BQ109">
        <v>3</v>
      </c>
      <c r="BR109" s="13">
        <f>Tabla17[[#This Row],[CONSUMO TOTAL TODAS]]/52</f>
        <v>0</v>
      </c>
    </row>
    <row r="110" spans="1:70">
      <c r="A110" s="3" t="s">
        <v>663</v>
      </c>
      <c r="B110" s="3" t="s">
        <v>664</v>
      </c>
      <c r="C110" s="3" t="s">
        <v>676</v>
      </c>
      <c r="D110" s="3" t="s">
        <v>707</v>
      </c>
      <c r="E110" s="7" t="s">
        <v>732</v>
      </c>
      <c r="F110" s="7" t="s">
        <v>724</v>
      </c>
      <c r="G110" s="7" t="s">
        <v>729</v>
      </c>
      <c r="H110" s="13">
        <v>10.5</v>
      </c>
      <c r="I110" s="13">
        <f>+H110*85%</f>
        <v>8.9249999999999989</v>
      </c>
      <c r="J110" s="13">
        <v>6.9065300000000001</v>
      </c>
      <c r="K110" s="7">
        <v>1</v>
      </c>
      <c r="L110" s="19">
        <v>0.6</v>
      </c>
      <c r="M110" s="3">
        <v>0</v>
      </c>
      <c r="N110" s="3">
        <v>0</v>
      </c>
      <c r="O110" s="3">
        <v>0</v>
      </c>
      <c r="P110" s="3">
        <v>0</v>
      </c>
      <c r="Q110" s="3">
        <v>4</v>
      </c>
      <c r="R110" s="3">
        <v>4</v>
      </c>
      <c r="S110" s="3">
        <v>4</v>
      </c>
      <c r="T110" s="3">
        <v>0</v>
      </c>
      <c r="U110" s="3">
        <v>0</v>
      </c>
      <c r="V110" s="3">
        <v>4</v>
      </c>
      <c r="W110" s="3">
        <v>0</v>
      </c>
      <c r="X110" s="3">
        <v>4</v>
      </c>
      <c r="Y110" s="3">
        <v>0</v>
      </c>
      <c r="Z110" s="3">
        <v>0</v>
      </c>
      <c r="AA110" s="3">
        <v>0</v>
      </c>
      <c r="AB110" s="3">
        <v>0</v>
      </c>
      <c r="AC110" s="3">
        <v>0</v>
      </c>
      <c r="AD110" s="3">
        <v>0</v>
      </c>
      <c r="AE110" s="3">
        <v>0</v>
      </c>
      <c r="AF110" s="3">
        <v>0</v>
      </c>
      <c r="AG110" s="3">
        <v>0</v>
      </c>
      <c r="AH110" s="3">
        <v>0</v>
      </c>
      <c r="AI110" s="3">
        <v>0</v>
      </c>
      <c r="AJ110" s="3">
        <v>0</v>
      </c>
      <c r="AK110" s="3">
        <v>0</v>
      </c>
      <c r="AL110" s="3">
        <v>0</v>
      </c>
      <c r="AM110" s="3">
        <v>0</v>
      </c>
      <c r="AN110" s="3">
        <v>0</v>
      </c>
      <c r="AO110" s="3">
        <v>0</v>
      </c>
      <c r="AP110" s="3">
        <v>0</v>
      </c>
      <c r="AQ110" s="3">
        <v>2</v>
      </c>
      <c r="AR110" s="3">
        <v>0</v>
      </c>
      <c r="AS110" s="3">
        <v>0</v>
      </c>
      <c r="AT110" s="3">
        <v>0</v>
      </c>
      <c r="AU110" s="3">
        <v>0</v>
      </c>
      <c r="AV110" s="3">
        <v>0</v>
      </c>
      <c r="AW110" s="3">
        <v>0</v>
      </c>
      <c r="AX110" s="3">
        <v>0</v>
      </c>
      <c r="AY110" s="3">
        <v>0</v>
      </c>
      <c r="AZ110" s="3">
        <v>0</v>
      </c>
      <c r="BA110" s="3">
        <v>0</v>
      </c>
      <c r="BB110" s="3">
        <v>0</v>
      </c>
      <c r="BC110" s="3">
        <v>0</v>
      </c>
      <c r="BD110" s="3">
        <v>0</v>
      </c>
      <c r="BE110" s="3">
        <v>0</v>
      </c>
      <c r="BF110" s="3">
        <v>0</v>
      </c>
      <c r="BG110" s="3">
        <v>0</v>
      </c>
      <c r="BH110" s="3">
        <v>0</v>
      </c>
      <c r="BI110" s="3">
        <v>0</v>
      </c>
      <c r="BJ110" s="3">
        <v>0</v>
      </c>
      <c r="BK110" s="3">
        <v>0</v>
      </c>
      <c r="BL110" s="3">
        <v>0</v>
      </c>
      <c r="BM110" s="9">
        <f>SUM(Tabla3[[#This Row],[SEM.1]:[SEM.52]])</f>
        <v>22</v>
      </c>
      <c r="BN110" s="9">
        <v>22</v>
      </c>
      <c r="BO110" s="24">
        <f>Tabla3[[#This Row],[CONSUMO TOTAL V]]/52</f>
        <v>0.42307692307692307</v>
      </c>
      <c r="BP110" s="36">
        <f>Tabla3[[#This Row],[CONSUMO PROMEDIO ]]*Tabla3[[#This Row],[FRECUENCIA]]*Tabla3[[#This Row],[TIEMPO REPOSICION ]]*1.5*2.4</f>
        <v>0.91384615384615375</v>
      </c>
      <c r="BQ110">
        <v>10</v>
      </c>
      <c r="BR110" s="13">
        <f>Tabla17[[#This Row],[CONSUMO TOTAL TODAS]]/52</f>
        <v>0</v>
      </c>
    </row>
    <row r="111" spans="1:70">
      <c r="A111" s="43" t="s">
        <v>733</v>
      </c>
      <c r="B111" s="46" t="s">
        <v>734</v>
      </c>
      <c r="C111" s="46" t="s">
        <v>735</v>
      </c>
      <c r="D111" s="46" t="s">
        <v>709</v>
      </c>
      <c r="E111" s="46" t="s">
        <v>732</v>
      </c>
      <c r="F111" s="46" t="s">
        <v>724</v>
      </c>
      <c r="G111" s="46" t="s">
        <v>729</v>
      </c>
      <c r="H111" s="49">
        <v>30.15</v>
      </c>
      <c r="I111" s="49">
        <f>+H111*85%</f>
        <v>25.627499999999998</v>
      </c>
      <c r="J111" s="49">
        <v>16.13</v>
      </c>
      <c r="K111" s="7">
        <v>1</v>
      </c>
      <c r="L111" s="19">
        <v>0.6</v>
      </c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  <c r="BC111" s="46"/>
      <c r="BD111" s="46"/>
      <c r="BE111" s="46"/>
      <c r="BF111" s="46"/>
      <c r="BG111" s="46"/>
      <c r="BH111" s="46"/>
      <c r="BI111" s="46"/>
      <c r="BJ111" s="46"/>
      <c r="BK111" s="46"/>
      <c r="BL111" s="46"/>
      <c r="BM111" s="9">
        <f>SUM(Tabla3[[#This Row],[SEM.1]:[SEM.52]])</f>
        <v>0</v>
      </c>
      <c r="BN111" s="9">
        <v>0</v>
      </c>
      <c r="BO111" s="24">
        <f>Tabla3[[#This Row],[CONSUMO TOTAL V]]/52</f>
        <v>0</v>
      </c>
      <c r="BP111" s="36">
        <f>Tabla3[[#This Row],[CONSUMO PROMEDIO ]]*Tabla3[[#This Row],[FRECUENCIA]]*Tabla3[[#This Row],[TIEMPO REPOSICION ]]*1.5*2.4</f>
        <v>0</v>
      </c>
      <c r="BQ111" s="58">
        <v>20</v>
      </c>
      <c r="BR111" s="49">
        <f>Tabla17[[#This Row],[CONSUMO TOTAL TODAS]]/52</f>
        <v>0</v>
      </c>
    </row>
    <row r="112" spans="1:70">
      <c r="A112" s="41" t="s">
        <v>730</v>
      </c>
      <c r="B112" s="45" t="s">
        <v>731</v>
      </c>
      <c r="C112" s="45" t="s">
        <v>676</v>
      </c>
      <c r="D112" s="45" t="s">
        <v>709</v>
      </c>
      <c r="E112" s="45" t="s">
        <v>732</v>
      </c>
      <c r="F112" s="45" t="s">
        <v>724</v>
      </c>
      <c r="G112" s="45" t="s">
        <v>729</v>
      </c>
      <c r="H112" s="47">
        <v>108</v>
      </c>
      <c r="I112" s="47">
        <f>+H112*85%</f>
        <v>91.8</v>
      </c>
      <c r="J112" s="47">
        <v>62.6</v>
      </c>
      <c r="K112" s="7">
        <v>1</v>
      </c>
      <c r="L112" s="19">
        <v>0.6</v>
      </c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/>
      <c r="AQ112" s="45"/>
      <c r="AR112" s="45"/>
      <c r="AS112" s="45"/>
      <c r="AT112" s="45"/>
      <c r="AU112" s="45"/>
      <c r="AV112" s="45"/>
      <c r="AW112" s="45"/>
      <c r="AX112" s="45"/>
      <c r="AY112" s="45"/>
      <c r="AZ112" s="45"/>
      <c r="BA112" s="45"/>
      <c r="BB112" s="45"/>
      <c r="BC112" s="45"/>
      <c r="BD112" s="45"/>
      <c r="BE112" s="45"/>
      <c r="BF112" s="45"/>
      <c r="BG112" s="45"/>
      <c r="BH112" s="45"/>
      <c r="BI112" s="45"/>
      <c r="BJ112" s="45"/>
      <c r="BK112" s="45"/>
      <c r="BL112" s="45"/>
      <c r="BM112" s="9">
        <f>SUM(Tabla3[[#This Row],[SEM.1]:[SEM.52]])</f>
        <v>0</v>
      </c>
      <c r="BN112" s="9">
        <v>0</v>
      </c>
      <c r="BO112" s="24">
        <f>Tabla3[[#This Row],[CONSUMO TOTAL V]]/52</f>
        <v>0</v>
      </c>
      <c r="BP112" s="36">
        <f>Tabla3[[#This Row],[CONSUMO PROMEDIO ]]*Tabla3[[#This Row],[FRECUENCIA]]*Tabla3[[#This Row],[TIEMPO REPOSICION ]]*1.5*2.4</f>
        <v>0</v>
      </c>
      <c r="BQ112" s="57">
        <v>20</v>
      </c>
      <c r="BR112" s="47">
        <f>Tabla17[[#This Row],[CONSUMO TOTAL TODAS]]/52</f>
        <v>0</v>
      </c>
    </row>
    <row r="113" spans="1:70">
      <c r="A113" s="3" t="s">
        <v>665</v>
      </c>
      <c r="B113" s="3" t="s">
        <v>666</v>
      </c>
      <c r="C113" s="3" t="s">
        <v>677</v>
      </c>
      <c r="D113" s="3" t="s">
        <v>709</v>
      </c>
      <c r="E113" s="7" t="s">
        <v>715</v>
      </c>
      <c r="F113" s="7" t="s">
        <v>724</v>
      </c>
      <c r="G113" s="7" t="s">
        <v>729</v>
      </c>
      <c r="H113" s="13">
        <v>6.5</v>
      </c>
      <c r="I113" s="13">
        <f>+H113*75%</f>
        <v>4.875</v>
      </c>
      <c r="J113" s="13">
        <v>1.3393999999999999</v>
      </c>
      <c r="K113" s="7">
        <v>1</v>
      </c>
      <c r="L113" s="19">
        <v>0.6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10</v>
      </c>
      <c r="S113" s="3">
        <v>10</v>
      </c>
      <c r="T113" s="3">
        <v>0</v>
      </c>
      <c r="U113" s="3">
        <v>16</v>
      </c>
      <c r="V113" s="3">
        <v>0</v>
      </c>
      <c r="W113" s="3">
        <v>0</v>
      </c>
      <c r="X113" s="3">
        <v>0</v>
      </c>
      <c r="Y113" s="3">
        <v>0</v>
      </c>
      <c r="Z113" s="3">
        <v>0</v>
      </c>
      <c r="AA113" s="3">
        <v>0</v>
      </c>
      <c r="AB113" s="3">
        <v>0</v>
      </c>
      <c r="AC113" s="3">
        <v>0</v>
      </c>
      <c r="AD113" s="3">
        <v>0</v>
      </c>
      <c r="AE113" s="3">
        <v>0</v>
      </c>
      <c r="AF113" s="3">
        <v>0</v>
      </c>
      <c r="AG113" s="3">
        <v>0</v>
      </c>
      <c r="AH113" s="3">
        <v>6</v>
      </c>
      <c r="AI113" s="3">
        <v>0</v>
      </c>
      <c r="AJ113" s="3">
        <v>0</v>
      </c>
      <c r="AK113" s="3">
        <v>12</v>
      </c>
      <c r="AL113" s="3">
        <v>0</v>
      </c>
      <c r="AM113" s="3">
        <v>0</v>
      </c>
      <c r="AN113" s="3">
        <v>10</v>
      </c>
      <c r="AO113" s="3">
        <v>0</v>
      </c>
      <c r="AP113" s="3">
        <v>0</v>
      </c>
      <c r="AQ113" s="3">
        <v>4</v>
      </c>
      <c r="AR113" s="3">
        <v>0</v>
      </c>
      <c r="AS113" s="3">
        <v>0</v>
      </c>
      <c r="AT113" s="3">
        <v>0</v>
      </c>
      <c r="AU113" s="3">
        <v>30</v>
      </c>
      <c r="AV113" s="3">
        <v>20</v>
      </c>
      <c r="AW113" s="3">
        <v>0</v>
      </c>
      <c r="AX113" s="3">
        <v>20</v>
      </c>
      <c r="AY113" s="3">
        <v>30</v>
      </c>
      <c r="AZ113" s="3">
        <v>0</v>
      </c>
      <c r="BA113" s="3">
        <v>20</v>
      </c>
      <c r="BB113" s="3">
        <v>5</v>
      </c>
      <c r="BC113" s="3">
        <v>52</v>
      </c>
      <c r="BD113" s="3">
        <v>5</v>
      </c>
      <c r="BE113" s="3">
        <v>0</v>
      </c>
      <c r="BF113" s="3">
        <v>0</v>
      </c>
      <c r="BG113" s="3">
        <v>0</v>
      </c>
      <c r="BH113" s="3">
        <v>23</v>
      </c>
      <c r="BI113" s="3">
        <v>0</v>
      </c>
      <c r="BJ113" s="3">
        <v>0</v>
      </c>
      <c r="BK113" s="3">
        <v>25</v>
      </c>
      <c r="BL113" s="3">
        <v>20</v>
      </c>
      <c r="BM113" s="9">
        <f>SUM(Tabla3[[#This Row],[SEM.1]:[SEM.52]])</f>
        <v>318</v>
      </c>
      <c r="BN113" s="9">
        <v>318</v>
      </c>
      <c r="BO113" s="24">
        <f>Tabla3[[#This Row],[CONSUMO TOTAL V]]/52</f>
        <v>6.115384615384615</v>
      </c>
      <c r="BP113" s="36">
        <f>Tabla3[[#This Row],[CONSUMO PROMEDIO ]]*Tabla3[[#This Row],[FRECUENCIA]]*Tabla3[[#This Row],[TIEMPO REPOSICION ]]*1.5*2.4</f>
        <v>13.209230769230766</v>
      </c>
      <c r="BQ113" s="3">
        <v>40</v>
      </c>
      <c r="BR113" s="13">
        <f>Tabla17[[#This Row],[CONSUMO TOTAL TODAS]]/52</f>
        <v>0</v>
      </c>
    </row>
    <row r="114" spans="1:70">
      <c r="A114" s="56" t="s">
        <v>667</v>
      </c>
      <c r="B114" s="57" t="s">
        <v>668</v>
      </c>
      <c r="C114" s="57" t="s">
        <v>676</v>
      </c>
      <c r="D114" s="57" t="s">
        <v>709</v>
      </c>
      <c r="E114" s="45" t="s">
        <v>715</v>
      </c>
      <c r="F114" s="45" t="s">
        <v>724</v>
      </c>
      <c r="G114" s="45" t="s">
        <v>729</v>
      </c>
      <c r="H114" s="47">
        <v>59</v>
      </c>
      <c r="I114" s="47">
        <f>+H114*75%</f>
        <v>44.25</v>
      </c>
      <c r="J114" s="47">
        <v>11.42244</v>
      </c>
      <c r="K114" s="7">
        <v>1</v>
      </c>
      <c r="L114" s="19">
        <v>0.6</v>
      </c>
      <c r="M114" s="57">
        <v>0</v>
      </c>
      <c r="N114" s="57">
        <v>0</v>
      </c>
      <c r="O114" s="57">
        <v>10</v>
      </c>
      <c r="P114" s="57">
        <v>10</v>
      </c>
      <c r="Q114" s="57">
        <v>0</v>
      </c>
      <c r="R114" s="57">
        <v>0</v>
      </c>
      <c r="S114" s="57">
        <v>0</v>
      </c>
      <c r="T114" s="57">
        <v>0</v>
      </c>
      <c r="U114" s="57">
        <v>0</v>
      </c>
      <c r="V114" s="57">
        <v>12</v>
      </c>
      <c r="W114" s="57">
        <v>10</v>
      </c>
      <c r="X114" s="57">
        <v>2</v>
      </c>
      <c r="Y114" s="57">
        <v>0</v>
      </c>
      <c r="Z114" s="57">
        <v>0</v>
      </c>
      <c r="AA114" s="57">
        <v>0</v>
      </c>
      <c r="AB114" s="57">
        <v>0</v>
      </c>
      <c r="AC114" s="57">
        <v>0</v>
      </c>
      <c r="AD114" s="57">
        <v>0</v>
      </c>
      <c r="AE114" s="57">
        <v>0</v>
      </c>
      <c r="AF114" s="57">
        <v>0</v>
      </c>
      <c r="AG114" s="57">
        <v>0</v>
      </c>
      <c r="AH114" s="57">
        <v>0</v>
      </c>
      <c r="AI114" s="57">
        <v>0</v>
      </c>
      <c r="AJ114" s="57">
        <v>0</v>
      </c>
      <c r="AK114" s="57">
        <v>15</v>
      </c>
      <c r="AL114" s="57">
        <v>0</v>
      </c>
      <c r="AM114" s="57">
        <v>1</v>
      </c>
      <c r="AN114" s="57">
        <v>0</v>
      </c>
      <c r="AO114" s="57">
        <v>0</v>
      </c>
      <c r="AP114" s="57">
        <v>0</v>
      </c>
      <c r="AQ114" s="57">
        <v>2</v>
      </c>
      <c r="AR114" s="57">
        <v>0</v>
      </c>
      <c r="AS114" s="57">
        <v>0</v>
      </c>
      <c r="AT114" s="57">
        <v>35</v>
      </c>
      <c r="AU114" s="57">
        <v>20</v>
      </c>
      <c r="AV114" s="57">
        <v>1</v>
      </c>
      <c r="AW114" s="57">
        <v>8</v>
      </c>
      <c r="AX114" s="57">
        <v>8</v>
      </c>
      <c r="AY114" s="57">
        <v>4</v>
      </c>
      <c r="AZ114" s="57">
        <v>0</v>
      </c>
      <c r="BA114" s="57">
        <v>11</v>
      </c>
      <c r="BB114" s="57">
        <v>4</v>
      </c>
      <c r="BC114" s="57">
        <v>17</v>
      </c>
      <c r="BD114" s="57">
        <v>3</v>
      </c>
      <c r="BE114" s="57">
        <v>0</v>
      </c>
      <c r="BF114" s="57">
        <v>34</v>
      </c>
      <c r="BG114" s="57">
        <v>0</v>
      </c>
      <c r="BH114" s="57">
        <v>24</v>
      </c>
      <c r="BI114" s="57">
        <v>0</v>
      </c>
      <c r="BJ114" s="57">
        <v>2</v>
      </c>
      <c r="BK114" s="57">
        <v>0</v>
      </c>
      <c r="BL114" s="57">
        <v>5</v>
      </c>
      <c r="BM114" s="9">
        <f>SUM(Tabla3[[#This Row],[SEM.1]:[SEM.52]])</f>
        <v>238</v>
      </c>
      <c r="BN114" s="9">
        <v>238</v>
      </c>
      <c r="BO114" s="24">
        <f>Tabla3[[#This Row],[CONSUMO TOTAL V]]/52</f>
        <v>4.5769230769230766</v>
      </c>
      <c r="BP114" s="36">
        <f>Tabla3[[#This Row],[CONSUMO PROMEDIO ]]*Tabla3[[#This Row],[FRECUENCIA]]*Tabla3[[#This Row],[TIEMPO REPOSICION ]]*1.5*2.4</f>
        <v>9.8861538461538441</v>
      </c>
      <c r="BQ114" s="57">
        <v>10</v>
      </c>
      <c r="BR114" s="47">
        <f>Tabla17[[#This Row],[CONSUMO TOTAL TODAS]]/52</f>
        <v>0</v>
      </c>
    </row>
    <row r="115" spans="1:70">
      <c r="A115" s="56" t="s">
        <v>669</v>
      </c>
      <c r="B115" s="57" t="s">
        <v>670</v>
      </c>
      <c r="C115" s="57" t="s">
        <v>703</v>
      </c>
      <c r="D115" s="57" t="s">
        <v>708</v>
      </c>
      <c r="E115" s="45" t="s">
        <v>715</v>
      </c>
      <c r="F115" s="45" t="s">
        <v>724</v>
      </c>
      <c r="G115" s="45" t="s">
        <v>729</v>
      </c>
      <c r="H115" s="47">
        <v>7.32</v>
      </c>
      <c r="I115" s="47">
        <f>+H115*75%</f>
        <v>5.49</v>
      </c>
      <c r="J115" s="47">
        <v>1.46333</v>
      </c>
      <c r="K115" s="7">
        <v>1</v>
      </c>
      <c r="L115" s="19">
        <v>0.6</v>
      </c>
      <c r="M115" s="57">
        <v>0</v>
      </c>
      <c r="N115" s="57">
        <v>0</v>
      </c>
      <c r="O115" s="57">
        <v>0</v>
      </c>
      <c r="P115" s="57">
        <v>0</v>
      </c>
      <c r="Q115" s="57">
        <v>0</v>
      </c>
      <c r="R115" s="57">
        <v>0</v>
      </c>
      <c r="S115" s="57">
        <v>0</v>
      </c>
      <c r="T115" s="57">
        <v>0</v>
      </c>
      <c r="U115" s="57">
        <v>0</v>
      </c>
      <c r="V115" s="57">
        <v>0</v>
      </c>
      <c r="W115" s="57">
        <v>0</v>
      </c>
      <c r="X115" s="57">
        <v>0</v>
      </c>
      <c r="Y115" s="57">
        <v>0</v>
      </c>
      <c r="Z115" s="57">
        <v>0</v>
      </c>
      <c r="AA115" s="57">
        <v>0</v>
      </c>
      <c r="AB115" s="57">
        <v>0</v>
      </c>
      <c r="AC115" s="57">
        <v>0</v>
      </c>
      <c r="AD115" s="57">
        <v>0</v>
      </c>
      <c r="AE115" s="57">
        <v>0</v>
      </c>
      <c r="AF115" s="57">
        <v>0</v>
      </c>
      <c r="AG115" s="57">
        <v>0</v>
      </c>
      <c r="AH115" s="57">
        <v>0</v>
      </c>
      <c r="AI115" s="57">
        <v>0</v>
      </c>
      <c r="AJ115" s="57">
        <v>0</v>
      </c>
      <c r="AK115" s="57">
        <v>0</v>
      </c>
      <c r="AL115" s="57">
        <v>0</v>
      </c>
      <c r="AM115" s="57">
        <v>0</v>
      </c>
      <c r="AN115" s="57">
        <v>0</v>
      </c>
      <c r="AO115" s="57">
        <v>0</v>
      </c>
      <c r="AP115" s="57">
        <v>0</v>
      </c>
      <c r="AQ115" s="57">
        <v>0</v>
      </c>
      <c r="AR115" s="57">
        <v>0</v>
      </c>
      <c r="AS115" s="57">
        <v>0</v>
      </c>
      <c r="AT115" s="57">
        <v>0</v>
      </c>
      <c r="AU115" s="57">
        <v>44</v>
      </c>
      <c r="AV115" s="57">
        <v>0</v>
      </c>
      <c r="AW115" s="57">
        <v>0</v>
      </c>
      <c r="AX115" s="57">
        <v>0</v>
      </c>
      <c r="AY115" s="57">
        <v>0</v>
      </c>
      <c r="AZ115" s="57">
        <v>0</v>
      </c>
      <c r="BA115" s="57">
        <v>0</v>
      </c>
      <c r="BB115" s="57">
        <v>10</v>
      </c>
      <c r="BC115" s="57">
        <v>0</v>
      </c>
      <c r="BD115" s="57">
        <v>0</v>
      </c>
      <c r="BE115" s="57">
        <v>0</v>
      </c>
      <c r="BF115" s="57">
        <v>0</v>
      </c>
      <c r="BG115" s="57">
        <v>0</v>
      </c>
      <c r="BH115" s="57">
        <v>0</v>
      </c>
      <c r="BI115" s="57">
        <v>0</v>
      </c>
      <c r="BJ115" s="57">
        <v>0</v>
      </c>
      <c r="BK115" s="57">
        <v>0</v>
      </c>
      <c r="BL115" s="57">
        <v>0</v>
      </c>
      <c r="BM115" s="9">
        <f>SUM(Tabla3[[#This Row],[SEM.1]:[SEM.52]])</f>
        <v>54</v>
      </c>
      <c r="BN115" s="9">
        <v>54</v>
      </c>
      <c r="BO115" s="24">
        <f>Tabla3[[#This Row],[CONSUMO TOTAL V]]/52</f>
        <v>1.0384615384615385</v>
      </c>
      <c r="BP115" s="36">
        <f>Tabla3[[#This Row],[CONSUMO PROMEDIO ]]*Tabla3[[#This Row],[FRECUENCIA]]*Tabla3[[#This Row],[TIEMPO REPOSICION ]]*1.5*2.4</f>
        <v>2.2430769230769232</v>
      </c>
      <c r="BQ115" s="57">
        <v>10</v>
      </c>
      <c r="BR115" s="47">
        <f>Tabla17[[#This Row],[CONSUMO TOTAL TODAS]]/52</f>
        <v>0</v>
      </c>
    </row>
    <row r="116" spans="1:70">
      <c r="A116" s="3" t="s">
        <v>480</v>
      </c>
      <c r="B116" s="3" t="s">
        <v>832</v>
      </c>
      <c r="C116" s="3" t="s">
        <v>2</v>
      </c>
      <c r="D116" s="3" t="s">
        <v>708</v>
      </c>
      <c r="E116" s="3" t="s">
        <v>715</v>
      </c>
      <c r="F116" s="20"/>
      <c r="G116" s="20"/>
      <c r="H116" s="21"/>
      <c r="I116" s="21"/>
      <c r="J116" s="21"/>
      <c r="K116" s="7">
        <v>1</v>
      </c>
      <c r="L116" s="19">
        <v>0.6</v>
      </c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1">
        <v>15</v>
      </c>
      <c r="BN116" s="9">
        <v>15</v>
      </c>
      <c r="BO116" s="114">
        <f>Tabla3[[#This Row],[CONSUMO TOTAL V]]/52</f>
        <v>0.28846153846153844</v>
      </c>
      <c r="BP116" s="115">
        <f>Tabla3[[#This Row],[CONSUMO PROMEDIO ]]*Tabla3[[#This Row],[FRECUENCIA]]*Tabla3[[#This Row],[TIEMPO REPOSICION ]]*1.5*2.4</f>
        <v>0.62307692307692297</v>
      </c>
      <c r="BQ116" s="10">
        <v>4</v>
      </c>
      <c r="BR116" s="21">
        <f>Tabla17[[#This Row],[CONSUMO TOTAL TODAS]]/52</f>
        <v>0</v>
      </c>
    </row>
    <row r="117" spans="1:70">
      <c r="A117" s="3" t="s">
        <v>481</v>
      </c>
      <c r="B117" s="3" t="s">
        <v>482</v>
      </c>
      <c r="C117" s="3" t="s">
        <v>2</v>
      </c>
      <c r="D117" s="3" t="s">
        <v>708</v>
      </c>
      <c r="E117" s="3" t="s">
        <v>715</v>
      </c>
      <c r="F117" s="7"/>
      <c r="G117" s="7"/>
      <c r="H117" s="13"/>
      <c r="I117" s="13"/>
      <c r="J117" s="13"/>
      <c r="K117" s="7">
        <v>1</v>
      </c>
      <c r="L117" s="19">
        <v>0.6</v>
      </c>
      <c r="AI117" s="1"/>
      <c r="BM117" s="9">
        <f>SUM(Tabla3[[#This Row],[SEM.1]:[SEM.52]])</f>
        <v>0</v>
      </c>
      <c r="BN117" s="9">
        <v>0</v>
      </c>
      <c r="BO117" s="113">
        <f>Tabla3[[#This Row],[CONSUMO TOTAL V]]/52</f>
        <v>0</v>
      </c>
      <c r="BP117" s="36">
        <f>Tabla3[[#This Row],[CONSUMO PROMEDIO ]]*Tabla3[[#This Row],[FRECUENCIA]]*Tabla3[[#This Row],[TIEMPO REPOSICION ]]*1.5*2.4</f>
        <v>0</v>
      </c>
      <c r="BQ117">
        <v>0</v>
      </c>
      <c r="BR117" s="13">
        <f>Tabla17[[#This Row],[CONSUMO TOTAL TODAS]]/52</f>
        <v>0</v>
      </c>
    </row>
    <row r="118" spans="1:70">
      <c r="A118" s="3" t="s">
        <v>483</v>
      </c>
      <c r="B118" s="3" t="s">
        <v>484</v>
      </c>
      <c r="C118" s="3" t="s">
        <v>2</v>
      </c>
      <c r="D118" s="3" t="s">
        <v>708</v>
      </c>
      <c r="E118" s="3" t="s">
        <v>715</v>
      </c>
      <c r="F118" s="7"/>
      <c r="G118" s="7"/>
      <c r="H118" s="13"/>
      <c r="I118" s="13"/>
      <c r="J118" s="13"/>
      <c r="K118" s="7">
        <v>1</v>
      </c>
      <c r="L118" s="19">
        <v>0.6</v>
      </c>
      <c r="AI118" s="1"/>
      <c r="BM118" s="9">
        <v>11</v>
      </c>
      <c r="BN118" s="9">
        <v>11</v>
      </c>
      <c r="BO118" s="113">
        <f>Tabla3[[#This Row],[CONSUMO TOTAL V]]/52</f>
        <v>0.21153846153846154</v>
      </c>
      <c r="BP118" s="36">
        <f>Tabla3[[#This Row],[CONSUMO PROMEDIO ]]*Tabla3[[#This Row],[FRECUENCIA]]*Tabla3[[#This Row],[TIEMPO REPOSICION ]]*1.5*2.4</f>
        <v>0.45692307692307688</v>
      </c>
      <c r="BQ118">
        <v>0</v>
      </c>
      <c r="BR118" s="13">
        <f>Tabla17[[#This Row],[CONSUMO TOTAL TODAS]]/52</f>
        <v>0</v>
      </c>
    </row>
    <row r="119" spans="1:70">
      <c r="A119" s="3" t="s">
        <v>485</v>
      </c>
      <c r="B119" s="3" t="s">
        <v>486</v>
      </c>
      <c r="C119" s="3" t="s">
        <v>2</v>
      </c>
      <c r="D119" s="3" t="s">
        <v>708</v>
      </c>
      <c r="E119" s="3" t="s">
        <v>715</v>
      </c>
      <c r="F119" s="7"/>
      <c r="G119" s="7"/>
      <c r="H119" s="13"/>
      <c r="I119" s="13"/>
      <c r="J119" s="13"/>
      <c r="K119" s="7">
        <v>1</v>
      </c>
      <c r="L119" s="19">
        <v>0.6</v>
      </c>
      <c r="AI119" s="1"/>
      <c r="BM119" s="9">
        <v>12</v>
      </c>
      <c r="BN119" s="9">
        <v>12</v>
      </c>
      <c r="BO119" s="113">
        <f>Tabla3[[#This Row],[CONSUMO TOTAL V]]/52</f>
        <v>0.23076923076923078</v>
      </c>
      <c r="BP119" s="36">
        <f>Tabla3[[#This Row],[CONSUMO PROMEDIO ]]*Tabla3[[#This Row],[FRECUENCIA]]*Tabla3[[#This Row],[TIEMPO REPOSICION ]]*1.5*2.4</f>
        <v>0.49846153846153846</v>
      </c>
      <c r="BQ119">
        <v>10</v>
      </c>
      <c r="BR119" s="13">
        <f>Tabla17[[#This Row],[CONSUMO TOTAL TODAS]]/52</f>
        <v>0</v>
      </c>
    </row>
    <row r="120" spans="1:70">
      <c r="AI120" s="1"/>
      <c r="BM120" s="2"/>
      <c r="BN120" s="2"/>
    </row>
    <row r="121" spans="1:70">
      <c r="AI121" s="1"/>
      <c r="BM121" s="2"/>
      <c r="BN121" s="2"/>
    </row>
    <row r="122" spans="1:70">
      <c r="AI122" s="1"/>
      <c r="BM122" s="2"/>
      <c r="BN122" s="2"/>
    </row>
    <row r="123" spans="1:70">
      <c r="AI123" s="1"/>
      <c r="BM123" s="2"/>
      <c r="BN123" s="2"/>
    </row>
    <row r="124" spans="1:70">
      <c r="AI124" s="1"/>
      <c r="BM124" s="2"/>
      <c r="BN124" s="2"/>
    </row>
    <row r="125" spans="1:70">
      <c r="AI125" s="1"/>
      <c r="BM125" s="2"/>
      <c r="BN125" s="2"/>
    </row>
    <row r="126" spans="1:70">
      <c r="AI126" s="1"/>
      <c r="BM126" s="2"/>
      <c r="BN126" s="2"/>
    </row>
    <row r="127" spans="1:70">
      <c r="AI127" s="1"/>
      <c r="BM127" s="2"/>
      <c r="BN127" s="2"/>
    </row>
    <row r="128" spans="1:70">
      <c r="AI128" s="1"/>
      <c r="BM128" s="2"/>
      <c r="BN128" s="2"/>
    </row>
    <row r="129" spans="35:66">
      <c r="AI129" s="1"/>
      <c r="BM129" s="2"/>
      <c r="BN129" s="2"/>
    </row>
    <row r="130" spans="35:66">
      <c r="AI130" s="1"/>
      <c r="BM130" s="2"/>
      <c r="BN130" s="2"/>
    </row>
    <row r="131" spans="35:66">
      <c r="AI131" s="1"/>
      <c r="BM131" s="2"/>
      <c r="BN131" s="2"/>
    </row>
    <row r="132" spans="35:66">
      <c r="AI132" s="1"/>
      <c r="BM132" s="2"/>
      <c r="BN132" s="2"/>
    </row>
    <row r="133" spans="35:66">
      <c r="AI133" s="1"/>
      <c r="BM133" s="2"/>
      <c r="BN133" s="2"/>
    </row>
    <row r="134" spans="35:66">
      <c r="AI134" s="1"/>
      <c r="BM134" s="2"/>
      <c r="BN134" s="2"/>
    </row>
    <row r="135" spans="35:66">
      <c r="AI135" s="1"/>
      <c r="BM135" s="2"/>
      <c r="BN135" s="2"/>
    </row>
    <row r="136" spans="35:66">
      <c r="AI136" s="1"/>
      <c r="BM136" s="2"/>
      <c r="BN136" s="2"/>
    </row>
    <row r="137" spans="35:66">
      <c r="AI137" s="1"/>
      <c r="BM137" s="2"/>
      <c r="BN137" s="2"/>
    </row>
    <row r="138" spans="35:66">
      <c r="AI138" s="1"/>
      <c r="BM138" s="2"/>
      <c r="BN138" s="2"/>
    </row>
    <row r="139" spans="35:66">
      <c r="AI139" s="1"/>
      <c r="BM139" s="2"/>
      <c r="BN139" s="2"/>
    </row>
    <row r="140" spans="35:66">
      <c r="AI140" s="1"/>
      <c r="BM140" s="2"/>
      <c r="BN140" s="2"/>
    </row>
    <row r="141" spans="35:66">
      <c r="AI141" s="1"/>
      <c r="BM141" s="2"/>
      <c r="BN141" s="2"/>
    </row>
    <row r="142" spans="35:66">
      <c r="AI142" s="1"/>
      <c r="BM142" s="2"/>
      <c r="BN142" s="2"/>
    </row>
    <row r="143" spans="35:66">
      <c r="AI143" s="1"/>
      <c r="BM143" s="2"/>
      <c r="BN143" s="2"/>
    </row>
    <row r="144" spans="35:66">
      <c r="AI144" s="1"/>
      <c r="BM144" s="2"/>
      <c r="BN144" s="2"/>
    </row>
    <row r="145" spans="35:66">
      <c r="AI145" s="1"/>
      <c r="BM145" s="2"/>
      <c r="BN145" s="2"/>
    </row>
    <row r="146" spans="35:66">
      <c r="AI146" s="1"/>
      <c r="BM146" s="2"/>
      <c r="BN146" s="2"/>
    </row>
    <row r="147" spans="35:66">
      <c r="AI147" s="1"/>
      <c r="BM147" s="2"/>
      <c r="BN147" s="2"/>
    </row>
    <row r="148" spans="35:66">
      <c r="AI148" s="1"/>
      <c r="BM148" s="2"/>
      <c r="BN148" s="2"/>
    </row>
    <row r="149" spans="35:66">
      <c r="AI149" s="1"/>
      <c r="BM149" s="2"/>
      <c r="BN149" s="2"/>
    </row>
    <row r="150" spans="35:66">
      <c r="AI150" s="1"/>
      <c r="BM150" s="2"/>
      <c r="BN150" s="2"/>
    </row>
    <row r="151" spans="35:66">
      <c r="AI151" s="1"/>
      <c r="BM151" s="2"/>
      <c r="BN151" s="2"/>
    </row>
    <row r="152" spans="35:66">
      <c r="AI152" s="1"/>
      <c r="BM152" s="2"/>
      <c r="BN152" s="2"/>
    </row>
    <row r="153" spans="35:66">
      <c r="AI153" s="1"/>
      <c r="BM153" s="2"/>
      <c r="BN153" s="2"/>
    </row>
    <row r="154" spans="35:66">
      <c r="AI154" s="1"/>
      <c r="BM154" s="2"/>
      <c r="BN154" s="2"/>
    </row>
    <row r="155" spans="35:66">
      <c r="AI155" s="1"/>
      <c r="BM155" s="2"/>
      <c r="BN155" s="2"/>
    </row>
    <row r="156" spans="35:66">
      <c r="AI156" s="1"/>
      <c r="BM156" s="2"/>
      <c r="BN156" s="2"/>
    </row>
    <row r="157" spans="35:66">
      <c r="AI157" s="1"/>
      <c r="BM157" s="2"/>
      <c r="BN157" s="2"/>
    </row>
    <row r="158" spans="35:66">
      <c r="AI158" s="1"/>
      <c r="BM158" s="2"/>
      <c r="BN158" s="2"/>
    </row>
    <row r="159" spans="35:66">
      <c r="AI159" s="1"/>
      <c r="BM159" s="2"/>
      <c r="BN159" s="2"/>
    </row>
    <row r="160" spans="35:66">
      <c r="AI160" s="1"/>
      <c r="BM160" s="2"/>
      <c r="BN160" s="2"/>
    </row>
    <row r="161" spans="35:66">
      <c r="AI161" s="1"/>
      <c r="BM161" s="2"/>
      <c r="BN161" s="2"/>
    </row>
    <row r="162" spans="35:66">
      <c r="AI162" s="1"/>
      <c r="BM162" s="2"/>
      <c r="BN162" s="2"/>
    </row>
    <row r="163" spans="35:66">
      <c r="AI163" s="1"/>
      <c r="BM163" s="2"/>
      <c r="BN163" s="2"/>
    </row>
    <row r="164" spans="35:66">
      <c r="AI164" s="1"/>
      <c r="BM164" s="2"/>
      <c r="BN164" s="2"/>
    </row>
    <row r="165" spans="35:66">
      <c r="AI165" s="1"/>
      <c r="BM165" s="2"/>
      <c r="BN165" s="2"/>
    </row>
    <row r="166" spans="35:66">
      <c r="AI166" s="1"/>
      <c r="BM166" s="2"/>
      <c r="BN166" s="2"/>
    </row>
    <row r="167" spans="35:66">
      <c r="AI167" s="1"/>
      <c r="BM167" s="2"/>
      <c r="BN167" s="2"/>
    </row>
    <row r="168" spans="35:66">
      <c r="AI168" s="1"/>
      <c r="BM168" s="2"/>
      <c r="BN168" s="2"/>
    </row>
    <row r="169" spans="35:66">
      <c r="AI169" s="1"/>
      <c r="BM169" s="2"/>
      <c r="BN169" s="2"/>
    </row>
    <row r="170" spans="35:66">
      <c r="AI170" s="1"/>
      <c r="BM170" s="2"/>
      <c r="BN170" s="2"/>
    </row>
    <row r="171" spans="35:66">
      <c r="AI171" s="1"/>
      <c r="BM171" s="2"/>
      <c r="BN171" s="2"/>
    </row>
    <row r="172" spans="35:66">
      <c r="AI172" s="1"/>
      <c r="BM172" s="2"/>
      <c r="BN172" s="2"/>
    </row>
    <row r="173" spans="35:66">
      <c r="AI173" s="1"/>
      <c r="BM173" s="2"/>
      <c r="BN173" s="2"/>
    </row>
    <row r="174" spans="35:66">
      <c r="AI174" s="1"/>
      <c r="BM174" s="2"/>
      <c r="BN174" s="2"/>
    </row>
    <row r="175" spans="35:66">
      <c r="AI175" s="1"/>
      <c r="BM175" s="2"/>
      <c r="BN175" s="2"/>
    </row>
    <row r="176" spans="35:66">
      <c r="AI176" s="1"/>
      <c r="BM176" s="2"/>
      <c r="BN176" s="2"/>
    </row>
    <row r="177" spans="35:66">
      <c r="AI177" s="1"/>
      <c r="BM177" s="2"/>
      <c r="BN177" s="2"/>
    </row>
    <row r="178" spans="35:66">
      <c r="AI178" s="1"/>
      <c r="BM178" s="2"/>
      <c r="BN178" s="2"/>
    </row>
    <row r="179" spans="35:66">
      <c r="AI179" s="1"/>
      <c r="BM179" s="2"/>
      <c r="BN179" s="2"/>
    </row>
    <row r="180" spans="35:66">
      <c r="AI180" s="1"/>
      <c r="BM180" s="2"/>
      <c r="BN180" s="2"/>
    </row>
    <row r="181" spans="35:66">
      <c r="AI181" s="1"/>
      <c r="BM181" s="2"/>
      <c r="BN181" s="2"/>
    </row>
    <row r="182" spans="35:66">
      <c r="AI182" s="1"/>
      <c r="BM182" s="2"/>
      <c r="BN182" s="2"/>
    </row>
    <row r="183" spans="35:66">
      <c r="AI183" s="1"/>
      <c r="BM183" s="2"/>
      <c r="BN183" s="2"/>
    </row>
    <row r="184" spans="35:66">
      <c r="AI184" s="1"/>
      <c r="BM184" s="2"/>
      <c r="BN184" s="2"/>
    </row>
    <row r="185" spans="35:66">
      <c r="AI185" s="1"/>
      <c r="BM185" s="2"/>
      <c r="BN185" s="2"/>
    </row>
    <row r="186" spans="35:66">
      <c r="AI186" s="1"/>
      <c r="BM186" s="2"/>
      <c r="BN186" s="2"/>
    </row>
    <row r="187" spans="35:66">
      <c r="AI187" s="1"/>
      <c r="BM187" s="2"/>
      <c r="BN187" s="2"/>
    </row>
    <row r="188" spans="35:66">
      <c r="AI188" s="1"/>
      <c r="BM188" s="2"/>
      <c r="BN188" s="2"/>
    </row>
    <row r="189" spans="35:66">
      <c r="AI189" s="1"/>
      <c r="BM189" s="2"/>
      <c r="BN189" s="2"/>
    </row>
    <row r="190" spans="35:66">
      <c r="AI190" s="1"/>
      <c r="BM190" s="2"/>
      <c r="BN190" s="2"/>
    </row>
    <row r="191" spans="35:66">
      <c r="AI191" s="1"/>
      <c r="BM191" s="2"/>
      <c r="BN191" s="2"/>
    </row>
    <row r="192" spans="35:66">
      <c r="AI192" s="1"/>
      <c r="BM192" s="2"/>
      <c r="BN192" s="2"/>
    </row>
    <row r="193" spans="35:66">
      <c r="AI193" s="1"/>
      <c r="BM193" s="2"/>
      <c r="BN193" s="2"/>
    </row>
    <row r="194" spans="35:66">
      <c r="AI194" s="1"/>
      <c r="BM194" s="2"/>
      <c r="BN194" s="2"/>
    </row>
    <row r="195" spans="35:66">
      <c r="AI195" s="1"/>
      <c r="BM195" s="2"/>
      <c r="BN195" s="2"/>
    </row>
    <row r="196" spans="35:66">
      <c r="AI196" s="1"/>
      <c r="BM196" s="2"/>
      <c r="BN196" s="2"/>
    </row>
    <row r="197" spans="35:66">
      <c r="AI197" s="1"/>
      <c r="BM197" s="2"/>
      <c r="BN197" s="2"/>
    </row>
    <row r="198" spans="35:66">
      <c r="AI198" s="1"/>
      <c r="BM198" s="2"/>
      <c r="BN198" s="2"/>
    </row>
    <row r="199" spans="35:66">
      <c r="AI199" s="1"/>
      <c r="BM199" s="2"/>
      <c r="BN199" s="2"/>
    </row>
    <row r="200" spans="35:66">
      <c r="AI200" s="1"/>
      <c r="BM200" s="2"/>
      <c r="BN200" s="2"/>
    </row>
    <row r="201" spans="35:66">
      <c r="AI201" s="1"/>
      <c r="BM201" s="2"/>
      <c r="BN201" s="2"/>
    </row>
    <row r="202" spans="35:66">
      <c r="AI202" s="1"/>
      <c r="BM202" s="2"/>
      <c r="BN202" s="2"/>
    </row>
    <row r="203" spans="35:66">
      <c r="AI203" s="1"/>
      <c r="BM203" s="2"/>
      <c r="BN203" s="2"/>
    </row>
    <row r="204" spans="35:66">
      <c r="AI204" s="1"/>
      <c r="BM204" s="2"/>
      <c r="BN204" s="2"/>
    </row>
    <row r="205" spans="35:66">
      <c r="AI205" s="1"/>
      <c r="BM205" s="2"/>
      <c r="BN205" s="2"/>
    </row>
    <row r="206" spans="35:66">
      <c r="AI206" s="1"/>
      <c r="BM206" s="2"/>
      <c r="BN206" s="2"/>
    </row>
    <row r="207" spans="35:66">
      <c r="AI207" s="1"/>
      <c r="BM207" s="2"/>
      <c r="BN207" s="2"/>
    </row>
    <row r="208" spans="35:66">
      <c r="AI208" s="1"/>
      <c r="BM208" s="2"/>
      <c r="BN208" s="2"/>
    </row>
    <row r="209" spans="35:66">
      <c r="AI209" s="1"/>
      <c r="BM209" s="2"/>
      <c r="BN209" s="2"/>
    </row>
    <row r="210" spans="35:66">
      <c r="AI210" s="1"/>
      <c r="BM210" s="2"/>
      <c r="BN210" s="2"/>
    </row>
    <row r="211" spans="35:66">
      <c r="AI211" s="1"/>
      <c r="BM211" s="2"/>
      <c r="BN211" s="2"/>
    </row>
    <row r="212" spans="35:66">
      <c r="AI212" s="1"/>
      <c r="BM212" s="2"/>
      <c r="BN212" s="2"/>
    </row>
    <row r="213" spans="35:66">
      <c r="AI213" s="1"/>
      <c r="BM213" s="2"/>
      <c r="BN213" s="2"/>
    </row>
    <row r="214" spans="35:66">
      <c r="AI214" s="1"/>
      <c r="BM214" s="2"/>
      <c r="BN214" s="2"/>
    </row>
    <row r="215" spans="35:66">
      <c r="AI215" s="1"/>
      <c r="BM215" s="2"/>
      <c r="BN215" s="2"/>
    </row>
    <row r="216" spans="35:66">
      <c r="AI216" s="1"/>
      <c r="BM216" s="2"/>
      <c r="BN216" s="2"/>
    </row>
    <row r="217" spans="35:66">
      <c r="AI217" s="1"/>
      <c r="BM217" s="2"/>
      <c r="BN217" s="2"/>
    </row>
    <row r="218" spans="35:66">
      <c r="AI218" s="1"/>
      <c r="BM218" s="2"/>
      <c r="BN218" s="2"/>
    </row>
    <row r="219" spans="35:66">
      <c r="AI219" s="1"/>
      <c r="BM219" s="2"/>
      <c r="BN219" s="2"/>
    </row>
    <row r="220" spans="35:66">
      <c r="AI220" s="1"/>
      <c r="BM220" s="2"/>
      <c r="BN220" s="2"/>
    </row>
    <row r="221" spans="35:66">
      <c r="AI221" s="1"/>
      <c r="BM221" s="2"/>
      <c r="BN221" s="2"/>
    </row>
    <row r="222" spans="35:66">
      <c r="AI222" s="1"/>
      <c r="BM222" s="2"/>
      <c r="BN222" s="2"/>
    </row>
    <row r="223" spans="35:66">
      <c r="AI223" s="1"/>
      <c r="BM223" s="2"/>
      <c r="BN223" s="2"/>
    </row>
    <row r="224" spans="35:66">
      <c r="AI224" s="1"/>
      <c r="BM224" s="2"/>
      <c r="BN224" s="2"/>
    </row>
    <row r="225" spans="35:66">
      <c r="AI225" s="1"/>
      <c r="BM225" s="2"/>
      <c r="BN225" s="2"/>
    </row>
    <row r="226" spans="35:66">
      <c r="AI226" s="1"/>
      <c r="BM226" s="2"/>
      <c r="BN226" s="2"/>
    </row>
    <row r="227" spans="35:66">
      <c r="AI227" s="1"/>
      <c r="BM227" s="2"/>
      <c r="BN227" s="2"/>
    </row>
    <row r="228" spans="35:66">
      <c r="AI228" s="1"/>
      <c r="BM228" s="2"/>
      <c r="BN228" s="2"/>
    </row>
    <row r="229" spans="35:66">
      <c r="AI229" s="1"/>
      <c r="BM229" s="2"/>
      <c r="BN229" s="2"/>
    </row>
    <row r="230" spans="35:66">
      <c r="AI230" s="1"/>
      <c r="BM230" s="2"/>
      <c r="BN230" s="2"/>
    </row>
    <row r="231" spans="35:66">
      <c r="AI231" s="1"/>
      <c r="BM231" s="2"/>
      <c r="BN231" s="2"/>
    </row>
    <row r="232" spans="35:66">
      <c r="AI232" s="1"/>
      <c r="BM232" s="2"/>
      <c r="BN232" s="2"/>
    </row>
    <row r="233" spans="35:66">
      <c r="AI233" s="1"/>
      <c r="BM233" s="2"/>
      <c r="BN233" s="2"/>
    </row>
    <row r="234" spans="35:66">
      <c r="AI234" s="1"/>
      <c r="BM234" s="2"/>
      <c r="BN234" s="2"/>
    </row>
    <row r="235" spans="35:66">
      <c r="AI235" s="1"/>
      <c r="BM235" s="2"/>
      <c r="BN235" s="2"/>
    </row>
    <row r="236" spans="35:66">
      <c r="AI236" s="1"/>
      <c r="BM236" s="2"/>
      <c r="BN236" s="2"/>
    </row>
    <row r="237" spans="35:66">
      <c r="AI237" s="1"/>
      <c r="BM237" s="2"/>
      <c r="BN237" s="2"/>
    </row>
    <row r="238" spans="35:66">
      <c r="AI238" s="1"/>
      <c r="BM238" s="2"/>
      <c r="BN238" s="2"/>
    </row>
    <row r="239" spans="35:66">
      <c r="AI239" s="1"/>
      <c r="BM239" s="2"/>
      <c r="BN239" s="2"/>
    </row>
    <row r="240" spans="35:66">
      <c r="AI240" s="1"/>
      <c r="BM240" s="2"/>
      <c r="BN240" s="2"/>
    </row>
    <row r="241" spans="35:66">
      <c r="AI241" s="1"/>
      <c r="BM241" s="2"/>
      <c r="BN241" s="2"/>
    </row>
    <row r="242" spans="35:66">
      <c r="AI242" s="1"/>
      <c r="BM242" s="2"/>
      <c r="BN242" s="2"/>
    </row>
    <row r="243" spans="35:66">
      <c r="AI243" s="1"/>
      <c r="BM243" s="2"/>
      <c r="BN243" s="2"/>
    </row>
    <row r="244" spans="35:66">
      <c r="AI244" s="1"/>
      <c r="BM244" s="2"/>
      <c r="BN244" s="2"/>
    </row>
    <row r="245" spans="35:66">
      <c r="AI245" s="1"/>
      <c r="BM245" s="2"/>
      <c r="BN245" s="2"/>
    </row>
    <row r="246" spans="35:66">
      <c r="AI246" s="1"/>
      <c r="BM246" s="2"/>
      <c r="BN246" s="2"/>
    </row>
    <row r="247" spans="35:66">
      <c r="AI247" s="1"/>
      <c r="BM247" s="2"/>
      <c r="BN247" s="2"/>
    </row>
    <row r="248" spans="35:66">
      <c r="AI248" s="1"/>
      <c r="BM248" s="2"/>
      <c r="BN248" s="2"/>
    </row>
    <row r="249" spans="35:66">
      <c r="AI249" s="1"/>
      <c r="BM249" s="2"/>
      <c r="BN249" s="2"/>
    </row>
    <row r="250" spans="35:66">
      <c r="AI250" s="1"/>
      <c r="BM250" s="2"/>
      <c r="BN250" s="2"/>
    </row>
    <row r="251" spans="35:66">
      <c r="AI251" s="1"/>
      <c r="BM251" s="2"/>
      <c r="BN251" s="2"/>
    </row>
    <row r="252" spans="35:66">
      <c r="AI252" s="1"/>
      <c r="BM252" s="2"/>
      <c r="BN252" s="2"/>
    </row>
    <row r="253" spans="35:66">
      <c r="AI253" s="1"/>
      <c r="BM253" s="2"/>
      <c r="BN253" s="2"/>
    </row>
    <row r="254" spans="35:66">
      <c r="AI254" s="1"/>
      <c r="BM254" s="2"/>
      <c r="BN254" s="2"/>
    </row>
    <row r="255" spans="35:66">
      <c r="AI255" s="1"/>
      <c r="BM255" s="2"/>
      <c r="BN255" s="2"/>
    </row>
    <row r="256" spans="35:66">
      <c r="AI256" s="1"/>
      <c r="BM256" s="2"/>
      <c r="BN256" s="2"/>
    </row>
    <row r="257" spans="35:66">
      <c r="AI257" s="1"/>
      <c r="BM257" s="2"/>
      <c r="BN257" s="2"/>
    </row>
    <row r="258" spans="35:66">
      <c r="AI258" s="1"/>
      <c r="BM258" s="2"/>
      <c r="BN258" s="2"/>
    </row>
    <row r="259" spans="35:66">
      <c r="AI259" s="1"/>
      <c r="BM259" s="2"/>
      <c r="BN259" s="2"/>
    </row>
    <row r="260" spans="35:66">
      <c r="AI260" s="1"/>
      <c r="BM260" s="2"/>
      <c r="BN260" s="2"/>
    </row>
    <row r="261" spans="35:66">
      <c r="AI261" s="1"/>
      <c r="BM261" s="2"/>
      <c r="BN261" s="2"/>
    </row>
    <row r="262" spans="35:66">
      <c r="AI262" s="1"/>
      <c r="BM262" s="2"/>
      <c r="BN262" s="2"/>
    </row>
    <row r="263" spans="35:66">
      <c r="AI263" s="1"/>
      <c r="BM263" s="2"/>
      <c r="BN263" s="2"/>
    </row>
    <row r="264" spans="35:66">
      <c r="AI264" s="1"/>
      <c r="BM264" s="2"/>
      <c r="BN264" s="2"/>
    </row>
    <row r="265" spans="35:66">
      <c r="AI265" s="1"/>
      <c r="BM265" s="2"/>
      <c r="BN265" s="2"/>
    </row>
    <row r="266" spans="35:66">
      <c r="AI266" s="1"/>
      <c r="BM266" s="2"/>
      <c r="BN266" s="2"/>
    </row>
    <row r="267" spans="35:66">
      <c r="AI267" s="1"/>
      <c r="BM267" s="2"/>
      <c r="BN267" s="2"/>
    </row>
    <row r="268" spans="35:66">
      <c r="AI268" s="1"/>
      <c r="BM268" s="2"/>
      <c r="BN268" s="2"/>
    </row>
    <row r="269" spans="35:66">
      <c r="AI269" s="1"/>
      <c r="BM269" s="2"/>
      <c r="BN269" s="2"/>
    </row>
    <row r="270" spans="35:66">
      <c r="AI270" s="1"/>
      <c r="BM270" s="2"/>
      <c r="BN270" s="2"/>
    </row>
    <row r="271" spans="35:66">
      <c r="AI271" s="1"/>
      <c r="BM271" s="2"/>
      <c r="BN271" s="2"/>
    </row>
    <row r="272" spans="35:66">
      <c r="AI272" s="1"/>
      <c r="BM272" s="2"/>
      <c r="BN272" s="2"/>
    </row>
    <row r="273" spans="35:66">
      <c r="AI273" s="1"/>
      <c r="BM273" s="2"/>
      <c r="BN273" s="2"/>
    </row>
    <row r="274" spans="35:66">
      <c r="AI274" s="1"/>
      <c r="BM274" s="2"/>
      <c r="BN274" s="2"/>
    </row>
    <row r="275" spans="35:66">
      <c r="AI275" s="1"/>
      <c r="BM275" s="2"/>
      <c r="BN275" s="2"/>
    </row>
    <row r="276" spans="35:66">
      <c r="AI276" s="1"/>
      <c r="BM276" s="2"/>
      <c r="BN276" s="2"/>
    </row>
    <row r="277" spans="35:66">
      <c r="AI277" s="1"/>
      <c r="BM277" s="2"/>
      <c r="BN277" s="2"/>
    </row>
    <row r="278" spans="35:66">
      <c r="AI278" s="1"/>
      <c r="BM278" s="2"/>
      <c r="BN278" s="2"/>
    </row>
    <row r="279" spans="35:66">
      <c r="AI279" s="1"/>
      <c r="BM279" s="2"/>
      <c r="BN279" s="2"/>
    </row>
    <row r="280" spans="35:66">
      <c r="AI280" s="1"/>
      <c r="BM280" s="2"/>
      <c r="BN280" s="2"/>
    </row>
    <row r="281" spans="35:66">
      <c r="AI281" s="1"/>
      <c r="BM281" s="2"/>
      <c r="BN281" s="2"/>
    </row>
    <row r="282" spans="35:66">
      <c r="AI282" s="1"/>
      <c r="BM282" s="2"/>
      <c r="BN282" s="2"/>
    </row>
    <row r="283" spans="35:66">
      <c r="AI283" s="1"/>
      <c r="BM283" s="2"/>
      <c r="BN283" s="2"/>
    </row>
    <row r="284" spans="35:66">
      <c r="AI284" s="1"/>
      <c r="BM284" s="2"/>
      <c r="BN284" s="2"/>
    </row>
    <row r="285" spans="35:66">
      <c r="AI285" s="1"/>
      <c r="BM285" s="2"/>
      <c r="BN285" s="2"/>
    </row>
    <row r="286" spans="35:66">
      <c r="AI286" s="1"/>
      <c r="BM286" s="2"/>
      <c r="BN286" s="2"/>
    </row>
    <row r="287" spans="35:66">
      <c r="AI287" s="1"/>
      <c r="BM287" s="2"/>
      <c r="BN287" s="2"/>
    </row>
    <row r="288" spans="35:66">
      <c r="AI288" s="1"/>
      <c r="BM288" s="2"/>
      <c r="BN288" s="2"/>
    </row>
    <row r="289" spans="35:66">
      <c r="AI289" s="1"/>
      <c r="BM289" s="2"/>
      <c r="BN289" s="2"/>
    </row>
    <row r="290" spans="35:66">
      <c r="AI290" s="1"/>
      <c r="BM290" s="2"/>
      <c r="BN290" s="2"/>
    </row>
    <row r="291" spans="35:66">
      <c r="AI291" s="1"/>
      <c r="BM291" s="2"/>
      <c r="BN291" s="2"/>
    </row>
    <row r="292" spans="35:66">
      <c r="AI292" s="1"/>
      <c r="BM292" s="2"/>
      <c r="BN292" s="2"/>
    </row>
    <row r="293" spans="35:66">
      <c r="AI293" s="1"/>
      <c r="BM293" s="2"/>
      <c r="BN293" s="2"/>
    </row>
    <row r="294" spans="35:66">
      <c r="AI294" s="1"/>
      <c r="BM294" s="2"/>
      <c r="BN294" s="2"/>
    </row>
    <row r="295" spans="35:66">
      <c r="AI295" s="1"/>
      <c r="BM295" s="2"/>
      <c r="BN295" s="2"/>
    </row>
    <row r="296" spans="35:66">
      <c r="AI296" s="1"/>
      <c r="BM296" s="2"/>
      <c r="BN296" s="2"/>
    </row>
    <row r="297" spans="35:66">
      <c r="AI297" s="1"/>
      <c r="BM297" s="2"/>
      <c r="BN297" s="2"/>
    </row>
    <row r="298" spans="35:66">
      <c r="AI298" s="1"/>
      <c r="BM298" s="2"/>
      <c r="BN298" s="2"/>
    </row>
    <row r="299" spans="35:66">
      <c r="AI299" s="1"/>
      <c r="BM299" s="2"/>
      <c r="BN299" s="2"/>
    </row>
    <row r="300" spans="35:66">
      <c r="AI300" s="1"/>
      <c r="BM300" s="2"/>
      <c r="BN300" s="2"/>
    </row>
    <row r="301" spans="35:66">
      <c r="AI301" s="1"/>
      <c r="BM301" s="2"/>
      <c r="BN301" s="2"/>
    </row>
    <row r="302" spans="35:66">
      <c r="AI302" s="1"/>
      <c r="BM302" s="2"/>
      <c r="BN302" s="2"/>
    </row>
    <row r="303" spans="35:66">
      <c r="AI303" s="1"/>
      <c r="BM303" s="2"/>
      <c r="BN303" s="2"/>
    </row>
    <row r="304" spans="35:66">
      <c r="AI304" s="1"/>
      <c r="BM304" s="2"/>
      <c r="BN304" s="2"/>
    </row>
    <row r="305" spans="35:66">
      <c r="AI305" s="1"/>
      <c r="BM305" s="2"/>
      <c r="BN305" s="2"/>
    </row>
    <row r="306" spans="35:66">
      <c r="AI306" s="1"/>
      <c r="BM306" s="2"/>
      <c r="BN306" s="2"/>
    </row>
    <row r="307" spans="35:66">
      <c r="AI307" s="1"/>
      <c r="BM307" s="2"/>
      <c r="BN307" s="2"/>
    </row>
    <row r="308" spans="35:66">
      <c r="AI308" s="1"/>
      <c r="BM308" s="2"/>
      <c r="BN308" s="2"/>
    </row>
    <row r="309" spans="35:66">
      <c r="AI309" s="1"/>
      <c r="BM309" s="2"/>
      <c r="BN309" s="2"/>
    </row>
    <row r="310" spans="35:66">
      <c r="AI310" s="1"/>
      <c r="BM310" s="2"/>
      <c r="BN310" s="2"/>
    </row>
    <row r="311" spans="35:66">
      <c r="AI311" s="1"/>
      <c r="BM311" s="2"/>
      <c r="BN311" s="2"/>
    </row>
    <row r="312" spans="35:66">
      <c r="AI312" s="1"/>
      <c r="BM312" s="2"/>
      <c r="BN312" s="2"/>
    </row>
    <row r="313" spans="35:66">
      <c r="AI313" s="1"/>
      <c r="BM313" s="2"/>
      <c r="BN313" s="2"/>
    </row>
    <row r="314" spans="35:66">
      <c r="AI314" s="1"/>
      <c r="BM314" s="2"/>
      <c r="BN314" s="2"/>
    </row>
    <row r="315" spans="35:66">
      <c r="AI315" s="1"/>
      <c r="BM315" s="2"/>
      <c r="BN315" s="2"/>
    </row>
    <row r="316" spans="35:66">
      <c r="AI316" s="1"/>
      <c r="BM316" s="2"/>
      <c r="BN316" s="2"/>
    </row>
    <row r="317" spans="35:66">
      <c r="AI317" s="1"/>
      <c r="BM317" s="2"/>
      <c r="BN317" s="2"/>
    </row>
    <row r="318" spans="35:66">
      <c r="AI318" s="1"/>
      <c r="BM318" s="2"/>
      <c r="BN318" s="2"/>
    </row>
    <row r="319" spans="35:66">
      <c r="AI319" s="1"/>
      <c r="BM319" s="2"/>
      <c r="BN319" s="2"/>
    </row>
    <row r="320" spans="35:66">
      <c r="AI320" s="1"/>
      <c r="BM320" s="2"/>
      <c r="BN320" s="2"/>
    </row>
    <row r="321" spans="35:66">
      <c r="AI321" s="1"/>
      <c r="BM321" s="2"/>
      <c r="BN321" s="2"/>
    </row>
    <row r="322" spans="35:66">
      <c r="AI322" s="1"/>
      <c r="BM322" s="2"/>
      <c r="BN322" s="2"/>
    </row>
    <row r="323" spans="35:66">
      <c r="AI323" s="1"/>
      <c r="BM323" s="2"/>
      <c r="BN323" s="2"/>
    </row>
    <row r="324" spans="35:66">
      <c r="AI324" s="1"/>
      <c r="BM324" s="2"/>
      <c r="BN324" s="2"/>
    </row>
    <row r="325" spans="35:66">
      <c r="AI325" s="1"/>
      <c r="BM325" s="2"/>
      <c r="BN325" s="2"/>
    </row>
    <row r="326" spans="35:66">
      <c r="AI326" s="1"/>
      <c r="BM326" s="2"/>
      <c r="BN326" s="2"/>
    </row>
    <row r="327" spans="35:66">
      <c r="AI327" s="1"/>
      <c r="BM327" s="2"/>
      <c r="BN327" s="2"/>
    </row>
    <row r="328" spans="35:66">
      <c r="AI328" s="1"/>
      <c r="BM328" s="2"/>
      <c r="BN328" s="2"/>
    </row>
    <row r="329" spans="35:66">
      <c r="AI329" s="1"/>
      <c r="BM329" s="2"/>
      <c r="BN329" s="2"/>
    </row>
    <row r="330" spans="35:66">
      <c r="AI330" s="1"/>
      <c r="BM330" s="2"/>
      <c r="BN330" s="2"/>
    </row>
    <row r="331" spans="35:66">
      <c r="AI331" s="1"/>
      <c r="BM331" s="2"/>
      <c r="BN331" s="2"/>
    </row>
    <row r="332" spans="35:66">
      <c r="AI332" s="1"/>
      <c r="BM332" s="2"/>
      <c r="BN332" s="2"/>
    </row>
    <row r="333" spans="35:66">
      <c r="AI333" s="1"/>
      <c r="BM333" s="2"/>
      <c r="BN333" s="2"/>
    </row>
    <row r="334" spans="35:66">
      <c r="AI334" s="1"/>
      <c r="BM334" s="2"/>
      <c r="BN334" s="2"/>
    </row>
    <row r="335" spans="35:66">
      <c r="AI335" s="1"/>
      <c r="BM335" s="2"/>
      <c r="BN335" s="2"/>
    </row>
    <row r="336" spans="35:66">
      <c r="AI336" s="1"/>
      <c r="BM336" s="2"/>
      <c r="BN336" s="2"/>
    </row>
    <row r="337" spans="35:66">
      <c r="AI337" s="1"/>
      <c r="BM337" s="2"/>
      <c r="BN337" s="2"/>
    </row>
    <row r="338" spans="35:66">
      <c r="AI338" s="1"/>
      <c r="BM338" s="2"/>
      <c r="BN338" s="2"/>
    </row>
    <row r="339" spans="35:66">
      <c r="AI339" s="1"/>
      <c r="BM339" s="2"/>
      <c r="BN339" s="2"/>
    </row>
    <row r="340" spans="35:66">
      <c r="AI340" s="1"/>
      <c r="BM340" s="2"/>
      <c r="BN340" s="2"/>
    </row>
    <row r="341" spans="35:66">
      <c r="AI341" s="1"/>
      <c r="BM341" s="2"/>
      <c r="BN341" s="2"/>
    </row>
    <row r="342" spans="35:66">
      <c r="AI342" s="1"/>
      <c r="BM342" s="2"/>
      <c r="BN342" s="2"/>
    </row>
    <row r="343" spans="35:66">
      <c r="AI343" s="1"/>
      <c r="BM343" s="2"/>
      <c r="BN343" s="2"/>
    </row>
    <row r="344" spans="35:66">
      <c r="AI344" s="1"/>
      <c r="BM344" s="2"/>
      <c r="BN344" s="2"/>
    </row>
    <row r="345" spans="35:66">
      <c r="AI345" s="1"/>
      <c r="BM345" s="2"/>
      <c r="BN345" s="2"/>
    </row>
    <row r="346" spans="35:66">
      <c r="AI346" s="1"/>
      <c r="BM346" s="2"/>
      <c r="BN346" s="2"/>
    </row>
    <row r="347" spans="35:66">
      <c r="AI347" s="1"/>
      <c r="BM347" s="2"/>
      <c r="BN347" s="2"/>
    </row>
    <row r="348" spans="35:66">
      <c r="AI348" s="1"/>
      <c r="BM348" s="2"/>
      <c r="BN348" s="2"/>
    </row>
    <row r="349" spans="35:66">
      <c r="AI349" s="1"/>
      <c r="BM349" s="2"/>
      <c r="BN349" s="2"/>
    </row>
    <row r="350" spans="35:66">
      <c r="AI350" s="1"/>
      <c r="BM350" s="2"/>
      <c r="BN350" s="2"/>
    </row>
    <row r="351" spans="35:66">
      <c r="AI351" s="1"/>
      <c r="BM351" s="2"/>
      <c r="BN351" s="2"/>
    </row>
    <row r="352" spans="35:66">
      <c r="AI352" s="1"/>
      <c r="BM352" s="2"/>
      <c r="BN352" s="2"/>
    </row>
    <row r="353" spans="35:66">
      <c r="AI353" s="1"/>
      <c r="BM353" s="2"/>
      <c r="BN353" s="2"/>
    </row>
    <row r="354" spans="35:66">
      <c r="AI354" s="1"/>
      <c r="BM354" s="2"/>
      <c r="BN354" s="2"/>
    </row>
    <row r="355" spans="35:66">
      <c r="AI355" s="1"/>
      <c r="BM355" s="2"/>
      <c r="BN355" s="2"/>
    </row>
    <row r="356" spans="35:66">
      <c r="AI356" s="1"/>
      <c r="BM356" s="2"/>
      <c r="BN356" s="2"/>
    </row>
    <row r="357" spans="35:66">
      <c r="AI357" s="1"/>
      <c r="BM357" s="2"/>
      <c r="BN357" s="2"/>
    </row>
    <row r="358" spans="35:66">
      <c r="AI358" s="1"/>
      <c r="BM358" s="2"/>
      <c r="BN358" s="2"/>
    </row>
    <row r="359" spans="35:66">
      <c r="AI359" s="1"/>
      <c r="BM359" s="2"/>
      <c r="BN359" s="2"/>
    </row>
    <row r="360" spans="35:66">
      <c r="AI360" s="1"/>
      <c r="BM360" s="2"/>
      <c r="BN360" s="2"/>
    </row>
    <row r="361" spans="35:66">
      <c r="AI361" s="1"/>
      <c r="BM361" s="2"/>
      <c r="BN361" s="2"/>
    </row>
    <row r="362" spans="35:66">
      <c r="AI362" s="1"/>
      <c r="BM362" s="2"/>
      <c r="BN362" s="2"/>
    </row>
    <row r="363" spans="35:66">
      <c r="AI363" s="1"/>
      <c r="BM363" s="2"/>
      <c r="BN363" s="2"/>
    </row>
    <row r="364" spans="35:66">
      <c r="AI364" s="1"/>
      <c r="BM364" s="2"/>
      <c r="BN364" s="2"/>
    </row>
    <row r="365" spans="35:66">
      <c r="AI365" s="1"/>
      <c r="BM365" s="2"/>
      <c r="BN365" s="2"/>
    </row>
    <row r="366" spans="35:66">
      <c r="AI366" s="1"/>
      <c r="BM366" s="2"/>
      <c r="BN366" s="2"/>
    </row>
    <row r="367" spans="35:66">
      <c r="AI367" s="1"/>
      <c r="BM367" s="2"/>
      <c r="BN367" s="2"/>
    </row>
    <row r="368" spans="35:66">
      <c r="AI368" s="1"/>
      <c r="BM368" s="2"/>
      <c r="BN368" s="2"/>
    </row>
    <row r="369" spans="35:66">
      <c r="AI369" s="1"/>
      <c r="BM369" s="2"/>
      <c r="BN369" s="2"/>
    </row>
    <row r="370" spans="35:66">
      <c r="AI370" s="1"/>
      <c r="BM370" s="2"/>
      <c r="BN370" s="2"/>
    </row>
    <row r="371" spans="35:66">
      <c r="AI371" s="1"/>
      <c r="BM371" s="2"/>
      <c r="BN371" s="2"/>
    </row>
    <row r="372" spans="35:66">
      <c r="AI372" s="1"/>
      <c r="BM372" s="2"/>
      <c r="BN372" s="2"/>
    </row>
    <row r="373" spans="35:66">
      <c r="AI373" s="1"/>
      <c r="BM373" s="2"/>
      <c r="BN373" s="2"/>
    </row>
    <row r="374" spans="35:66">
      <c r="AI374" s="1"/>
      <c r="BM374" s="2"/>
      <c r="BN374" s="2"/>
    </row>
    <row r="375" spans="35:66">
      <c r="AI375" s="1"/>
      <c r="BM375" s="2"/>
      <c r="BN375" s="2"/>
    </row>
    <row r="376" spans="35:66">
      <c r="AI376" s="1"/>
      <c r="BM376" s="2"/>
      <c r="BN376" s="2"/>
    </row>
    <row r="377" spans="35:66">
      <c r="AI377" s="1"/>
      <c r="BM377" s="2"/>
      <c r="BN377" s="2"/>
    </row>
    <row r="378" spans="35:66">
      <c r="AI378" s="1"/>
      <c r="BM378" s="2"/>
      <c r="BN378" s="2"/>
    </row>
    <row r="379" spans="35:66">
      <c r="AI379" s="1"/>
      <c r="BM379" s="2"/>
      <c r="BN379" s="2"/>
    </row>
    <row r="380" spans="35:66">
      <c r="AI380" s="1"/>
      <c r="BM380" s="2"/>
      <c r="BN380" s="2"/>
    </row>
    <row r="381" spans="35:66">
      <c r="AI381" s="1"/>
      <c r="BM381" s="2"/>
      <c r="BN381" s="2"/>
    </row>
    <row r="382" spans="35:66">
      <c r="AI382" s="1"/>
      <c r="BM382" s="2"/>
      <c r="BN382" s="2"/>
    </row>
    <row r="383" spans="35:66">
      <c r="AI383" s="1"/>
      <c r="BM383" s="2"/>
      <c r="BN383" s="2"/>
    </row>
    <row r="384" spans="35:66">
      <c r="AI384" s="1"/>
      <c r="BM384" s="2"/>
      <c r="BN384" s="2"/>
    </row>
    <row r="385" spans="35:66">
      <c r="AI385" s="1"/>
      <c r="BM385" s="2"/>
      <c r="BN385" s="2"/>
    </row>
    <row r="386" spans="35:66">
      <c r="AI386" s="1"/>
      <c r="BM386" s="2"/>
      <c r="BN386" s="2"/>
    </row>
    <row r="387" spans="35:66">
      <c r="AI387" s="1"/>
      <c r="BM387" s="2"/>
      <c r="BN387" s="2"/>
    </row>
    <row r="388" spans="35:66">
      <c r="AI388" s="1"/>
      <c r="BM388" s="2"/>
      <c r="BN388" s="2"/>
    </row>
    <row r="389" spans="35:66">
      <c r="AI389" s="1"/>
      <c r="BM389" s="2"/>
      <c r="BN389" s="2"/>
    </row>
    <row r="390" spans="35:66">
      <c r="AI390" s="1"/>
      <c r="BM390" s="2"/>
      <c r="BN390" s="2"/>
    </row>
    <row r="391" spans="35:66">
      <c r="AI391" s="1"/>
      <c r="BM391" s="2"/>
      <c r="BN391" s="2"/>
    </row>
    <row r="392" spans="35:66">
      <c r="AI392" s="1"/>
      <c r="BM392" s="2"/>
      <c r="BN392" s="2"/>
    </row>
    <row r="393" spans="35:66">
      <c r="AI393" s="1"/>
      <c r="BM393" s="2"/>
      <c r="BN393" s="2"/>
    </row>
    <row r="394" spans="35:66">
      <c r="AI394" s="1"/>
      <c r="BM394" s="2"/>
      <c r="BN394" s="2"/>
    </row>
    <row r="395" spans="35:66">
      <c r="AI395" s="1"/>
      <c r="BM395" s="2"/>
      <c r="BN395" s="2"/>
    </row>
    <row r="396" spans="35:66">
      <c r="AI396" s="1"/>
      <c r="BM396" s="2"/>
      <c r="BN396" s="2"/>
    </row>
    <row r="397" spans="35:66">
      <c r="AI397" s="1"/>
      <c r="BM397" s="2"/>
      <c r="BN397" s="2"/>
    </row>
    <row r="398" spans="35:66">
      <c r="AI398" s="1"/>
      <c r="BM398" s="2"/>
      <c r="BN398" s="2"/>
    </row>
    <row r="399" spans="35:66">
      <c r="AI399" s="1"/>
      <c r="BM399" s="2"/>
      <c r="BN399" s="2"/>
    </row>
    <row r="400" spans="35:66">
      <c r="AI400" s="1"/>
      <c r="BM400" s="2"/>
      <c r="BN400" s="2"/>
    </row>
    <row r="401" spans="35:66">
      <c r="AI401" s="1"/>
      <c r="BM401" s="2"/>
      <c r="BN401" s="2"/>
    </row>
    <row r="402" spans="35:66">
      <c r="AI402" s="1"/>
      <c r="BM402" s="2"/>
      <c r="BN402" s="2"/>
    </row>
    <row r="403" spans="35:66">
      <c r="AI403" s="1"/>
      <c r="BM403" s="2"/>
      <c r="BN403" s="2"/>
    </row>
    <row r="404" spans="35:66">
      <c r="AI404" s="1"/>
      <c r="BM404" s="2"/>
      <c r="BN404" s="2"/>
    </row>
    <row r="405" spans="35:66">
      <c r="AI405" s="1"/>
      <c r="BM405" s="2"/>
      <c r="BN405" s="2"/>
    </row>
    <row r="406" spans="35:66">
      <c r="AI406" s="1"/>
      <c r="BM406" s="2"/>
      <c r="BN406" s="2"/>
    </row>
    <row r="407" spans="35:66">
      <c r="AI407" s="1"/>
      <c r="BM407" s="2"/>
      <c r="BN407" s="2"/>
    </row>
    <row r="408" spans="35:66">
      <c r="AI408" s="1"/>
      <c r="BM408" s="2"/>
      <c r="BN408" s="2"/>
    </row>
    <row r="409" spans="35:66">
      <c r="AI409" s="1"/>
      <c r="BM409" s="2"/>
      <c r="BN409" s="2"/>
    </row>
    <row r="410" spans="35:66">
      <c r="AI410" s="1"/>
      <c r="BM410" s="2"/>
      <c r="BN410" s="2"/>
    </row>
    <row r="411" spans="35:66">
      <c r="AI411" s="1"/>
      <c r="BM411" s="2"/>
      <c r="BN411" s="2"/>
    </row>
    <row r="412" spans="35:66">
      <c r="AI412" s="1"/>
      <c r="BM412" s="2"/>
      <c r="BN412" s="2"/>
    </row>
    <row r="413" spans="35:66">
      <c r="AI413" s="1"/>
      <c r="BM413" s="2"/>
      <c r="BN413" s="2"/>
    </row>
    <row r="414" spans="35:66">
      <c r="AI414" s="1"/>
      <c r="BM414" s="2"/>
      <c r="BN414" s="2"/>
    </row>
    <row r="415" spans="35:66">
      <c r="AI415" s="1"/>
      <c r="BM415" s="2"/>
      <c r="BN415" s="2"/>
    </row>
    <row r="416" spans="35:66">
      <c r="AI416" s="1"/>
      <c r="BM416" s="2"/>
      <c r="BN416" s="2"/>
    </row>
    <row r="417" spans="35:66">
      <c r="AI417" s="1"/>
      <c r="BM417" s="2"/>
      <c r="BN417" s="2"/>
    </row>
    <row r="418" spans="35:66">
      <c r="AI418" s="1"/>
      <c r="BM418" s="2"/>
      <c r="BN418" s="2"/>
    </row>
    <row r="419" spans="35:66">
      <c r="AI419" s="1"/>
      <c r="BM419" s="2"/>
      <c r="BN419" s="2"/>
    </row>
    <row r="420" spans="35:66">
      <c r="AI420" s="1"/>
      <c r="BM420" s="2"/>
      <c r="BN420" s="2"/>
    </row>
    <row r="421" spans="35:66">
      <c r="AI421" s="1"/>
      <c r="BM421" s="2"/>
      <c r="BN421" s="2"/>
    </row>
    <row r="422" spans="35:66">
      <c r="AI422" s="1"/>
      <c r="BM422" s="2"/>
      <c r="BN422" s="2"/>
    </row>
    <row r="423" spans="35:66">
      <c r="AI423" s="1"/>
      <c r="BM423" s="2"/>
      <c r="BN423" s="2"/>
    </row>
    <row r="424" spans="35:66">
      <c r="AI424" s="1"/>
      <c r="BM424" s="2"/>
      <c r="BN424" s="2"/>
    </row>
    <row r="425" spans="35:66">
      <c r="AI425" s="1"/>
      <c r="BM425" s="2"/>
      <c r="BN425" s="2"/>
    </row>
    <row r="426" spans="35:66">
      <c r="AI426" s="1"/>
      <c r="BM426" s="2"/>
      <c r="BN426" s="2"/>
    </row>
    <row r="427" spans="35:66">
      <c r="AI427" s="1"/>
      <c r="BM427" s="2"/>
      <c r="BN427" s="2"/>
    </row>
    <row r="428" spans="35:66">
      <c r="AI428" s="1"/>
      <c r="BM428" s="2"/>
      <c r="BN428" s="2"/>
    </row>
    <row r="429" spans="35:66">
      <c r="AI429" s="1"/>
      <c r="BM429" s="2"/>
      <c r="BN429" s="2"/>
    </row>
    <row r="430" spans="35:66">
      <c r="AI430" s="1"/>
      <c r="BM430" s="2"/>
      <c r="BN430" s="2"/>
    </row>
    <row r="431" spans="35:66">
      <c r="AI431" s="1"/>
      <c r="BM431" s="2"/>
      <c r="BN431" s="2"/>
    </row>
    <row r="432" spans="35:66">
      <c r="AI432" s="1"/>
      <c r="BM432" s="2"/>
      <c r="BN432" s="2"/>
    </row>
    <row r="433" spans="35:66">
      <c r="AI433" s="1"/>
      <c r="BM433" s="2"/>
      <c r="BN433" s="2"/>
    </row>
    <row r="434" spans="35:66">
      <c r="AI434" s="1"/>
      <c r="BM434" s="2"/>
      <c r="BN434" s="2"/>
    </row>
    <row r="435" spans="35:66">
      <c r="AI435" s="1"/>
      <c r="BM435" s="2"/>
      <c r="BN435" s="2"/>
    </row>
    <row r="436" spans="35:66">
      <c r="AI436" s="1"/>
      <c r="BM436" s="2"/>
      <c r="BN436" s="2"/>
    </row>
    <row r="437" spans="35:66">
      <c r="AI437" s="1"/>
      <c r="BM437" s="2"/>
      <c r="BN437" s="2"/>
    </row>
    <row r="438" spans="35:66">
      <c r="AI438" s="1"/>
      <c r="BM438" s="2"/>
      <c r="BN438" s="2"/>
    </row>
    <row r="439" spans="35:66">
      <c r="AI439" s="1"/>
      <c r="BM439" s="2"/>
      <c r="BN439" s="2"/>
    </row>
    <row r="440" spans="35:66">
      <c r="AI440" s="1"/>
      <c r="BM440" s="2"/>
      <c r="BN440" s="2"/>
    </row>
    <row r="441" spans="35:66">
      <c r="AI441" s="1"/>
      <c r="BM441" s="2"/>
      <c r="BN441" s="2"/>
    </row>
    <row r="442" spans="35:66">
      <c r="AI442" s="1"/>
      <c r="BM442" s="2"/>
      <c r="BN442" s="2"/>
    </row>
    <row r="443" spans="35:66">
      <c r="AI443" s="1"/>
      <c r="BM443" s="2"/>
      <c r="BN443" s="2"/>
    </row>
    <row r="444" spans="35:66">
      <c r="AI444" s="1"/>
      <c r="BM444" s="2"/>
      <c r="BN444" s="2"/>
    </row>
    <row r="445" spans="35:66">
      <c r="AI445" s="1"/>
      <c r="BM445" s="2"/>
      <c r="BN445" s="2"/>
    </row>
    <row r="446" spans="35:66">
      <c r="AI446" s="1"/>
      <c r="BM446" s="2"/>
      <c r="BN446" s="2"/>
    </row>
    <row r="447" spans="35:66">
      <c r="AI447" s="1"/>
      <c r="BM447" s="2"/>
      <c r="BN447" s="2"/>
    </row>
    <row r="448" spans="35:66">
      <c r="AI448" s="1"/>
      <c r="BM448" s="2"/>
      <c r="BN448" s="2"/>
    </row>
    <row r="449" spans="35:66">
      <c r="AI449" s="1"/>
      <c r="BM449" s="2"/>
      <c r="BN449" s="2"/>
    </row>
    <row r="450" spans="35:66">
      <c r="AI450" s="1"/>
      <c r="BM450" s="2"/>
      <c r="BN450" s="2"/>
    </row>
    <row r="451" spans="35:66">
      <c r="AI451" s="1"/>
      <c r="BM451" s="2"/>
      <c r="BN451" s="2"/>
    </row>
    <row r="452" spans="35:66">
      <c r="AI452" s="1"/>
      <c r="BM452" s="2"/>
      <c r="BN452" s="2"/>
    </row>
    <row r="453" spans="35:66">
      <c r="AI453" s="1"/>
      <c r="BM453" s="2"/>
      <c r="BN453" s="2"/>
    </row>
    <row r="454" spans="35:66">
      <c r="AI454" s="1"/>
      <c r="BM454" s="2"/>
      <c r="BN454" s="2"/>
    </row>
    <row r="455" spans="35:66">
      <c r="AI455" s="1"/>
      <c r="BM455" s="2"/>
      <c r="BN455" s="2"/>
    </row>
    <row r="456" spans="35:66">
      <c r="AI456" s="1"/>
      <c r="BM456" s="2"/>
      <c r="BN456" s="2"/>
    </row>
    <row r="457" spans="35:66">
      <c r="AI457" s="1"/>
      <c r="BM457" s="2"/>
      <c r="BN457" s="2"/>
    </row>
    <row r="458" spans="35:66">
      <c r="AI458" s="1"/>
      <c r="BM458" s="2"/>
      <c r="BN458" s="2"/>
    </row>
    <row r="459" spans="35:66">
      <c r="AI459" s="1"/>
      <c r="BM459" s="2"/>
      <c r="BN459" s="2"/>
    </row>
    <row r="460" spans="35:66">
      <c r="AI460" s="1"/>
      <c r="BM460" s="2"/>
      <c r="BN460" s="2"/>
    </row>
    <row r="461" spans="35:66">
      <c r="AI461" s="1"/>
      <c r="BM461" s="2"/>
      <c r="BN461" s="2"/>
    </row>
    <row r="462" spans="35:66">
      <c r="AI462" s="1"/>
      <c r="BM462" s="2"/>
      <c r="BN462" s="2"/>
    </row>
    <row r="463" spans="35:66">
      <c r="AI463" s="1"/>
      <c r="BM463" s="2"/>
      <c r="BN463" s="2"/>
    </row>
    <row r="464" spans="35:66">
      <c r="AI464" s="1"/>
      <c r="BM464" s="2"/>
      <c r="BN464" s="2"/>
    </row>
    <row r="465" spans="35:66">
      <c r="AI465" s="1"/>
      <c r="BM465" s="2"/>
      <c r="BN465" s="2"/>
    </row>
    <row r="466" spans="35:66">
      <c r="AI466" s="1"/>
      <c r="BM466" s="2"/>
      <c r="BN466" s="2"/>
    </row>
    <row r="467" spans="35:66">
      <c r="AI467" s="1"/>
      <c r="BM467" s="2"/>
      <c r="BN467" s="2"/>
    </row>
    <row r="468" spans="35:66">
      <c r="AI468" s="1"/>
      <c r="BM468" s="2"/>
      <c r="BN468" s="2"/>
    </row>
    <row r="469" spans="35:66">
      <c r="AI469" s="1"/>
      <c r="BM469" s="2"/>
      <c r="BN469" s="2"/>
    </row>
    <row r="470" spans="35:66">
      <c r="AI470" s="1"/>
      <c r="BM470" s="2"/>
      <c r="BN470" s="2"/>
    </row>
    <row r="471" spans="35:66">
      <c r="AI471" s="1"/>
      <c r="BM471" s="2"/>
      <c r="BN471" s="2"/>
    </row>
    <row r="472" spans="35:66">
      <c r="AI472" s="1"/>
      <c r="BM472" s="2"/>
      <c r="BN472" s="2"/>
    </row>
    <row r="473" spans="35:66">
      <c r="AI473" s="1"/>
      <c r="BM473" s="2"/>
      <c r="BN473" s="2"/>
    </row>
    <row r="474" spans="35:66">
      <c r="AI474" s="1"/>
      <c r="BM474" s="2"/>
      <c r="BN474" s="2"/>
    </row>
    <row r="475" spans="35:66">
      <c r="AI475" s="1"/>
      <c r="BM475" s="2"/>
      <c r="BN475" s="2"/>
    </row>
    <row r="476" spans="35:66">
      <c r="AI476" s="1"/>
      <c r="BM476" s="2"/>
      <c r="BN476" s="2"/>
    </row>
    <row r="477" spans="35:66">
      <c r="AI477" s="1"/>
      <c r="BM477" s="2"/>
      <c r="BN477" s="2"/>
    </row>
    <row r="478" spans="35:66">
      <c r="AI478" s="1"/>
      <c r="BM478" s="2"/>
      <c r="BN478" s="2"/>
    </row>
    <row r="479" spans="35:66">
      <c r="AI479" s="1"/>
      <c r="BM479" s="2"/>
      <c r="BN479" s="2"/>
    </row>
    <row r="480" spans="35:66">
      <c r="AI480" s="1"/>
      <c r="BM480" s="2"/>
      <c r="BN480" s="2"/>
    </row>
    <row r="481" spans="35:66">
      <c r="AI481" s="1"/>
      <c r="BM481" s="2"/>
      <c r="BN481" s="2"/>
    </row>
    <row r="482" spans="35:66">
      <c r="AI482" s="1"/>
      <c r="BM482" s="2"/>
      <c r="BN482" s="2"/>
    </row>
    <row r="483" spans="35:66">
      <c r="AI483" s="1"/>
      <c r="BM483" s="2"/>
      <c r="BN483" s="2"/>
    </row>
    <row r="484" spans="35:66">
      <c r="AI484" s="1"/>
      <c r="BM484" s="2"/>
      <c r="BN484" s="2"/>
    </row>
    <row r="485" spans="35:66">
      <c r="AI485" s="1"/>
      <c r="BM485" s="2"/>
      <c r="BN485" s="2"/>
    </row>
    <row r="486" spans="35:66">
      <c r="AI486" s="1"/>
      <c r="BM486" s="2"/>
      <c r="BN486" s="2"/>
    </row>
    <row r="487" spans="35:66">
      <c r="AI487" s="1"/>
      <c r="BM487" s="2"/>
      <c r="BN487" s="2"/>
    </row>
    <row r="488" spans="35:66">
      <c r="AI488" s="1"/>
      <c r="BM488" s="2"/>
      <c r="BN488" s="2"/>
    </row>
    <row r="489" spans="35:66">
      <c r="AI489" s="1"/>
      <c r="BM489" s="2"/>
      <c r="BN489" s="2"/>
    </row>
    <row r="490" spans="35:66">
      <c r="AI490" s="1"/>
      <c r="BM490" s="2"/>
      <c r="BN490" s="2"/>
    </row>
    <row r="491" spans="35:66">
      <c r="AI491" s="1"/>
      <c r="BM491" s="2"/>
      <c r="BN491" s="2"/>
    </row>
    <row r="492" spans="35:66">
      <c r="AI492" s="1"/>
      <c r="BM492" s="2"/>
      <c r="BN492" s="2"/>
    </row>
    <row r="493" spans="35:66">
      <c r="AI493" s="1"/>
      <c r="BM493" s="2"/>
      <c r="BN493" s="2"/>
    </row>
    <row r="494" spans="35:66">
      <c r="AI494" s="1"/>
      <c r="BM494" s="2"/>
      <c r="BN494" s="2"/>
    </row>
    <row r="495" spans="35:66">
      <c r="AI495" s="1"/>
      <c r="BM495" s="2"/>
      <c r="BN495" s="2"/>
    </row>
    <row r="496" spans="35:66">
      <c r="AI496" s="1"/>
      <c r="BM496" s="2"/>
      <c r="BN496" s="2"/>
    </row>
    <row r="497" spans="35:66">
      <c r="AI497" s="1"/>
      <c r="BM497" s="2"/>
      <c r="BN497" s="2"/>
    </row>
    <row r="498" spans="35:66">
      <c r="AI498" s="1"/>
      <c r="BM498" s="2"/>
      <c r="BN498" s="2"/>
    </row>
    <row r="499" spans="35:66">
      <c r="AI499" s="1"/>
      <c r="BM499" s="2"/>
      <c r="BN499" s="2"/>
    </row>
    <row r="500" spans="35:66">
      <c r="AI500" s="1"/>
      <c r="BM500" s="2"/>
      <c r="BN500" s="2"/>
    </row>
    <row r="501" spans="35:66">
      <c r="AI501" s="1"/>
      <c r="BM501" s="2"/>
      <c r="BN501" s="2"/>
    </row>
    <row r="502" spans="35:66">
      <c r="AI502" s="1"/>
      <c r="BM502" s="2"/>
      <c r="BN502" s="2"/>
    </row>
    <row r="503" spans="35:66">
      <c r="AI503" s="1"/>
      <c r="BM503" s="2"/>
      <c r="BN503" s="2"/>
    </row>
    <row r="504" spans="35:66">
      <c r="AI504" s="1"/>
      <c r="BM504" s="2"/>
      <c r="BN504" s="2"/>
    </row>
    <row r="505" spans="35:66">
      <c r="AI505" s="1"/>
      <c r="BM505" s="2"/>
      <c r="BN505" s="2"/>
    </row>
    <row r="506" spans="35:66">
      <c r="AI506" s="1"/>
      <c r="BM506" s="2"/>
      <c r="BN506" s="2"/>
    </row>
    <row r="507" spans="35:66">
      <c r="AI507" s="1"/>
      <c r="BM507" s="2"/>
      <c r="BN507" s="2"/>
    </row>
    <row r="508" spans="35:66">
      <c r="AI508" s="1"/>
      <c r="BM508" s="2"/>
      <c r="BN508" s="2"/>
    </row>
    <row r="509" spans="35:66">
      <c r="AI509" s="1"/>
      <c r="BM509" s="2"/>
      <c r="BN509" s="2"/>
    </row>
    <row r="510" spans="35:66">
      <c r="AI510" s="1"/>
      <c r="BM510" s="2"/>
      <c r="BN510" s="2"/>
    </row>
    <row r="511" spans="35:66">
      <c r="AI511" s="1"/>
      <c r="BM511" s="2"/>
      <c r="BN511" s="2"/>
    </row>
    <row r="512" spans="35:66">
      <c r="AI512" s="1"/>
      <c r="BM512" s="2"/>
      <c r="BN512" s="2"/>
    </row>
    <row r="513" spans="35:66">
      <c r="AI513" s="1"/>
      <c r="BM513" s="2"/>
      <c r="BN513" s="2"/>
    </row>
    <row r="514" spans="35:66">
      <c r="AI514" s="1"/>
      <c r="BM514" s="2"/>
      <c r="BN514" s="2"/>
    </row>
    <row r="515" spans="35:66">
      <c r="AI515" s="1"/>
      <c r="BM515" s="2"/>
      <c r="BN515" s="2"/>
    </row>
    <row r="516" spans="35:66">
      <c r="AI516" s="1"/>
      <c r="BM516" s="2"/>
      <c r="BN516" s="2"/>
    </row>
    <row r="517" spans="35:66">
      <c r="AI517" s="1"/>
      <c r="BM517" s="2"/>
      <c r="BN517" s="2"/>
    </row>
    <row r="518" spans="35:66">
      <c r="AI518" s="1"/>
      <c r="BM518" s="2"/>
      <c r="BN518" s="2"/>
    </row>
    <row r="519" spans="35:66">
      <c r="AI519" s="1"/>
      <c r="BM519" s="2"/>
      <c r="BN519" s="2"/>
    </row>
    <row r="520" spans="35:66">
      <c r="AI520" s="1"/>
      <c r="BM520" s="2"/>
      <c r="BN520" s="2"/>
    </row>
    <row r="521" spans="35:66">
      <c r="AI521" s="1"/>
      <c r="BM521" s="2"/>
      <c r="BN521" s="2"/>
    </row>
    <row r="522" spans="35:66">
      <c r="AI522" s="1"/>
      <c r="BM522" s="2"/>
      <c r="BN522" s="2"/>
    </row>
    <row r="523" spans="35:66">
      <c r="AI523" s="1"/>
      <c r="BM523" s="2"/>
      <c r="BN523" s="2"/>
    </row>
    <row r="524" spans="35:66">
      <c r="AI524" s="1"/>
      <c r="BM524" s="2"/>
      <c r="BN524" s="2"/>
    </row>
    <row r="525" spans="35:66">
      <c r="AI525" s="1"/>
      <c r="BM525" s="2"/>
      <c r="BN525" s="2"/>
    </row>
    <row r="526" spans="35:66">
      <c r="AI526" s="1"/>
      <c r="BM526" s="2"/>
      <c r="BN526" s="2"/>
    </row>
    <row r="527" spans="35:66">
      <c r="AI527" s="1"/>
      <c r="BM527" s="2"/>
      <c r="BN527" s="2"/>
    </row>
    <row r="528" spans="35:66">
      <c r="AI528" s="1"/>
      <c r="BM528" s="2"/>
      <c r="BN528" s="2"/>
    </row>
    <row r="529" spans="35:66">
      <c r="AI529" s="1"/>
      <c r="BM529" s="2"/>
      <c r="BN529" s="2"/>
    </row>
    <row r="530" spans="35:66">
      <c r="AI530" s="1"/>
      <c r="BM530" s="2"/>
      <c r="BN530" s="2"/>
    </row>
    <row r="531" spans="35:66">
      <c r="AI531" s="1"/>
      <c r="BM531" s="2"/>
      <c r="BN531" s="2"/>
    </row>
    <row r="532" spans="35:66">
      <c r="AI532" s="1"/>
      <c r="BM532" s="2"/>
      <c r="BN532" s="2"/>
    </row>
    <row r="533" spans="35:66">
      <c r="AI533" s="1"/>
      <c r="BM533" s="2"/>
      <c r="BN533" s="2"/>
    </row>
    <row r="534" spans="35:66">
      <c r="AI534" s="1"/>
      <c r="BM534" s="2"/>
      <c r="BN534" s="2"/>
    </row>
    <row r="535" spans="35:66">
      <c r="AI535" s="1"/>
      <c r="BM535" s="2"/>
      <c r="BN535" s="2"/>
    </row>
    <row r="536" spans="35:66">
      <c r="AI536" s="1"/>
      <c r="BM536" s="2"/>
      <c r="BN536" s="2"/>
    </row>
    <row r="537" spans="35:66">
      <c r="AI537" s="1"/>
      <c r="BM537" s="2"/>
      <c r="BN537" s="2"/>
    </row>
    <row r="538" spans="35:66">
      <c r="AI538" s="1"/>
      <c r="BM538" s="2"/>
      <c r="BN538" s="2"/>
    </row>
    <row r="539" spans="35:66">
      <c r="AI539" s="1"/>
      <c r="BM539" s="2"/>
      <c r="BN539" s="2"/>
    </row>
    <row r="540" spans="35:66">
      <c r="AI540" s="1"/>
      <c r="BM540" s="2"/>
      <c r="BN540" s="2"/>
    </row>
    <row r="541" spans="35:66">
      <c r="AI541" s="1"/>
      <c r="BM541" s="2"/>
      <c r="BN541" s="2"/>
    </row>
    <row r="542" spans="35:66">
      <c r="AI542" s="1"/>
      <c r="BM542" s="2"/>
      <c r="BN542" s="2"/>
    </row>
    <row r="543" spans="35:66">
      <c r="AI543" s="1"/>
      <c r="BM543" s="2"/>
      <c r="BN543" s="2"/>
    </row>
    <row r="544" spans="35:66">
      <c r="AI544" s="1"/>
      <c r="BM544" s="2"/>
      <c r="BN544" s="2"/>
    </row>
    <row r="545" spans="35:66">
      <c r="AI545" s="1"/>
      <c r="BM545" s="2"/>
      <c r="BN545" s="2"/>
    </row>
    <row r="546" spans="35:66">
      <c r="AI546" s="1"/>
      <c r="BM546" s="2"/>
      <c r="BN546" s="2"/>
    </row>
    <row r="547" spans="35:66">
      <c r="AI547" s="1"/>
      <c r="BM547" s="2"/>
      <c r="BN547" s="2"/>
    </row>
    <row r="548" spans="35:66">
      <c r="AI548" s="1"/>
      <c r="BM548" s="2"/>
      <c r="BN548" s="2"/>
    </row>
    <row r="549" spans="35:66">
      <c r="AI549" s="1"/>
      <c r="BM549" s="2"/>
      <c r="BN549" s="2"/>
    </row>
    <row r="550" spans="35:66">
      <c r="AI550" s="1"/>
      <c r="BM550" s="2"/>
      <c r="BN550" s="2"/>
    </row>
    <row r="551" spans="35:66">
      <c r="AI551" s="1"/>
      <c r="BM551" s="2"/>
      <c r="BN551" s="2"/>
    </row>
    <row r="552" spans="35:66">
      <c r="AI552" s="1"/>
      <c r="BM552" s="2"/>
      <c r="BN552" s="2"/>
    </row>
    <row r="553" spans="35:66">
      <c r="AI553" s="1"/>
      <c r="BM553" s="2"/>
      <c r="BN553" s="2"/>
    </row>
    <row r="554" spans="35:66">
      <c r="AI554" s="1"/>
      <c r="BM554" s="2"/>
      <c r="BN554" s="2"/>
    </row>
    <row r="555" spans="35:66">
      <c r="AI555" s="1"/>
      <c r="BM555" s="2"/>
      <c r="BN555" s="2"/>
    </row>
    <row r="556" spans="35:66">
      <c r="AI556" s="1"/>
      <c r="BM556" s="2"/>
      <c r="BN556" s="2"/>
    </row>
    <row r="557" spans="35:66">
      <c r="AI557" s="1"/>
      <c r="BM557" s="2"/>
      <c r="BN557" s="2"/>
    </row>
    <row r="558" spans="35:66">
      <c r="AI558" s="1"/>
      <c r="BM558" s="2"/>
      <c r="BN558" s="2"/>
    </row>
    <row r="559" spans="35:66">
      <c r="AI559" s="1"/>
      <c r="BM559" s="2"/>
      <c r="BN559" s="2"/>
    </row>
    <row r="560" spans="35:66">
      <c r="AI560" s="1"/>
      <c r="BM560" s="2"/>
      <c r="BN560" s="2"/>
    </row>
    <row r="561" spans="35:66">
      <c r="AI561" s="1"/>
      <c r="BM561" s="2"/>
      <c r="BN561" s="2"/>
    </row>
    <row r="562" spans="35:66">
      <c r="AI562" s="1"/>
      <c r="BM562" s="2"/>
      <c r="BN562" s="2"/>
    </row>
    <row r="563" spans="35:66">
      <c r="AI563" s="1"/>
      <c r="BM563" s="2"/>
      <c r="BN563" s="2"/>
    </row>
    <row r="564" spans="35:66">
      <c r="AI564" s="1"/>
      <c r="BM564" s="2"/>
      <c r="BN564" s="2"/>
    </row>
    <row r="565" spans="35:66">
      <c r="AI565" s="1"/>
      <c r="BM565" s="2"/>
      <c r="BN565" s="2"/>
    </row>
    <row r="566" spans="35:66">
      <c r="AI566" s="1"/>
      <c r="BM566" s="2"/>
      <c r="BN566" s="2"/>
    </row>
    <row r="567" spans="35:66">
      <c r="AI567" s="1"/>
      <c r="BM567" s="2"/>
      <c r="BN567" s="2"/>
    </row>
    <row r="568" spans="35:66">
      <c r="AI568" s="1"/>
      <c r="BM568" s="2"/>
      <c r="BN568" s="2"/>
    </row>
    <row r="569" spans="35:66">
      <c r="AI569" s="1"/>
      <c r="BM569" s="2"/>
      <c r="BN569" s="2"/>
    </row>
    <row r="570" spans="35:66">
      <c r="AI570" s="1"/>
      <c r="BM570" s="2"/>
      <c r="BN570" s="2"/>
    </row>
    <row r="571" spans="35:66">
      <c r="AI571" s="1"/>
      <c r="BM571" s="2"/>
      <c r="BN571" s="2"/>
    </row>
    <row r="572" spans="35:66">
      <c r="AI572" s="1"/>
      <c r="BM572" s="2"/>
      <c r="BN572" s="2"/>
    </row>
    <row r="573" spans="35:66">
      <c r="AI573" s="1"/>
      <c r="BM573" s="2"/>
      <c r="BN573" s="2"/>
    </row>
    <row r="574" spans="35:66">
      <c r="AI574" s="1"/>
      <c r="BM574" s="2"/>
      <c r="BN574" s="2"/>
    </row>
    <row r="575" spans="35:66">
      <c r="AI575" s="1"/>
      <c r="BM575" s="2"/>
      <c r="BN575" s="2"/>
    </row>
    <row r="576" spans="35:66">
      <c r="AI576" s="1"/>
      <c r="BM576" s="2"/>
      <c r="BN576" s="2"/>
    </row>
    <row r="577" spans="35:66">
      <c r="AI577" s="1"/>
      <c r="BM577" s="2"/>
      <c r="BN577" s="2"/>
    </row>
    <row r="578" spans="35:66">
      <c r="AI578" s="1"/>
      <c r="BM578" s="2"/>
      <c r="BN578" s="2"/>
    </row>
    <row r="579" spans="35:66">
      <c r="AI579" s="1"/>
      <c r="BM579" s="2"/>
      <c r="BN579" s="2"/>
    </row>
    <row r="580" spans="35:66">
      <c r="AI580" s="1"/>
      <c r="BM580" s="2"/>
      <c r="BN580" s="2"/>
    </row>
    <row r="581" spans="35:66">
      <c r="AI581" s="1"/>
      <c r="BM581" s="2"/>
      <c r="BN581" s="2"/>
    </row>
    <row r="582" spans="35:66">
      <c r="AI582" s="1"/>
      <c r="BM582" s="2"/>
      <c r="BN582" s="2"/>
    </row>
    <row r="583" spans="35:66">
      <c r="AI583" s="1"/>
      <c r="BM583" s="2"/>
      <c r="BN583" s="2"/>
    </row>
    <row r="584" spans="35:66">
      <c r="AI584" s="1"/>
      <c r="BM584" s="2"/>
      <c r="BN584" s="2"/>
    </row>
    <row r="585" spans="35:66">
      <c r="AI585" s="1"/>
      <c r="BM585" s="2"/>
      <c r="BN585" s="2"/>
    </row>
    <row r="586" spans="35:66">
      <c r="AI586" s="1"/>
      <c r="BM586" s="2"/>
      <c r="BN586" s="2"/>
    </row>
    <row r="587" spans="35:66">
      <c r="AI587" s="1"/>
      <c r="BM587" s="2"/>
      <c r="BN587" s="2"/>
    </row>
    <row r="588" spans="35:66">
      <c r="AI588" s="1"/>
      <c r="BM588" s="2"/>
      <c r="BN588" s="2"/>
    </row>
    <row r="589" spans="35:66">
      <c r="AI589" s="1"/>
      <c r="BM589" s="2"/>
      <c r="BN589" s="2"/>
    </row>
    <row r="590" spans="35:66">
      <c r="AI590" s="1"/>
      <c r="BM590" s="2"/>
      <c r="BN590" s="2"/>
    </row>
    <row r="591" spans="35:66">
      <c r="AI591" s="1"/>
      <c r="BM591" s="2"/>
      <c r="BN591" s="2"/>
    </row>
    <row r="592" spans="35:66">
      <c r="AI592" s="1"/>
      <c r="BM592" s="2"/>
      <c r="BN592" s="2"/>
    </row>
    <row r="593" spans="35:66">
      <c r="AI593" s="1"/>
      <c r="BM593" s="2"/>
      <c r="BN593" s="2"/>
    </row>
    <row r="594" spans="35:66">
      <c r="AI594" s="1"/>
      <c r="BM594" s="2"/>
      <c r="BN594" s="2"/>
    </row>
    <row r="595" spans="35:66">
      <c r="AI595" s="1"/>
      <c r="BM595" s="2"/>
      <c r="BN595" s="2"/>
    </row>
    <row r="596" spans="35:66">
      <c r="AI596" s="1"/>
      <c r="BM596" s="2"/>
      <c r="BN596" s="2"/>
    </row>
    <row r="597" spans="35:66">
      <c r="AI597" s="1"/>
      <c r="BM597" s="2"/>
      <c r="BN597" s="2"/>
    </row>
    <row r="598" spans="35:66">
      <c r="AI598" s="1"/>
      <c r="BM598" s="2"/>
      <c r="BN598" s="2"/>
    </row>
    <row r="599" spans="35:66">
      <c r="AI599" s="1"/>
      <c r="BM599" s="2"/>
      <c r="BN599" s="2"/>
    </row>
    <row r="600" spans="35:66">
      <c r="AI600" s="1"/>
      <c r="BM600" s="2"/>
      <c r="BN600" s="2"/>
    </row>
    <row r="601" spans="35:66">
      <c r="AI601" s="1"/>
      <c r="BM601" s="2"/>
      <c r="BN601" s="2"/>
    </row>
    <row r="602" spans="35:66">
      <c r="AI602" s="1"/>
      <c r="BM602" s="2"/>
      <c r="BN602" s="2"/>
    </row>
    <row r="603" spans="35:66">
      <c r="AI603" s="1"/>
      <c r="BM603" s="2"/>
      <c r="BN603" s="2"/>
    </row>
    <row r="604" spans="35:66">
      <c r="AI604" s="1"/>
      <c r="BM604" s="2"/>
      <c r="BN604" s="2"/>
    </row>
    <row r="605" spans="35:66">
      <c r="AI605" s="1"/>
      <c r="BM605" s="2"/>
      <c r="BN605" s="2"/>
    </row>
    <row r="606" spans="35:66">
      <c r="AI606" s="1"/>
      <c r="BM606" s="2"/>
      <c r="BN606" s="2"/>
    </row>
    <row r="607" spans="35:66">
      <c r="AI607" s="1"/>
      <c r="BM607" s="2"/>
      <c r="BN607" s="2"/>
    </row>
    <row r="608" spans="35:66">
      <c r="AI608" s="1"/>
      <c r="BM608" s="2"/>
      <c r="BN608" s="2"/>
    </row>
    <row r="609" spans="35:66">
      <c r="AI609" s="1"/>
      <c r="BM609" s="2"/>
      <c r="BN609" s="2"/>
    </row>
    <row r="610" spans="35:66">
      <c r="AI610" s="1"/>
      <c r="BM610" s="2"/>
      <c r="BN610" s="2"/>
    </row>
    <row r="611" spans="35:66">
      <c r="AI611" s="1"/>
      <c r="BM611" s="2"/>
      <c r="BN611" s="2"/>
    </row>
    <row r="612" spans="35:66">
      <c r="AI612" s="1"/>
      <c r="BM612" s="2"/>
      <c r="BN612" s="2"/>
    </row>
    <row r="613" spans="35:66">
      <c r="AI613" s="1"/>
      <c r="BM613" s="2"/>
      <c r="BN613" s="2"/>
    </row>
    <row r="614" spans="35:66">
      <c r="AI614" s="1"/>
      <c r="BM614" s="2"/>
      <c r="BN614" s="2"/>
    </row>
    <row r="615" spans="35:66">
      <c r="AI615" s="1"/>
      <c r="BM615" s="2"/>
      <c r="BN615" s="2"/>
    </row>
    <row r="616" spans="35:66">
      <c r="AI616" s="1"/>
      <c r="BM616" s="2"/>
      <c r="BN616" s="2"/>
    </row>
    <row r="617" spans="35:66">
      <c r="AI617" s="1"/>
      <c r="BM617" s="2"/>
      <c r="BN617" s="2"/>
    </row>
    <row r="618" spans="35:66">
      <c r="AI618" s="1"/>
      <c r="BM618" s="2"/>
      <c r="BN618" s="2"/>
    </row>
    <row r="619" spans="35:66">
      <c r="AI619" s="1"/>
      <c r="BM619" s="2"/>
      <c r="BN619" s="2"/>
    </row>
    <row r="620" spans="35:66">
      <c r="AI620" s="1"/>
      <c r="BM620" s="2"/>
      <c r="BN620" s="2"/>
    </row>
    <row r="621" spans="35:66">
      <c r="AI621" s="1"/>
      <c r="BM621" s="2"/>
      <c r="BN621" s="2"/>
    </row>
    <row r="622" spans="35:66">
      <c r="AI622" s="1"/>
      <c r="BM622" s="2"/>
      <c r="BN622" s="2"/>
    </row>
    <row r="623" spans="35:66">
      <c r="AI623" s="1"/>
      <c r="BM623" s="2"/>
      <c r="BN623" s="2"/>
    </row>
    <row r="624" spans="35:66">
      <c r="AI624" s="1"/>
      <c r="BM624" s="2"/>
      <c r="BN624" s="2"/>
    </row>
    <row r="625" spans="35:66">
      <c r="AI625" s="1"/>
      <c r="BM625" s="2"/>
      <c r="BN625" s="2"/>
    </row>
    <row r="626" spans="35:66">
      <c r="AI626" s="1"/>
      <c r="BM626" s="2"/>
      <c r="BN626" s="2"/>
    </row>
    <row r="627" spans="35:66">
      <c r="AI627" s="1"/>
      <c r="BM627" s="2"/>
      <c r="BN627" s="2"/>
    </row>
    <row r="628" spans="35:66">
      <c r="AI628" s="1"/>
      <c r="BM628" s="2"/>
      <c r="BN628" s="2"/>
    </row>
    <row r="629" spans="35:66">
      <c r="AI629" s="1"/>
      <c r="BM629" s="2"/>
      <c r="BN629" s="2"/>
    </row>
    <row r="630" spans="35:66">
      <c r="AI630" s="1"/>
      <c r="BM630" s="2"/>
      <c r="BN630" s="2"/>
    </row>
    <row r="631" spans="35:66">
      <c r="AI631" s="1"/>
      <c r="BM631" s="2"/>
      <c r="BN631" s="2"/>
    </row>
    <row r="632" spans="35:66">
      <c r="AI632" s="1"/>
      <c r="BM632" s="2"/>
      <c r="BN632" s="2"/>
    </row>
    <row r="633" spans="35:66">
      <c r="AI633" s="1"/>
      <c r="BM633" s="2"/>
      <c r="BN633" s="2"/>
    </row>
    <row r="634" spans="35:66">
      <c r="AI634" s="1"/>
      <c r="BM634" s="2"/>
      <c r="BN634" s="2"/>
    </row>
    <row r="635" spans="35:66">
      <c r="AI635" s="1"/>
      <c r="BM635" s="2"/>
      <c r="BN635" s="2"/>
    </row>
    <row r="636" spans="35:66">
      <c r="AI636" s="1"/>
      <c r="BM636" s="2"/>
      <c r="BN636" s="2"/>
    </row>
    <row r="637" spans="35:66">
      <c r="AI637" s="1"/>
      <c r="BM637" s="2"/>
      <c r="BN637" s="2"/>
    </row>
    <row r="638" spans="35:66">
      <c r="AI638" s="1"/>
      <c r="BM638" s="2"/>
      <c r="BN638" s="2"/>
    </row>
    <row r="639" spans="35:66">
      <c r="AI639" s="1"/>
      <c r="BM639" s="2"/>
      <c r="BN639" s="2"/>
    </row>
    <row r="640" spans="35:66">
      <c r="AI640" s="1"/>
      <c r="BM640" s="2"/>
      <c r="BN640" s="2"/>
    </row>
    <row r="641" spans="35:66">
      <c r="AI641" s="1"/>
      <c r="BM641" s="2"/>
      <c r="BN641" s="2"/>
    </row>
    <row r="642" spans="35:66">
      <c r="AI642" s="1"/>
      <c r="BM642" s="2"/>
      <c r="BN642" s="2"/>
    </row>
    <row r="643" spans="35:66">
      <c r="AI643" s="1"/>
      <c r="BM643" s="2"/>
      <c r="BN643" s="2"/>
    </row>
    <row r="644" spans="35:66">
      <c r="AI644" s="1"/>
      <c r="BM644" s="2"/>
      <c r="BN644" s="2"/>
    </row>
    <row r="645" spans="35:66">
      <c r="AI645" s="1"/>
      <c r="BM645" s="2"/>
      <c r="BN645" s="2"/>
    </row>
    <row r="646" spans="35:66">
      <c r="AI646" s="1"/>
      <c r="BM646" s="2"/>
      <c r="BN646" s="2"/>
    </row>
    <row r="647" spans="35:66">
      <c r="AI647" s="1"/>
      <c r="BM647" s="2"/>
      <c r="BN647" s="2"/>
    </row>
    <row r="648" spans="35:66">
      <c r="AI648" s="1"/>
      <c r="BM648" s="2"/>
      <c r="BN648" s="2"/>
    </row>
    <row r="649" spans="35:66">
      <c r="AI649" s="1"/>
      <c r="BM649" s="2"/>
      <c r="BN649" s="2"/>
    </row>
    <row r="650" spans="35:66">
      <c r="AI650" s="1"/>
      <c r="BM650" s="2"/>
      <c r="BN650" s="2"/>
    </row>
    <row r="651" spans="35:66">
      <c r="AI651" s="1"/>
      <c r="BM651" s="2"/>
      <c r="BN651" s="2"/>
    </row>
    <row r="652" spans="35:66">
      <c r="AI652" s="1"/>
      <c r="BM652" s="2"/>
      <c r="BN652" s="2"/>
    </row>
    <row r="653" spans="35:66">
      <c r="AI653" s="1"/>
      <c r="BM653" s="2"/>
      <c r="BN653" s="2"/>
    </row>
    <row r="654" spans="35:66">
      <c r="AI654" s="1"/>
      <c r="BM654" s="2"/>
      <c r="BN654" s="2"/>
    </row>
    <row r="655" spans="35:66">
      <c r="AI655" s="1"/>
      <c r="BM655" s="2"/>
      <c r="BN655" s="2"/>
    </row>
    <row r="656" spans="35:66">
      <c r="AI656" s="1"/>
      <c r="BM656" s="2"/>
      <c r="BN656" s="2"/>
    </row>
    <row r="657" spans="35:66">
      <c r="AI657" s="1"/>
      <c r="BM657" s="2"/>
      <c r="BN657" s="2"/>
    </row>
    <row r="658" spans="35:66">
      <c r="AI658" s="1"/>
      <c r="BM658" s="2"/>
      <c r="BN658" s="2"/>
    </row>
    <row r="659" spans="35:66">
      <c r="AI659" s="1"/>
      <c r="BM659" s="2"/>
      <c r="BN659" s="2"/>
    </row>
    <row r="660" spans="35:66">
      <c r="AI660" s="1"/>
      <c r="BM660" s="2"/>
      <c r="BN660" s="2"/>
    </row>
    <row r="661" spans="35:66">
      <c r="AI661" s="1"/>
      <c r="BM661" s="2"/>
      <c r="BN661" s="2"/>
    </row>
    <row r="662" spans="35:66">
      <c r="AI662" s="1"/>
      <c r="BM662" s="2"/>
      <c r="BN662" s="2"/>
    </row>
    <row r="663" spans="35:66">
      <c r="AI663" s="1"/>
      <c r="BM663" s="2"/>
      <c r="BN663" s="2"/>
    </row>
    <row r="664" spans="35:66">
      <c r="AI664" s="1"/>
      <c r="BM664" s="2"/>
      <c r="BN664" s="2"/>
    </row>
    <row r="665" spans="35:66">
      <c r="AI665" s="1"/>
      <c r="BM665" s="2"/>
      <c r="BN665" s="2"/>
    </row>
    <row r="666" spans="35:66">
      <c r="AI666" s="1"/>
      <c r="BM666" s="2"/>
      <c r="BN666" s="2"/>
    </row>
    <row r="667" spans="35:66">
      <c r="AI667" s="1"/>
      <c r="BM667" s="2"/>
      <c r="BN667" s="2"/>
    </row>
    <row r="668" spans="35:66">
      <c r="AI668" s="1"/>
      <c r="BM668" s="2"/>
      <c r="BN668" s="2"/>
    </row>
    <row r="669" spans="35:66">
      <c r="AI669" s="1"/>
      <c r="BM669" s="2"/>
      <c r="BN669" s="2"/>
    </row>
    <row r="670" spans="35:66">
      <c r="AI670" s="1"/>
      <c r="BM670" s="2"/>
      <c r="BN670" s="2"/>
    </row>
    <row r="671" spans="35:66">
      <c r="AI671" s="1"/>
      <c r="BM671" s="2"/>
      <c r="BN671" s="2"/>
    </row>
    <row r="672" spans="35:66">
      <c r="AI672" s="1"/>
      <c r="BM672" s="2"/>
      <c r="BN672" s="2"/>
    </row>
    <row r="673" spans="35:66">
      <c r="AI673" s="1"/>
      <c r="BM673" s="2"/>
      <c r="BN673" s="2"/>
    </row>
    <row r="674" spans="35:66">
      <c r="AI674" s="1"/>
      <c r="BM674" s="2"/>
      <c r="BN674" s="2"/>
    </row>
    <row r="675" spans="35:66">
      <c r="AI675" s="1"/>
      <c r="BM675" s="2"/>
      <c r="BN675" s="2"/>
    </row>
    <row r="676" spans="35:66">
      <c r="AI676" s="1"/>
      <c r="BM676" s="2"/>
      <c r="BN676" s="2"/>
    </row>
    <row r="677" spans="35:66">
      <c r="AI677" s="1"/>
      <c r="BM677" s="2"/>
      <c r="BN677" s="2"/>
    </row>
    <row r="678" spans="35:66">
      <c r="AI678" s="1"/>
      <c r="BM678" s="2"/>
      <c r="BN678" s="2"/>
    </row>
    <row r="679" spans="35:66">
      <c r="AI679" s="1"/>
      <c r="BM679" s="2"/>
      <c r="BN679" s="2"/>
    </row>
    <row r="680" spans="35:66">
      <c r="AI680" s="1"/>
      <c r="BM680" s="2"/>
      <c r="BN680" s="2"/>
    </row>
    <row r="681" spans="35:66">
      <c r="AI681" s="1"/>
      <c r="BM681" s="2"/>
      <c r="BN681" s="2"/>
    </row>
    <row r="682" spans="35:66">
      <c r="AI682" s="1"/>
      <c r="BM682" s="2"/>
      <c r="BN682" s="2"/>
    </row>
    <row r="683" spans="35:66">
      <c r="AI683" s="1"/>
      <c r="BM683" s="2"/>
      <c r="BN683" s="2"/>
    </row>
    <row r="684" spans="35:66">
      <c r="AI684" s="1"/>
      <c r="BM684" s="2"/>
      <c r="BN684" s="2"/>
    </row>
    <row r="685" spans="35:66">
      <c r="AI685" s="1"/>
      <c r="BM685" s="2"/>
      <c r="BN685" s="2"/>
    </row>
    <row r="686" spans="35:66">
      <c r="AI686" s="1"/>
      <c r="BM686" s="2"/>
      <c r="BN686" s="2"/>
    </row>
    <row r="687" spans="35:66">
      <c r="AI687" s="1"/>
      <c r="BM687" s="2"/>
      <c r="BN687" s="2"/>
    </row>
    <row r="688" spans="35:66">
      <c r="AI688" s="1"/>
      <c r="BM688" s="2"/>
      <c r="BN688" s="2"/>
    </row>
    <row r="689" spans="35:66">
      <c r="AI689" s="1"/>
      <c r="BM689" s="2"/>
      <c r="BN689" s="2"/>
    </row>
    <row r="690" spans="35:66">
      <c r="AI690" s="1"/>
      <c r="BM690" s="2"/>
      <c r="BN690" s="2"/>
    </row>
    <row r="691" spans="35:66">
      <c r="AI691" s="1"/>
      <c r="BM691" s="2"/>
      <c r="BN691" s="2"/>
    </row>
    <row r="692" spans="35:66">
      <c r="AI692" s="1"/>
      <c r="BM692" s="2"/>
      <c r="BN692" s="2"/>
    </row>
    <row r="693" spans="35:66">
      <c r="AI693" s="1"/>
      <c r="BM693" s="2"/>
      <c r="BN693" s="2"/>
    </row>
    <row r="694" spans="35:66">
      <c r="AI694" s="1"/>
      <c r="BM694" s="2"/>
      <c r="BN694" s="2"/>
    </row>
    <row r="695" spans="35:66">
      <c r="AI695" s="1"/>
      <c r="BM695" s="2"/>
      <c r="BN695" s="2"/>
    </row>
    <row r="696" spans="35:66">
      <c r="AI696" s="1"/>
      <c r="BM696" s="2"/>
      <c r="BN696" s="2"/>
    </row>
    <row r="697" spans="35:66">
      <c r="AI697" s="1"/>
      <c r="BM697" s="2"/>
      <c r="BN697" s="2"/>
    </row>
    <row r="698" spans="35:66">
      <c r="AI698" s="1"/>
      <c r="BM698" s="2"/>
      <c r="BN698" s="2"/>
    </row>
    <row r="699" spans="35:66">
      <c r="AI699" s="1"/>
      <c r="BM699" s="2"/>
      <c r="BN699" s="2"/>
    </row>
    <row r="700" spans="35:66">
      <c r="AI700" s="1"/>
      <c r="BM700" s="2"/>
      <c r="BN700" s="2"/>
    </row>
    <row r="701" spans="35:66">
      <c r="AI701" s="1"/>
      <c r="BM701" s="2"/>
      <c r="BN701" s="2"/>
    </row>
    <row r="702" spans="35:66">
      <c r="AI702" s="1"/>
      <c r="BM702" s="2"/>
      <c r="BN702" s="2"/>
    </row>
    <row r="703" spans="35:66">
      <c r="AI703" s="1"/>
      <c r="BM703" s="2"/>
      <c r="BN703" s="2"/>
    </row>
    <row r="704" spans="35:66">
      <c r="AI704" s="1"/>
      <c r="BM704" s="2"/>
      <c r="BN704" s="2"/>
    </row>
    <row r="705" spans="35:66">
      <c r="AI705" s="1"/>
      <c r="BM705" s="2"/>
      <c r="BN705" s="2"/>
    </row>
    <row r="706" spans="35:66">
      <c r="AI706" s="1"/>
      <c r="BM706" s="2"/>
      <c r="BN706" s="2"/>
    </row>
    <row r="707" spans="35:66">
      <c r="AI707" s="1"/>
      <c r="BM707" s="2"/>
      <c r="BN707" s="2"/>
    </row>
    <row r="708" spans="35:66">
      <c r="AI708" s="1"/>
      <c r="BM708" s="2"/>
      <c r="BN708" s="2"/>
    </row>
    <row r="709" spans="35:66">
      <c r="AI709" s="1"/>
      <c r="BM709" s="2"/>
      <c r="BN709" s="2"/>
    </row>
    <row r="710" spans="35:66">
      <c r="AI710" s="1"/>
      <c r="BM710" s="2"/>
      <c r="BN710" s="2"/>
    </row>
    <row r="711" spans="35:66">
      <c r="AI711" s="1"/>
      <c r="BM711" s="2"/>
      <c r="BN711" s="2"/>
    </row>
    <row r="712" spans="35:66">
      <c r="AI712" s="1"/>
      <c r="BM712" s="2"/>
      <c r="BN712" s="2"/>
    </row>
    <row r="713" spans="35:66">
      <c r="AI713" s="1"/>
      <c r="BM713" s="2"/>
      <c r="BN713" s="2"/>
    </row>
    <row r="714" spans="35:66">
      <c r="AI714" s="1"/>
      <c r="BM714" s="2"/>
      <c r="BN714" s="2"/>
    </row>
    <row r="715" spans="35:66">
      <c r="AI715" s="1"/>
      <c r="BM715" s="2"/>
      <c r="BN715" s="2"/>
    </row>
    <row r="716" spans="35:66">
      <c r="AI716" s="1"/>
      <c r="BM716" s="2"/>
      <c r="BN716" s="2"/>
    </row>
    <row r="717" spans="35:66">
      <c r="AI717" s="1"/>
      <c r="BM717" s="2"/>
      <c r="BN717" s="2"/>
    </row>
    <row r="718" spans="35:66">
      <c r="AI718" s="1"/>
      <c r="BM718" s="2"/>
      <c r="BN718" s="2"/>
    </row>
    <row r="719" spans="35:66">
      <c r="AI719" s="1"/>
      <c r="BM719" s="2"/>
      <c r="BN719" s="2"/>
    </row>
    <row r="720" spans="35:66">
      <c r="AI720" s="1"/>
      <c r="BM720" s="2"/>
      <c r="BN720" s="2"/>
    </row>
    <row r="721" spans="35:66">
      <c r="AI721" s="1"/>
      <c r="BM721" s="2"/>
      <c r="BN721" s="2"/>
    </row>
    <row r="722" spans="35:66">
      <c r="AI722" s="1"/>
      <c r="BM722" s="2"/>
      <c r="BN722" s="2"/>
    </row>
    <row r="723" spans="35:66">
      <c r="AI723" s="1"/>
      <c r="BM723" s="2"/>
      <c r="BN723" s="2"/>
    </row>
    <row r="724" spans="35:66">
      <c r="AI724" s="1"/>
      <c r="BM724" s="2"/>
      <c r="BN724" s="2"/>
    </row>
    <row r="725" spans="35:66">
      <c r="AI725" s="1"/>
      <c r="BM725" s="2"/>
      <c r="BN725" s="2"/>
    </row>
    <row r="726" spans="35:66">
      <c r="AI726" s="1"/>
      <c r="BM726" s="2"/>
      <c r="BN726" s="2"/>
    </row>
    <row r="727" spans="35:66">
      <c r="AI727" s="1"/>
      <c r="BM727" s="2"/>
      <c r="BN727" s="2"/>
    </row>
    <row r="728" spans="35:66">
      <c r="AI728" s="1"/>
      <c r="BM728" s="2"/>
      <c r="BN728" s="2"/>
    </row>
    <row r="729" spans="35:66">
      <c r="AI729" s="1"/>
      <c r="BM729" s="2"/>
      <c r="BN729" s="2"/>
    </row>
    <row r="730" spans="35:66">
      <c r="AI730" s="1"/>
      <c r="BM730" s="2"/>
      <c r="BN730" s="2"/>
    </row>
    <row r="731" spans="35:66">
      <c r="AI731" s="1"/>
      <c r="BM731" s="2"/>
      <c r="BN731" s="2"/>
    </row>
    <row r="732" spans="35:66">
      <c r="AI732" s="1"/>
      <c r="BM732" s="2"/>
      <c r="BN732" s="2"/>
    </row>
    <row r="733" spans="35:66">
      <c r="AI733" s="1"/>
      <c r="BM733" s="2"/>
      <c r="BN733" s="2"/>
    </row>
    <row r="734" spans="35:66">
      <c r="AI734" s="1"/>
      <c r="BM734" s="2"/>
      <c r="BN734" s="2"/>
    </row>
    <row r="735" spans="35:66">
      <c r="AI735" s="1"/>
      <c r="BM735" s="2"/>
      <c r="BN735" s="2"/>
    </row>
    <row r="736" spans="35:66">
      <c r="AI736" s="1"/>
      <c r="BM736" s="2"/>
      <c r="BN736" s="2"/>
    </row>
    <row r="737" spans="35:66">
      <c r="AI737" s="1"/>
      <c r="BM737" s="2"/>
      <c r="BN737" s="2"/>
    </row>
    <row r="738" spans="35:66">
      <c r="AI738" s="1"/>
      <c r="BM738" s="2"/>
      <c r="BN738" s="2"/>
    </row>
    <row r="739" spans="35:66">
      <c r="AI739" s="1"/>
      <c r="BM739" s="2"/>
      <c r="BN739" s="2"/>
    </row>
    <row r="740" spans="35:66">
      <c r="AI740" s="1"/>
      <c r="BM740" s="2"/>
      <c r="BN740" s="2"/>
    </row>
    <row r="741" spans="35:66">
      <c r="AI741" s="1"/>
      <c r="BM741" s="2"/>
      <c r="BN741" s="2"/>
    </row>
    <row r="742" spans="35:66">
      <c r="AI742" s="1"/>
      <c r="BM742" s="2"/>
      <c r="BN742" s="2"/>
    </row>
    <row r="743" spans="35:66">
      <c r="AI743" s="1"/>
      <c r="BM743" s="2"/>
      <c r="BN743" s="2"/>
    </row>
    <row r="744" spans="35:66">
      <c r="AI744" s="1"/>
      <c r="BM744" s="2"/>
      <c r="BN744" s="2"/>
    </row>
    <row r="745" spans="35:66">
      <c r="AI745" s="1"/>
      <c r="BM745" s="2"/>
      <c r="BN745" s="2"/>
    </row>
    <row r="746" spans="35:66">
      <c r="AI746" s="1"/>
      <c r="BM746" s="2"/>
      <c r="BN746" s="2"/>
    </row>
    <row r="747" spans="35:66">
      <c r="AI747" s="1"/>
      <c r="BM747" s="2"/>
      <c r="BN747" s="2"/>
    </row>
    <row r="748" spans="35:66">
      <c r="AI748" s="1"/>
      <c r="BM748" s="2"/>
      <c r="BN748" s="2"/>
    </row>
    <row r="749" spans="35:66">
      <c r="AI749" s="1"/>
      <c r="BM749" s="2"/>
      <c r="BN749" s="2"/>
    </row>
    <row r="750" spans="35:66">
      <c r="AI750" s="1"/>
      <c r="BM750" s="2"/>
      <c r="BN750" s="2"/>
    </row>
    <row r="751" spans="35:66">
      <c r="AI751" s="1"/>
      <c r="BM751" s="2"/>
      <c r="BN751" s="2"/>
    </row>
    <row r="752" spans="35:66">
      <c r="AI752" s="1"/>
      <c r="BM752" s="2"/>
      <c r="BN752" s="2"/>
    </row>
    <row r="753" spans="35:66">
      <c r="AI753" s="1"/>
      <c r="BM753" s="2"/>
      <c r="BN753" s="2"/>
    </row>
    <row r="754" spans="35:66">
      <c r="AI754" s="1"/>
      <c r="BM754" s="2"/>
      <c r="BN754" s="2"/>
    </row>
    <row r="755" spans="35:66">
      <c r="AI755" s="1"/>
      <c r="BM755" s="2"/>
      <c r="BN755" s="2"/>
    </row>
    <row r="756" spans="35:66">
      <c r="AI756" s="1"/>
      <c r="BM756" s="2"/>
      <c r="BN756" s="2"/>
    </row>
    <row r="757" spans="35:66">
      <c r="AI757" s="1"/>
      <c r="BM757" s="2"/>
      <c r="BN757" s="2"/>
    </row>
    <row r="758" spans="35:66">
      <c r="AI758" s="1"/>
      <c r="BM758" s="2"/>
      <c r="BN758" s="2"/>
    </row>
    <row r="759" spans="35:66">
      <c r="AI759" s="1"/>
      <c r="BM759" s="2"/>
      <c r="BN759" s="2"/>
    </row>
    <row r="760" spans="35:66">
      <c r="AI760" s="1"/>
      <c r="BM760" s="2"/>
      <c r="BN760" s="2"/>
    </row>
    <row r="761" spans="35:66">
      <c r="AI761" s="1"/>
      <c r="BM761" s="2"/>
      <c r="BN761" s="2"/>
    </row>
    <row r="762" spans="35:66">
      <c r="AI762" s="1"/>
      <c r="BM762" s="2"/>
      <c r="BN762" s="2"/>
    </row>
    <row r="763" spans="35:66">
      <c r="AI763" s="1"/>
      <c r="BM763" s="2"/>
      <c r="BN763" s="2"/>
    </row>
    <row r="764" spans="35:66">
      <c r="AI764" s="1"/>
      <c r="BM764" s="2"/>
      <c r="BN764" s="2"/>
    </row>
    <row r="765" spans="35:66">
      <c r="AI765" s="1"/>
      <c r="BM765" s="2"/>
      <c r="BN765" s="2"/>
    </row>
    <row r="766" spans="35:66">
      <c r="AI766" s="1"/>
      <c r="BM766" s="2"/>
      <c r="BN766" s="2"/>
    </row>
    <row r="767" spans="35:66">
      <c r="AI767" s="1"/>
      <c r="BM767" s="2"/>
      <c r="BN767" s="2"/>
    </row>
    <row r="768" spans="35:66">
      <c r="AI768" s="1"/>
      <c r="BM768" s="2"/>
      <c r="BN768" s="2"/>
    </row>
    <row r="769" spans="35:66">
      <c r="AI769" s="1"/>
      <c r="BM769" s="2"/>
      <c r="BN769" s="2"/>
    </row>
    <row r="770" spans="35:66">
      <c r="AI770" s="1"/>
      <c r="BM770" s="2"/>
      <c r="BN770" s="2"/>
    </row>
    <row r="771" spans="35:66">
      <c r="AI771" s="1"/>
      <c r="BM771" s="2"/>
      <c r="BN771" s="2"/>
    </row>
    <row r="772" spans="35:66">
      <c r="AI772" s="1"/>
      <c r="BM772" s="2"/>
      <c r="BN772" s="2"/>
    </row>
    <row r="773" spans="35:66">
      <c r="AI773" s="1"/>
      <c r="BM773" s="2"/>
      <c r="BN773" s="2"/>
    </row>
    <row r="774" spans="35:66">
      <c r="AI774" s="1"/>
      <c r="BM774" s="2"/>
      <c r="BN774" s="2"/>
    </row>
    <row r="775" spans="35:66">
      <c r="AI775" s="1"/>
      <c r="BM775" s="2"/>
      <c r="BN775" s="2"/>
    </row>
    <row r="776" spans="35:66">
      <c r="AI776" s="1"/>
      <c r="BM776" s="2"/>
      <c r="BN776" s="2"/>
    </row>
    <row r="777" spans="35:66">
      <c r="AI777" s="1"/>
      <c r="BM777" s="2"/>
      <c r="BN777" s="2"/>
    </row>
    <row r="778" spans="35:66">
      <c r="AI778" s="1"/>
      <c r="BM778" s="2"/>
      <c r="BN778" s="2"/>
    </row>
    <row r="779" spans="35:66">
      <c r="AI779" s="1"/>
      <c r="BM779" s="2"/>
      <c r="BN779" s="2"/>
    </row>
    <row r="780" spans="35:66">
      <c r="AI780" s="1"/>
      <c r="BM780" s="2"/>
      <c r="BN780" s="2"/>
    </row>
    <row r="781" spans="35:66">
      <c r="AI781" s="1"/>
      <c r="BM781" s="2"/>
      <c r="BN781" s="2"/>
    </row>
    <row r="782" spans="35:66">
      <c r="AI782" s="1"/>
      <c r="BM782" s="2"/>
      <c r="BN782" s="2"/>
    </row>
    <row r="783" spans="35:66">
      <c r="AI783" s="1"/>
      <c r="BM783" s="2"/>
      <c r="BN783" s="2"/>
    </row>
    <row r="784" spans="35:66">
      <c r="AI784" s="1"/>
      <c r="BM784" s="2"/>
      <c r="BN784" s="2"/>
    </row>
    <row r="785" spans="35:66">
      <c r="AI785" s="1"/>
      <c r="BM785" s="2"/>
      <c r="BN785" s="2"/>
    </row>
    <row r="786" spans="35:66">
      <c r="AI786" s="1"/>
      <c r="BM786" s="2"/>
      <c r="BN786" s="2"/>
    </row>
    <row r="787" spans="35:66">
      <c r="AI787" s="1"/>
      <c r="BM787" s="2"/>
      <c r="BN787" s="2"/>
    </row>
    <row r="788" spans="35:66">
      <c r="AI788" s="1"/>
      <c r="BM788" s="2"/>
      <c r="BN788" s="2"/>
    </row>
    <row r="789" spans="35:66">
      <c r="AI789" s="1"/>
      <c r="BM789" s="2"/>
      <c r="BN789" s="2"/>
    </row>
    <row r="790" spans="35:66">
      <c r="AI790" s="1"/>
      <c r="BM790" s="2"/>
      <c r="BN790" s="2"/>
    </row>
    <row r="791" spans="35:66">
      <c r="AI791" s="1"/>
      <c r="BM791" s="2"/>
      <c r="BN791" s="2"/>
    </row>
    <row r="792" spans="35:66">
      <c r="AI792" s="1"/>
      <c r="BM792" s="2"/>
      <c r="BN792" s="2"/>
    </row>
    <row r="793" spans="35:66">
      <c r="AI793" s="1"/>
      <c r="BM793" s="2"/>
      <c r="BN793" s="2"/>
    </row>
    <row r="794" spans="35:66">
      <c r="AI794" s="1"/>
      <c r="BM794" s="2"/>
      <c r="BN794" s="2"/>
    </row>
    <row r="795" spans="35:66">
      <c r="AI795" s="1"/>
      <c r="BM795" s="2"/>
      <c r="BN795" s="2"/>
    </row>
    <row r="796" spans="35:66">
      <c r="AI796" s="1"/>
      <c r="BM796" s="2"/>
      <c r="BN796" s="2"/>
    </row>
    <row r="797" spans="35:66">
      <c r="AI797" s="1"/>
      <c r="BM797" s="2"/>
      <c r="BN797" s="2"/>
    </row>
    <row r="798" spans="35:66">
      <c r="AI798" s="1"/>
      <c r="BM798" s="2"/>
      <c r="BN798" s="2"/>
    </row>
    <row r="799" spans="35:66">
      <c r="AI799" s="1"/>
      <c r="BM799" s="2"/>
      <c r="BN799" s="2"/>
    </row>
    <row r="800" spans="35:66">
      <c r="AI800" s="1"/>
      <c r="BM800" s="2"/>
      <c r="BN800" s="2"/>
    </row>
    <row r="801" spans="35:66">
      <c r="AI801" s="1"/>
      <c r="BM801" s="2"/>
      <c r="BN801" s="2"/>
    </row>
    <row r="802" spans="35:66">
      <c r="AI802" s="1"/>
      <c r="BM802" s="2"/>
      <c r="BN802" s="2"/>
    </row>
    <row r="803" spans="35:66">
      <c r="AI803" s="1"/>
      <c r="BM803" s="2"/>
      <c r="BN803" s="2"/>
    </row>
    <row r="804" spans="35:66">
      <c r="AI804" s="1"/>
      <c r="BM804" s="2"/>
      <c r="BN804" s="2"/>
    </row>
    <row r="805" spans="35:66">
      <c r="AI805" s="1"/>
      <c r="BM805" s="2"/>
      <c r="BN805" s="2"/>
    </row>
    <row r="806" spans="35:66">
      <c r="AI806" s="1"/>
      <c r="BM806" s="2"/>
      <c r="BN806" s="2"/>
    </row>
    <row r="807" spans="35:66">
      <c r="AI807" s="1"/>
      <c r="BM807" s="2"/>
      <c r="BN807" s="2"/>
    </row>
    <row r="808" spans="35:66">
      <c r="AI808" s="1"/>
      <c r="BM808" s="2"/>
      <c r="BN808" s="2"/>
    </row>
    <row r="809" spans="35:66">
      <c r="AI809" s="1"/>
      <c r="BM809" s="2"/>
      <c r="BN809" s="2"/>
    </row>
    <row r="810" spans="35:66">
      <c r="AI810" s="1"/>
      <c r="BM810" s="2"/>
      <c r="BN810" s="2"/>
    </row>
    <row r="811" spans="35:66">
      <c r="AI811" s="1"/>
      <c r="BM811" s="2"/>
      <c r="BN811" s="2"/>
    </row>
    <row r="812" spans="35:66">
      <c r="AI812" s="1"/>
      <c r="BM812" s="2"/>
      <c r="BN812" s="2"/>
    </row>
    <row r="813" spans="35:66">
      <c r="AI813" s="1"/>
      <c r="BM813" s="2"/>
      <c r="BN813" s="2"/>
    </row>
    <row r="814" spans="35:66">
      <c r="AI814" s="1"/>
      <c r="BM814" s="2"/>
      <c r="BN814" s="2"/>
    </row>
    <row r="815" spans="35:66">
      <c r="AI815" s="1"/>
      <c r="BM815" s="2"/>
      <c r="BN815" s="2"/>
    </row>
    <row r="816" spans="35:66">
      <c r="AI816" s="1"/>
      <c r="BM816" s="2"/>
      <c r="BN816" s="2"/>
    </row>
    <row r="817" spans="35:66">
      <c r="AI817" s="1"/>
      <c r="BM817" s="2"/>
      <c r="BN817" s="2"/>
    </row>
    <row r="818" spans="35:66">
      <c r="AI818" s="1"/>
      <c r="BM818" s="2"/>
      <c r="BN818" s="2"/>
    </row>
    <row r="819" spans="35:66">
      <c r="AI819" s="1"/>
      <c r="BM819" s="2"/>
      <c r="BN819" s="2"/>
    </row>
    <row r="820" spans="35:66">
      <c r="AI820" s="1"/>
      <c r="BM820" s="2"/>
      <c r="BN820" s="2"/>
    </row>
    <row r="821" spans="35:66">
      <c r="AI821" s="1"/>
      <c r="BM821" s="2"/>
      <c r="BN821" s="2"/>
    </row>
    <row r="822" spans="35:66">
      <c r="AI822" s="1"/>
      <c r="BM822" s="2"/>
      <c r="BN822" s="2"/>
    </row>
    <row r="823" spans="35:66">
      <c r="AI823" s="1"/>
      <c r="BM823" s="2"/>
      <c r="BN823" s="2"/>
    </row>
    <row r="824" spans="35:66">
      <c r="AI824" s="1"/>
      <c r="BM824" s="2"/>
      <c r="BN824" s="2"/>
    </row>
    <row r="825" spans="35:66">
      <c r="AI825" s="1"/>
      <c r="BM825" s="2"/>
      <c r="BN825" s="2"/>
    </row>
    <row r="826" spans="35:66">
      <c r="AI826" s="1"/>
      <c r="BM826" s="2"/>
      <c r="BN826" s="2"/>
    </row>
    <row r="827" spans="35:66">
      <c r="AI827" s="1"/>
      <c r="BM827" s="2"/>
      <c r="BN827" s="2"/>
    </row>
    <row r="828" spans="35:66">
      <c r="AI828" s="1"/>
      <c r="BM828" s="2"/>
      <c r="BN828" s="2"/>
    </row>
    <row r="829" spans="35:66">
      <c r="AI829" s="1"/>
      <c r="BM829" s="2"/>
      <c r="BN829" s="2"/>
    </row>
    <row r="830" spans="35:66">
      <c r="AI830" s="1"/>
      <c r="BM830" s="2"/>
      <c r="BN830" s="2"/>
    </row>
    <row r="831" spans="35:66">
      <c r="AI831" s="1"/>
      <c r="BM831" s="2"/>
      <c r="BN831" s="2"/>
    </row>
    <row r="832" spans="35:66">
      <c r="AI832" s="1"/>
      <c r="BM832" s="2"/>
      <c r="BN832" s="2"/>
    </row>
    <row r="833" spans="35:66">
      <c r="AI833" s="1"/>
      <c r="BM833" s="2"/>
      <c r="BN833" s="2"/>
    </row>
    <row r="834" spans="35:66">
      <c r="AI834" s="1"/>
      <c r="BM834" s="2"/>
      <c r="BN834" s="2"/>
    </row>
    <row r="835" spans="35:66">
      <c r="AI835" s="1"/>
      <c r="BM835" s="2"/>
      <c r="BN835" s="2"/>
    </row>
    <row r="836" spans="35:66">
      <c r="AI836" s="1"/>
      <c r="BM836" s="2"/>
      <c r="BN836" s="2"/>
    </row>
    <row r="837" spans="35:66">
      <c r="AI837" s="1"/>
      <c r="BM837" s="2"/>
      <c r="BN837" s="2"/>
    </row>
    <row r="838" spans="35:66">
      <c r="AI838" s="1"/>
      <c r="BM838" s="2"/>
      <c r="BN838" s="2"/>
    </row>
    <row r="839" spans="35:66">
      <c r="AI839" s="1"/>
      <c r="BM839" s="2"/>
      <c r="BN839" s="2"/>
    </row>
    <row r="840" spans="35:66">
      <c r="AI840" s="1"/>
      <c r="BM840" s="2"/>
      <c r="BN840" s="2"/>
    </row>
    <row r="841" spans="35:66">
      <c r="AI841" s="1"/>
      <c r="BM841" s="2"/>
      <c r="BN841" s="2"/>
    </row>
    <row r="842" spans="35:66">
      <c r="AI842" s="1"/>
      <c r="BM842" s="2"/>
      <c r="BN842" s="2"/>
    </row>
    <row r="843" spans="35:66">
      <c r="AI843" s="1"/>
      <c r="BM843" s="2"/>
      <c r="BN843" s="2"/>
    </row>
    <row r="844" spans="35:66">
      <c r="AI844" s="1"/>
      <c r="BM844" s="2"/>
      <c r="BN844" s="2"/>
    </row>
    <row r="845" spans="35:66">
      <c r="AI845" s="1"/>
      <c r="BM845" s="2"/>
      <c r="BN845" s="2"/>
    </row>
    <row r="846" spans="35:66">
      <c r="AI846" s="1"/>
      <c r="BM846" s="2"/>
      <c r="BN846" s="2"/>
    </row>
    <row r="847" spans="35:66">
      <c r="AI847" s="1"/>
      <c r="BM847" s="2"/>
      <c r="BN847" s="2"/>
    </row>
    <row r="848" spans="35:66">
      <c r="AI848" s="1"/>
      <c r="BM848" s="2"/>
      <c r="BN848" s="2"/>
    </row>
    <row r="849" spans="35:66">
      <c r="AI849" s="1"/>
      <c r="BM849" s="2"/>
      <c r="BN849" s="2"/>
    </row>
    <row r="850" spans="35:66">
      <c r="AI850" s="1"/>
      <c r="BM850" s="2"/>
      <c r="BN850" s="2"/>
    </row>
    <row r="851" spans="35:66">
      <c r="AI851" s="1"/>
      <c r="BM851" s="2"/>
      <c r="BN851" s="2"/>
    </row>
    <row r="852" spans="35:66">
      <c r="AI852" s="1"/>
      <c r="BM852" s="2"/>
      <c r="BN852" s="2"/>
    </row>
    <row r="853" spans="35:66">
      <c r="AI853" s="1"/>
      <c r="BM853" s="2"/>
      <c r="BN853" s="2"/>
    </row>
    <row r="854" spans="35:66">
      <c r="AI854" s="1"/>
      <c r="BM854" s="2"/>
      <c r="BN854" s="2"/>
    </row>
    <row r="855" spans="35:66">
      <c r="AI855" s="1"/>
      <c r="BM855" s="2"/>
      <c r="BN855" s="2"/>
    </row>
    <row r="856" spans="35:66">
      <c r="AI856" s="1"/>
      <c r="BM856" s="2"/>
      <c r="BN856" s="2"/>
    </row>
    <row r="857" spans="35:66">
      <c r="AI857" s="1"/>
      <c r="BM857" s="2"/>
      <c r="BN857" s="2"/>
    </row>
    <row r="858" spans="35:66">
      <c r="AI858" s="1"/>
      <c r="BM858" s="2"/>
      <c r="BN858" s="2"/>
    </row>
    <row r="859" spans="35:66">
      <c r="AI859" s="1"/>
      <c r="BM859" s="2"/>
      <c r="BN859" s="2"/>
    </row>
    <row r="860" spans="35:66">
      <c r="AI860" s="1"/>
      <c r="BM860" s="2"/>
      <c r="BN860" s="2"/>
    </row>
    <row r="861" spans="35:66">
      <c r="AI861" s="1"/>
      <c r="BM861" s="2"/>
      <c r="BN861" s="2"/>
    </row>
    <row r="862" spans="35:66">
      <c r="AI862" s="1"/>
      <c r="BM862" s="2"/>
      <c r="BN862" s="2"/>
    </row>
    <row r="863" spans="35:66">
      <c r="AI863" s="1"/>
      <c r="BM863" s="2"/>
      <c r="BN863" s="2"/>
    </row>
    <row r="864" spans="35:66">
      <c r="AI864" s="1"/>
      <c r="BM864" s="2"/>
      <c r="BN864" s="2"/>
    </row>
    <row r="865" spans="35:66">
      <c r="AI865" s="1"/>
      <c r="BM865" s="2"/>
      <c r="BN865" s="2"/>
    </row>
    <row r="866" spans="35:66">
      <c r="AI866" s="1"/>
      <c r="BM866" s="2"/>
      <c r="BN866" s="2"/>
    </row>
    <row r="867" spans="35:66">
      <c r="AI867" s="1"/>
      <c r="BM867" s="2"/>
      <c r="BN867" s="2"/>
    </row>
    <row r="868" spans="35:66">
      <c r="AI868" s="1"/>
      <c r="BM868" s="2"/>
      <c r="BN868" s="2"/>
    </row>
    <row r="869" spans="35:66">
      <c r="AI869" s="1"/>
      <c r="BM869" s="2"/>
      <c r="BN869" s="2"/>
    </row>
    <row r="870" spans="35:66">
      <c r="AI870" s="1"/>
      <c r="BM870" s="2"/>
      <c r="BN870" s="2"/>
    </row>
    <row r="871" spans="35:66">
      <c r="AI871" s="1"/>
      <c r="BM871" s="2"/>
      <c r="BN871" s="2"/>
    </row>
    <row r="872" spans="35:66">
      <c r="AI872" s="1"/>
      <c r="BM872" s="2"/>
      <c r="BN872" s="2"/>
    </row>
    <row r="873" spans="35:66">
      <c r="AI873" s="1"/>
      <c r="BM873" s="2"/>
      <c r="BN873" s="2"/>
    </row>
    <row r="874" spans="35:66">
      <c r="AI874" s="1"/>
      <c r="BM874" s="2"/>
      <c r="BN874" s="2"/>
    </row>
    <row r="875" spans="35:66">
      <c r="AI875" s="1"/>
      <c r="BM875" s="2"/>
      <c r="BN875" s="2"/>
    </row>
    <row r="876" spans="35:66">
      <c r="AI876" s="1"/>
      <c r="BM876" s="2"/>
      <c r="BN876" s="2"/>
    </row>
    <row r="877" spans="35:66">
      <c r="AI877" s="1"/>
      <c r="BM877" s="2"/>
      <c r="BN877" s="2"/>
    </row>
    <row r="878" spans="35:66">
      <c r="AI878" s="1"/>
      <c r="BM878" s="2"/>
      <c r="BN878" s="2"/>
    </row>
    <row r="879" spans="35:66">
      <c r="AI879" s="1"/>
      <c r="BM879" s="2"/>
      <c r="BN879" s="2"/>
    </row>
    <row r="880" spans="35:66">
      <c r="AI880" s="1"/>
      <c r="BM880" s="2"/>
      <c r="BN880" s="2"/>
    </row>
    <row r="881" spans="35:66">
      <c r="AI881" s="1"/>
      <c r="BM881" s="2"/>
      <c r="BN881" s="2"/>
    </row>
    <row r="882" spans="35:66">
      <c r="AI882" s="1"/>
      <c r="BM882" s="2"/>
      <c r="BN882" s="2"/>
    </row>
    <row r="883" spans="35:66">
      <c r="AI883" s="1"/>
      <c r="BM883" s="2"/>
      <c r="BN883" s="2"/>
    </row>
    <row r="884" spans="35:66">
      <c r="AI884" s="1"/>
      <c r="BM884" s="2"/>
      <c r="BN884" s="2"/>
    </row>
    <row r="885" spans="35:66">
      <c r="AI885" s="1"/>
      <c r="BM885" s="2"/>
      <c r="BN885" s="2"/>
    </row>
    <row r="886" spans="35:66">
      <c r="AI886" s="1"/>
      <c r="BM886" s="2"/>
      <c r="BN886" s="2"/>
    </row>
    <row r="887" spans="35:66">
      <c r="AI887" s="1"/>
      <c r="BM887" s="2"/>
      <c r="BN887" s="2"/>
    </row>
    <row r="888" spans="35:66">
      <c r="AI888" s="1"/>
      <c r="BM888" s="2"/>
      <c r="BN888" s="2"/>
    </row>
    <row r="889" spans="35:66">
      <c r="AI889" s="1"/>
      <c r="BM889" s="2"/>
      <c r="BN889" s="2"/>
    </row>
    <row r="890" spans="35:66">
      <c r="AI890" s="1"/>
      <c r="BM890" s="2"/>
      <c r="BN890" s="2"/>
    </row>
    <row r="891" spans="35:66">
      <c r="AI891" s="1"/>
      <c r="BM891" s="2"/>
      <c r="BN891" s="2"/>
    </row>
    <row r="892" spans="35:66">
      <c r="AI892" s="1"/>
      <c r="BM892" s="2"/>
      <c r="BN892" s="2"/>
    </row>
    <row r="893" spans="35:66">
      <c r="AI893" s="1"/>
      <c r="BM893" s="2"/>
      <c r="BN893" s="2"/>
    </row>
    <row r="894" spans="35:66">
      <c r="AI894" s="1"/>
      <c r="BM894" s="2"/>
      <c r="BN894" s="2"/>
    </row>
    <row r="895" spans="35:66">
      <c r="AI895" s="1"/>
      <c r="BM895" s="2"/>
      <c r="BN895" s="2"/>
    </row>
    <row r="896" spans="35:66">
      <c r="AI896" s="1"/>
      <c r="BM896" s="2"/>
      <c r="BN896" s="2"/>
    </row>
    <row r="897" spans="35:66">
      <c r="AI897" s="1"/>
      <c r="BM897" s="2"/>
      <c r="BN897" s="2"/>
    </row>
    <row r="898" spans="35:66">
      <c r="AI898" s="1"/>
      <c r="BM898" s="2"/>
      <c r="BN898" s="2"/>
    </row>
    <row r="899" spans="35:66">
      <c r="AI899" s="1"/>
      <c r="BM899" s="2"/>
      <c r="BN899" s="2"/>
    </row>
    <row r="900" spans="35:66">
      <c r="AI900" s="1"/>
      <c r="BM900" s="2"/>
      <c r="BN900" s="2"/>
    </row>
    <row r="901" spans="35:66">
      <c r="AI901" s="1"/>
      <c r="BM901" s="2"/>
      <c r="BN901" s="2"/>
    </row>
    <row r="902" spans="35:66">
      <c r="AI902" s="1"/>
      <c r="BM902" s="2"/>
      <c r="BN902" s="2"/>
    </row>
    <row r="903" spans="35:66">
      <c r="AI903" s="1"/>
      <c r="BM903" s="2"/>
      <c r="BN903" s="2"/>
    </row>
    <row r="904" spans="35:66">
      <c r="AI904" s="1"/>
      <c r="BM904" s="2"/>
      <c r="BN904" s="2"/>
    </row>
    <row r="905" spans="35:66">
      <c r="AI905" s="1"/>
      <c r="BM905" s="2"/>
      <c r="BN905" s="2"/>
    </row>
    <row r="906" spans="35:66">
      <c r="AI906" s="1"/>
      <c r="BM906" s="2"/>
      <c r="BN906" s="2"/>
    </row>
    <row r="907" spans="35:66">
      <c r="AI907" s="1"/>
      <c r="BM907" s="2"/>
      <c r="BN907" s="2"/>
    </row>
    <row r="908" spans="35:66">
      <c r="AI908" s="1"/>
      <c r="BM908" s="2"/>
      <c r="BN908" s="2"/>
    </row>
    <row r="909" spans="35:66">
      <c r="AI909" s="1"/>
      <c r="BM909" s="2"/>
      <c r="BN909" s="2"/>
    </row>
    <row r="910" spans="35:66">
      <c r="AI910" s="1"/>
      <c r="BM910" s="2"/>
      <c r="BN910" s="2"/>
    </row>
    <row r="911" spans="35:66">
      <c r="AI911" s="1"/>
      <c r="BM911" s="2"/>
      <c r="BN911" s="2"/>
    </row>
    <row r="912" spans="35:66">
      <c r="AI912" s="1"/>
      <c r="BM912" s="2"/>
      <c r="BN912" s="2"/>
    </row>
    <row r="913" spans="35:66">
      <c r="AI913" s="1"/>
      <c r="BM913" s="2"/>
      <c r="BN913" s="2"/>
    </row>
    <row r="914" spans="35:66">
      <c r="AI914" s="1"/>
      <c r="BM914" s="2"/>
      <c r="BN914" s="2"/>
    </row>
    <row r="915" spans="35:66">
      <c r="AI915" s="1"/>
      <c r="BM915" s="2"/>
      <c r="BN915" s="2"/>
    </row>
    <row r="916" spans="35:66">
      <c r="AI916" s="1"/>
      <c r="BM916" s="2"/>
      <c r="BN916" s="2"/>
    </row>
    <row r="917" spans="35:66">
      <c r="AI917" s="1"/>
      <c r="BM917" s="2"/>
      <c r="BN917" s="2"/>
    </row>
    <row r="918" spans="35:66">
      <c r="AI918" s="1"/>
      <c r="BM918" s="2"/>
      <c r="BN918" s="2"/>
    </row>
    <row r="919" spans="35:66">
      <c r="AI919" s="1"/>
      <c r="BM919" s="2"/>
      <c r="BN919" s="2"/>
    </row>
    <row r="920" spans="35:66">
      <c r="AI920" s="1"/>
      <c r="BM920" s="2"/>
      <c r="BN920" s="2"/>
    </row>
    <row r="921" spans="35:66">
      <c r="AI921" s="1"/>
      <c r="BM921" s="2"/>
      <c r="BN921" s="2"/>
    </row>
    <row r="922" spans="35:66">
      <c r="AI922" s="1"/>
      <c r="BM922" s="2"/>
      <c r="BN922" s="2"/>
    </row>
    <row r="923" spans="35:66">
      <c r="AI923" s="1"/>
      <c r="BM923" s="2"/>
      <c r="BN923" s="2"/>
    </row>
    <row r="924" spans="35:66">
      <c r="AI924" s="1"/>
      <c r="BM924" s="2"/>
      <c r="BN924" s="2"/>
    </row>
    <row r="925" spans="35:66">
      <c r="AI925" s="1"/>
      <c r="BM925" s="2"/>
      <c r="BN925" s="2"/>
    </row>
    <row r="926" spans="35:66">
      <c r="AI926" s="1"/>
      <c r="BM926" s="2"/>
      <c r="BN926" s="2"/>
    </row>
    <row r="927" spans="35:66">
      <c r="AI927" s="1"/>
      <c r="BM927" s="2"/>
      <c r="BN927" s="2"/>
    </row>
    <row r="928" spans="35:66">
      <c r="AI928" s="1"/>
      <c r="BM928" s="2"/>
      <c r="BN928" s="2"/>
    </row>
    <row r="929" spans="35:66">
      <c r="AI929" s="1"/>
      <c r="BM929" s="2"/>
      <c r="BN929" s="2"/>
    </row>
    <row r="930" spans="35:66">
      <c r="AI930" s="1"/>
      <c r="BM930" s="2"/>
      <c r="BN930" s="2"/>
    </row>
    <row r="931" spans="35:66">
      <c r="AI931" s="1"/>
      <c r="BM931" s="2"/>
      <c r="BN931" s="2"/>
    </row>
    <row r="932" spans="35:66">
      <c r="AI932" s="1"/>
      <c r="BM932" s="2"/>
      <c r="BN932" s="2"/>
    </row>
    <row r="933" spans="35:66">
      <c r="AI933" s="1"/>
      <c r="BM933" s="2"/>
      <c r="BN933" s="2"/>
    </row>
    <row r="934" spans="35:66">
      <c r="AI934" s="1"/>
      <c r="BM934" s="2"/>
      <c r="BN934" s="2"/>
    </row>
    <row r="935" spans="35:66">
      <c r="AI935" s="1"/>
      <c r="BM935" s="2"/>
      <c r="BN935" s="2"/>
    </row>
    <row r="936" spans="35:66">
      <c r="AI936" s="1"/>
      <c r="BM936" s="2"/>
      <c r="BN936" s="2"/>
    </row>
    <row r="937" spans="35:66">
      <c r="AI937" s="1"/>
      <c r="BM937" s="2"/>
      <c r="BN937" s="2"/>
    </row>
    <row r="938" spans="35:66">
      <c r="AI938" s="1"/>
      <c r="BM938" s="2"/>
      <c r="BN938" s="2"/>
    </row>
    <row r="939" spans="35:66">
      <c r="AI939" s="1"/>
      <c r="BM939" s="2"/>
      <c r="BN939" s="2"/>
    </row>
    <row r="940" spans="35:66">
      <c r="AI940" s="1"/>
      <c r="BM940" s="2"/>
      <c r="BN940" s="2"/>
    </row>
    <row r="941" spans="35:66">
      <c r="AI941" s="1"/>
      <c r="BM941" s="2"/>
      <c r="BN941" s="2"/>
    </row>
    <row r="942" spans="35:66">
      <c r="AI942" s="1"/>
      <c r="BM942" s="2"/>
      <c r="BN942" s="2"/>
    </row>
    <row r="943" spans="35:66">
      <c r="AI943" s="1"/>
      <c r="BM943" s="2"/>
      <c r="BN943" s="2"/>
    </row>
    <row r="944" spans="35:66">
      <c r="AI944" s="1"/>
      <c r="BM944" s="2"/>
      <c r="BN944" s="2"/>
    </row>
    <row r="945" spans="35:66">
      <c r="AI945" s="1"/>
      <c r="BM945" s="2"/>
      <c r="BN945" s="2"/>
    </row>
    <row r="946" spans="35:66">
      <c r="AI946" s="1"/>
      <c r="BM946" s="2"/>
      <c r="BN946" s="2"/>
    </row>
    <row r="947" spans="35:66">
      <c r="AI947" s="1"/>
      <c r="BM947" s="2"/>
      <c r="BN947" s="2"/>
    </row>
    <row r="948" spans="35:66">
      <c r="AI948" s="1"/>
      <c r="BM948" s="2"/>
      <c r="BN948" s="2"/>
    </row>
    <row r="949" spans="35:66">
      <c r="AI949" s="1"/>
      <c r="BM949" s="2"/>
      <c r="BN949" s="2"/>
    </row>
    <row r="950" spans="35:66">
      <c r="AI950" s="1"/>
      <c r="BM950" s="2"/>
      <c r="BN950" s="2"/>
    </row>
    <row r="951" spans="35:66">
      <c r="AI951" s="1"/>
      <c r="BM951" s="2"/>
      <c r="BN951" s="2"/>
    </row>
    <row r="952" spans="35:66">
      <c r="AI952" s="1"/>
      <c r="BM952" s="2"/>
      <c r="BN952" s="2"/>
    </row>
    <row r="953" spans="35:66">
      <c r="AI953" s="1"/>
      <c r="BM953" s="2"/>
      <c r="BN953" s="2"/>
    </row>
    <row r="954" spans="35:66">
      <c r="AI954" s="1"/>
      <c r="BM954" s="2"/>
      <c r="BN954" s="2"/>
    </row>
    <row r="955" spans="35:66">
      <c r="AI955" s="1"/>
      <c r="BM955" s="2"/>
      <c r="BN955" s="2"/>
    </row>
    <row r="956" spans="35:66">
      <c r="AI956" s="1"/>
      <c r="BM956" s="2"/>
      <c r="BN956" s="2"/>
    </row>
    <row r="957" spans="35:66">
      <c r="AI957" s="1"/>
      <c r="BM957" s="2"/>
      <c r="BN957" s="2"/>
    </row>
    <row r="958" spans="35:66">
      <c r="AI958" s="1"/>
      <c r="BM958" s="2"/>
      <c r="BN958" s="2"/>
    </row>
    <row r="959" spans="35:66">
      <c r="AI959" s="1"/>
      <c r="BM959" s="2"/>
      <c r="BN959" s="2"/>
    </row>
    <row r="960" spans="35:66">
      <c r="AI960" s="1"/>
      <c r="BM960" s="2"/>
      <c r="BN960" s="2"/>
    </row>
    <row r="961" spans="35:66">
      <c r="AI961" s="1"/>
      <c r="BM961" s="2"/>
      <c r="BN961" s="2"/>
    </row>
    <row r="962" spans="35:66">
      <c r="AI962" s="1"/>
      <c r="BM962" s="2"/>
      <c r="BN962" s="2"/>
    </row>
    <row r="963" spans="35:66">
      <c r="AI963" s="1"/>
      <c r="BM963" s="2"/>
      <c r="BN963" s="2"/>
    </row>
    <row r="964" spans="35:66">
      <c r="AI964" s="1"/>
      <c r="BM964" s="2"/>
      <c r="BN964" s="2"/>
    </row>
    <row r="965" spans="35:66">
      <c r="AI965" s="1"/>
      <c r="BM965" s="2"/>
      <c r="BN965" s="2"/>
    </row>
    <row r="966" spans="35:66">
      <c r="AI966" s="1"/>
      <c r="BM966" s="2"/>
      <c r="BN966" s="2"/>
    </row>
    <row r="967" spans="35:66">
      <c r="AI967" s="1"/>
      <c r="BM967" s="2"/>
      <c r="BN967" s="2"/>
    </row>
    <row r="968" spans="35:66">
      <c r="AI968" s="1"/>
      <c r="BM968" s="2"/>
      <c r="BN968" s="2"/>
    </row>
    <row r="969" spans="35:66">
      <c r="AI969" s="1"/>
      <c r="BM969" s="2"/>
      <c r="BN969" s="2"/>
    </row>
    <row r="970" spans="35:66">
      <c r="AI970" s="1"/>
      <c r="BM970" s="2"/>
      <c r="BN970" s="2"/>
    </row>
    <row r="971" spans="35:66">
      <c r="AI971" s="1"/>
      <c r="BM971" s="2"/>
      <c r="BN971" s="2"/>
    </row>
    <row r="972" spans="35:66">
      <c r="AI972" s="1"/>
      <c r="BM972" s="2"/>
      <c r="BN972" s="2"/>
    </row>
    <row r="973" spans="35:66">
      <c r="AI973" s="1"/>
      <c r="BM973" s="2"/>
      <c r="BN973" s="2"/>
    </row>
    <row r="974" spans="35:66">
      <c r="AI974" s="1"/>
      <c r="BM974" s="2"/>
      <c r="BN974" s="2"/>
    </row>
    <row r="975" spans="35:66">
      <c r="AI975" s="1"/>
      <c r="BM975" s="2"/>
      <c r="BN975" s="2"/>
    </row>
    <row r="976" spans="35:66">
      <c r="AI976" s="1"/>
      <c r="BM976" s="2"/>
      <c r="BN976" s="2"/>
    </row>
    <row r="977" spans="35:66">
      <c r="AI977" s="1"/>
      <c r="BM977" s="2"/>
      <c r="BN977" s="2"/>
    </row>
    <row r="978" spans="35:66">
      <c r="AI978" s="1"/>
      <c r="BM978" s="2"/>
      <c r="BN978" s="2"/>
    </row>
    <row r="979" spans="35:66">
      <c r="AI979" s="1"/>
      <c r="BM979" s="2"/>
      <c r="BN979" s="2"/>
    </row>
    <row r="980" spans="35:66">
      <c r="AI980" s="1"/>
      <c r="BM980" s="2"/>
      <c r="BN980" s="2"/>
    </row>
    <row r="981" spans="35:66">
      <c r="AI981" s="1"/>
      <c r="BM981" s="2"/>
      <c r="BN981" s="2"/>
    </row>
    <row r="982" spans="35:66">
      <c r="AI982" s="1"/>
      <c r="BM982" s="2"/>
      <c r="BN982" s="2"/>
    </row>
    <row r="983" spans="35:66">
      <c r="AI983" s="1"/>
      <c r="BM983" s="2"/>
      <c r="BN983" s="2"/>
    </row>
    <row r="984" spans="35:66">
      <c r="AI984" s="1"/>
      <c r="BM984" s="2"/>
      <c r="BN984" s="2"/>
    </row>
    <row r="985" spans="35:66">
      <c r="AI985" s="1"/>
      <c r="BM985" s="2"/>
      <c r="BN985" s="2"/>
    </row>
    <row r="986" spans="35:66">
      <c r="AI986" s="1"/>
      <c r="BM986" s="2"/>
      <c r="BN986" s="2"/>
    </row>
    <row r="987" spans="35:66">
      <c r="AI987" s="1"/>
      <c r="BM987" s="2"/>
      <c r="BN987" s="2"/>
    </row>
    <row r="988" spans="35:66">
      <c r="AI988" s="1"/>
      <c r="BM988" s="2"/>
      <c r="BN988" s="2"/>
    </row>
    <row r="989" spans="35:66">
      <c r="AI989" s="1"/>
      <c r="BM989" s="2"/>
      <c r="BN989" s="2"/>
    </row>
    <row r="990" spans="35:66">
      <c r="AI990" s="1"/>
      <c r="BM990" s="2"/>
      <c r="BN990" s="2"/>
    </row>
    <row r="991" spans="35:66">
      <c r="AI991" s="1"/>
      <c r="BM991" s="2"/>
      <c r="BN991" s="2"/>
    </row>
    <row r="992" spans="35:66">
      <c r="AI992" s="1"/>
      <c r="BM992" s="2"/>
      <c r="BN992" s="2"/>
    </row>
    <row r="993" spans="35:66">
      <c r="AI993" s="1"/>
      <c r="BM993" s="2"/>
      <c r="BN993" s="2"/>
    </row>
    <row r="994" spans="35:66">
      <c r="AI994" s="1"/>
      <c r="BM994" s="2"/>
      <c r="BN994" s="2"/>
    </row>
    <row r="995" spans="35:66">
      <c r="AI995" s="1"/>
      <c r="BM995" s="2"/>
      <c r="BN995" s="2"/>
    </row>
    <row r="996" spans="35:66">
      <c r="AI996" s="1"/>
      <c r="BM996" s="2"/>
      <c r="BN996" s="2"/>
    </row>
    <row r="997" spans="35:66">
      <c r="AI997" s="1"/>
      <c r="BM997" s="2"/>
      <c r="BN997" s="2"/>
    </row>
    <row r="998" spans="35:66">
      <c r="AI998" s="1"/>
      <c r="BM998" s="2"/>
      <c r="BN998" s="2"/>
    </row>
    <row r="999" spans="35:66">
      <c r="AI999" s="1"/>
      <c r="BM999" s="2"/>
      <c r="BN999" s="2"/>
    </row>
    <row r="1000" spans="35:66">
      <c r="AI1000" s="1"/>
      <c r="BM1000" s="2"/>
      <c r="BN1000" s="2"/>
    </row>
    <row r="1001" spans="35:66">
      <c r="AI1001" s="1"/>
      <c r="BM1001" s="2"/>
      <c r="BN1001" s="2"/>
    </row>
    <row r="1002" spans="35:66">
      <c r="AI1002" s="1"/>
      <c r="BM1002" s="2"/>
      <c r="BN1002" s="2"/>
    </row>
    <row r="1003" spans="35:66">
      <c r="AI1003" s="1"/>
      <c r="BM1003" s="2"/>
      <c r="BN1003" s="2"/>
    </row>
    <row r="1004" spans="35:66">
      <c r="AI1004" s="1"/>
      <c r="BM1004" s="2"/>
      <c r="BN1004" s="2"/>
    </row>
    <row r="1005" spans="35:66">
      <c r="AI1005" s="1"/>
      <c r="BM1005" s="2"/>
      <c r="BN1005" s="2"/>
    </row>
    <row r="1006" spans="35:66">
      <c r="AI1006" s="1"/>
      <c r="BM1006" s="2"/>
      <c r="BN1006" s="2"/>
    </row>
    <row r="1007" spans="35:66">
      <c r="AI1007" s="1"/>
      <c r="BM1007" s="2"/>
      <c r="BN1007" s="2"/>
    </row>
    <row r="1008" spans="35:66">
      <c r="AI1008" s="1"/>
      <c r="BM1008" s="2"/>
      <c r="BN1008" s="2"/>
    </row>
    <row r="1009" spans="35:66">
      <c r="AI1009" s="1"/>
      <c r="BM1009" s="2"/>
      <c r="BN1009" s="2"/>
    </row>
    <row r="1010" spans="35:66">
      <c r="AI1010" s="1"/>
      <c r="BM1010" s="2"/>
      <c r="BN1010" s="2"/>
    </row>
    <row r="1011" spans="35:66">
      <c r="AI1011" s="1"/>
      <c r="BM1011" s="2"/>
      <c r="BN1011" s="2"/>
    </row>
    <row r="1012" spans="35:66">
      <c r="AI1012" s="1"/>
      <c r="BM1012" s="2"/>
      <c r="BN1012" s="2"/>
    </row>
    <row r="1013" spans="35:66">
      <c r="AI1013" s="1"/>
      <c r="BM1013" s="2"/>
      <c r="BN1013" s="2"/>
    </row>
    <row r="1014" spans="35:66">
      <c r="AI1014" s="1"/>
      <c r="BM1014" s="2"/>
      <c r="BN1014" s="2"/>
    </row>
    <row r="1015" spans="35:66">
      <c r="AI1015" s="1"/>
      <c r="BM1015" s="2"/>
      <c r="BN1015" s="2"/>
    </row>
    <row r="1016" spans="35:66">
      <c r="AI1016" s="1"/>
      <c r="BM1016" s="2"/>
      <c r="BN1016" s="2"/>
    </row>
    <row r="1017" spans="35:66">
      <c r="AI1017" s="1"/>
      <c r="BM1017" s="2"/>
      <c r="BN1017" s="2"/>
    </row>
    <row r="1018" spans="35:66">
      <c r="AI1018" s="1"/>
      <c r="BM1018" s="2"/>
      <c r="BN1018" s="2"/>
    </row>
    <row r="1019" spans="35:66">
      <c r="AI1019" s="1"/>
      <c r="BM1019" s="2"/>
      <c r="BN1019" s="2"/>
    </row>
    <row r="1020" spans="35:66">
      <c r="AI1020" s="1"/>
      <c r="BM1020" s="2"/>
      <c r="BN1020" s="2"/>
    </row>
    <row r="1021" spans="35:66">
      <c r="AI1021" s="1"/>
      <c r="BM1021" s="2"/>
      <c r="BN1021" s="2"/>
    </row>
    <row r="1022" spans="35:66">
      <c r="AI1022" s="1"/>
      <c r="BM1022" s="2"/>
      <c r="BN1022" s="2"/>
    </row>
    <row r="1023" spans="35:66">
      <c r="AI1023" s="1"/>
      <c r="BM1023" s="2"/>
      <c r="BN1023" s="2"/>
    </row>
    <row r="1024" spans="35:66">
      <c r="AI1024" s="1"/>
      <c r="BM1024" s="2"/>
      <c r="BN1024" s="2"/>
    </row>
    <row r="1025" spans="35:66">
      <c r="AI1025" s="1"/>
      <c r="BM1025" s="2"/>
      <c r="BN1025" s="2"/>
    </row>
    <row r="1026" spans="35:66">
      <c r="AI1026" s="1"/>
      <c r="BM1026" s="2"/>
      <c r="BN1026" s="2"/>
    </row>
    <row r="1027" spans="35:66">
      <c r="AI1027" s="1"/>
      <c r="BM1027" s="2"/>
      <c r="BN1027" s="2"/>
    </row>
    <row r="1028" spans="35:66">
      <c r="AI1028" s="1"/>
      <c r="BM1028" s="2"/>
      <c r="BN1028" s="2"/>
    </row>
    <row r="1029" spans="35:66">
      <c r="AI1029" s="1"/>
      <c r="BM1029" s="2"/>
      <c r="BN1029" s="2"/>
    </row>
    <row r="1030" spans="35:66">
      <c r="AI1030" s="1"/>
      <c r="BM1030" s="2"/>
      <c r="BN1030" s="2"/>
    </row>
    <row r="1031" spans="35:66">
      <c r="AI1031" s="1"/>
      <c r="BM1031" s="2"/>
      <c r="BN1031" s="2"/>
    </row>
    <row r="1032" spans="35:66">
      <c r="AI1032" s="1"/>
      <c r="BM1032" s="2"/>
      <c r="BN1032" s="2"/>
    </row>
    <row r="1033" spans="35:66">
      <c r="AI1033" s="1"/>
      <c r="BM1033" s="2"/>
      <c r="BN1033" s="2"/>
    </row>
    <row r="1034" spans="35:66">
      <c r="AI1034" s="1"/>
      <c r="BM1034" s="2"/>
      <c r="BN1034" s="2"/>
    </row>
    <row r="1035" spans="35:66">
      <c r="AI1035" s="1"/>
      <c r="BM1035" s="2"/>
      <c r="BN1035" s="2"/>
    </row>
    <row r="1036" spans="35:66">
      <c r="AI1036" s="1"/>
      <c r="BM1036" s="2"/>
      <c r="BN1036" s="2"/>
    </row>
    <row r="1037" spans="35:66">
      <c r="AI1037" s="1"/>
      <c r="BM1037" s="2"/>
      <c r="BN1037" s="2"/>
    </row>
    <row r="1038" spans="35:66">
      <c r="AI1038" s="1"/>
      <c r="BM1038" s="2"/>
      <c r="BN1038" s="2"/>
    </row>
    <row r="1039" spans="35:66">
      <c r="AI1039" s="1"/>
      <c r="BM1039" s="2"/>
      <c r="BN1039" s="2"/>
    </row>
    <row r="1040" spans="35:66">
      <c r="AI1040" s="1"/>
      <c r="BM1040" s="2"/>
      <c r="BN1040" s="2"/>
    </row>
    <row r="1041" spans="35:66">
      <c r="AI1041" s="1"/>
      <c r="BM1041" s="2"/>
      <c r="BN1041" s="2"/>
    </row>
    <row r="1042" spans="35:66">
      <c r="AI1042" s="1"/>
      <c r="BM1042" s="2"/>
      <c r="BN1042" s="2"/>
    </row>
    <row r="1043" spans="35:66">
      <c r="AI1043" s="1"/>
      <c r="BM1043" s="2"/>
      <c r="BN1043" s="2"/>
    </row>
    <row r="1044" spans="35:66">
      <c r="AI1044" s="1"/>
      <c r="BM1044" s="2"/>
      <c r="BN1044" s="2"/>
    </row>
    <row r="1045" spans="35:66">
      <c r="AI1045" s="1"/>
      <c r="BM1045" s="2"/>
      <c r="BN1045" s="2"/>
    </row>
    <row r="1046" spans="35:66">
      <c r="AI1046" s="1"/>
      <c r="BM1046" s="2"/>
      <c r="BN1046" s="2"/>
    </row>
    <row r="1047" spans="35:66">
      <c r="AI1047" s="1"/>
      <c r="BM1047" s="2"/>
      <c r="BN1047" s="2"/>
    </row>
    <row r="1048" spans="35:66">
      <c r="AI1048" s="1"/>
      <c r="BM1048" s="2"/>
      <c r="BN1048" s="2"/>
    </row>
    <row r="1049" spans="35:66">
      <c r="AI1049" s="1"/>
      <c r="BM1049" s="2"/>
      <c r="BN1049" s="2"/>
    </row>
    <row r="1050" spans="35:66">
      <c r="AI1050" s="1"/>
      <c r="BM1050" s="2"/>
      <c r="BN1050" s="2"/>
    </row>
    <row r="1051" spans="35:66">
      <c r="AI1051" s="1"/>
      <c r="BM1051" s="2"/>
      <c r="BN1051" s="2"/>
    </row>
    <row r="1052" spans="35:66">
      <c r="AI1052" s="1"/>
      <c r="BM1052" s="2"/>
      <c r="BN1052" s="2"/>
    </row>
    <row r="1053" spans="35:66">
      <c r="AI1053" s="1"/>
      <c r="BM1053" s="2"/>
      <c r="BN1053" s="2"/>
    </row>
    <row r="1054" spans="35:66">
      <c r="AI1054" s="1"/>
      <c r="BM1054" s="2"/>
      <c r="BN1054" s="2"/>
    </row>
    <row r="1055" spans="35:66">
      <c r="AI1055" s="1"/>
      <c r="BM1055" s="2"/>
      <c r="BN1055" s="2"/>
    </row>
    <row r="1056" spans="35:66">
      <c r="AI1056" s="1"/>
      <c r="BM1056" s="2"/>
      <c r="BN1056" s="2"/>
    </row>
    <row r="1057" spans="35:66">
      <c r="AI1057" s="1"/>
      <c r="BM1057" s="2"/>
      <c r="BN1057" s="2"/>
    </row>
    <row r="1058" spans="35:66">
      <c r="AI1058" s="1"/>
      <c r="BM1058" s="2"/>
      <c r="BN1058" s="2"/>
    </row>
    <row r="1059" spans="35:66">
      <c r="AI1059" s="1"/>
      <c r="BM1059" s="2"/>
      <c r="BN1059" s="2"/>
    </row>
    <row r="1060" spans="35:66">
      <c r="AI1060" s="1"/>
      <c r="BM1060" s="2"/>
      <c r="BN1060" s="2"/>
    </row>
    <row r="1061" spans="35:66">
      <c r="AI1061" s="1"/>
      <c r="BM1061" s="2"/>
      <c r="BN1061" s="2"/>
    </row>
    <row r="1062" spans="35:66">
      <c r="AI1062" s="1"/>
      <c r="BM1062" s="2"/>
      <c r="BN1062" s="2"/>
    </row>
    <row r="1063" spans="35:66">
      <c r="AI1063" s="1"/>
      <c r="BM1063" s="2"/>
      <c r="BN1063" s="2"/>
    </row>
    <row r="1064" spans="35:66">
      <c r="AI1064" s="1"/>
      <c r="BM1064" s="2"/>
      <c r="BN1064" s="2"/>
    </row>
    <row r="1065" spans="35:66">
      <c r="AI1065" s="1"/>
      <c r="BM1065" s="2"/>
      <c r="BN1065" s="2"/>
    </row>
    <row r="1066" spans="35:66">
      <c r="AI1066" s="1"/>
      <c r="BM1066" s="2"/>
      <c r="BN1066" s="2"/>
    </row>
    <row r="1067" spans="35:66">
      <c r="AI1067" s="1"/>
      <c r="BM1067" s="2"/>
      <c r="BN1067" s="2"/>
    </row>
    <row r="1068" spans="35:66">
      <c r="AI1068" s="1"/>
      <c r="BM1068" s="2"/>
      <c r="BN1068" s="2"/>
    </row>
    <row r="1069" spans="35:66">
      <c r="AI1069" s="1"/>
      <c r="BM1069" s="2"/>
      <c r="BN1069" s="2"/>
    </row>
    <row r="1070" spans="35:66">
      <c r="AI1070" s="1"/>
      <c r="BM1070" s="2"/>
      <c r="BN1070" s="2"/>
    </row>
    <row r="1071" spans="35:66">
      <c r="AI1071" s="1"/>
      <c r="BM1071" s="2"/>
      <c r="BN1071" s="2"/>
    </row>
    <row r="1072" spans="35:66">
      <c r="AI1072" s="1"/>
      <c r="BM1072" s="2"/>
      <c r="BN1072" s="2"/>
    </row>
    <row r="1073" spans="35:66">
      <c r="AI1073" s="1"/>
      <c r="BM1073" s="2"/>
      <c r="BN1073" s="2"/>
    </row>
    <row r="1074" spans="35:66">
      <c r="AI1074" s="1"/>
      <c r="BM1074" s="2"/>
      <c r="BN1074" s="2"/>
    </row>
    <row r="1075" spans="35:66">
      <c r="AI1075" s="1"/>
      <c r="BM1075" s="2"/>
      <c r="BN1075" s="2"/>
    </row>
    <row r="1076" spans="35:66">
      <c r="AI1076" s="1"/>
      <c r="BM1076" s="2"/>
      <c r="BN1076" s="2"/>
    </row>
    <row r="1077" spans="35:66">
      <c r="AI1077" s="1"/>
      <c r="BM1077" s="2"/>
      <c r="BN1077" s="2"/>
    </row>
    <row r="1078" spans="35:66">
      <c r="AI1078" s="1"/>
      <c r="BM1078" s="2"/>
      <c r="BN1078" s="2"/>
    </row>
    <row r="1079" spans="35:66">
      <c r="AI1079" s="1"/>
      <c r="BM1079" s="2"/>
      <c r="BN1079" s="2"/>
    </row>
    <row r="1080" spans="35:66">
      <c r="AI1080" s="1"/>
      <c r="BM1080" s="2"/>
      <c r="BN1080" s="2"/>
    </row>
    <row r="1081" spans="35:66">
      <c r="AI1081" s="1"/>
      <c r="BM1081" s="2"/>
      <c r="BN1081" s="2"/>
    </row>
    <row r="1082" spans="35:66">
      <c r="AI1082" s="1"/>
      <c r="BM1082" s="2"/>
      <c r="BN1082" s="2"/>
    </row>
    <row r="1083" spans="35:66">
      <c r="AI1083" s="1"/>
      <c r="BM1083" s="2"/>
      <c r="BN1083" s="2"/>
    </row>
    <row r="1084" spans="35:66">
      <c r="AI1084" s="1"/>
      <c r="BM1084" s="2"/>
      <c r="BN1084" s="2"/>
    </row>
    <row r="1085" spans="35:66">
      <c r="AI1085" s="1"/>
      <c r="BM1085" s="2"/>
      <c r="BN1085" s="2"/>
    </row>
    <row r="1086" spans="35:66">
      <c r="AI1086" s="1"/>
      <c r="BM1086" s="2"/>
      <c r="BN1086" s="2"/>
    </row>
    <row r="1087" spans="35:66">
      <c r="AI1087" s="1"/>
      <c r="BM1087" s="2"/>
      <c r="BN1087" s="2"/>
    </row>
    <row r="1088" spans="35:66">
      <c r="AI1088" s="1"/>
      <c r="BM1088" s="2"/>
      <c r="BN1088" s="2"/>
    </row>
    <row r="1089" spans="35:66">
      <c r="AI1089" s="1"/>
      <c r="BM1089" s="2"/>
      <c r="BN1089" s="2"/>
    </row>
    <row r="1090" spans="35:66">
      <c r="AI1090" s="1"/>
      <c r="BM1090" s="2"/>
      <c r="BN1090" s="2"/>
    </row>
    <row r="1091" spans="35:66">
      <c r="AI1091" s="1"/>
      <c r="BM1091" s="2"/>
      <c r="BN1091" s="2"/>
    </row>
    <row r="1092" spans="35:66">
      <c r="AI1092" s="1"/>
      <c r="BM1092" s="2"/>
      <c r="BN1092" s="2"/>
    </row>
    <row r="1093" spans="35:66">
      <c r="AI1093" s="1"/>
      <c r="BM1093" s="2"/>
      <c r="BN1093" s="2"/>
    </row>
    <row r="1094" spans="35:66">
      <c r="AI1094" s="1"/>
      <c r="BM1094" s="2"/>
      <c r="BN1094" s="2"/>
    </row>
    <row r="1095" spans="35:66">
      <c r="AI1095" s="1"/>
      <c r="BM1095" s="2"/>
      <c r="BN1095" s="2"/>
    </row>
    <row r="1096" spans="35:66">
      <c r="AI1096" s="1"/>
      <c r="BM1096" s="2"/>
      <c r="BN1096" s="2"/>
    </row>
    <row r="1097" spans="35:66">
      <c r="AI1097" s="1"/>
      <c r="BM1097" s="2"/>
      <c r="BN1097" s="2"/>
    </row>
    <row r="1098" spans="35:66">
      <c r="AI1098" s="1"/>
      <c r="BM1098" s="2"/>
      <c r="BN1098" s="2"/>
    </row>
    <row r="1099" spans="35:66">
      <c r="AI1099" s="1"/>
      <c r="BM1099" s="2"/>
      <c r="BN1099" s="2"/>
    </row>
    <row r="1100" spans="35:66">
      <c r="AI1100" s="1"/>
      <c r="BM1100" s="2"/>
      <c r="BN1100" s="2"/>
    </row>
    <row r="1101" spans="35:66">
      <c r="AI1101" s="1"/>
      <c r="BM1101" s="2"/>
      <c r="BN1101" s="2"/>
    </row>
    <row r="1102" spans="35:66">
      <c r="AI1102" s="1"/>
      <c r="BM1102" s="2"/>
      <c r="BN1102" s="2"/>
    </row>
    <row r="1103" spans="35:66">
      <c r="AI1103" s="1"/>
      <c r="BM1103" s="2"/>
      <c r="BN1103" s="2"/>
    </row>
    <row r="1104" spans="35:66">
      <c r="AI1104" s="1"/>
      <c r="BM1104" s="2"/>
      <c r="BN1104" s="2"/>
    </row>
    <row r="1105" spans="35:66">
      <c r="AI1105" s="1"/>
      <c r="BM1105" s="2"/>
      <c r="BN1105" s="2"/>
    </row>
    <row r="1106" spans="35:66">
      <c r="AI1106" s="1"/>
      <c r="BM1106" s="2"/>
      <c r="BN1106" s="2"/>
    </row>
    <row r="1107" spans="35:66">
      <c r="AI1107" s="1"/>
      <c r="BM1107" s="2"/>
      <c r="BN1107" s="2"/>
    </row>
    <row r="1108" spans="35:66">
      <c r="AI1108" s="1"/>
      <c r="BM1108" s="2"/>
      <c r="BN1108" s="2"/>
    </row>
    <row r="1109" spans="35:66">
      <c r="AI1109" s="1"/>
      <c r="BM1109" s="2"/>
      <c r="BN1109" s="2"/>
    </row>
    <row r="1110" spans="35:66">
      <c r="AI1110" s="1"/>
      <c r="BM1110" s="2"/>
      <c r="BN1110" s="2"/>
    </row>
    <row r="1111" spans="35:66">
      <c r="AI1111" s="1"/>
      <c r="BM1111" s="2"/>
      <c r="BN1111" s="2"/>
    </row>
    <row r="1112" spans="35:66">
      <c r="AI1112" s="1"/>
      <c r="BM1112" s="2"/>
      <c r="BN1112" s="2"/>
    </row>
    <row r="1113" spans="35:66">
      <c r="AI1113" s="1"/>
      <c r="BM1113" s="2"/>
      <c r="BN1113" s="2"/>
    </row>
    <row r="1114" spans="35:66">
      <c r="AI1114" s="1"/>
      <c r="BM1114" s="2"/>
      <c r="BN1114" s="2"/>
    </row>
    <row r="1115" spans="35:66">
      <c r="AI1115" s="1"/>
      <c r="BM1115" s="2"/>
      <c r="BN1115" s="2"/>
    </row>
    <row r="1116" spans="35:66">
      <c r="AI1116" s="1"/>
      <c r="BM1116" s="2"/>
      <c r="BN1116" s="2"/>
    </row>
    <row r="1117" spans="35:66">
      <c r="AI1117" s="1"/>
      <c r="BM1117" s="2"/>
      <c r="BN1117" s="2"/>
    </row>
    <row r="1118" spans="35:66">
      <c r="AI1118" s="1"/>
      <c r="BM1118" s="2"/>
      <c r="BN1118" s="2"/>
    </row>
    <row r="1119" spans="35:66">
      <c r="AI1119" s="1"/>
      <c r="BM1119" s="2"/>
      <c r="BN1119" s="2"/>
    </row>
    <row r="1120" spans="35:66">
      <c r="AI1120" s="1"/>
      <c r="BM1120" s="2"/>
      <c r="BN1120" s="2"/>
    </row>
    <row r="1121" spans="35:66">
      <c r="AI1121" s="1"/>
      <c r="BM1121" s="2"/>
      <c r="BN1121" s="2"/>
    </row>
    <row r="1122" spans="35:66">
      <c r="AI1122" s="1"/>
      <c r="BM1122" s="2"/>
      <c r="BN1122" s="2"/>
    </row>
    <row r="1123" spans="35:66">
      <c r="AI1123" s="1"/>
      <c r="BM1123" s="2"/>
      <c r="BN1123" s="2"/>
    </row>
    <row r="1124" spans="35:66">
      <c r="AI1124" s="1"/>
      <c r="BM1124" s="2"/>
      <c r="BN1124" s="2"/>
    </row>
    <row r="1125" spans="35:66">
      <c r="AI1125" s="1"/>
      <c r="BM1125" s="2"/>
      <c r="BN1125" s="2"/>
    </row>
    <row r="1126" spans="35:66">
      <c r="AI1126" s="1"/>
      <c r="BM1126" s="2"/>
      <c r="BN1126" s="2"/>
    </row>
    <row r="1127" spans="35:66">
      <c r="AI1127" s="1"/>
      <c r="BM1127" s="2"/>
      <c r="BN1127" s="2"/>
    </row>
    <row r="1128" spans="35:66">
      <c r="AI1128" s="1"/>
      <c r="BM1128" s="2"/>
      <c r="BN1128" s="2"/>
    </row>
    <row r="1129" spans="35:66">
      <c r="AI1129" s="1"/>
      <c r="BM1129" s="2"/>
      <c r="BN1129" s="2"/>
    </row>
    <row r="1130" spans="35:66">
      <c r="AI1130" s="1"/>
      <c r="BM1130" s="2"/>
      <c r="BN1130" s="2"/>
    </row>
    <row r="1131" spans="35:66">
      <c r="AI1131" s="1"/>
      <c r="BM1131" s="2"/>
      <c r="BN1131" s="2"/>
    </row>
    <row r="1132" spans="35:66">
      <c r="AI1132" s="1"/>
      <c r="BM1132" s="2"/>
      <c r="BN1132" s="2"/>
    </row>
    <row r="1133" spans="35:66">
      <c r="AI1133" s="1"/>
      <c r="BM1133" s="2"/>
      <c r="BN1133" s="2"/>
    </row>
    <row r="1134" spans="35:66">
      <c r="AI1134" s="1"/>
      <c r="BM1134" s="2"/>
      <c r="BN1134" s="2"/>
    </row>
    <row r="1135" spans="35:66">
      <c r="AI1135" s="1"/>
      <c r="BM1135" s="2"/>
      <c r="BN1135" s="2"/>
    </row>
    <row r="1136" spans="35:66">
      <c r="AI1136" s="1"/>
      <c r="BM1136" s="2"/>
      <c r="BN1136" s="2"/>
    </row>
    <row r="1137" spans="35:66">
      <c r="AI1137" s="1"/>
      <c r="BM1137" s="2"/>
      <c r="BN1137" s="2"/>
    </row>
    <row r="1138" spans="35:66">
      <c r="AI1138" s="1"/>
      <c r="BM1138" s="2"/>
      <c r="BN1138" s="2"/>
    </row>
    <row r="1139" spans="35:66">
      <c r="AI1139" s="1"/>
      <c r="BM1139" s="2"/>
      <c r="BN1139" s="2"/>
    </row>
    <row r="1140" spans="35:66">
      <c r="AI1140" s="1"/>
      <c r="BM1140" s="2"/>
      <c r="BN1140" s="2"/>
    </row>
    <row r="1141" spans="35:66">
      <c r="AI1141" s="1"/>
      <c r="BM1141" s="2"/>
      <c r="BN1141" s="2"/>
    </row>
    <row r="1142" spans="35:66">
      <c r="AI1142" s="1"/>
      <c r="BM1142" s="2"/>
      <c r="BN1142" s="2"/>
    </row>
    <row r="1143" spans="35:66">
      <c r="AI1143" s="1"/>
      <c r="BM1143" s="2"/>
      <c r="BN1143" s="2"/>
    </row>
    <row r="1144" spans="35:66">
      <c r="AI1144" s="1"/>
      <c r="BM1144" s="2"/>
      <c r="BN1144" s="2"/>
    </row>
    <row r="1145" spans="35:66">
      <c r="AI1145" s="1"/>
      <c r="BM1145" s="2"/>
      <c r="BN1145" s="2"/>
    </row>
    <row r="1146" spans="35:66">
      <c r="AI1146" s="1"/>
      <c r="BM1146" s="2"/>
      <c r="BN1146" s="2"/>
    </row>
    <row r="1147" spans="35:66">
      <c r="AI1147" s="1"/>
      <c r="BM1147" s="2"/>
      <c r="BN1147" s="2"/>
    </row>
    <row r="1148" spans="35:66">
      <c r="AI1148" s="1"/>
      <c r="BM1148" s="2"/>
      <c r="BN1148" s="2"/>
    </row>
    <row r="1149" spans="35:66">
      <c r="AI1149" s="1"/>
      <c r="BM1149" s="2"/>
      <c r="BN1149" s="2"/>
    </row>
    <row r="1150" spans="35:66">
      <c r="AI1150" s="1"/>
      <c r="BM1150" s="2"/>
      <c r="BN1150" s="2"/>
    </row>
    <row r="1151" spans="35:66">
      <c r="AI1151" s="1"/>
      <c r="BM1151" s="2"/>
      <c r="BN1151" s="2"/>
    </row>
    <row r="1152" spans="35:66">
      <c r="AI1152" s="1"/>
      <c r="BM1152" s="2"/>
      <c r="BN1152" s="2"/>
    </row>
    <row r="1153" spans="35:66">
      <c r="AI1153" s="1"/>
      <c r="BM1153" s="2"/>
      <c r="BN1153" s="2"/>
    </row>
    <row r="1154" spans="35:66">
      <c r="AI1154" s="1"/>
      <c r="BM1154" s="2"/>
      <c r="BN1154" s="2"/>
    </row>
    <row r="1155" spans="35:66">
      <c r="AI1155" s="1"/>
      <c r="BM1155" s="2"/>
      <c r="BN1155" s="2"/>
    </row>
    <row r="1156" spans="35:66">
      <c r="AI1156" s="1"/>
      <c r="BM1156" s="2"/>
      <c r="BN1156" s="2"/>
    </row>
    <row r="1157" spans="35:66">
      <c r="AI1157" s="1"/>
      <c r="BM1157" s="2"/>
      <c r="BN1157" s="2"/>
    </row>
    <row r="1158" spans="35:66">
      <c r="AI1158" s="1"/>
      <c r="BM1158" s="2"/>
      <c r="BN1158" s="2"/>
    </row>
    <row r="1159" spans="35:66">
      <c r="AI1159" s="1"/>
      <c r="BM1159" s="2"/>
      <c r="BN1159" s="2"/>
    </row>
    <row r="1160" spans="35:66">
      <c r="AI1160" s="1"/>
      <c r="BM1160" s="2"/>
      <c r="BN1160" s="2"/>
    </row>
    <row r="1161" spans="35:66">
      <c r="AI1161" s="1"/>
      <c r="BM1161" s="2"/>
      <c r="BN1161" s="2"/>
    </row>
    <row r="1162" spans="35:66">
      <c r="AI1162" s="1"/>
      <c r="BM1162" s="2"/>
      <c r="BN1162" s="2"/>
    </row>
    <row r="1163" spans="35:66">
      <c r="AI1163" s="1"/>
      <c r="BM1163" s="2"/>
      <c r="BN1163" s="2"/>
    </row>
    <row r="1164" spans="35:66">
      <c r="AI1164" s="1"/>
      <c r="BM1164" s="2"/>
      <c r="BN1164" s="2"/>
    </row>
    <row r="1165" spans="35:66">
      <c r="AI1165" s="1"/>
      <c r="BM1165" s="2"/>
      <c r="BN1165" s="2"/>
    </row>
    <row r="1166" spans="35:66">
      <c r="AI1166" s="1"/>
      <c r="BM1166" s="2"/>
      <c r="BN1166" s="2"/>
    </row>
    <row r="1167" spans="35:66">
      <c r="AI1167" s="1"/>
      <c r="BM1167" s="2"/>
      <c r="BN1167" s="2"/>
    </row>
    <row r="1168" spans="35:66">
      <c r="AI1168" s="1"/>
      <c r="BM1168" s="2"/>
      <c r="BN1168" s="2"/>
    </row>
    <row r="1169" spans="35:66">
      <c r="AI1169" s="1"/>
      <c r="BM1169" s="2"/>
      <c r="BN1169" s="2"/>
    </row>
    <row r="1170" spans="35:66">
      <c r="AI1170" s="1"/>
      <c r="BM1170" s="2"/>
      <c r="BN1170" s="2"/>
    </row>
    <row r="1171" spans="35:66">
      <c r="AI1171" s="1"/>
      <c r="BM1171" s="2"/>
      <c r="BN1171" s="2"/>
    </row>
    <row r="1172" spans="35:66">
      <c r="AI1172" s="1"/>
      <c r="BM1172" s="2"/>
      <c r="BN1172" s="2"/>
    </row>
    <row r="1173" spans="35:66">
      <c r="AI1173" s="1"/>
      <c r="BM1173" s="2"/>
      <c r="BN1173" s="2"/>
    </row>
    <row r="1174" spans="35:66">
      <c r="AI1174" s="1"/>
      <c r="BM1174" s="2"/>
      <c r="BN1174" s="2"/>
    </row>
    <row r="1175" spans="35:66">
      <c r="AI1175" s="1"/>
      <c r="BM1175" s="2"/>
      <c r="BN1175" s="2"/>
    </row>
    <row r="1176" spans="35:66">
      <c r="AI1176" s="1"/>
      <c r="BM1176" s="2"/>
      <c r="BN1176" s="2"/>
    </row>
    <row r="1177" spans="35:66">
      <c r="AI1177" s="1"/>
      <c r="BM1177" s="2"/>
      <c r="BN1177" s="2"/>
    </row>
    <row r="1178" spans="35:66">
      <c r="AI1178" s="1"/>
      <c r="BM1178" s="2"/>
      <c r="BN1178" s="2"/>
    </row>
    <row r="1179" spans="35:66">
      <c r="AI1179" s="1"/>
      <c r="BM1179" s="2"/>
      <c r="BN1179" s="2"/>
    </row>
    <row r="1180" spans="35:66">
      <c r="AI1180" s="1"/>
      <c r="BM1180" s="2"/>
      <c r="BN1180" s="2"/>
    </row>
    <row r="1181" spans="35:66">
      <c r="AI1181" s="1"/>
      <c r="BM1181" s="2"/>
      <c r="BN1181" s="2"/>
    </row>
    <row r="1182" spans="35:66">
      <c r="AI1182" s="1"/>
      <c r="BM1182" s="2"/>
      <c r="BN1182" s="2"/>
    </row>
    <row r="1183" spans="35:66">
      <c r="AI1183" s="1"/>
      <c r="BM1183" s="2"/>
      <c r="BN1183" s="2"/>
    </row>
    <row r="1184" spans="35:66">
      <c r="AI1184" s="1"/>
      <c r="BM1184" s="2"/>
      <c r="BN1184" s="2"/>
    </row>
    <row r="1185" spans="35:66">
      <c r="AI1185" s="1"/>
      <c r="BM1185" s="2"/>
      <c r="BN1185" s="2"/>
    </row>
    <row r="1186" spans="35:66">
      <c r="AI1186" s="1"/>
      <c r="BM1186" s="2"/>
      <c r="BN1186" s="2"/>
    </row>
    <row r="1187" spans="35:66">
      <c r="AI1187" s="1"/>
      <c r="BM1187" s="2"/>
      <c r="BN1187" s="2"/>
    </row>
    <row r="1188" spans="35:66">
      <c r="AI1188" s="1"/>
      <c r="BM1188" s="2"/>
      <c r="BN1188" s="2"/>
    </row>
    <row r="1189" spans="35:66">
      <c r="AI1189" s="1"/>
      <c r="BM1189" s="2"/>
      <c r="BN1189" s="2"/>
    </row>
    <row r="1190" spans="35:66">
      <c r="AI1190" s="1"/>
      <c r="BM1190" s="2"/>
      <c r="BN1190" s="2"/>
    </row>
    <row r="1191" spans="35:66">
      <c r="AI1191" s="1"/>
      <c r="BM1191" s="2"/>
      <c r="BN1191" s="2"/>
    </row>
    <row r="1192" spans="35:66">
      <c r="AI1192" s="1"/>
      <c r="BM1192" s="2"/>
      <c r="BN1192" s="2"/>
    </row>
    <row r="1193" spans="35:66">
      <c r="AI1193" s="1"/>
      <c r="BM1193" s="2"/>
      <c r="BN1193" s="2"/>
    </row>
    <row r="1194" spans="35:66">
      <c r="AI1194" s="1"/>
      <c r="BM1194" s="2"/>
      <c r="BN1194" s="2"/>
    </row>
    <row r="1195" spans="35:66">
      <c r="AI1195" s="1"/>
      <c r="BM1195" s="2"/>
      <c r="BN1195" s="2"/>
    </row>
    <row r="1196" spans="35:66">
      <c r="AI1196" s="1"/>
      <c r="BM1196" s="2"/>
      <c r="BN1196" s="2"/>
    </row>
    <row r="1197" spans="35:66">
      <c r="AI1197" s="1"/>
      <c r="BM1197" s="2"/>
      <c r="BN1197" s="2"/>
    </row>
    <row r="1198" spans="35:66">
      <c r="AI1198" s="1"/>
      <c r="BM1198" s="2"/>
      <c r="BN1198" s="2"/>
    </row>
    <row r="1199" spans="35:66">
      <c r="AI1199" s="1"/>
      <c r="BM1199" s="2"/>
      <c r="BN1199" s="2"/>
    </row>
    <row r="1200" spans="35:66">
      <c r="AI1200" s="1"/>
      <c r="BM1200" s="2"/>
      <c r="BN1200" s="2"/>
    </row>
    <row r="1201" spans="35:66">
      <c r="AI1201" s="1"/>
      <c r="BM1201" s="2"/>
      <c r="BN1201" s="2"/>
    </row>
    <row r="1202" spans="35:66">
      <c r="AI1202" s="1"/>
      <c r="BM1202" s="2"/>
      <c r="BN1202" s="2"/>
    </row>
    <row r="1203" spans="35:66">
      <c r="AI1203" s="1"/>
      <c r="BM1203" s="2"/>
      <c r="BN1203" s="2"/>
    </row>
    <row r="1204" spans="35:66">
      <c r="AI1204" s="1"/>
      <c r="BM1204" s="2"/>
      <c r="BN1204" s="2"/>
    </row>
    <row r="1205" spans="35:66">
      <c r="AI1205" s="1"/>
      <c r="BM1205" s="2"/>
      <c r="BN1205" s="2"/>
    </row>
    <row r="1206" spans="35:66">
      <c r="AI1206" s="1"/>
      <c r="BM1206" s="2"/>
      <c r="BN1206" s="2"/>
    </row>
    <row r="1207" spans="35:66">
      <c r="AI1207" s="1"/>
      <c r="BM1207" s="2"/>
      <c r="BN1207" s="2"/>
    </row>
    <row r="1208" spans="35:66">
      <c r="AI1208" s="1"/>
      <c r="BM1208" s="2"/>
      <c r="BN1208" s="2"/>
    </row>
    <row r="1209" spans="35:66">
      <c r="AI1209" s="1"/>
      <c r="BM1209" s="2"/>
      <c r="BN1209" s="2"/>
    </row>
    <row r="1210" spans="35:66">
      <c r="AI1210" s="1"/>
      <c r="BM1210" s="2"/>
      <c r="BN1210" s="2"/>
    </row>
    <row r="1211" spans="35:66">
      <c r="AI1211" s="1"/>
      <c r="BM1211" s="2"/>
      <c r="BN1211" s="2"/>
    </row>
    <row r="1212" spans="35:66">
      <c r="AI1212" s="1"/>
      <c r="BM1212" s="2"/>
      <c r="BN1212" s="2"/>
    </row>
    <row r="1213" spans="35:66">
      <c r="AI1213" s="1"/>
      <c r="BM1213" s="2"/>
      <c r="BN1213" s="2"/>
    </row>
    <row r="1214" spans="35:66">
      <c r="AI1214" s="1"/>
      <c r="BM1214" s="2"/>
      <c r="BN1214" s="2"/>
    </row>
    <row r="1215" spans="35:66">
      <c r="AI1215" s="1"/>
      <c r="BM1215" s="2"/>
      <c r="BN1215" s="2"/>
    </row>
    <row r="1216" spans="35:66">
      <c r="AI1216" s="1"/>
      <c r="BM1216" s="2"/>
      <c r="BN1216" s="2"/>
    </row>
    <row r="1217" spans="35:66">
      <c r="AI1217" s="1"/>
      <c r="BM1217" s="2"/>
      <c r="BN1217" s="2"/>
    </row>
    <row r="1218" spans="35:66">
      <c r="AI1218" s="1"/>
      <c r="BM1218" s="2"/>
      <c r="BN1218" s="2"/>
    </row>
    <row r="1219" spans="35:66">
      <c r="AI1219" s="1"/>
      <c r="BM1219" s="2"/>
      <c r="BN1219" s="2"/>
    </row>
    <row r="1220" spans="35:66">
      <c r="AI1220" s="1"/>
      <c r="BM1220" s="2"/>
      <c r="BN1220" s="2"/>
    </row>
    <row r="1221" spans="35:66">
      <c r="AI1221" s="1"/>
      <c r="BM1221" s="2"/>
      <c r="BN1221" s="2"/>
    </row>
    <row r="1222" spans="35:66">
      <c r="AI1222" s="1"/>
      <c r="BM1222" s="2"/>
      <c r="BN1222" s="2"/>
    </row>
    <row r="1223" spans="35:66">
      <c r="AI1223" s="1"/>
      <c r="BM1223" s="2"/>
      <c r="BN1223" s="2"/>
    </row>
    <row r="1224" spans="35:66">
      <c r="AI1224" s="1"/>
      <c r="BM1224" s="2"/>
      <c r="BN1224" s="2"/>
    </row>
    <row r="1225" spans="35:66">
      <c r="AI1225" s="1"/>
      <c r="BM1225" s="2"/>
      <c r="BN1225" s="2"/>
    </row>
    <row r="1226" spans="35:66">
      <c r="AI1226" s="1"/>
      <c r="BM1226" s="2"/>
      <c r="BN1226" s="2"/>
    </row>
    <row r="1227" spans="35:66">
      <c r="AI1227" s="1"/>
      <c r="BM1227" s="2"/>
      <c r="BN1227" s="2"/>
    </row>
    <row r="1228" spans="35:66">
      <c r="AI1228" s="1"/>
      <c r="BM1228" s="2"/>
      <c r="BN1228" s="2"/>
    </row>
    <row r="1229" spans="35:66">
      <c r="AI1229" s="1"/>
      <c r="BM1229" s="2"/>
      <c r="BN1229" s="2"/>
    </row>
    <row r="1230" spans="35:66">
      <c r="AI1230" s="1"/>
      <c r="BM1230" s="2"/>
      <c r="BN1230" s="2"/>
    </row>
    <row r="1231" spans="35:66">
      <c r="AI1231" s="1"/>
      <c r="BM1231" s="2"/>
      <c r="BN1231" s="2"/>
    </row>
    <row r="1232" spans="35:66">
      <c r="AI1232" s="1"/>
      <c r="BM1232" s="2"/>
      <c r="BN1232" s="2"/>
    </row>
    <row r="1233" spans="35:66">
      <c r="AI1233" s="1"/>
      <c r="BM1233" s="2"/>
      <c r="BN1233" s="2"/>
    </row>
    <row r="1234" spans="35:66">
      <c r="AI1234" s="1"/>
      <c r="BM1234" s="2"/>
      <c r="BN1234" s="2"/>
    </row>
    <row r="1235" spans="35:66">
      <c r="AI1235" s="1"/>
      <c r="BM1235" s="2"/>
      <c r="BN1235" s="2"/>
    </row>
    <row r="1236" spans="35:66">
      <c r="AI1236" s="1"/>
      <c r="BM1236" s="2"/>
      <c r="BN1236" s="2"/>
    </row>
    <row r="1237" spans="35:66">
      <c r="AI1237" s="1"/>
      <c r="BM1237" s="2"/>
      <c r="BN1237" s="2"/>
    </row>
    <row r="1238" spans="35:66">
      <c r="AI1238" s="1"/>
      <c r="BM1238" s="2"/>
      <c r="BN1238" s="2"/>
    </row>
    <row r="1239" spans="35:66">
      <c r="AI1239" s="1"/>
      <c r="BM1239" s="2"/>
      <c r="BN1239" s="2"/>
    </row>
    <row r="1240" spans="35:66">
      <c r="AI1240" s="1"/>
      <c r="BM1240" s="2"/>
      <c r="BN1240" s="2"/>
    </row>
    <row r="1241" spans="35:66">
      <c r="AI1241" s="1"/>
      <c r="BM1241" s="2"/>
      <c r="BN1241" s="2"/>
    </row>
    <row r="1242" spans="35:66">
      <c r="AI1242" s="1"/>
      <c r="BM1242" s="2"/>
      <c r="BN1242" s="2"/>
    </row>
    <row r="1243" spans="35:66">
      <c r="AI1243" s="1"/>
      <c r="BM1243" s="2"/>
      <c r="BN1243" s="2"/>
    </row>
    <row r="1244" spans="35:66">
      <c r="AI1244" s="1"/>
      <c r="BM1244" s="2"/>
      <c r="BN1244" s="2"/>
    </row>
    <row r="1245" spans="35:66">
      <c r="AI1245" s="1"/>
      <c r="BM1245" s="2"/>
      <c r="BN1245" s="2"/>
    </row>
    <row r="1246" spans="35:66">
      <c r="AI1246" s="1"/>
      <c r="BM1246" s="2"/>
      <c r="BN1246" s="2"/>
    </row>
    <row r="1247" spans="35:66">
      <c r="AI1247" s="1"/>
      <c r="BM1247" s="2"/>
      <c r="BN1247" s="2"/>
    </row>
    <row r="1248" spans="35:66">
      <c r="AI1248" s="1"/>
      <c r="BM1248" s="2"/>
      <c r="BN1248" s="2"/>
    </row>
    <row r="1249" spans="35:66">
      <c r="AI1249" s="1"/>
      <c r="BM1249" s="2"/>
      <c r="BN1249" s="2"/>
    </row>
    <row r="1250" spans="35:66">
      <c r="AI1250" s="1"/>
      <c r="BM1250" s="2"/>
      <c r="BN1250" s="2"/>
    </row>
    <row r="1251" spans="35:66">
      <c r="AI1251" s="1"/>
      <c r="BM1251" s="2"/>
      <c r="BN1251" s="2"/>
    </row>
    <row r="1252" spans="35:66">
      <c r="AI1252" s="1"/>
      <c r="BM1252" s="2"/>
      <c r="BN1252" s="2"/>
    </row>
    <row r="1253" spans="35:66">
      <c r="AI1253" s="1"/>
      <c r="BM1253" s="2"/>
      <c r="BN1253" s="2"/>
    </row>
    <row r="1254" spans="35:66">
      <c r="AI1254" s="1"/>
      <c r="BM1254" s="2"/>
      <c r="BN1254" s="2"/>
    </row>
    <row r="1255" spans="35:66">
      <c r="AI1255" s="1"/>
      <c r="BM1255" s="2"/>
      <c r="BN1255" s="2"/>
    </row>
    <row r="1256" spans="35:66">
      <c r="AI1256" s="1"/>
      <c r="BM1256" s="2"/>
      <c r="BN1256" s="2"/>
    </row>
    <row r="1257" spans="35:66">
      <c r="AI1257" s="1"/>
      <c r="BM1257" s="2"/>
      <c r="BN1257" s="2"/>
    </row>
    <row r="1258" spans="35:66">
      <c r="AI1258" s="1"/>
      <c r="BM1258" s="2"/>
      <c r="BN1258" s="2"/>
    </row>
    <row r="1259" spans="35:66">
      <c r="AI1259" s="1"/>
      <c r="BM1259" s="2"/>
      <c r="BN1259" s="2"/>
    </row>
    <row r="1260" spans="35:66">
      <c r="AI1260" s="1"/>
      <c r="BM1260" s="2"/>
      <c r="BN1260" s="2"/>
    </row>
    <row r="1261" spans="35:66">
      <c r="AI1261" s="1"/>
      <c r="BM1261" s="2"/>
      <c r="BN1261" s="2"/>
    </row>
    <row r="1262" spans="35:66">
      <c r="AI1262" s="1"/>
      <c r="BM1262" s="2"/>
      <c r="BN1262" s="2"/>
    </row>
    <row r="1263" spans="35:66">
      <c r="AI1263" s="1"/>
      <c r="BM1263" s="2"/>
      <c r="BN1263" s="2"/>
    </row>
    <row r="1264" spans="35:66">
      <c r="AI1264" s="1"/>
      <c r="BM1264" s="2"/>
      <c r="BN1264" s="2"/>
    </row>
    <row r="1265" spans="35:66">
      <c r="AI1265" s="1"/>
      <c r="BM1265" s="2"/>
      <c r="BN1265" s="2"/>
    </row>
    <row r="1266" spans="35:66">
      <c r="AI1266" s="1"/>
      <c r="BM1266" s="2"/>
      <c r="BN1266" s="2"/>
    </row>
    <row r="1267" spans="35:66">
      <c r="AI1267" s="1"/>
      <c r="BM1267" s="2"/>
      <c r="BN1267" s="2"/>
    </row>
    <row r="1268" spans="35:66">
      <c r="AI1268" s="1"/>
      <c r="BM1268" s="2"/>
      <c r="BN1268" s="2"/>
    </row>
    <row r="1269" spans="35:66">
      <c r="AI1269" s="1"/>
      <c r="BM1269" s="2"/>
      <c r="BN1269" s="2"/>
    </row>
    <row r="1270" spans="35:66">
      <c r="AI1270" s="1"/>
      <c r="BM1270" s="2"/>
      <c r="BN1270" s="2"/>
    </row>
    <row r="1271" spans="35:66">
      <c r="AI1271" s="1"/>
      <c r="BM1271" s="2"/>
      <c r="BN1271" s="2"/>
    </row>
    <row r="1272" spans="35:66">
      <c r="AI1272" s="1"/>
      <c r="BM1272" s="2"/>
      <c r="BN1272" s="2"/>
    </row>
    <row r="1273" spans="35:66">
      <c r="AI1273" s="1"/>
      <c r="BM1273" s="2"/>
      <c r="BN1273" s="2"/>
    </row>
    <row r="1274" spans="35:66">
      <c r="AI1274" s="1"/>
      <c r="BM1274" s="2"/>
      <c r="BN1274" s="2"/>
    </row>
    <row r="1275" spans="35:66">
      <c r="AI1275" s="1"/>
      <c r="BM1275" s="2"/>
      <c r="BN1275" s="2"/>
    </row>
    <row r="1276" spans="35:66">
      <c r="AI1276" s="1"/>
      <c r="BM1276" s="2"/>
      <c r="BN1276" s="2"/>
    </row>
    <row r="1277" spans="35:66">
      <c r="AI1277" s="1"/>
      <c r="BM1277" s="2"/>
      <c r="BN1277" s="2"/>
    </row>
    <row r="1278" spans="35:66">
      <c r="AI1278" s="1"/>
      <c r="BM1278" s="2"/>
      <c r="BN1278" s="2"/>
    </row>
    <row r="1279" spans="35:66">
      <c r="AI1279" s="1"/>
      <c r="BM1279" s="2"/>
      <c r="BN1279" s="2"/>
    </row>
    <row r="1280" spans="35:66">
      <c r="AI1280" s="1"/>
      <c r="BM1280" s="2"/>
      <c r="BN1280" s="2"/>
    </row>
    <row r="1281" spans="35:66">
      <c r="AI1281" s="1"/>
      <c r="BM1281" s="2"/>
      <c r="BN1281" s="2"/>
    </row>
    <row r="1282" spans="35:66">
      <c r="AI1282" s="1"/>
      <c r="BM1282" s="2"/>
      <c r="BN1282" s="2"/>
    </row>
    <row r="1283" spans="35:66">
      <c r="AI1283" s="1"/>
      <c r="BM1283" s="2"/>
      <c r="BN1283" s="2"/>
    </row>
    <row r="1284" spans="35:66">
      <c r="AI1284" s="1"/>
      <c r="BM1284" s="2"/>
      <c r="BN1284" s="2"/>
    </row>
    <row r="1285" spans="35:66">
      <c r="AI1285" s="1"/>
      <c r="BM1285" s="2"/>
      <c r="BN1285" s="2"/>
    </row>
    <row r="1286" spans="35:66">
      <c r="AI1286" s="1"/>
      <c r="BM1286" s="2"/>
      <c r="BN1286" s="2"/>
    </row>
    <row r="1287" spans="35:66">
      <c r="AI1287" s="1"/>
      <c r="BM1287" s="2"/>
      <c r="BN1287" s="2"/>
    </row>
    <row r="1288" spans="35:66">
      <c r="AI1288" s="1"/>
      <c r="BM1288" s="2"/>
      <c r="BN1288" s="2"/>
    </row>
    <row r="1289" spans="35:66">
      <c r="AI1289" s="1"/>
      <c r="BM1289" s="2"/>
      <c r="BN1289" s="2"/>
    </row>
    <row r="1290" spans="35:66">
      <c r="AI1290" s="1"/>
      <c r="BM1290" s="2"/>
      <c r="BN1290" s="2"/>
    </row>
    <row r="1291" spans="35:66">
      <c r="AI1291" s="1"/>
      <c r="BM1291" s="2"/>
      <c r="BN1291" s="2"/>
    </row>
    <row r="1292" spans="35:66">
      <c r="AI1292" s="1"/>
      <c r="BM1292" s="2"/>
      <c r="BN1292" s="2"/>
    </row>
    <row r="1293" spans="35:66">
      <c r="AI1293" s="1"/>
      <c r="BM1293" s="2"/>
      <c r="BN1293" s="2"/>
    </row>
    <row r="1294" spans="35:66">
      <c r="AI1294" s="1"/>
      <c r="BM1294" s="2"/>
      <c r="BN1294" s="2"/>
    </row>
    <row r="1295" spans="35:66">
      <c r="AI1295" s="1"/>
      <c r="BM1295" s="2"/>
      <c r="BN1295" s="2"/>
    </row>
    <row r="1296" spans="35:66">
      <c r="AI1296" s="1"/>
      <c r="BM1296" s="2"/>
      <c r="BN1296" s="2"/>
    </row>
    <row r="1297" spans="35:66">
      <c r="AI1297" s="1"/>
      <c r="BM1297" s="2"/>
      <c r="BN1297" s="2"/>
    </row>
    <row r="1298" spans="35:66">
      <c r="AI1298" s="1"/>
      <c r="BM1298" s="2"/>
      <c r="BN1298" s="2"/>
    </row>
    <row r="1299" spans="35:66">
      <c r="AI1299" s="1"/>
      <c r="BM1299" s="2"/>
      <c r="BN1299" s="2"/>
    </row>
    <row r="1300" spans="35:66">
      <c r="AI1300" s="1"/>
      <c r="BM1300" s="2"/>
      <c r="BN1300" s="2"/>
    </row>
    <row r="1301" spans="35:66">
      <c r="AI1301" s="1"/>
      <c r="BM1301" s="2"/>
      <c r="BN1301" s="2"/>
    </row>
    <row r="1302" spans="35:66">
      <c r="AI1302" s="1"/>
      <c r="BM1302" s="2"/>
      <c r="BN1302" s="2"/>
    </row>
    <row r="1303" spans="35:66">
      <c r="AI1303" s="1"/>
      <c r="BM1303" s="2"/>
      <c r="BN1303" s="2"/>
    </row>
    <row r="1304" spans="35:66">
      <c r="AI1304" s="1"/>
      <c r="BM1304" s="2"/>
      <c r="BN1304" s="2"/>
    </row>
    <row r="1305" spans="35:66">
      <c r="AI1305" s="1"/>
      <c r="BM1305" s="2"/>
      <c r="BN1305" s="2"/>
    </row>
    <row r="1306" spans="35:66">
      <c r="AI1306" s="1"/>
      <c r="BM1306" s="2"/>
      <c r="BN1306" s="2"/>
    </row>
    <row r="1307" spans="35:66">
      <c r="AI1307" s="1"/>
      <c r="BM1307" s="2"/>
      <c r="BN1307" s="2"/>
    </row>
    <row r="1308" spans="35:66">
      <c r="AI1308" s="1"/>
      <c r="BM1308" s="2"/>
      <c r="BN1308" s="2"/>
    </row>
    <row r="1309" spans="35:66">
      <c r="AI1309" s="1"/>
      <c r="BM1309" s="2"/>
      <c r="BN1309" s="2"/>
    </row>
    <row r="1310" spans="35:66">
      <c r="AI1310" s="1"/>
      <c r="BM1310" s="2"/>
      <c r="BN1310" s="2"/>
    </row>
    <row r="1311" spans="35:66">
      <c r="AI1311" s="1"/>
      <c r="BM1311" s="2"/>
      <c r="BN1311" s="2"/>
    </row>
    <row r="1312" spans="35:66">
      <c r="AI1312" s="1"/>
      <c r="BM1312" s="2"/>
      <c r="BN1312" s="2"/>
    </row>
    <row r="1313" spans="35:66">
      <c r="AI1313" s="1"/>
      <c r="BM1313" s="2"/>
      <c r="BN1313" s="2"/>
    </row>
    <row r="1314" spans="35:66">
      <c r="AI1314" s="1"/>
      <c r="BM1314" s="2"/>
      <c r="BN1314" s="2"/>
    </row>
    <row r="1315" spans="35:66">
      <c r="AI1315" s="1"/>
      <c r="BM1315" s="2"/>
      <c r="BN1315" s="2"/>
    </row>
    <row r="1316" spans="35:66">
      <c r="AI1316" s="1"/>
      <c r="BM1316" s="2"/>
      <c r="BN1316" s="2"/>
    </row>
    <row r="1317" spans="35:66">
      <c r="AI1317" s="1"/>
      <c r="BM1317" s="2"/>
      <c r="BN1317" s="2"/>
    </row>
    <row r="1318" spans="35:66">
      <c r="AI1318" s="1"/>
      <c r="BM1318" s="2"/>
      <c r="BN1318" s="2"/>
    </row>
    <row r="1319" spans="35:66">
      <c r="AI1319" s="1"/>
      <c r="BM1319" s="2"/>
      <c r="BN1319" s="2"/>
    </row>
    <row r="1320" spans="35:66">
      <c r="AI1320" s="1"/>
      <c r="BM1320" s="2"/>
      <c r="BN1320" s="2"/>
    </row>
    <row r="1321" spans="35:66">
      <c r="AI1321" s="1"/>
      <c r="BM1321" s="2"/>
      <c r="BN1321" s="2"/>
    </row>
    <row r="1322" spans="35:66">
      <c r="AI1322" s="1"/>
      <c r="BM1322" s="2"/>
      <c r="BN1322" s="2"/>
    </row>
    <row r="1323" spans="35:66">
      <c r="AI1323" s="1"/>
      <c r="BM1323" s="2"/>
      <c r="BN1323" s="2"/>
    </row>
    <row r="1324" spans="35:66">
      <c r="AI1324" s="1"/>
      <c r="BM1324" s="2"/>
      <c r="BN1324" s="2"/>
    </row>
    <row r="1325" spans="35:66">
      <c r="AI1325" s="1"/>
      <c r="BM1325" s="2"/>
      <c r="BN1325" s="2"/>
    </row>
    <row r="1326" spans="35:66">
      <c r="AI1326" s="1"/>
      <c r="BM1326" s="2"/>
      <c r="BN1326" s="2"/>
    </row>
    <row r="1327" spans="35:66">
      <c r="AI1327" s="1"/>
      <c r="BM1327" s="2"/>
      <c r="BN1327" s="2"/>
    </row>
    <row r="1328" spans="35:66">
      <c r="AI1328" s="1"/>
      <c r="BM1328" s="2"/>
      <c r="BN1328" s="2"/>
    </row>
    <row r="1329" spans="35:66">
      <c r="AI1329" s="1"/>
      <c r="BM1329" s="2"/>
      <c r="BN1329" s="2"/>
    </row>
    <row r="1330" spans="35:66">
      <c r="AI1330" s="1"/>
      <c r="BM1330" s="2"/>
      <c r="BN1330" s="2"/>
    </row>
    <row r="1331" spans="35:66">
      <c r="AI1331" s="1"/>
      <c r="BM1331" s="2"/>
      <c r="BN1331" s="2"/>
    </row>
    <row r="1332" spans="35:66">
      <c r="AI1332" s="1"/>
      <c r="BM1332" s="2"/>
      <c r="BN1332" s="2"/>
    </row>
    <row r="1333" spans="35:66">
      <c r="AI1333" s="1"/>
      <c r="BM1333" s="2"/>
      <c r="BN1333" s="2"/>
    </row>
    <row r="1334" spans="35:66">
      <c r="AI1334" s="1"/>
      <c r="BM1334" s="2"/>
      <c r="BN1334" s="2"/>
    </row>
    <row r="1335" spans="35:66">
      <c r="AI1335" s="1"/>
      <c r="BM1335" s="2"/>
      <c r="BN1335" s="2"/>
    </row>
    <row r="1336" spans="35:66">
      <c r="AI1336" s="1"/>
      <c r="BM1336" s="2"/>
      <c r="BN1336" s="2"/>
    </row>
    <row r="1337" spans="35:66">
      <c r="AI1337" s="1"/>
      <c r="BM1337" s="2"/>
      <c r="BN1337" s="2"/>
    </row>
    <row r="1338" spans="35:66">
      <c r="AI1338" s="1"/>
      <c r="BM1338" s="2"/>
      <c r="BN1338" s="2"/>
    </row>
    <row r="1339" spans="35:66">
      <c r="AI1339" s="1"/>
      <c r="BM1339" s="2"/>
      <c r="BN1339" s="2"/>
    </row>
    <row r="1340" spans="35:66">
      <c r="AI1340" s="1"/>
      <c r="BM1340" s="2"/>
      <c r="BN1340" s="2"/>
    </row>
    <row r="1341" spans="35:66">
      <c r="AI1341" s="1"/>
      <c r="BM1341" s="2"/>
      <c r="BN1341" s="2"/>
    </row>
    <row r="1342" spans="35:66">
      <c r="AI1342" s="1"/>
      <c r="BM1342" s="2"/>
      <c r="BN1342" s="2"/>
    </row>
    <row r="1343" spans="35:66">
      <c r="AI1343" s="1"/>
      <c r="BM1343" s="2"/>
      <c r="BN1343" s="2"/>
    </row>
    <row r="1344" spans="35:66">
      <c r="AI1344" s="1"/>
      <c r="BM1344" s="2"/>
      <c r="BN1344" s="2"/>
    </row>
    <row r="1345" spans="35:66">
      <c r="AI1345" s="1"/>
      <c r="BM1345" s="2"/>
      <c r="BN1345" s="2"/>
    </row>
    <row r="1346" spans="35:66">
      <c r="AI1346" s="1"/>
      <c r="BM1346" s="2"/>
      <c r="BN1346" s="2"/>
    </row>
    <row r="1347" spans="35:66">
      <c r="AI1347" s="1"/>
      <c r="BM1347" s="2"/>
      <c r="BN1347" s="2"/>
    </row>
    <row r="1348" spans="35:66">
      <c r="AI1348" s="1"/>
      <c r="BM1348" s="2"/>
      <c r="BN1348" s="2"/>
    </row>
    <row r="1349" spans="35:66">
      <c r="AI1349" s="1"/>
      <c r="BM1349" s="2"/>
      <c r="BN1349" s="2"/>
    </row>
    <row r="1350" spans="35:66">
      <c r="AI1350" s="1"/>
      <c r="BM1350" s="2"/>
      <c r="BN1350" s="2"/>
    </row>
    <row r="1351" spans="35:66">
      <c r="AI1351" s="1"/>
      <c r="BM1351" s="2"/>
      <c r="BN1351" s="2"/>
    </row>
    <row r="1352" spans="35:66">
      <c r="AI1352" s="1"/>
      <c r="BM1352" s="2"/>
      <c r="BN1352" s="2"/>
    </row>
    <row r="1353" spans="35:66">
      <c r="AI1353" s="1"/>
      <c r="BM1353" s="2"/>
      <c r="BN1353" s="2"/>
    </row>
    <row r="1354" spans="35:66">
      <c r="AI1354" s="1"/>
      <c r="BM1354" s="2"/>
      <c r="BN1354" s="2"/>
    </row>
    <row r="1355" spans="35:66">
      <c r="AI1355" s="1"/>
      <c r="BM1355" s="2"/>
      <c r="BN1355" s="2"/>
    </row>
    <row r="1356" spans="35:66">
      <c r="AI1356" s="1"/>
      <c r="BM1356" s="2"/>
      <c r="BN1356" s="2"/>
    </row>
    <row r="1357" spans="35:66">
      <c r="AI1357" s="1"/>
      <c r="BM1357" s="2"/>
      <c r="BN1357" s="2"/>
    </row>
    <row r="1358" spans="35:66">
      <c r="AI1358" s="1"/>
      <c r="BM1358" s="2"/>
      <c r="BN1358" s="2"/>
    </row>
    <row r="1359" spans="35:66">
      <c r="AI1359" s="1"/>
      <c r="BM1359" s="2"/>
      <c r="BN1359" s="2"/>
    </row>
    <row r="1360" spans="35:66">
      <c r="AI1360" s="1"/>
      <c r="BM1360" s="2"/>
      <c r="BN1360" s="2"/>
    </row>
    <row r="1361" spans="35:66">
      <c r="AI1361" s="1"/>
      <c r="BM1361" s="2"/>
      <c r="BN1361" s="2"/>
    </row>
    <row r="1362" spans="35:66">
      <c r="AI1362" s="1"/>
      <c r="BM1362" s="2"/>
      <c r="BN1362" s="2"/>
    </row>
    <row r="1363" spans="35:66">
      <c r="AI1363" s="1"/>
      <c r="BM1363" s="2"/>
      <c r="BN1363" s="2"/>
    </row>
    <row r="1364" spans="35:66">
      <c r="AI1364" s="1"/>
      <c r="BM1364" s="2"/>
      <c r="BN1364" s="2"/>
    </row>
    <row r="1365" spans="35:66">
      <c r="AI1365" s="1"/>
      <c r="BM1365" s="2"/>
      <c r="BN1365" s="2"/>
    </row>
    <row r="1366" spans="35:66">
      <c r="AI1366" s="1"/>
      <c r="BM1366" s="2"/>
      <c r="BN1366" s="2"/>
    </row>
    <row r="1367" spans="35:66">
      <c r="AI1367" s="1"/>
      <c r="BM1367" s="2"/>
      <c r="BN1367" s="2"/>
    </row>
    <row r="1368" spans="35:66">
      <c r="AI1368" s="1"/>
      <c r="BM1368" s="2"/>
      <c r="BN1368" s="2"/>
    </row>
    <row r="1369" spans="35:66">
      <c r="AI1369" s="1"/>
      <c r="BM1369" s="2"/>
      <c r="BN1369" s="2"/>
    </row>
    <row r="1370" spans="35:66">
      <c r="AI1370" s="1"/>
      <c r="BM1370" s="2"/>
      <c r="BN1370" s="2"/>
    </row>
    <row r="1371" spans="35:66">
      <c r="AI1371" s="1"/>
      <c r="BM1371" s="2"/>
      <c r="BN1371" s="2"/>
    </row>
    <row r="1372" spans="35:66">
      <c r="AI1372" s="1"/>
      <c r="BM1372" s="2"/>
      <c r="BN1372" s="2"/>
    </row>
    <row r="1373" spans="35:66">
      <c r="AI1373" s="1"/>
      <c r="BM1373" s="2"/>
      <c r="BN1373" s="2"/>
    </row>
    <row r="1374" spans="35:66">
      <c r="AI1374" s="1"/>
      <c r="BM1374" s="2"/>
      <c r="BN1374" s="2"/>
    </row>
    <row r="1375" spans="35:66">
      <c r="AI1375" s="1"/>
      <c r="BM1375" s="2"/>
      <c r="BN1375" s="2"/>
    </row>
    <row r="1376" spans="35:66">
      <c r="AI1376" s="1"/>
      <c r="BM1376" s="2"/>
      <c r="BN1376" s="2"/>
    </row>
    <row r="1377" spans="35:66">
      <c r="AI1377" s="1"/>
      <c r="BM1377" s="2"/>
      <c r="BN1377" s="2"/>
    </row>
    <row r="1378" spans="35:66">
      <c r="AI1378" s="1"/>
      <c r="BM1378" s="2"/>
      <c r="BN1378" s="2"/>
    </row>
    <row r="1379" spans="35:66">
      <c r="AI1379" s="1"/>
      <c r="BM1379" s="2"/>
      <c r="BN1379" s="2"/>
    </row>
    <row r="1380" spans="35:66">
      <c r="AI1380" s="1"/>
      <c r="BM1380" s="2"/>
      <c r="BN1380" s="2"/>
    </row>
    <row r="1381" spans="35:66">
      <c r="AI1381" s="1"/>
      <c r="BM1381" s="2"/>
      <c r="BN1381" s="2"/>
    </row>
    <row r="1382" spans="35:66">
      <c r="AI1382" s="1"/>
      <c r="BM1382" s="2"/>
      <c r="BN1382" s="2"/>
    </row>
    <row r="1383" spans="35:66">
      <c r="AI1383" s="1"/>
      <c r="BM1383" s="2"/>
      <c r="BN1383" s="2"/>
    </row>
    <row r="1384" spans="35:66">
      <c r="AI1384" s="1"/>
      <c r="BM1384" s="2"/>
      <c r="BN1384" s="2"/>
    </row>
    <row r="1385" spans="35:66">
      <c r="AI1385" s="1"/>
      <c r="BM1385" s="2"/>
      <c r="BN1385" s="2"/>
    </row>
    <row r="1386" spans="35:66">
      <c r="AI1386" s="1"/>
      <c r="BM1386" s="2"/>
      <c r="BN1386" s="2"/>
    </row>
    <row r="1387" spans="35:66">
      <c r="AI1387" s="1"/>
      <c r="BM1387" s="2"/>
      <c r="BN1387" s="2"/>
    </row>
    <row r="1388" spans="35:66">
      <c r="AI1388" s="1"/>
      <c r="BM1388" s="2"/>
      <c r="BN1388" s="2"/>
    </row>
    <row r="1389" spans="35:66">
      <c r="AI1389" s="1"/>
      <c r="BM1389" s="2"/>
      <c r="BN1389" s="2"/>
    </row>
    <row r="1390" spans="35:66">
      <c r="AI1390" s="1"/>
      <c r="BM1390" s="2"/>
      <c r="BN1390" s="2"/>
    </row>
    <row r="1391" spans="35:66">
      <c r="AI1391" s="1"/>
      <c r="BM1391" s="2"/>
      <c r="BN1391" s="2"/>
    </row>
    <row r="1392" spans="35:66">
      <c r="AI1392" s="1"/>
      <c r="BM1392" s="2"/>
      <c r="BN1392" s="2"/>
    </row>
    <row r="1393" spans="35:66">
      <c r="AI1393" s="1"/>
      <c r="BM1393" s="2"/>
      <c r="BN1393" s="2"/>
    </row>
    <row r="1394" spans="35:66">
      <c r="AI1394" s="1"/>
      <c r="BM1394" s="2"/>
      <c r="BN1394" s="2"/>
    </row>
    <row r="1395" spans="35:66">
      <c r="AI1395" s="1"/>
      <c r="BM1395" s="2"/>
      <c r="BN1395" s="2"/>
    </row>
    <row r="1396" spans="35:66">
      <c r="AI1396" s="1"/>
      <c r="BM1396" s="2"/>
      <c r="BN1396" s="2"/>
    </row>
    <row r="1397" spans="35:66">
      <c r="AI1397" s="1"/>
      <c r="BM1397" s="2"/>
      <c r="BN1397" s="2"/>
    </row>
    <row r="1398" spans="35:66">
      <c r="AI1398" s="1"/>
      <c r="BM1398" s="2"/>
      <c r="BN1398" s="2"/>
    </row>
    <row r="1399" spans="35:66">
      <c r="AI1399" s="1"/>
      <c r="BM1399" s="2"/>
      <c r="BN1399" s="2"/>
    </row>
    <row r="1400" spans="35:66">
      <c r="AI1400" s="1"/>
      <c r="BM1400" s="2"/>
      <c r="BN1400" s="2"/>
    </row>
    <row r="1401" spans="35:66">
      <c r="AI1401" s="1"/>
      <c r="BM1401" s="2"/>
      <c r="BN1401" s="2"/>
    </row>
    <row r="1402" spans="35:66">
      <c r="AI1402" s="1"/>
      <c r="BM1402" s="2"/>
      <c r="BN1402" s="2"/>
    </row>
    <row r="1403" spans="35:66">
      <c r="AI1403" s="1"/>
      <c r="BM1403" s="2"/>
      <c r="BN1403" s="2"/>
    </row>
    <row r="1404" spans="35:66">
      <c r="AI1404" s="1"/>
      <c r="BM1404" s="2"/>
      <c r="BN1404" s="2"/>
    </row>
    <row r="1405" spans="35:66">
      <c r="AI1405" s="1"/>
      <c r="BM1405" s="2"/>
      <c r="BN1405" s="2"/>
    </row>
    <row r="1406" spans="35:66">
      <c r="AI1406" s="1"/>
      <c r="BM1406" s="2"/>
      <c r="BN1406" s="2"/>
    </row>
    <row r="1407" spans="35:66">
      <c r="AI1407" s="1"/>
      <c r="BM1407" s="2"/>
      <c r="BN1407" s="2"/>
    </row>
    <row r="1408" spans="35:66">
      <c r="AI1408" s="1"/>
      <c r="BM1408" s="2"/>
      <c r="BN1408" s="2"/>
    </row>
    <row r="1409" spans="35:66">
      <c r="AI1409" s="1"/>
      <c r="BM1409" s="2"/>
      <c r="BN1409" s="2"/>
    </row>
    <row r="1410" spans="35:66">
      <c r="AI1410" s="1"/>
      <c r="BM1410" s="2"/>
      <c r="BN1410" s="2"/>
    </row>
    <row r="1411" spans="35:66">
      <c r="AI1411" s="1"/>
      <c r="BM1411" s="2"/>
      <c r="BN1411" s="2"/>
    </row>
    <row r="1412" spans="35:66">
      <c r="AI1412" s="1"/>
      <c r="BM1412" s="2"/>
      <c r="BN1412" s="2"/>
    </row>
    <row r="1413" spans="35:66">
      <c r="AI1413" s="1"/>
      <c r="BM1413" s="2"/>
      <c r="BN1413" s="2"/>
    </row>
    <row r="1414" spans="35:66">
      <c r="AI1414" s="1"/>
      <c r="BM1414" s="2"/>
      <c r="BN1414" s="2"/>
    </row>
    <row r="1415" spans="35:66">
      <c r="AI1415" s="1"/>
      <c r="BM1415" s="2"/>
      <c r="BN1415" s="2"/>
    </row>
    <row r="1416" spans="35:66">
      <c r="AI1416" s="1"/>
      <c r="BM1416" s="2"/>
      <c r="BN1416" s="2"/>
    </row>
    <row r="1417" spans="35:66">
      <c r="AI1417" s="1"/>
      <c r="BM1417" s="2"/>
      <c r="BN1417" s="2"/>
    </row>
    <row r="1418" spans="35:66">
      <c r="AI1418" s="1"/>
      <c r="BM1418" s="2"/>
      <c r="BN1418" s="2"/>
    </row>
    <row r="1419" spans="35:66">
      <c r="AI1419" s="1"/>
      <c r="BM1419" s="2"/>
      <c r="BN1419" s="2"/>
    </row>
    <row r="1420" spans="35:66">
      <c r="AI1420" s="1"/>
      <c r="BM1420" s="2"/>
      <c r="BN1420" s="2"/>
    </row>
    <row r="1421" spans="35:66">
      <c r="AI1421" s="1"/>
      <c r="BM1421" s="2"/>
      <c r="BN1421" s="2"/>
    </row>
    <row r="1422" spans="35:66">
      <c r="AI1422" s="1"/>
      <c r="BM1422" s="2"/>
      <c r="BN1422" s="2"/>
    </row>
    <row r="1423" spans="35:66">
      <c r="AI1423" s="1"/>
      <c r="BM1423" s="2"/>
      <c r="BN1423" s="2"/>
    </row>
    <row r="1424" spans="35:66">
      <c r="AI1424" s="1"/>
      <c r="BM1424" s="2"/>
      <c r="BN1424" s="2"/>
    </row>
    <row r="1425" spans="35:66">
      <c r="AI1425" s="1"/>
      <c r="BM1425" s="2"/>
      <c r="BN1425" s="2"/>
    </row>
    <row r="1426" spans="35:66">
      <c r="AI1426" s="1"/>
      <c r="BM1426" s="2"/>
      <c r="BN1426" s="2"/>
    </row>
    <row r="1427" spans="35:66">
      <c r="AI1427" s="1"/>
      <c r="BM1427" s="2"/>
      <c r="BN1427" s="2"/>
    </row>
    <row r="1428" spans="35:66">
      <c r="AI1428" s="1"/>
      <c r="BM1428" s="2"/>
      <c r="BN1428" s="2"/>
    </row>
    <row r="1429" spans="35:66">
      <c r="AI1429" s="1"/>
      <c r="BM1429" s="2"/>
      <c r="BN1429" s="2"/>
    </row>
    <row r="1430" spans="35:66">
      <c r="AI1430" s="1"/>
      <c r="BM1430" s="2"/>
      <c r="BN1430" s="2"/>
    </row>
    <row r="1431" spans="35:66">
      <c r="AI1431" s="1"/>
      <c r="BM1431" s="2"/>
      <c r="BN1431" s="2"/>
    </row>
    <row r="1432" spans="35:66">
      <c r="AI1432" s="1"/>
      <c r="BM1432" s="2"/>
      <c r="BN1432" s="2"/>
    </row>
    <row r="1433" spans="35:66">
      <c r="AI1433" s="1"/>
      <c r="BM1433" s="2"/>
      <c r="BN1433" s="2"/>
    </row>
    <row r="1434" spans="35:66">
      <c r="AI1434" s="1"/>
      <c r="BM1434" s="2"/>
      <c r="BN1434" s="2"/>
    </row>
    <row r="1435" spans="35:66">
      <c r="AI1435" s="1"/>
      <c r="BM1435" s="2"/>
      <c r="BN1435" s="2"/>
    </row>
    <row r="1436" spans="35:66">
      <c r="AI1436" s="1"/>
      <c r="BM1436" s="2"/>
      <c r="BN1436" s="2"/>
    </row>
    <row r="1437" spans="35:66">
      <c r="AI1437" s="1"/>
      <c r="BM1437" s="2"/>
      <c r="BN1437" s="2"/>
    </row>
    <row r="1438" spans="35:66">
      <c r="AI1438" s="1"/>
      <c r="BM1438" s="2"/>
      <c r="BN1438" s="2"/>
    </row>
    <row r="1439" spans="35:66">
      <c r="AI1439" s="1"/>
      <c r="BM1439" s="2"/>
      <c r="BN1439" s="2"/>
    </row>
    <row r="1440" spans="35:66">
      <c r="AI1440" s="1"/>
      <c r="BM1440" s="2"/>
      <c r="BN1440" s="2"/>
    </row>
    <row r="1441" spans="35:66">
      <c r="AI1441" s="1"/>
      <c r="BM1441" s="2"/>
      <c r="BN1441" s="2"/>
    </row>
    <row r="1442" spans="35:66">
      <c r="AI1442" s="1"/>
      <c r="BM1442" s="2"/>
      <c r="BN1442" s="2"/>
    </row>
    <row r="1443" spans="35:66">
      <c r="AI1443" s="1"/>
      <c r="BM1443" s="2"/>
      <c r="BN1443" s="2"/>
    </row>
    <row r="1444" spans="35:66">
      <c r="AI1444" s="1"/>
      <c r="BM1444" s="2"/>
      <c r="BN1444" s="2"/>
    </row>
    <row r="1445" spans="35:66">
      <c r="AI1445" s="1"/>
      <c r="BM1445" s="2"/>
      <c r="BN1445" s="2"/>
    </row>
    <row r="1446" spans="35:66">
      <c r="AI1446" s="1"/>
      <c r="BM1446" s="2"/>
      <c r="BN1446" s="2"/>
    </row>
    <row r="1447" spans="35:66">
      <c r="AI1447" s="1"/>
      <c r="BM1447" s="2"/>
      <c r="BN1447" s="2"/>
    </row>
    <row r="1448" spans="35:66">
      <c r="AI1448" s="1"/>
      <c r="BM1448" s="2"/>
      <c r="BN1448" s="2"/>
    </row>
    <row r="1449" spans="35:66">
      <c r="AI1449" s="1"/>
      <c r="BM1449" s="2"/>
      <c r="BN1449" s="2"/>
    </row>
    <row r="1450" spans="35:66">
      <c r="AI1450" s="1"/>
      <c r="BM1450" s="2"/>
      <c r="BN1450" s="2"/>
    </row>
    <row r="1451" spans="35:66">
      <c r="AI1451" s="1"/>
      <c r="BM1451" s="2"/>
      <c r="BN1451" s="2"/>
    </row>
    <row r="1452" spans="35:66">
      <c r="AI1452" s="1"/>
      <c r="BM1452" s="2"/>
      <c r="BN1452" s="2"/>
    </row>
    <row r="1453" spans="35:66">
      <c r="AI1453" s="1"/>
      <c r="BM1453" s="2"/>
      <c r="BN1453" s="2"/>
    </row>
    <row r="1454" spans="35:66">
      <c r="AI1454" s="1"/>
      <c r="BM1454" s="2"/>
      <c r="BN1454" s="2"/>
    </row>
    <row r="1455" spans="35:66">
      <c r="AI1455" s="1"/>
      <c r="BM1455" s="2"/>
      <c r="BN1455" s="2"/>
    </row>
    <row r="1456" spans="35:66">
      <c r="AI1456" s="1"/>
      <c r="BM1456" s="2"/>
      <c r="BN1456" s="2"/>
    </row>
    <row r="1457" spans="35:66">
      <c r="AI1457" s="1"/>
      <c r="BM1457" s="2"/>
      <c r="BN1457" s="2"/>
    </row>
    <row r="1458" spans="35:66">
      <c r="AI1458" s="1"/>
      <c r="BM1458" s="2"/>
      <c r="BN1458" s="2"/>
    </row>
    <row r="1459" spans="35:66">
      <c r="AI1459" s="1"/>
      <c r="BM1459" s="2"/>
      <c r="BN1459" s="2"/>
    </row>
    <row r="1460" spans="35:66">
      <c r="AI1460" s="1"/>
      <c r="BM1460" s="2"/>
      <c r="BN1460" s="2"/>
    </row>
    <row r="1461" spans="35:66">
      <c r="AI1461" s="1"/>
      <c r="BM1461" s="2"/>
      <c r="BN1461" s="2"/>
    </row>
    <row r="1462" spans="35:66">
      <c r="AI1462" s="1"/>
      <c r="BM1462" s="2"/>
      <c r="BN1462" s="2"/>
    </row>
    <row r="1463" spans="35:66">
      <c r="AI1463" s="1"/>
      <c r="BM1463" s="2"/>
      <c r="BN1463" s="2"/>
    </row>
    <row r="1464" spans="35:66">
      <c r="AI1464" s="1"/>
      <c r="BM1464" s="2"/>
      <c r="BN1464" s="2"/>
    </row>
    <row r="1465" spans="35:66">
      <c r="AI1465" s="1"/>
      <c r="BM1465" s="2"/>
      <c r="BN1465" s="2"/>
    </row>
    <row r="1466" spans="35:66">
      <c r="AI1466" s="1"/>
      <c r="BM1466" s="2"/>
      <c r="BN1466" s="2"/>
    </row>
    <row r="1467" spans="35:66">
      <c r="AI1467" s="1"/>
      <c r="BM1467" s="2"/>
      <c r="BN1467" s="2"/>
    </row>
    <row r="1468" spans="35:66">
      <c r="AI1468" s="1"/>
      <c r="BM1468" s="2"/>
      <c r="BN1468" s="2"/>
    </row>
    <row r="1469" spans="35:66">
      <c r="AI1469" s="1"/>
      <c r="BM1469" s="2"/>
      <c r="BN1469" s="2"/>
    </row>
    <row r="1470" spans="35:66">
      <c r="AI1470" s="1"/>
      <c r="BM1470" s="2"/>
      <c r="BN1470" s="2"/>
    </row>
    <row r="1471" spans="35:66">
      <c r="AI1471" s="1"/>
      <c r="BM1471" s="2"/>
      <c r="BN1471" s="2"/>
    </row>
    <row r="1472" spans="35:66">
      <c r="AI1472" s="1"/>
      <c r="BM1472" s="2"/>
      <c r="BN1472" s="2"/>
    </row>
    <row r="1473" spans="35:66">
      <c r="AI1473" s="1"/>
      <c r="BM1473" s="2"/>
      <c r="BN1473" s="2"/>
    </row>
    <row r="1474" spans="35:66">
      <c r="AI1474" s="1"/>
      <c r="BM1474" s="2"/>
      <c r="BN1474" s="2"/>
    </row>
    <row r="1475" spans="35:66">
      <c r="AI1475" s="1"/>
      <c r="BM1475" s="2"/>
      <c r="BN1475" s="2"/>
    </row>
    <row r="1476" spans="35:66">
      <c r="AI1476" s="1"/>
      <c r="BM1476" s="2"/>
      <c r="BN1476" s="2"/>
    </row>
    <row r="1477" spans="35:66">
      <c r="AI1477" s="1"/>
      <c r="BM1477" s="2"/>
      <c r="BN1477" s="2"/>
    </row>
    <row r="1478" spans="35:66">
      <c r="AI1478" s="1"/>
      <c r="BM1478" s="2"/>
      <c r="BN1478" s="2"/>
    </row>
    <row r="1479" spans="35:66">
      <c r="AI1479" s="1"/>
      <c r="BM1479" s="2"/>
      <c r="BN1479" s="2"/>
    </row>
    <row r="1480" spans="35:66">
      <c r="AI1480" s="1"/>
      <c r="BM1480" s="2"/>
      <c r="BN1480" s="2"/>
    </row>
    <row r="1481" spans="35:66">
      <c r="AI1481" s="1"/>
      <c r="BM1481" s="2"/>
      <c r="BN1481" s="2"/>
    </row>
    <row r="1482" spans="35:66">
      <c r="AI1482" s="1"/>
      <c r="BM1482" s="2"/>
      <c r="BN1482" s="2"/>
    </row>
    <row r="1483" spans="35:66">
      <c r="AI1483" s="1"/>
      <c r="BM1483" s="2"/>
      <c r="BN1483" s="2"/>
    </row>
    <row r="1484" spans="35:66">
      <c r="AI1484" s="1"/>
      <c r="BM1484" s="2"/>
      <c r="BN1484" s="2"/>
    </row>
    <row r="1485" spans="35:66">
      <c r="AI1485" s="1"/>
      <c r="BM1485" s="2"/>
      <c r="BN1485" s="2"/>
    </row>
    <row r="1486" spans="35:66">
      <c r="AI1486" s="1"/>
      <c r="BM1486" s="2"/>
      <c r="BN1486" s="2"/>
    </row>
    <row r="1487" spans="35:66">
      <c r="AI1487" s="1"/>
      <c r="BM1487" s="2"/>
      <c r="BN1487" s="2"/>
    </row>
    <row r="1488" spans="35:66">
      <c r="AI1488" s="1"/>
      <c r="BM1488" s="2"/>
      <c r="BN1488" s="2"/>
    </row>
    <row r="1489" spans="35:66">
      <c r="AI1489" s="1"/>
      <c r="BM1489" s="2"/>
      <c r="BN1489" s="2"/>
    </row>
    <row r="1490" spans="35:66">
      <c r="AI1490" s="1"/>
      <c r="BM1490" s="2"/>
      <c r="BN1490" s="2"/>
    </row>
    <row r="1491" spans="35:66">
      <c r="AI1491" s="1"/>
      <c r="BM1491" s="2"/>
      <c r="BN1491" s="2"/>
    </row>
    <row r="1492" spans="35:66">
      <c r="AI1492" s="1"/>
      <c r="BM1492" s="2"/>
      <c r="BN1492" s="2"/>
    </row>
    <row r="1493" spans="35:66">
      <c r="AI1493" s="1"/>
      <c r="BM1493" s="2"/>
      <c r="BN1493" s="2"/>
    </row>
    <row r="1494" spans="35:66">
      <c r="AI1494" s="1"/>
      <c r="BM1494" s="2"/>
      <c r="BN1494" s="2"/>
    </row>
    <row r="1495" spans="35:66">
      <c r="AI1495" s="1"/>
      <c r="BM1495" s="2"/>
      <c r="BN1495" s="2"/>
    </row>
    <row r="1496" spans="35:66">
      <c r="AI1496" s="1"/>
      <c r="BM1496" s="2"/>
      <c r="BN1496" s="2"/>
    </row>
    <row r="1497" spans="35:66">
      <c r="AI1497" s="1"/>
      <c r="BM1497" s="2"/>
      <c r="BN1497" s="2"/>
    </row>
    <row r="1498" spans="35:66">
      <c r="AI1498" s="1"/>
      <c r="BM1498" s="2"/>
      <c r="BN1498" s="2"/>
    </row>
    <row r="1499" spans="35:66">
      <c r="AI1499" s="1"/>
      <c r="BM1499" s="2"/>
      <c r="BN1499" s="2"/>
    </row>
    <row r="1500" spans="35:66">
      <c r="AI1500" s="1"/>
      <c r="BM1500" s="2"/>
      <c r="BN1500" s="2"/>
    </row>
    <row r="1501" spans="35:66">
      <c r="AI1501" s="1"/>
      <c r="BM1501" s="2"/>
      <c r="BN1501" s="2"/>
    </row>
    <row r="1502" spans="35:66">
      <c r="AI1502" s="1"/>
      <c r="BM1502" s="2"/>
      <c r="BN1502" s="2"/>
    </row>
    <row r="1503" spans="35:66">
      <c r="AI1503" s="1"/>
      <c r="BM1503" s="2"/>
      <c r="BN1503" s="2"/>
    </row>
    <row r="1504" spans="35:66">
      <c r="AI1504" s="1"/>
      <c r="BM1504" s="2"/>
      <c r="BN1504" s="2"/>
    </row>
    <row r="1505" spans="35:66">
      <c r="AI1505" s="1"/>
      <c r="BM1505" s="2"/>
      <c r="BN1505" s="2"/>
    </row>
    <row r="1506" spans="35:66">
      <c r="AI1506" s="1"/>
      <c r="BM1506" s="2"/>
      <c r="BN1506" s="2"/>
    </row>
    <row r="1507" spans="35:66">
      <c r="AI1507" s="1"/>
      <c r="BM1507" s="2"/>
      <c r="BN1507" s="2"/>
    </row>
    <row r="1508" spans="35:66">
      <c r="AI1508" s="1"/>
      <c r="BM1508" s="2"/>
      <c r="BN1508" s="2"/>
    </row>
    <row r="1509" spans="35:66">
      <c r="AI1509" s="1"/>
      <c r="BM1509" s="2"/>
      <c r="BN1509" s="2"/>
    </row>
    <row r="1510" spans="35:66">
      <c r="AI1510" s="1"/>
      <c r="BM1510" s="2"/>
      <c r="BN1510" s="2"/>
    </row>
    <row r="1511" spans="35:66">
      <c r="AI1511" s="1"/>
      <c r="BM1511" s="2"/>
      <c r="BN1511" s="2"/>
    </row>
    <row r="1512" spans="35:66">
      <c r="AI1512" s="1"/>
      <c r="BM1512" s="2"/>
      <c r="BN1512" s="2"/>
    </row>
    <row r="1513" spans="35:66">
      <c r="AI1513" s="1"/>
      <c r="BM1513" s="2"/>
      <c r="BN1513" s="2"/>
    </row>
    <row r="1514" spans="35:66">
      <c r="AI1514" s="1"/>
      <c r="BM1514" s="2"/>
      <c r="BN1514" s="2"/>
    </row>
    <row r="1515" spans="35:66">
      <c r="AI1515" s="1"/>
      <c r="BM1515" s="2"/>
      <c r="BN1515" s="2"/>
    </row>
    <row r="1516" spans="35:66">
      <c r="AI1516" s="1"/>
      <c r="BM1516" s="2"/>
      <c r="BN1516" s="2"/>
    </row>
    <row r="1517" spans="35:66">
      <c r="AI1517" s="1"/>
      <c r="BM1517" s="2"/>
      <c r="BN1517" s="2"/>
    </row>
    <row r="1518" spans="35:66">
      <c r="AI1518" s="1"/>
      <c r="BM1518" s="2"/>
      <c r="BN1518" s="2"/>
    </row>
    <row r="1519" spans="35:66">
      <c r="AI1519" s="1"/>
      <c r="BM1519" s="2"/>
      <c r="BN1519" s="2"/>
    </row>
    <row r="1520" spans="35:66">
      <c r="AI1520" s="1"/>
      <c r="BM1520" s="2"/>
      <c r="BN1520" s="2"/>
    </row>
    <row r="1521" spans="35:66">
      <c r="AI1521" s="1"/>
      <c r="BM1521" s="2"/>
      <c r="BN1521" s="2"/>
    </row>
    <row r="1522" spans="35:66">
      <c r="AI1522" s="1"/>
      <c r="BM1522" s="2"/>
      <c r="BN1522" s="2"/>
    </row>
    <row r="1523" spans="35:66">
      <c r="AI1523" s="1"/>
      <c r="BM1523" s="2"/>
      <c r="BN1523" s="2"/>
    </row>
    <row r="1524" spans="35:66">
      <c r="AI1524" s="1"/>
      <c r="BM1524" s="2"/>
      <c r="BN1524" s="2"/>
    </row>
    <row r="1525" spans="35:66">
      <c r="AI1525" s="1"/>
      <c r="BM1525" s="2"/>
      <c r="BN1525" s="2"/>
    </row>
    <row r="1526" spans="35:66">
      <c r="AI1526" s="1"/>
      <c r="BM1526" s="2"/>
      <c r="BN1526" s="2"/>
    </row>
    <row r="1527" spans="35:66">
      <c r="AI1527" s="1"/>
      <c r="BM1527" s="2"/>
      <c r="BN1527" s="2"/>
    </row>
    <row r="1528" spans="35:66">
      <c r="AI1528" s="1"/>
      <c r="BM1528" s="2"/>
      <c r="BN1528" s="2"/>
    </row>
    <row r="1529" spans="35:66">
      <c r="AI1529" s="1"/>
      <c r="BM1529" s="2"/>
      <c r="BN1529" s="2"/>
    </row>
    <row r="1530" spans="35:66">
      <c r="AI1530" s="1"/>
      <c r="BM1530" s="2"/>
      <c r="BN1530" s="2"/>
    </row>
    <row r="1531" spans="35:66">
      <c r="AI1531" s="1"/>
      <c r="BM1531" s="2"/>
      <c r="BN1531" s="2"/>
    </row>
    <row r="1532" spans="35:66">
      <c r="AI1532" s="1"/>
      <c r="BM1532" s="2"/>
      <c r="BN1532" s="2"/>
    </row>
    <row r="1533" spans="35:66">
      <c r="AI1533" s="1"/>
      <c r="BM1533" s="2"/>
      <c r="BN1533" s="2"/>
    </row>
    <row r="1534" spans="35:66">
      <c r="AI1534" s="1"/>
      <c r="BM1534" s="2"/>
      <c r="BN1534" s="2"/>
    </row>
    <row r="1535" spans="35:66">
      <c r="AI1535" s="1"/>
      <c r="BM1535" s="2"/>
      <c r="BN1535" s="2"/>
    </row>
    <row r="1536" spans="35:66">
      <c r="AI1536" s="1"/>
      <c r="BM1536" s="2"/>
      <c r="BN1536" s="2"/>
    </row>
    <row r="1537" spans="35:66">
      <c r="AI1537" s="1"/>
      <c r="BM1537" s="2"/>
      <c r="BN1537" s="2"/>
    </row>
    <row r="1538" spans="35:66">
      <c r="AI1538" s="1"/>
      <c r="BM1538" s="2"/>
      <c r="BN1538" s="2"/>
    </row>
    <row r="1539" spans="35:66">
      <c r="AI1539" s="1"/>
      <c r="BM1539" s="2"/>
      <c r="BN1539" s="2"/>
    </row>
    <row r="1540" spans="35:66">
      <c r="AI1540" s="1"/>
      <c r="BM1540" s="2"/>
      <c r="BN1540" s="2"/>
    </row>
    <row r="1541" spans="35:66">
      <c r="AI1541" s="1"/>
      <c r="BM1541" s="2"/>
      <c r="BN1541" s="2"/>
    </row>
    <row r="1542" spans="35:66">
      <c r="AI1542" s="1"/>
      <c r="BM1542" s="2"/>
      <c r="BN1542" s="2"/>
    </row>
    <row r="1543" spans="35:66">
      <c r="AI1543" s="1"/>
      <c r="BM1543" s="2"/>
      <c r="BN1543" s="2"/>
    </row>
    <row r="1544" spans="35:66">
      <c r="AI1544" s="1"/>
      <c r="BM1544" s="2"/>
      <c r="BN1544" s="2"/>
    </row>
    <row r="1545" spans="35:66">
      <c r="AI1545" s="1"/>
      <c r="BM1545" s="2"/>
      <c r="BN1545" s="2"/>
    </row>
    <row r="1546" spans="35:66">
      <c r="AI1546" s="1"/>
      <c r="BM1546" s="2"/>
      <c r="BN1546" s="2"/>
    </row>
    <row r="1547" spans="35:66">
      <c r="AI1547" s="1"/>
      <c r="BM1547" s="2"/>
      <c r="BN1547" s="2"/>
    </row>
    <row r="1548" spans="35:66">
      <c r="AI1548" s="1"/>
      <c r="BM1548" s="2"/>
      <c r="BN1548" s="2"/>
    </row>
    <row r="1549" spans="35:66">
      <c r="AI1549" s="1"/>
      <c r="BM1549" s="2"/>
      <c r="BN1549" s="2"/>
    </row>
    <row r="1550" spans="35:66">
      <c r="AI1550" s="1"/>
      <c r="BM1550" s="2"/>
      <c r="BN1550" s="2"/>
    </row>
    <row r="1551" spans="35:66">
      <c r="AI1551" s="1"/>
      <c r="BM1551" s="2"/>
      <c r="BN1551" s="2"/>
    </row>
    <row r="1552" spans="35:66">
      <c r="AI1552" s="1"/>
      <c r="BM1552" s="2"/>
      <c r="BN1552" s="2"/>
    </row>
    <row r="1553" spans="35:66">
      <c r="AI1553" s="1"/>
      <c r="BM1553" s="2"/>
      <c r="BN1553" s="2"/>
    </row>
    <row r="1554" spans="35:66">
      <c r="AI1554" s="1"/>
      <c r="BM1554" s="2"/>
      <c r="BN1554" s="2"/>
    </row>
    <row r="1555" spans="35:66">
      <c r="AI1555" s="1"/>
      <c r="BM1555" s="2"/>
      <c r="BN1555" s="2"/>
    </row>
    <row r="1556" spans="35:66">
      <c r="AI1556" s="1"/>
      <c r="BM1556" s="2"/>
      <c r="BN1556" s="2"/>
    </row>
    <row r="1557" spans="35:66">
      <c r="AI1557" s="1"/>
      <c r="BM1557" s="2"/>
      <c r="BN1557" s="2"/>
    </row>
    <row r="1558" spans="35:66">
      <c r="AI1558" s="1"/>
      <c r="BM1558" s="2"/>
      <c r="BN1558" s="2"/>
    </row>
    <row r="1559" spans="35:66">
      <c r="AI1559" s="1"/>
      <c r="BM1559" s="2"/>
      <c r="BN1559" s="2"/>
    </row>
    <row r="1560" spans="35:66">
      <c r="AI1560" s="1"/>
      <c r="BM1560" s="2"/>
      <c r="BN1560" s="2"/>
    </row>
    <row r="1561" spans="35:66">
      <c r="AI1561" s="1"/>
      <c r="BM1561" s="2"/>
      <c r="BN1561" s="2"/>
    </row>
    <row r="1562" spans="35:66">
      <c r="AI1562" s="1"/>
      <c r="BM1562" s="2"/>
      <c r="BN1562" s="2"/>
    </row>
    <row r="1563" spans="35:66">
      <c r="AI1563" s="1"/>
      <c r="BM1563" s="2"/>
      <c r="BN1563" s="2"/>
    </row>
    <row r="1564" spans="35:66">
      <c r="AI1564" s="1"/>
      <c r="BM1564" s="2"/>
      <c r="BN1564" s="2"/>
    </row>
    <row r="1565" spans="35:66">
      <c r="AI1565" s="1"/>
      <c r="BM1565" s="2"/>
      <c r="BN1565" s="2"/>
    </row>
    <row r="1566" spans="35:66">
      <c r="AI1566" s="1"/>
      <c r="BM1566" s="2"/>
      <c r="BN1566" s="2"/>
    </row>
    <row r="1567" spans="35:66">
      <c r="AI1567" s="1"/>
      <c r="BM1567" s="2"/>
      <c r="BN1567" s="2"/>
    </row>
    <row r="1568" spans="35:66">
      <c r="AI1568" s="1"/>
      <c r="BM1568" s="2"/>
      <c r="BN1568" s="2"/>
    </row>
    <row r="1569" spans="35:66">
      <c r="AI1569" s="1"/>
      <c r="BM1569" s="2"/>
      <c r="BN1569" s="2"/>
    </row>
    <row r="1570" spans="35:66">
      <c r="AI1570" s="1"/>
      <c r="BM1570" s="2"/>
      <c r="BN1570" s="2"/>
    </row>
    <row r="1571" spans="35:66">
      <c r="AI1571" s="1"/>
      <c r="BM1571" s="2"/>
      <c r="BN1571" s="2"/>
    </row>
    <row r="1572" spans="35:66">
      <c r="AI1572" s="1"/>
      <c r="BM1572" s="2"/>
      <c r="BN1572" s="2"/>
    </row>
    <row r="1573" spans="35:66">
      <c r="AI1573" s="1"/>
      <c r="BM1573" s="2"/>
      <c r="BN1573" s="2"/>
    </row>
    <row r="1574" spans="35:66">
      <c r="AI1574" s="1"/>
      <c r="BM1574" s="2"/>
      <c r="BN1574" s="2"/>
    </row>
    <row r="1575" spans="35:66">
      <c r="AI1575" s="1"/>
      <c r="BM1575" s="2"/>
      <c r="BN1575" s="2"/>
    </row>
    <row r="1576" spans="35:66">
      <c r="AI1576" s="1"/>
      <c r="BM1576" s="2"/>
      <c r="BN1576" s="2"/>
    </row>
    <row r="1577" spans="35:66">
      <c r="AI1577" s="1"/>
      <c r="BM1577" s="2"/>
      <c r="BN1577" s="2"/>
    </row>
    <row r="1578" spans="35:66">
      <c r="AI1578" s="1"/>
      <c r="BM1578" s="2"/>
      <c r="BN1578" s="2"/>
    </row>
    <row r="1579" spans="35:66">
      <c r="AI1579" s="1"/>
      <c r="BM1579" s="2"/>
      <c r="BN1579" s="2"/>
    </row>
    <row r="1580" spans="35:66">
      <c r="AI1580" s="1"/>
      <c r="BM1580" s="2"/>
      <c r="BN1580" s="2"/>
    </row>
    <row r="1581" spans="35:66">
      <c r="AI1581" s="1"/>
      <c r="BM1581" s="2"/>
      <c r="BN1581" s="2"/>
    </row>
    <row r="1582" spans="35:66">
      <c r="AI1582" s="1"/>
      <c r="BM1582" s="2"/>
      <c r="BN1582" s="2"/>
    </row>
    <row r="1583" spans="35:66">
      <c r="AI1583" s="1"/>
      <c r="BM1583" s="2"/>
      <c r="BN1583" s="2"/>
    </row>
    <row r="1584" spans="35:66">
      <c r="AI1584" s="1"/>
      <c r="BM1584" s="2"/>
      <c r="BN1584" s="2"/>
    </row>
    <row r="1585" spans="35:66">
      <c r="AI1585" s="1"/>
      <c r="BM1585" s="2"/>
      <c r="BN1585" s="2"/>
    </row>
    <row r="1586" spans="35:66">
      <c r="AI1586" s="1"/>
      <c r="BM1586" s="2"/>
      <c r="BN1586" s="2"/>
    </row>
    <row r="1587" spans="35:66">
      <c r="AI1587" s="1"/>
      <c r="BM1587" s="2"/>
      <c r="BN1587" s="2"/>
    </row>
    <row r="1588" spans="35:66">
      <c r="AI1588" s="1"/>
      <c r="BM1588" s="2"/>
      <c r="BN1588" s="2"/>
    </row>
    <row r="1589" spans="35:66">
      <c r="AI1589" s="1"/>
      <c r="BM1589" s="2"/>
      <c r="BN1589" s="2"/>
    </row>
  </sheetData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R119"/>
  <sheetViews>
    <sheetView showGridLines="0" workbookViewId="0">
      <pane xSplit="2" topLeftCell="C1" activePane="topRight" state="frozen"/>
      <selection pane="topRight" activeCell="D20" sqref="D20"/>
    </sheetView>
  </sheetViews>
  <sheetFormatPr baseColWidth="10" defaultColWidth="11.42578125" defaultRowHeight="15"/>
  <cols>
    <col min="2" max="2" width="38.28515625" customWidth="1"/>
    <col min="4" max="4" width="15" customWidth="1"/>
    <col min="5" max="5" width="27" bestFit="1" customWidth="1"/>
    <col min="6" max="7" width="15.28515625" style="3" customWidth="1"/>
    <col min="11" max="11" width="14.28515625" customWidth="1"/>
    <col min="12" max="12" width="21.85546875" customWidth="1"/>
    <col min="13" max="18" width="15.28515625" hidden="1" customWidth="1"/>
    <col min="19" max="19" width="15.7109375" hidden="1" customWidth="1"/>
    <col min="20" max="21" width="15.28515625" hidden="1" customWidth="1"/>
    <col min="22" max="22" width="15.85546875" hidden="1" customWidth="1"/>
    <col min="23" max="29" width="15.28515625" hidden="1" customWidth="1"/>
    <col min="30" max="30" width="16.28515625" hidden="1" customWidth="1"/>
    <col min="31" max="45" width="15.28515625" hidden="1" customWidth="1"/>
    <col min="46" max="46" width="15.7109375" hidden="1" customWidth="1"/>
    <col min="47" max="49" width="15.28515625" hidden="1" customWidth="1"/>
    <col min="50" max="50" width="15.7109375" hidden="1" customWidth="1"/>
    <col min="51" max="51" width="15.28515625" hidden="1" customWidth="1"/>
    <col min="52" max="52" width="15.7109375" hidden="1" customWidth="1"/>
    <col min="53" max="64" width="15.28515625" hidden="1" customWidth="1"/>
    <col min="66" max="66" width="11.42578125" style="3"/>
    <col min="67" max="67" width="17.140625" style="24" customWidth="1"/>
    <col min="68" max="68" width="11.42578125" style="36"/>
    <col min="69" max="69" width="12.140625" customWidth="1"/>
    <col min="70" max="16384" width="11.42578125" style="7"/>
  </cols>
  <sheetData>
    <row r="1" spans="1:70" ht="45.75" thickBot="1">
      <c r="A1" s="4" t="s">
        <v>0</v>
      </c>
      <c r="B1" s="5" t="s">
        <v>1</v>
      </c>
      <c r="C1" s="12" t="s">
        <v>2</v>
      </c>
      <c r="D1" s="12" t="s">
        <v>6</v>
      </c>
      <c r="E1" s="12" t="s">
        <v>7</v>
      </c>
      <c r="F1" s="12" t="s">
        <v>721</v>
      </c>
      <c r="G1" s="12" t="s">
        <v>728</v>
      </c>
      <c r="H1" s="22" t="s">
        <v>3</v>
      </c>
      <c r="I1" s="22" t="s">
        <v>4</v>
      </c>
      <c r="J1" s="22" t="s">
        <v>5</v>
      </c>
      <c r="K1" s="12" t="s">
        <v>8</v>
      </c>
      <c r="L1" s="12" t="s">
        <v>9</v>
      </c>
      <c r="M1" s="8" t="s">
        <v>10</v>
      </c>
      <c r="N1" s="8" t="s">
        <v>11</v>
      </c>
      <c r="O1" s="8" t="s">
        <v>12</v>
      </c>
      <c r="P1" s="8" t="s">
        <v>13</v>
      </c>
      <c r="Q1" s="8" t="s">
        <v>14</v>
      </c>
      <c r="R1" s="8" t="s">
        <v>15</v>
      </c>
      <c r="S1" s="8" t="s">
        <v>16</v>
      </c>
      <c r="T1" s="8" t="s">
        <v>17</v>
      </c>
      <c r="U1" s="8" t="s">
        <v>18</v>
      </c>
      <c r="V1" s="8" t="s">
        <v>19</v>
      </c>
      <c r="W1" s="8" t="s">
        <v>20</v>
      </c>
      <c r="X1" s="8" t="s">
        <v>21</v>
      </c>
      <c r="Y1" s="8" t="s">
        <v>22</v>
      </c>
      <c r="Z1" s="8" t="s">
        <v>23</v>
      </c>
      <c r="AA1" s="8" t="s">
        <v>24</v>
      </c>
      <c r="AB1" s="8" t="s">
        <v>25</v>
      </c>
      <c r="AC1" s="8" t="s">
        <v>26</v>
      </c>
      <c r="AD1" s="8" t="s">
        <v>27</v>
      </c>
      <c r="AE1" s="8" t="s">
        <v>28</v>
      </c>
      <c r="AF1" s="8" t="s">
        <v>29</v>
      </c>
      <c r="AG1" s="8" t="s">
        <v>30</v>
      </c>
      <c r="AH1" s="8" t="s">
        <v>31</v>
      </c>
      <c r="AI1" s="8" t="s">
        <v>32</v>
      </c>
      <c r="AJ1" s="8" t="s">
        <v>33</v>
      </c>
      <c r="AK1" s="8" t="s">
        <v>34</v>
      </c>
      <c r="AL1" s="8" t="s">
        <v>35</v>
      </c>
      <c r="AM1" s="8" t="s">
        <v>36</v>
      </c>
      <c r="AN1" s="8" t="s">
        <v>37</v>
      </c>
      <c r="AO1" s="8" t="s">
        <v>38</v>
      </c>
      <c r="AP1" s="8" t="s">
        <v>39</v>
      </c>
      <c r="AQ1" s="8" t="s">
        <v>40</v>
      </c>
      <c r="AR1" s="8" t="s">
        <v>41</v>
      </c>
      <c r="AS1" s="8" t="s">
        <v>42</v>
      </c>
      <c r="AT1" s="8" t="s">
        <v>43</v>
      </c>
      <c r="AU1" s="8" t="s">
        <v>44</v>
      </c>
      <c r="AV1" s="8" t="s">
        <v>45</v>
      </c>
      <c r="AW1" s="8" t="s">
        <v>46</v>
      </c>
      <c r="AX1" s="8" t="s">
        <v>47</v>
      </c>
      <c r="AY1" s="8" t="s">
        <v>48</v>
      </c>
      <c r="AZ1" s="8" t="s">
        <v>49</v>
      </c>
      <c r="BA1" s="8" t="s">
        <v>50</v>
      </c>
      <c r="BB1" s="8" t="s">
        <v>51</v>
      </c>
      <c r="BC1" s="8" t="s">
        <v>52</v>
      </c>
      <c r="BD1" s="8" t="s">
        <v>53</v>
      </c>
      <c r="BE1" s="8" t="s">
        <v>54</v>
      </c>
      <c r="BF1" s="8" t="s">
        <v>55</v>
      </c>
      <c r="BG1" s="8" t="s">
        <v>56</v>
      </c>
      <c r="BH1" s="8" t="s">
        <v>57</v>
      </c>
      <c r="BI1" s="8" t="s">
        <v>58</v>
      </c>
      <c r="BJ1" s="8" t="s">
        <v>59</v>
      </c>
      <c r="BK1" s="8" t="s">
        <v>60</v>
      </c>
      <c r="BL1" s="8" t="s">
        <v>61</v>
      </c>
      <c r="BM1" s="12" t="s">
        <v>751</v>
      </c>
      <c r="BN1" s="12" t="s">
        <v>789</v>
      </c>
      <c r="BO1" s="12" t="s">
        <v>752</v>
      </c>
      <c r="BP1" s="37" t="s">
        <v>768</v>
      </c>
      <c r="BQ1" s="34" t="s">
        <v>759</v>
      </c>
      <c r="BR1" s="39" t="s">
        <v>760</v>
      </c>
    </row>
    <row r="2" spans="1:70">
      <c r="A2" s="1" t="s">
        <v>85</v>
      </c>
      <c r="B2" s="1" t="s">
        <v>86</v>
      </c>
      <c r="C2" s="1" t="s">
        <v>682</v>
      </c>
      <c r="D2" s="1" t="s">
        <v>707</v>
      </c>
      <c r="E2" s="7" t="s">
        <v>715</v>
      </c>
      <c r="F2" s="7" t="s">
        <v>724</v>
      </c>
      <c r="G2" s="7" t="s">
        <v>729</v>
      </c>
      <c r="H2" s="13">
        <v>0.84</v>
      </c>
      <c r="I2" s="13">
        <f t="shared" ref="I2:I25" si="0">+H2*75%</f>
        <v>0.63</v>
      </c>
      <c r="J2" s="13">
        <v>0.50012999999999996</v>
      </c>
      <c r="K2">
        <v>1</v>
      </c>
      <c r="L2">
        <v>0.6</v>
      </c>
      <c r="M2" s="1">
        <v>0</v>
      </c>
      <c r="N2" s="1">
        <v>0</v>
      </c>
      <c r="O2" s="1">
        <v>107</v>
      </c>
      <c r="P2" s="1">
        <v>0</v>
      </c>
      <c r="Q2" s="1">
        <v>0</v>
      </c>
      <c r="R2" s="1">
        <v>0</v>
      </c>
      <c r="S2" s="1">
        <v>1</v>
      </c>
      <c r="T2" s="1">
        <v>50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1</v>
      </c>
      <c r="AB2" s="1">
        <v>0</v>
      </c>
      <c r="AC2" s="1">
        <v>0</v>
      </c>
      <c r="AD2" s="1">
        <v>0</v>
      </c>
      <c r="AE2" s="1">
        <v>7</v>
      </c>
      <c r="AF2" s="1">
        <v>0</v>
      </c>
      <c r="AG2" s="1">
        <v>2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200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91</v>
      </c>
      <c r="BM2" s="1">
        <f t="shared" ref="BM2:BM33" si="1">SUM(M2:BL2)</f>
        <v>459</v>
      </c>
      <c r="BN2" s="3">
        <v>459</v>
      </c>
      <c r="BO2" s="24">
        <f>Tabla2[[#This Row],[CONSUMO TOTAL VALORES]]/52</f>
        <v>8.8269230769230766</v>
      </c>
      <c r="BP2" s="74">
        <f>Tabla2[[#This Row],[CONSUMO PROMEDIO]]*Tabla2[[#This Row],[FRECUENCIA]]*Tabla2[[#This Row],[TIEMPO REPOSICION ]]*1.5*2.4</f>
        <v>19.066153846153846</v>
      </c>
      <c r="BQ2">
        <v>29</v>
      </c>
      <c r="BR2" s="7">
        <v>1</v>
      </c>
    </row>
    <row r="3" spans="1:70">
      <c r="A3" s="1" t="s">
        <v>87</v>
      </c>
      <c r="B3" s="1" t="s">
        <v>88</v>
      </c>
      <c r="C3" s="1" t="s">
        <v>682</v>
      </c>
      <c r="D3" s="1" t="s">
        <v>707</v>
      </c>
      <c r="E3" s="7" t="s">
        <v>715</v>
      </c>
      <c r="F3" s="7" t="s">
        <v>724</v>
      </c>
      <c r="G3" s="7" t="s">
        <v>729</v>
      </c>
      <c r="H3" s="13">
        <v>1.45</v>
      </c>
      <c r="I3" s="13">
        <f t="shared" si="0"/>
        <v>1.0874999999999999</v>
      </c>
      <c r="J3" s="13">
        <v>0.73028999999999999</v>
      </c>
      <c r="K3" s="3">
        <v>1</v>
      </c>
      <c r="L3" s="3">
        <v>0.6</v>
      </c>
      <c r="M3" s="1">
        <v>2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3">
        <f t="shared" si="1"/>
        <v>2</v>
      </c>
      <c r="BN3" s="3">
        <v>2</v>
      </c>
      <c r="BO3" s="24">
        <f>Tabla2[[#This Row],[CONSUMO TOTAL VALORES]]/52</f>
        <v>3.8461538461538464E-2</v>
      </c>
      <c r="BP3" s="74">
        <f>Tabla2[[#This Row],[CONSUMO PROMEDIO]]*Tabla2[[#This Row],[FRECUENCIA]]*Tabla2[[#This Row],[TIEMPO REPOSICION ]]*1.5*2.4</f>
        <v>8.3076923076923076E-2</v>
      </c>
      <c r="BQ3">
        <v>20</v>
      </c>
      <c r="BR3" s="7">
        <v>1</v>
      </c>
    </row>
    <row r="4" spans="1:70">
      <c r="A4" s="1" t="s">
        <v>89</v>
      </c>
      <c r="B4" s="1" t="s">
        <v>90</v>
      </c>
      <c r="C4" s="1" t="s">
        <v>2</v>
      </c>
      <c r="D4" s="1" t="s">
        <v>707</v>
      </c>
      <c r="E4" s="7" t="s">
        <v>715</v>
      </c>
      <c r="F4" s="7" t="s">
        <v>724</v>
      </c>
      <c r="G4" s="7" t="s">
        <v>729</v>
      </c>
      <c r="H4" s="13">
        <v>4.05</v>
      </c>
      <c r="I4" s="13">
        <f t="shared" si="0"/>
        <v>3.0374999999999996</v>
      </c>
      <c r="J4" s="13">
        <v>2.46251</v>
      </c>
      <c r="K4" s="3">
        <v>1</v>
      </c>
      <c r="L4" s="3">
        <v>0.6</v>
      </c>
      <c r="M4" s="1">
        <v>0</v>
      </c>
      <c r="N4" s="1">
        <v>0</v>
      </c>
      <c r="O4" s="1">
        <v>100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4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20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2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3">
        <f t="shared" si="1"/>
        <v>126</v>
      </c>
      <c r="BN4" s="3">
        <v>126</v>
      </c>
      <c r="BO4" s="24">
        <f>Tabla2[[#This Row],[CONSUMO TOTAL VALORES]]/52</f>
        <v>2.4230769230769229</v>
      </c>
      <c r="BP4" s="74">
        <f>Tabla2[[#This Row],[CONSUMO PROMEDIO]]*Tabla2[[#This Row],[FRECUENCIA]]*Tabla2[[#This Row],[TIEMPO REPOSICION ]]*1.5*2.4</f>
        <v>5.2338461538461534</v>
      </c>
      <c r="BQ4">
        <v>20</v>
      </c>
    </row>
    <row r="5" spans="1:70">
      <c r="A5" s="1" t="s">
        <v>91</v>
      </c>
      <c r="B5" s="1" t="s">
        <v>92</v>
      </c>
      <c r="C5" s="1" t="s">
        <v>683</v>
      </c>
      <c r="D5" s="1" t="s">
        <v>707</v>
      </c>
      <c r="E5" s="7" t="s">
        <v>715</v>
      </c>
      <c r="F5" s="7" t="s">
        <v>724</v>
      </c>
      <c r="G5" s="7" t="s">
        <v>729</v>
      </c>
      <c r="H5" s="13">
        <v>3.29</v>
      </c>
      <c r="I5" s="13">
        <f t="shared" si="0"/>
        <v>2.4675000000000002</v>
      </c>
      <c r="J5" s="13">
        <v>1.96801</v>
      </c>
      <c r="K5" s="3">
        <v>1</v>
      </c>
      <c r="L5" s="3">
        <v>0.6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50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53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10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10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3">
        <f t="shared" si="1"/>
        <v>123</v>
      </c>
      <c r="BN5" s="3">
        <v>123</v>
      </c>
      <c r="BO5" s="24">
        <f>Tabla2[[#This Row],[CONSUMO TOTAL VALORES]]/52</f>
        <v>2.3653846153846154</v>
      </c>
      <c r="BP5" s="74">
        <f>Tabla2[[#This Row],[CONSUMO PROMEDIO]]*Tabla2[[#This Row],[FRECUENCIA]]*Tabla2[[#This Row],[TIEMPO REPOSICION ]]*1.5*2.4</f>
        <v>5.109230769230769</v>
      </c>
      <c r="BQ5">
        <v>20</v>
      </c>
    </row>
    <row r="6" spans="1:70">
      <c r="A6" s="1" t="s">
        <v>93</v>
      </c>
      <c r="B6" s="1" t="s">
        <v>94</v>
      </c>
      <c r="C6" s="1" t="s">
        <v>672</v>
      </c>
      <c r="D6" s="1" t="s">
        <v>707</v>
      </c>
      <c r="E6" s="7" t="s">
        <v>715</v>
      </c>
      <c r="F6" s="7" t="s">
        <v>724</v>
      </c>
      <c r="G6" s="7" t="s">
        <v>729</v>
      </c>
      <c r="H6" s="13">
        <v>4.99</v>
      </c>
      <c r="I6" s="13">
        <f t="shared" si="0"/>
        <v>3.7425000000000002</v>
      </c>
      <c r="J6" s="13">
        <v>2.1820200000000001</v>
      </c>
      <c r="K6" s="3">
        <v>1</v>
      </c>
      <c r="L6" s="3">
        <v>0.6</v>
      </c>
      <c r="M6" s="1">
        <v>0</v>
      </c>
      <c r="N6" s="1">
        <v>0</v>
      </c>
      <c r="O6" s="1">
        <v>0</v>
      </c>
      <c r="P6" s="1">
        <v>46</v>
      </c>
      <c r="Q6" s="1">
        <v>2</v>
      </c>
      <c r="R6" s="1">
        <v>0</v>
      </c>
      <c r="S6" s="1">
        <v>0</v>
      </c>
      <c r="T6" s="1">
        <v>40</v>
      </c>
      <c r="U6" s="1">
        <v>0</v>
      </c>
      <c r="V6" s="1">
        <v>0</v>
      </c>
      <c r="W6" s="1">
        <v>0</v>
      </c>
      <c r="X6" s="1">
        <v>10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30</v>
      </c>
      <c r="AE6" s="1">
        <v>6</v>
      </c>
      <c r="AF6" s="1">
        <v>30</v>
      </c>
      <c r="AG6" s="1">
        <v>50</v>
      </c>
      <c r="AH6" s="1">
        <v>0</v>
      </c>
      <c r="AI6" s="1">
        <v>0</v>
      </c>
      <c r="AJ6" s="1">
        <v>0</v>
      </c>
      <c r="AK6" s="1">
        <v>10</v>
      </c>
      <c r="AL6" s="1">
        <v>0</v>
      </c>
      <c r="AM6" s="1">
        <v>0</v>
      </c>
      <c r="AN6" s="1">
        <v>0</v>
      </c>
      <c r="AO6" s="1">
        <v>10</v>
      </c>
      <c r="AP6" s="1">
        <v>5</v>
      </c>
      <c r="AQ6" s="1">
        <v>100</v>
      </c>
      <c r="AR6" s="1">
        <v>21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30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10</v>
      </c>
      <c r="BG6" s="1">
        <v>10</v>
      </c>
      <c r="BH6" s="1">
        <v>0</v>
      </c>
      <c r="BI6" s="1">
        <v>0</v>
      </c>
      <c r="BJ6" s="1">
        <v>20</v>
      </c>
      <c r="BK6" s="1">
        <v>0</v>
      </c>
      <c r="BL6" s="1">
        <v>0</v>
      </c>
      <c r="BM6" s="3">
        <f t="shared" si="1"/>
        <v>430</v>
      </c>
      <c r="BN6" s="3">
        <v>430</v>
      </c>
      <c r="BO6" s="24">
        <f>Tabla2[[#This Row],[CONSUMO TOTAL VALORES]]/52</f>
        <v>8.2692307692307701</v>
      </c>
      <c r="BP6" s="74">
        <f>Tabla2[[#This Row],[CONSUMO PROMEDIO]]*Tabla2[[#This Row],[FRECUENCIA]]*Tabla2[[#This Row],[TIEMPO REPOSICION ]]*1.5*2.4</f>
        <v>17.861538461538462</v>
      </c>
      <c r="BQ6">
        <v>50</v>
      </c>
    </row>
    <row r="7" spans="1:70">
      <c r="A7" s="1" t="s">
        <v>95</v>
      </c>
      <c r="B7" s="1" t="s">
        <v>96</v>
      </c>
      <c r="C7" s="1" t="s">
        <v>672</v>
      </c>
      <c r="D7" s="1" t="s">
        <v>707</v>
      </c>
      <c r="E7" s="7" t="s">
        <v>715</v>
      </c>
      <c r="F7" s="7" t="s">
        <v>724</v>
      </c>
      <c r="G7" s="7" t="s">
        <v>729</v>
      </c>
      <c r="H7" s="13">
        <v>5.49</v>
      </c>
      <c r="I7" s="13">
        <f t="shared" si="0"/>
        <v>4.1174999999999997</v>
      </c>
      <c r="J7" s="13">
        <v>2.4620600000000001</v>
      </c>
      <c r="K7" s="3">
        <v>1</v>
      </c>
      <c r="L7" s="3">
        <v>0.6</v>
      </c>
      <c r="M7" s="1">
        <v>0</v>
      </c>
      <c r="N7" s="1">
        <v>0</v>
      </c>
      <c r="O7" s="1">
        <v>0</v>
      </c>
      <c r="P7" s="1">
        <v>2</v>
      </c>
      <c r="Q7" s="1">
        <v>6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30</v>
      </c>
      <c r="AE7" s="1">
        <v>0</v>
      </c>
      <c r="AF7" s="1">
        <v>0</v>
      </c>
      <c r="AG7" s="1">
        <v>60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17</v>
      </c>
      <c r="AQ7" s="1">
        <v>100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5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20</v>
      </c>
      <c r="BF7" s="1">
        <v>23</v>
      </c>
      <c r="BG7" s="1">
        <v>10</v>
      </c>
      <c r="BH7" s="1">
        <v>0</v>
      </c>
      <c r="BI7" s="1">
        <v>0</v>
      </c>
      <c r="BJ7" s="1">
        <v>0</v>
      </c>
      <c r="BK7" s="1">
        <v>1</v>
      </c>
      <c r="BL7" s="1">
        <v>0</v>
      </c>
      <c r="BM7" s="3">
        <f t="shared" si="1"/>
        <v>274</v>
      </c>
      <c r="BN7" s="3">
        <v>274</v>
      </c>
      <c r="BO7" s="24">
        <f>Tabla2[[#This Row],[CONSUMO TOTAL VALORES]]/52</f>
        <v>5.2692307692307692</v>
      </c>
      <c r="BP7" s="74">
        <f>Tabla2[[#This Row],[CONSUMO PROMEDIO]]*Tabla2[[#This Row],[FRECUENCIA]]*Tabla2[[#This Row],[TIEMPO REPOSICION ]]*1.5*2.4</f>
        <v>11.381538461538462</v>
      </c>
      <c r="BQ7">
        <v>50</v>
      </c>
    </row>
    <row r="8" spans="1:70">
      <c r="A8" s="1" t="s">
        <v>97</v>
      </c>
      <c r="B8" s="1" t="s">
        <v>98</v>
      </c>
      <c r="C8" s="1" t="s">
        <v>672</v>
      </c>
      <c r="D8" s="1" t="s">
        <v>707</v>
      </c>
      <c r="E8" s="7" t="s">
        <v>715</v>
      </c>
      <c r="F8" s="7" t="s">
        <v>724</v>
      </c>
      <c r="G8" s="7" t="s">
        <v>729</v>
      </c>
      <c r="H8" s="13">
        <v>4.99</v>
      </c>
      <c r="I8" s="13">
        <f t="shared" si="0"/>
        <v>3.7425000000000002</v>
      </c>
      <c r="J8" s="13">
        <v>2.2353399999999999</v>
      </c>
      <c r="K8" s="3">
        <v>1</v>
      </c>
      <c r="L8" s="3">
        <v>0.6</v>
      </c>
      <c r="M8" s="1">
        <v>0</v>
      </c>
      <c r="N8" s="1">
        <v>0</v>
      </c>
      <c r="O8" s="1">
        <v>0</v>
      </c>
      <c r="P8" s="1">
        <v>20</v>
      </c>
      <c r="Q8" s="1">
        <v>6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30</v>
      </c>
      <c r="AE8" s="1">
        <v>0</v>
      </c>
      <c r="AF8" s="1">
        <v>30</v>
      </c>
      <c r="AG8" s="1">
        <v>50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10</v>
      </c>
      <c r="AP8" s="1">
        <v>2</v>
      </c>
      <c r="AQ8" s="1">
        <v>20</v>
      </c>
      <c r="AR8" s="1">
        <v>21</v>
      </c>
      <c r="AS8" s="1">
        <v>0</v>
      </c>
      <c r="AT8" s="1">
        <v>0</v>
      </c>
      <c r="AU8" s="1">
        <v>0</v>
      </c>
      <c r="AV8" s="1">
        <v>75</v>
      </c>
      <c r="AW8" s="1">
        <v>0</v>
      </c>
      <c r="AX8" s="1">
        <v>21</v>
      </c>
      <c r="AY8" s="1">
        <v>15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20</v>
      </c>
      <c r="BF8" s="1">
        <v>2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3">
        <f t="shared" si="1"/>
        <v>322</v>
      </c>
      <c r="BN8" s="3">
        <v>322</v>
      </c>
      <c r="BO8" s="24">
        <f>Tabla2[[#This Row],[CONSUMO TOTAL VALORES]]/52</f>
        <v>6.1923076923076925</v>
      </c>
      <c r="BP8" s="74">
        <f>Tabla2[[#This Row],[CONSUMO PROMEDIO]]*Tabla2[[#This Row],[FRECUENCIA]]*Tabla2[[#This Row],[TIEMPO REPOSICION ]]*1.5*2.4</f>
        <v>13.375384615384617</v>
      </c>
      <c r="BQ8">
        <v>140</v>
      </c>
    </row>
    <row r="9" spans="1:70">
      <c r="A9" s="1" t="s">
        <v>99</v>
      </c>
      <c r="B9" s="1" t="s">
        <v>100</v>
      </c>
      <c r="C9" s="1" t="s">
        <v>672</v>
      </c>
      <c r="D9" s="1" t="s">
        <v>707</v>
      </c>
      <c r="E9" s="7" t="s">
        <v>715</v>
      </c>
      <c r="F9" s="7" t="s">
        <v>724</v>
      </c>
      <c r="G9" s="7" t="s">
        <v>729</v>
      </c>
      <c r="H9" s="13">
        <v>4.99</v>
      </c>
      <c r="I9" s="13">
        <f t="shared" si="0"/>
        <v>3.7425000000000002</v>
      </c>
      <c r="J9" s="13">
        <v>2.8702399999999999</v>
      </c>
      <c r="K9" s="3">
        <v>1</v>
      </c>
      <c r="L9" s="3">
        <v>0.6</v>
      </c>
      <c r="M9" s="1">
        <v>0</v>
      </c>
      <c r="N9" s="1">
        <v>0</v>
      </c>
      <c r="O9" s="1">
        <v>0</v>
      </c>
      <c r="P9" s="1">
        <v>0</v>
      </c>
      <c r="Q9" s="1">
        <v>6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1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10</v>
      </c>
      <c r="AP9" s="1">
        <v>3</v>
      </c>
      <c r="AQ9" s="1">
        <v>20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2</v>
      </c>
      <c r="BG9" s="1">
        <v>10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3">
        <f t="shared" si="1"/>
        <v>52</v>
      </c>
      <c r="BN9" s="3">
        <v>52</v>
      </c>
      <c r="BO9" s="24">
        <f>Tabla2[[#This Row],[CONSUMO TOTAL VALORES]]/52</f>
        <v>1</v>
      </c>
      <c r="BP9" s="74">
        <f>Tabla2[[#This Row],[CONSUMO PROMEDIO]]*Tabla2[[#This Row],[FRECUENCIA]]*Tabla2[[#This Row],[TIEMPO REPOSICION ]]*1.5*2.4</f>
        <v>2.1599999999999997</v>
      </c>
      <c r="BQ9">
        <v>50</v>
      </c>
    </row>
    <row r="10" spans="1:70">
      <c r="A10" s="1" t="s">
        <v>101</v>
      </c>
      <c r="B10" s="1" t="s">
        <v>102</v>
      </c>
      <c r="C10" s="1" t="s">
        <v>2</v>
      </c>
      <c r="D10" s="1" t="s">
        <v>707</v>
      </c>
      <c r="E10" s="7" t="s">
        <v>715</v>
      </c>
      <c r="F10" s="7" t="s">
        <v>724</v>
      </c>
      <c r="G10" s="7" t="s">
        <v>729</v>
      </c>
      <c r="H10" s="13">
        <v>2.29</v>
      </c>
      <c r="I10" s="13">
        <f t="shared" si="0"/>
        <v>1.7175</v>
      </c>
      <c r="J10" s="13">
        <v>0.83140999999999998</v>
      </c>
      <c r="K10" s="3">
        <v>1</v>
      </c>
      <c r="L10" s="3">
        <v>0.6</v>
      </c>
      <c r="M10" s="1">
        <v>0</v>
      </c>
      <c r="N10" s="1">
        <v>0</v>
      </c>
      <c r="O10" s="1">
        <v>0</v>
      </c>
      <c r="P10" s="1">
        <v>72</v>
      </c>
      <c r="Q10" s="1">
        <v>0</v>
      </c>
      <c r="R10" s="1">
        <v>0</v>
      </c>
      <c r="S10" s="1">
        <v>12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53</v>
      </c>
      <c r="AA10" s="1">
        <v>0</v>
      </c>
      <c r="AB10" s="1">
        <v>31</v>
      </c>
      <c r="AC10" s="1">
        <v>0</v>
      </c>
      <c r="AD10" s="1">
        <v>18</v>
      </c>
      <c r="AE10" s="1">
        <v>0</v>
      </c>
      <c r="AF10" s="1">
        <v>32</v>
      </c>
      <c r="AG10" s="1">
        <v>0</v>
      </c>
      <c r="AH10" s="1">
        <v>0</v>
      </c>
      <c r="AI10" s="1">
        <v>0</v>
      </c>
      <c r="AJ10" s="1">
        <v>0</v>
      </c>
      <c r="AK10" s="1">
        <v>21</v>
      </c>
      <c r="AL10" s="1">
        <v>50</v>
      </c>
      <c r="AM10" s="1">
        <v>37</v>
      </c>
      <c r="AN10" s="1">
        <v>0</v>
      </c>
      <c r="AO10" s="1">
        <v>0</v>
      </c>
      <c r="AP10" s="1">
        <v>0</v>
      </c>
      <c r="AQ10" s="1">
        <v>26</v>
      </c>
      <c r="AR10" s="1">
        <v>26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109</v>
      </c>
      <c r="AY10" s="1">
        <v>0</v>
      </c>
      <c r="AZ10" s="1">
        <v>128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72</v>
      </c>
      <c r="BH10" s="1">
        <v>0</v>
      </c>
      <c r="BI10" s="1">
        <v>0</v>
      </c>
      <c r="BJ10" s="1">
        <v>0</v>
      </c>
      <c r="BK10" s="1">
        <v>84</v>
      </c>
      <c r="BL10" s="1">
        <v>30</v>
      </c>
      <c r="BM10" s="3">
        <f t="shared" si="1"/>
        <v>801</v>
      </c>
      <c r="BN10" s="3">
        <v>801</v>
      </c>
      <c r="BO10" s="24">
        <f>Tabla2[[#This Row],[CONSUMO TOTAL VALORES]]/52</f>
        <v>15.403846153846153</v>
      </c>
      <c r="BP10" s="74">
        <f>Tabla2[[#This Row],[CONSUMO PROMEDIO]]*Tabla2[[#This Row],[FRECUENCIA]]*Tabla2[[#This Row],[TIEMPO REPOSICION ]]*1.5*2.4</f>
        <v>33.272307692307692</v>
      </c>
      <c r="BQ10">
        <v>40</v>
      </c>
    </row>
    <row r="11" spans="1:70">
      <c r="A11" s="1" t="s">
        <v>103</v>
      </c>
      <c r="B11" s="1" t="s">
        <v>104</v>
      </c>
      <c r="C11" s="1" t="s">
        <v>682</v>
      </c>
      <c r="D11" s="1" t="s">
        <v>707</v>
      </c>
      <c r="E11" s="7" t="s">
        <v>715</v>
      </c>
      <c r="F11" s="7" t="s">
        <v>724</v>
      </c>
      <c r="G11" s="7" t="s">
        <v>729</v>
      </c>
      <c r="H11" s="13">
        <v>3.59</v>
      </c>
      <c r="I11" s="13">
        <f t="shared" si="0"/>
        <v>2.6924999999999999</v>
      </c>
      <c r="J11" s="13">
        <v>1.47041</v>
      </c>
      <c r="K11" s="3">
        <v>1</v>
      </c>
      <c r="L11" s="3">
        <v>0.6</v>
      </c>
      <c r="M11" s="1">
        <v>5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31</v>
      </c>
      <c r="AG11" s="1">
        <v>0</v>
      </c>
      <c r="AH11" s="1">
        <v>0</v>
      </c>
      <c r="AI11" s="1">
        <v>0</v>
      </c>
      <c r="AJ11" s="1">
        <v>0</v>
      </c>
      <c r="AK11" s="1">
        <v>40</v>
      </c>
      <c r="AL11" s="1">
        <v>42</v>
      </c>
      <c r="AM11" s="1">
        <v>0</v>
      </c>
      <c r="AN11" s="1">
        <v>0</v>
      </c>
      <c r="AO11" s="1">
        <v>0</v>
      </c>
      <c r="AP11" s="1">
        <v>26</v>
      </c>
      <c r="AQ11" s="1">
        <v>0</v>
      </c>
      <c r="AR11" s="1">
        <v>26</v>
      </c>
      <c r="AS11" s="1">
        <v>0</v>
      </c>
      <c r="AT11" s="1">
        <v>0</v>
      </c>
      <c r="AU11" s="1">
        <v>0</v>
      </c>
      <c r="AV11" s="1">
        <v>15</v>
      </c>
      <c r="AW11" s="1">
        <v>0</v>
      </c>
      <c r="AX11" s="1">
        <v>42</v>
      </c>
      <c r="AY11" s="1">
        <v>0</v>
      </c>
      <c r="AZ11" s="1">
        <v>38</v>
      </c>
      <c r="BA11" s="1">
        <v>0</v>
      </c>
      <c r="BB11" s="1">
        <v>0</v>
      </c>
      <c r="BC11" s="1">
        <v>0</v>
      </c>
      <c r="BD11" s="1">
        <v>0</v>
      </c>
      <c r="BE11" s="1">
        <v>30</v>
      </c>
      <c r="BF11" s="1">
        <v>0</v>
      </c>
      <c r="BG11" s="1">
        <v>40</v>
      </c>
      <c r="BH11" s="1">
        <v>0</v>
      </c>
      <c r="BI11" s="1">
        <v>0</v>
      </c>
      <c r="BJ11" s="1">
        <v>0</v>
      </c>
      <c r="BK11" s="1">
        <v>40</v>
      </c>
      <c r="BL11" s="1">
        <v>10</v>
      </c>
      <c r="BM11" s="3">
        <f t="shared" si="1"/>
        <v>385</v>
      </c>
      <c r="BN11" s="3">
        <v>385</v>
      </c>
      <c r="BO11" s="24">
        <f>Tabla2[[#This Row],[CONSUMO TOTAL VALORES]]/52</f>
        <v>7.4038461538461542</v>
      </c>
      <c r="BP11" s="74">
        <f>Tabla2[[#This Row],[CONSUMO PROMEDIO]]*Tabla2[[#This Row],[FRECUENCIA]]*Tabla2[[#This Row],[TIEMPO REPOSICION ]]*1.5*2.4</f>
        <v>15.992307692307691</v>
      </c>
      <c r="BQ11">
        <v>80</v>
      </c>
    </row>
    <row r="12" spans="1:70">
      <c r="A12" s="1" t="s">
        <v>105</v>
      </c>
      <c r="B12" s="1" t="s">
        <v>106</v>
      </c>
      <c r="C12" s="1" t="s">
        <v>685</v>
      </c>
      <c r="D12" s="1" t="s">
        <v>707</v>
      </c>
      <c r="E12" s="7" t="s">
        <v>715</v>
      </c>
      <c r="F12" s="7" t="s">
        <v>724</v>
      </c>
      <c r="G12" s="7" t="s">
        <v>729</v>
      </c>
      <c r="H12" s="13">
        <v>21.89</v>
      </c>
      <c r="I12" s="13">
        <f t="shared" si="0"/>
        <v>16.4175</v>
      </c>
      <c r="J12" s="13">
        <v>8.3870000000000005</v>
      </c>
      <c r="K12" s="3">
        <v>1</v>
      </c>
      <c r="L12" s="3">
        <v>0.6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1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1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3">
        <f t="shared" si="1"/>
        <v>2</v>
      </c>
      <c r="BN12" s="3">
        <v>2</v>
      </c>
      <c r="BO12" s="24">
        <f>Tabla2[[#This Row],[CONSUMO TOTAL VALORES]]/52</f>
        <v>3.8461538461538464E-2</v>
      </c>
      <c r="BP12" s="74">
        <f>Tabla2[[#This Row],[CONSUMO PROMEDIO]]*Tabla2[[#This Row],[FRECUENCIA]]*Tabla2[[#This Row],[TIEMPO REPOSICION ]]*1.5*2.4</f>
        <v>8.3076923076923076E-2</v>
      </c>
      <c r="BQ12">
        <v>0</v>
      </c>
    </row>
    <row r="13" spans="1:70">
      <c r="A13" s="1" t="s">
        <v>107</v>
      </c>
      <c r="B13" s="1" t="s">
        <v>108</v>
      </c>
      <c r="C13" s="1" t="s">
        <v>2</v>
      </c>
      <c r="D13" s="1" t="s">
        <v>707</v>
      </c>
      <c r="E13" s="7" t="s">
        <v>715</v>
      </c>
      <c r="F13" s="7" t="s">
        <v>724</v>
      </c>
      <c r="G13" s="7" t="s">
        <v>729</v>
      </c>
      <c r="H13" s="13">
        <v>6.49</v>
      </c>
      <c r="I13" s="13">
        <f t="shared" si="0"/>
        <v>4.8674999999999997</v>
      </c>
      <c r="J13" s="13">
        <v>2.6114600000000001</v>
      </c>
      <c r="K13" s="3">
        <v>1</v>
      </c>
      <c r="L13" s="3">
        <v>0.6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10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5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20</v>
      </c>
      <c r="BL13" s="1">
        <v>0</v>
      </c>
      <c r="BM13" s="3">
        <f t="shared" si="1"/>
        <v>35</v>
      </c>
      <c r="BN13" s="3">
        <v>35</v>
      </c>
      <c r="BO13" s="24">
        <f>Tabla2[[#This Row],[CONSUMO TOTAL VALORES]]/52</f>
        <v>0.67307692307692313</v>
      </c>
      <c r="BP13" s="74">
        <f>Tabla2[[#This Row],[CONSUMO PROMEDIO]]*Tabla2[[#This Row],[FRECUENCIA]]*Tabla2[[#This Row],[TIEMPO REPOSICION ]]*1.5*2.4</f>
        <v>1.453846153846154</v>
      </c>
      <c r="BQ13">
        <v>5</v>
      </c>
    </row>
    <row r="14" spans="1:70">
      <c r="A14" s="1" t="s">
        <v>109</v>
      </c>
      <c r="B14" s="1" t="s">
        <v>110</v>
      </c>
      <c r="C14" s="1" t="s">
        <v>686</v>
      </c>
      <c r="D14" s="1" t="s">
        <v>707</v>
      </c>
      <c r="E14" s="7" t="s">
        <v>715</v>
      </c>
      <c r="F14" s="7" t="s">
        <v>724</v>
      </c>
      <c r="G14" s="7" t="s">
        <v>729</v>
      </c>
      <c r="H14" s="13">
        <v>2.75</v>
      </c>
      <c r="I14" s="13">
        <f t="shared" si="0"/>
        <v>2.0625</v>
      </c>
      <c r="J14" s="13">
        <v>1.4165300000000001</v>
      </c>
      <c r="K14" s="3">
        <v>1</v>
      </c>
      <c r="L14" s="3">
        <v>0.6</v>
      </c>
      <c r="M14" s="1">
        <v>5</v>
      </c>
      <c r="N14" s="1">
        <v>300</v>
      </c>
      <c r="O14" s="1">
        <v>100</v>
      </c>
      <c r="P14" s="1">
        <v>61</v>
      </c>
      <c r="Q14" s="1">
        <v>0</v>
      </c>
      <c r="R14" s="1">
        <v>3</v>
      </c>
      <c r="S14" s="1">
        <v>73</v>
      </c>
      <c r="T14" s="1">
        <v>0</v>
      </c>
      <c r="U14" s="1">
        <v>0</v>
      </c>
      <c r="V14" s="1">
        <v>0</v>
      </c>
      <c r="W14" s="1">
        <v>121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221</v>
      </c>
      <c r="AE14" s="1">
        <v>21</v>
      </c>
      <c r="AF14" s="1">
        <v>100</v>
      </c>
      <c r="AG14" s="1">
        <v>100</v>
      </c>
      <c r="AH14" s="1">
        <v>0</v>
      </c>
      <c r="AI14" s="1">
        <v>0</v>
      </c>
      <c r="AJ14" s="1">
        <v>30</v>
      </c>
      <c r="AK14" s="1">
        <v>0</v>
      </c>
      <c r="AL14" s="1">
        <v>0</v>
      </c>
      <c r="AM14" s="1">
        <v>0</v>
      </c>
      <c r="AN14" s="1">
        <v>0</v>
      </c>
      <c r="AO14" s="1">
        <v>60</v>
      </c>
      <c r="AP14" s="1">
        <v>21</v>
      </c>
      <c r="AQ14" s="1">
        <v>120</v>
      </c>
      <c r="AR14" s="1">
        <v>0</v>
      </c>
      <c r="AS14" s="1">
        <v>0</v>
      </c>
      <c r="AT14" s="1">
        <v>300</v>
      </c>
      <c r="AU14" s="1">
        <v>0</v>
      </c>
      <c r="AV14" s="1">
        <v>0</v>
      </c>
      <c r="AW14" s="1">
        <v>0</v>
      </c>
      <c r="AX14" s="1">
        <v>0</v>
      </c>
      <c r="AY14" s="1">
        <v>125</v>
      </c>
      <c r="AZ14" s="1">
        <v>0</v>
      </c>
      <c r="BA14" s="1">
        <v>50</v>
      </c>
      <c r="BB14" s="1">
        <v>100</v>
      </c>
      <c r="BC14" s="1">
        <v>0</v>
      </c>
      <c r="BD14" s="1">
        <v>3</v>
      </c>
      <c r="BE14" s="1">
        <v>0</v>
      </c>
      <c r="BF14" s="1">
        <v>0</v>
      </c>
      <c r="BG14" s="1">
        <v>0</v>
      </c>
      <c r="BH14" s="1">
        <v>50</v>
      </c>
      <c r="BI14" s="1">
        <v>0</v>
      </c>
      <c r="BJ14" s="1">
        <v>50</v>
      </c>
      <c r="BK14" s="1">
        <v>150</v>
      </c>
      <c r="BL14" s="1">
        <v>100</v>
      </c>
      <c r="BM14" s="3">
        <f t="shared" si="1"/>
        <v>2264</v>
      </c>
      <c r="BN14" s="3">
        <v>2264</v>
      </c>
      <c r="BO14" s="24">
        <f>Tabla2[[#This Row],[CONSUMO TOTAL VALORES]]/52</f>
        <v>43.53846153846154</v>
      </c>
      <c r="BP14" s="74">
        <f>Tabla2[[#This Row],[CONSUMO PROMEDIO]]*Tabla2[[#This Row],[FRECUENCIA]]*Tabla2[[#This Row],[TIEMPO REPOSICION ]]*1.5*2.4</f>
        <v>94.043076923076924</v>
      </c>
      <c r="BQ14">
        <v>120</v>
      </c>
    </row>
    <row r="15" spans="1:70">
      <c r="A15" s="1" t="s">
        <v>111</v>
      </c>
      <c r="B15" s="1" t="s">
        <v>112</v>
      </c>
      <c r="C15" s="1" t="s">
        <v>682</v>
      </c>
      <c r="D15" s="1" t="s">
        <v>707</v>
      </c>
      <c r="E15" s="7" t="s">
        <v>715</v>
      </c>
      <c r="F15" s="7" t="s">
        <v>724</v>
      </c>
      <c r="G15" s="7" t="s">
        <v>729</v>
      </c>
      <c r="H15" s="13">
        <v>5.84</v>
      </c>
      <c r="I15" s="13">
        <f t="shared" si="0"/>
        <v>4.38</v>
      </c>
      <c r="J15" s="13">
        <v>2.5375299999999998</v>
      </c>
      <c r="K15" s="3">
        <v>1</v>
      </c>
      <c r="L15" s="3">
        <v>0.6</v>
      </c>
      <c r="M15" s="1">
        <v>0</v>
      </c>
      <c r="N15" s="1">
        <v>0</v>
      </c>
      <c r="O15" s="1">
        <v>83</v>
      </c>
      <c r="P15" s="1">
        <v>0</v>
      </c>
      <c r="Q15" s="1">
        <v>0</v>
      </c>
      <c r="R15" s="1">
        <v>0</v>
      </c>
      <c r="S15" s="1">
        <v>20</v>
      </c>
      <c r="T15" s="1">
        <v>80</v>
      </c>
      <c r="U15" s="1">
        <v>0</v>
      </c>
      <c r="V15" s="1">
        <v>0</v>
      </c>
      <c r="W15" s="1">
        <v>95</v>
      </c>
      <c r="X15" s="1">
        <v>65</v>
      </c>
      <c r="Y15" s="1">
        <v>0</v>
      </c>
      <c r="Z15" s="1">
        <v>80</v>
      </c>
      <c r="AA15" s="1">
        <v>0</v>
      </c>
      <c r="AB15" s="1">
        <v>40</v>
      </c>
      <c r="AC15" s="1">
        <v>0</v>
      </c>
      <c r="AD15" s="1">
        <v>20</v>
      </c>
      <c r="AE15" s="1">
        <v>0</v>
      </c>
      <c r="AF15" s="1">
        <v>161</v>
      </c>
      <c r="AG15" s="1">
        <v>100</v>
      </c>
      <c r="AH15" s="1">
        <v>0</v>
      </c>
      <c r="AI15" s="1">
        <v>0</v>
      </c>
      <c r="AJ15" s="1">
        <v>0</v>
      </c>
      <c r="AK15" s="1">
        <v>82</v>
      </c>
      <c r="AL15" s="1">
        <v>42</v>
      </c>
      <c r="AM15" s="1">
        <v>14</v>
      </c>
      <c r="AN15" s="1">
        <v>0</v>
      </c>
      <c r="AO15" s="1">
        <v>0</v>
      </c>
      <c r="AP15" s="1">
        <v>0</v>
      </c>
      <c r="AQ15" s="1">
        <v>40</v>
      </c>
      <c r="AR15" s="1">
        <v>0</v>
      </c>
      <c r="AS15" s="1">
        <v>21</v>
      </c>
      <c r="AT15" s="1">
        <v>84</v>
      </c>
      <c r="AU15" s="1">
        <v>120</v>
      </c>
      <c r="AV15" s="1">
        <v>64</v>
      </c>
      <c r="AW15" s="1">
        <v>0</v>
      </c>
      <c r="AX15" s="1">
        <v>139</v>
      </c>
      <c r="AY15" s="1">
        <v>0</v>
      </c>
      <c r="AZ15" s="1">
        <v>70</v>
      </c>
      <c r="BA15" s="1">
        <v>180</v>
      </c>
      <c r="BB15" s="1">
        <v>100</v>
      </c>
      <c r="BC15" s="1">
        <v>0</v>
      </c>
      <c r="BD15" s="1">
        <v>0</v>
      </c>
      <c r="BE15" s="1">
        <v>71</v>
      </c>
      <c r="BF15" s="1">
        <v>21</v>
      </c>
      <c r="BG15" s="1">
        <v>0</v>
      </c>
      <c r="BH15" s="1">
        <v>80</v>
      </c>
      <c r="BI15" s="1">
        <v>0</v>
      </c>
      <c r="BJ15" s="1">
        <v>0</v>
      </c>
      <c r="BK15" s="1">
        <v>0</v>
      </c>
      <c r="BL15" s="1">
        <v>260</v>
      </c>
      <c r="BM15" s="3">
        <f t="shared" si="1"/>
        <v>2132</v>
      </c>
      <c r="BN15" s="3">
        <v>2132</v>
      </c>
      <c r="BO15" s="24">
        <f>Tabla2[[#This Row],[CONSUMO TOTAL VALORES]]/52</f>
        <v>41</v>
      </c>
      <c r="BP15" s="74">
        <f>Tabla2[[#This Row],[CONSUMO PROMEDIO]]*Tabla2[[#This Row],[FRECUENCIA]]*Tabla2[[#This Row],[TIEMPO REPOSICION ]]*1.5*2.4</f>
        <v>88.559999999999988</v>
      </c>
      <c r="BQ15">
        <v>80</v>
      </c>
    </row>
    <row r="16" spans="1:70">
      <c r="A16" s="1" t="s">
        <v>113</v>
      </c>
      <c r="B16" s="1" t="s">
        <v>114</v>
      </c>
      <c r="C16" s="1" t="s">
        <v>2</v>
      </c>
      <c r="D16" s="1" t="s">
        <v>707</v>
      </c>
      <c r="E16" s="7" t="s">
        <v>715</v>
      </c>
      <c r="F16" s="7" t="s">
        <v>724</v>
      </c>
      <c r="G16" s="7" t="s">
        <v>729</v>
      </c>
      <c r="H16" s="13">
        <v>9.49</v>
      </c>
      <c r="I16" s="13">
        <f t="shared" si="0"/>
        <v>7.1174999999999997</v>
      </c>
      <c r="J16" s="13">
        <v>4.6144999999999996</v>
      </c>
      <c r="K16" s="3">
        <v>1</v>
      </c>
      <c r="L16" s="3">
        <v>0.6</v>
      </c>
      <c r="M16" s="1">
        <v>0</v>
      </c>
      <c r="N16" s="1">
        <v>0</v>
      </c>
      <c r="O16" s="1">
        <v>0</v>
      </c>
      <c r="P16" s="1">
        <v>1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4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5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4</v>
      </c>
      <c r="AS16" s="1">
        <v>0</v>
      </c>
      <c r="AT16" s="1">
        <v>20</v>
      </c>
      <c r="AU16" s="1">
        <v>4</v>
      </c>
      <c r="AV16" s="1">
        <v>16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10</v>
      </c>
      <c r="BH16" s="1">
        <v>0</v>
      </c>
      <c r="BI16" s="1">
        <v>0</v>
      </c>
      <c r="BJ16" s="1">
        <v>10</v>
      </c>
      <c r="BK16" s="1">
        <v>0</v>
      </c>
      <c r="BL16" s="1">
        <v>40</v>
      </c>
      <c r="BM16" s="3">
        <f t="shared" si="1"/>
        <v>114</v>
      </c>
      <c r="BN16" s="3">
        <v>114</v>
      </c>
      <c r="BO16" s="24">
        <f>Tabla2[[#This Row],[CONSUMO TOTAL VALORES]]/52</f>
        <v>2.1923076923076925</v>
      </c>
      <c r="BP16" s="74">
        <f>Tabla2[[#This Row],[CONSUMO PROMEDIO]]*Tabla2[[#This Row],[FRECUENCIA]]*Tabla2[[#This Row],[TIEMPO REPOSICION ]]*1.5*2.4</f>
        <v>4.7353846153846151</v>
      </c>
      <c r="BQ16">
        <v>7</v>
      </c>
    </row>
    <row r="17" spans="1:69">
      <c r="A17" s="1" t="s">
        <v>115</v>
      </c>
      <c r="B17" s="1" t="s">
        <v>116</v>
      </c>
      <c r="C17" s="1" t="s">
        <v>682</v>
      </c>
      <c r="D17" s="1" t="s">
        <v>707</v>
      </c>
      <c r="E17" s="7" t="s">
        <v>715</v>
      </c>
      <c r="F17" s="7" t="s">
        <v>724</v>
      </c>
      <c r="G17" s="7" t="s">
        <v>729</v>
      </c>
      <c r="H17" s="13">
        <v>3.69</v>
      </c>
      <c r="I17" s="13">
        <f t="shared" si="0"/>
        <v>2.7675000000000001</v>
      </c>
      <c r="J17" s="13">
        <v>1.6554500000000001</v>
      </c>
      <c r="K17" s="3">
        <v>1</v>
      </c>
      <c r="L17" s="3">
        <v>0.6</v>
      </c>
      <c r="M17" s="1">
        <v>0</v>
      </c>
      <c r="N17" s="1">
        <v>30</v>
      </c>
      <c r="O17" s="1">
        <v>0</v>
      </c>
      <c r="P17" s="1">
        <v>6</v>
      </c>
      <c r="Q17" s="1">
        <v>0</v>
      </c>
      <c r="R17" s="1">
        <v>0</v>
      </c>
      <c r="S17" s="1">
        <v>31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29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42</v>
      </c>
      <c r="AV17" s="1">
        <v>28</v>
      </c>
      <c r="AW17" s="1">
        <v>0</v>
      </c>
      <c r="AX17" s="1">
        <v>0</v>
      </c>
      <c r="AY17" s="1">
        <v>0</v>
      </c>
      <c r="AZ17" s="1">
        <v>171</v>
      </c>
      <c r="BA17" s="1">
        <v>0</v>
      </c>
      <c r="BB17" s="1">
        <v>0</v>
      </c>
      <c r="BC17" s="1">
        <v>0</v>
      </c>
      <c r="BD17" s="1">
        <v>0</v>
      </c>
      <c r="BE17" s="1">
        <v>131</v>
      </c>
      <c r="BF17" s="1">
        <v>130</v>
      </c>
      <c r="BG17" s="1">
        <v>0</v>
      </c>
      <c r="BH17" s="1">
        <v>0</v>
      </c>
      <c r="BI17" s="1">
        <v>0</v>
      </c>
      <c r="BJ17" s="1">
        <v>0</v>
      </c>
      <c r="BK17" s="1">
        <v>40</v>
      </c>
      <c r="BL17" s="1">
        <v>197</v>
      </c>
      <c r="BM17" s="3">
        <f t="shared" si="1"/>
        <v>835</v>
      </c>
      <c r="BN17" s="3">
        <v>835</v>
      </c>
      <c r="BO17" s="24">
        <f>Tabla2[[#This Row],[CONSUMO TOTAL VALORES]]/52</f>
        <v>16.057692307692307</v>
      </c>
      <c r="BP17" s="74">
        <f>Tabla2[[#This Row],[CONSUMO PROMEDIO]]*Tabla2[[#This Row],[FRECUENCIA]]*Tabla2[[#This Row],[TIEMPO REPOSICION ]]*1.5*2.4</f>
        <v>34.684615384615377</v>
      </c>
      <c r="BQ17">
        <v>40</v>
      </c>
    </row>
    <row r="18" spans="1:69">
      <c r="A18" s="1" t="s">
        <v>117</v>
      </c>
      <c r="B18" s="1" t="s">
        <v>118</v>
      </c>
      <c r="C18" s="1" t="s">
        <v>2</v>
      </c>
      <c r="D18" s="1" t="s">
        <v>707</v>
      </c>
      <c r="E18" s="7" t="s">
        <v>727</v>
      </c>
      <c r="F18" s="7" t="s">
        <v>724</v>
      </c>
      <c r="G18" s="7" t="s">
        <v>729</v>
      </c>
      <c r="H18" s="13">
        <v>6.69</v>
      </c>
      <c r="I18" s="13">
        <f t="shared" si="0"/>
        <v>5.0175000000000001</v>
      </c>
      <c r="J18" s="13">
        <v>3.6382699999999999</v>
      </c>
      <c r="K18" s="3">
        <v>1</v>
      </c>
      <c r="L18" s="3">
        <v>0.6</v>
      </c>
      <c r="M18" s="1">
        <v>0</v>
      </c>
      <c r="N18" s="1">
        <v>20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1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3">
        <f t="shared" si="1"/>
        <v>21</v>
      </c>
      <c r="BN18" s="3">
        <v>21</v>
      </c>
      <c r="BO18" s="24">
        <f>Tabla2[[#This Row],[CONSUMO TOTAL VALORES]]/52</f>
        <v>0.40384615384615385</v>
      </c>
      <c r="BP18" s="74">
        <f>Tabla2[[#This Row],[CONSUMO PROMEDIO]]*Tabla2[[#This Row],[FRECUENCIA]]*Tabla2[[#This Row],[TIEMPO REPOSICION ]]*1.5*2.4</f>
        <v>0.87230769230769223</v>
      </c>
      <c r="BQ18">
        <v>20</v>
      </c>
    </row>
    <row r="19" spans="1:69">
      <c r="A19" s="1" t="s">
        <v>119</v>
      </c>
      <c r="B19" s="1" t="s">
        <v>120</v>
      </c>
      <c r="C19" s="1" t="s">
        <v>672</v>
      </c>
      <c r="D19" s="1" t="s">
        <v>707</v>
      </c>
      <c r="E19" s="7" t="s">
        <v>715</v>
      </c>
      <c r="F19" s="7" t="s">
        <v>724</v>
      </c>
      <c r="G19" s="7" t="s">
        <v>729</v>
      </c>
      <c r="H19" s="13">
        <v>5.49</v>
      </c>
      <c r="I19" s="13">
        <f t="shared" si="0"/>
        <v>4.1174999999999997</v>
      </c>
      <c r="J19" s="13">
        <v>2.5527600000000001</v>
      </c>
      <c r="K19" s="3">
        <v>1</v>
      </c>
      <c r="L19" s="3">
        <v>0.6</v>
      </c>
      <c r="M19" s="1">
        <v>0</v>
      </c>
      <c r="N19" s="1">
        <v>80</v>
      </c>
      <c r="O19" s="1">
        <v>0</v>
      </c>
      <c r="P19" s="1">
        <v>50</v>
      </c>
      <c r="Q19" s="1">
        <v>50</v>
      </c>
      <c r="R19" s="1">
        <v>50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240</v>
      </c>
      <c r="AG19" s="1">
        <v>0</v>
      </c>
      <c r="AH19" s="1">
        <v>0</v>
      </c>
      <c r="AI19" s="1">
        <v>0</v>
      </c>
      <c r="AJ19" s="1">
        <v>0</v>
      </c>
      <c r="AK19" s="1">
        <v>21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30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3">
        <f t="shared" si="1"/>
        <v>521</v>
      </c>
      <c r="BN19" s="3">
        <v>521</v>
      </c>
      <c r="BO19" s="24">
        <f>Tabla2[[#This Row],[CONSUMO TOTAL VALORES]]/52</f>
        <v>10.01923076923077</v>
      </c>
      <c r="BP19" s="74">
        <f>Tabla2[[#This Row],[CONSUMO PROMEDIO]]*Tabla2[[#This Row],[FRECUENCIA]]*Tabla2[[#This Row],[TIEMPO REPOSICION ]]*1.5*2.4</f>
        <v>21.641538461538463</v>
      </c>
      <c r="BQ19">
        <v>50</v>
      </c>
    </row>
    <row r="20" spans="1:69">
      <c r="A20" s="1" t="s">
        <v>121</v>
      </c>
      <c r="B20" s="1" t="s">
        <v>122</v>
      </c>
      <c r="C20" s="1" t="s">
        <v>682</v>
      </c>
      <c r="D20" s="1" t="s">
        <v>707</v>
      </c>
      <c r="E20" s="7" t="s">
        <v>715</v>
      </c>
      <c r="F20" s="7" t="s">
        <v>724</v>
      </c>
      <c r="G20" s="7" t="s">
        <v>729</v>
      </c>
      <c r="H20" s="13">
        <v>2.79</v>
      </c>
      <c r="I20" s="13">
        <f t="shared" si="0"/>
        <v>2.0925000000000002</v>
      </c>
      <c r="J20" s="13">
        <v>1.4903299999999999</v>
      </c>
      <c r="K20" s="3">
        <v>1</v>
      </c>
      <c r="L20" s="3">
        <v>0.6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21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2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100</v>
      </c>
      <c r="BM20" s="3">
        <f t="shared" si="1"/>
        <v>123</v>
      </c>
      <c r="BN20" s="3">
        <v>123</v>
      </c>
      <c r="BO20" s="24">
        <f>Tabla2[[#This Row],[CONSUMO TOTAL VALORES]]/52</f>
        <v>2.3653846153846154</v>
      </c>
      <c r="BP20" s="74">
        <f>Tabla2[[#This Row],[CONSUMO PROMEDIO]]*Tabla2[[#This Row],[FRECUENCIA]]*Tabla2[[#This Row],[TIEMPO REPOSICION ]]*1.5*2.4</f>
        <v>5.109230769230769</v>
      </c>
      <c r="BQ20">
        <v>5</v>
      </c>
    </row>
    <row r="21" spans="1:69">
      <c r="A21" s="1" t="s">
        <v>123</v>
      </c>
      <c r="B21" s="1" t="s">
        <v>124</v>
      </c>
      <c r="C21" s="1" t="s">
        <v>681</v>
      </c>
      <c r="D21" s="1" t="s">
        <v>707</v>
      </c>
      <c r="E21" s="7" t="s">
        <v>715</v>
      </c>
      <c r="F21" s="7" t="s">
        <v>724</v>
      </c>
      <c r="G21" s="7" t="s">
        <v>729</v>
      </c>
      <c r="H21" s="13">
        <v>16.989999999999998</v>
      </c>
      <c r="I21" s="13">
        <f t="shared" si="0"/>
        <v>12.7425</v>
      </c>
      <c r="J21" s="13">
        <v>8.3179999999999996</v>
      </c>
      <c r="K21" s="3">
        <v>1</v>
      </c>
      <c r="L21" s="3">
        <v>0.6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3">
        <f t="shared" si="1"/>
        <v>0</v>
      </c>
      <c r="BN21" s="3">
        <v>0</v>
      </c>
      <c r="BO21" s="24">
        <f>Tabla2[[#This Row],[CONSUMO TOTAL VALORES]]/52</f>
        <v>0</v>
      </c>
      <c r="BP21" s="74">
        <f>Tabla2[[#This Row],[CONSUMO PROMEDIO]]*Tabla2[[#This Row],[FRECUENCIA]]*Tabla2[[#This Row],[TIEMPO REPOSICION ]]*1.5*2.4</f>
        <v>0</v>
      </c>
      <c r="BQ21">
        <v>0</v>
      </c>
    </row>
    <row r="22" spans="1:69">
      <c r="A22" s="1" t="s">
        <v>125</v>
      </c>
      <c r="B22" s="1" t="s">
        <v>126</v>
      </c>
      <c r="C22" s="1" t="s">
        <v>676</v>
      </c>
      <c r="D22" s="1" t="s">
        <v>707</v>
      </c>
      <c r="E22" s="7" t="s">
        <v>715</v>
      </c>
      <c r="F22" s="7" t="s">
        <v>724</v>
      </c>
      <c r="G22" s="7" t="s">
        <v>729</v>
      </c>
      <c r="H22" s="13">
        <v>4.99</v>
      </c>
      <c r="I22" s="13">
        <f t="shared" si="0"/>
        <v>3.7425000000000002</v>
      </c>
      <c r="J22" s="13">
        <v>1.98929</v>
      </c>
      <c r="K22" s="3">
        <v>1</v>
      </c>
      <c r="L22" s="3">
        <v>0.6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20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60</v>
      </c>
      <c r="BM22" s="3">
        <f t="shared" si="1"/>
        <v>80</v>
      </c>
      <c r="BN22" s="3">
        <v>80</v>
      </c>
      <c r="BO22" s="24">
        <f>Tabla2[[#This Row],[CONSUMO TOTAL VALORES]]/52</f>
        <v>1.5384615384615385</v>
      </c>
      <c r="BP22" s="74">
        <f>Tabla2[[#This Row],[CONSUMO PROMEDIO]]*Tabla2[[#This Row],[FRECUENCIA]]*Tabla2[[#This Row],[TIEMPO REPOSICION ]]*1.5*2.4</f>
        <v>3.3230769230769228</v>
      </c>
      <c r="BQ22">
        <v>5</v>
      </c>
    </row>
    <row r="23" spans="1:69">
      <c r="A23" s="1" t="s">
        <v>130</v>
      </c>
      <c r="B23" s="1" t="s">
        <v>131</v>
      </c>
      <c r="C23" s="1" t="s">
        <v>673</v>
      </c>
      <c r="D23" s="1" t="s">
        <v>707</v>
      </c>
      <c r="E23" s="7" t="s">
        <v>715</v>
      </c>
      <c r="F23" s="7" t="s">
        <v>724</v>
      </c>
      <c r="G23" s="7" t="s">
        <v>729</v>
      </c>
      <c r="H23" s="13">
        <v>4.25</v>
      </c>
      <c r="I23" s="13">
        <f t="shared" si="0"/>
        <v>3.1875</v>
      </c>
      <c r="J23" s="13">
        <v>1.7721800000000001</v>
      </c>
      <c r="K23" s="3">
        <v>1</v>
      </c>
      <c r="L23" s="3">
        <v>0.6</v>
      </c>
      <c r="M23" s="1">
        <v>0</v>
      </c>
      <c r="N23" s="1">
        <v>25</v>
      </c>
      <c r="O23" s="1">
        <v>0</v>
      </c>
      <c r="P23" s="1">
        <v>20</v>
      </c>
      <c r="Q23" s="1">
        <v>0</v>
      </c>
      <c r="R23" s="1">
        <v>0</v>
      </c>
      <c r="S23" s="1">
        <v>55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100</v>
      </c>
      <c r="AH23" s="1">
        <v>0</v>
      </c>
      <c r="AI23" s="1">
        <v>0</v>
      </c>
      <c r="AJ23" s="1">
        <v>0</v>
      </c>
      <c r="AK23" s="1">
        <v>21</v>
      </c>
      <c r="AL23" s="1">
        <v>0</v>
      </c>
      <c r="AM23" s="1">
        <v>0</v>
      </c>
      <c r="AN23" s="1">
        <v>0</v>
      </c>
      <c r="AO23" s="1">
        <v>10</v>
      </c>
      <c r="AP23" s="1">
        <v>0</v>
      </c>
      <c r="AQ23" s="1">
        <v>0</v>
      </c>
      <c r="AR23" s="1">
        <v>0</v>
      </c>
      <c r="AS23" s="1">
        <v>0</v>
      </c>
      <c r="AT23" s="1">
        <v>51</v>
      </c>
      <c r="AU23" s="1">
        <v>80</v>
      </c>
      <c r="AV23" s="1">
        <v>40</v>
      </c>
      <c r="AW23" s="1">
        <v>0</v>
      </c>
      <c r="AX23" s="1">
        <v>80</v>
      </c>
      <c r="AY23" s="1">
        <v>160</v>
      </c>
      <c r="AZ23" s="1">
        <v>0</v>
      </c>
      <c r="BA23" s="1">
        <v>20</v>
      </c>
      <c r="BB23" s="1">
        <v>0</v>
      </c>
      <c r="BC23" s="1">
        <v>0</v>
      </c>
      <c r="BD23" s="1">
        <v>3</v>
      </c>
      <c r="BE23" s="1">
        <v>51</v>
      </c>
      <c r="BF23" s="1">
        <v>40</v>
      </c>
      <c r="BG23" s="1">
        <v>0</v>
      </c>
      <c r="BH23" s="1">
        <v>0</v>
      </c>
      <c r="BI23" s="1">
        <v>0</v>
      </c>
      <c r="BJ23" s="1">
        <v>79</v>
      </c>
      <c r="BK23" s="1">
        <v>15</v>
      </c>
      <c r="BL23" s="1">
        <v>192</v>
      </c>
      <c r="BM23" s="3">
        <f t="shared" si="1"/>
        <v>1042</v>
      </c>
      <c r="BN23" s="3">
        <v>1042</v>
      </c>
      <c r="BO23" s="24">
        <f>Tabla2[[#This Row],[CONSUMO TOTAL VALORES]]/52</f>
        <v>20.03846153846154</v>
      </c>
      <c r="BP23" s="74">
        <f>Tabla2[[#This Row],[CONSUMO PROMEDIO]]*Tabla2[[#This Row],[FRECUENCIA]]*Tabla2[[#This Row],[TIEMPO REPOSICION ]]*1.5*2.4</f>
        <v>43.283076923076926</v>
      </c>
      <c r="BQ23">
        <v>100</v>
      </c>
    </row>
    <row r="24" spans="1:69">
      <c r="A24" s="1" t="s">
        <v>132</v>
      </c>
      <c r="B24" s="1" t="s">
        <v>133</v>
      </c>
      <c r="C24" s="1" t="s">
        <v>681</v>
      </c>
      <c r="D24" s="1" t="s">
        <v>707</v>
      </c>
      <c r="E24" s="7" t="s">
        <v>715</v>
      </c>
      <c r="F24" s="7" t="s">
        <v>724</v>
      </c>
      <c r="G24" s="7" t="s">
        <v>729</v>
      </c>
      <c r="H24" s="13">
        <v>26.99</v>
      </c>
      <c r="I24" s="13">
        <f t="shared" si="0"/>
        <v>20.2425</v>
      </c>
      <c r="J24" s="13">
        <v>13.186500000000001</v>
      </c>
      <c r="K24" s="3">
        <v>1</v>
      </c>
      <c r="L24" s="3">
        <v>0.6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20</v>
      </c>
      <c r="BI24" s="1">
        <v>0</v>
      </c>
      <c r="BJ24" s="1">
        <v>0</v>
      </c>
      <c r="BK24" s="1">
        <v>0</v>
      </c>
      <c r="BL24" s="1">
        <v>0</v>
      </c>
      <c r="BM24" s="3">
        <f t="shared" si="1"/>
        <v>20</v>
      </c>
      <c r="BN24" s="3">
        <v>20</v>
      </c>
      <c r="BO24" s="24">
        <f>Tabla2[[#This Row],[CONSUMO TOTAL VALORES]]/52</f>
        <v>0.38461538461538464</v>
      </c>
      <c r="BP24" s="74">
        <f>Tabla2[[#This Row],[CONSUMO PROMEDIO]]*Tabla2[[#This Row],[FRECUENCIA]]*Tabla2[[#This Row],[TIEMPO REPOSICION ]]*1.5*2.4</f>
        <v>0.8307692307692307</v>
      </c>
      <c r="BQ24">
        <v>2</v>
      </c>
    </row>
    <row r="25" spans="1:69">
      <c r="A25" s="1" t="s">
        <v>134</v>
      </c>
      <c r="B25" s="1" t="s">
        <v>135</v>
      </c>
      <c r="C25" s="1" t="s">
        <v>676</v>
      </c>
      <c r="D25" s="1" t="s">
        <v>707</v>
      </c>
      <c r="E25" s="7" t="s">
        <v>715</v>
      </c>
      <c r="F25" s="7" t="s">
        <v>724</v>
      </c>
      <c r="G25" s="7" t="s">
        <v>729</v>
      </c>
      <c r="H25" s="13">
        <v>7.59</v>
      </c>
      <c r="I25" s="13">
        <f t="shared" si="0"/>
        <v>5.6924999999999999</v>
      </c>
      <c r="J25" s="13">
        <v>3.00095</v>
      </c>
      <c r="K25" s="3">
        <v>1</v>
      </c>
      <c r="L25" s="3">
        <v>0.6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20</v>
      </c>
      <c r="AU25" s="1">
        <v>10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10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3">
        <f t="shared" si="1"/>
        <v>40</v>
      </c>
      <c r="BN25" s="3">
        <v>40</v>
      </c>
      <c r="BO25" s="24">
        <f>Tabla2[[#This Row],[CONSUMO TOTAL VALORES]]/52</f>
        <v>0.76923076923076927</v>
      </c>
      <c r="BP25" s="74">
        <f>Tabla2[[#This Row],[CONSUMO PROMEDIO]]*Tabla2[[#This Row],[FRECUENCIA]]*Tabla2[[#This Row],[TIEMPO REPOSICION ]]*1.5*2.4</f>
        <v>1.6615384615384614</v>
      </c>
      <c r="BQ25">
        <v>10</v>
      </c>
    </row>
    <row r="26" spans="1:69">
      <c r="A26" s="1" t="s">
        <v>138</v>
      </c>
      <c r="B26" s="1" t="s">
        <v>139</v>
      </c>
      <c r="C26" s="1" t="s">
        <v>676</v>
      </c>
      <c r="D26" s="1" t="s">
        <v>707</v>
      </c>
      <c r="E26" s="7" t="s">
        <v>732</v>
      </c>
      <c r="F26" s="7" t="s">
        <v>724</v>
      </c>
      <c r="G26" s="7" t="s">
        <v>729</v>
      </c>
      <c r="H26" s="13">
        <v>25</v>
      </c>
      <c r="I26" s="13">
        <f>+H26*85%</f>
        <v>21.25</v>
      </c>
      <c r="J26" s="13">
        <v>15.11</v>
      </c>
      <c r="K26" s="3">
        <v>1</v>
      </c>
      <c r="L26" s="3">
        <v>0.6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3">
        <f t="shared" si="1"/>
        <v>0</v>
      </c>
      <c r="BN26" s="3">
        <v>0</v>
      </c>
      <c r="BO26" s="24">
        <f>Tabla2[[#This Row],[CONSUMO TOTAL VALORES]]/52</f>
        <v>0</v>
      </c>
      <c r="BP26" s="74">
        <f>Tabla2[[#This Row],[CONSUMO PROMEDIO]]*Tabla2[[#This Row],[FRECUENCIA]]*Tabla2[[#This Row],[TIEMPO REPOSICION ]]*1.5*2.4</f>
        <v>0</v>
      </c>
      <c r="BQ26">
        <v>0</v>
      </c>
    </row>
    <row r="27" spans="1:69">
      <c r="A27" s="1" t="s">
        <v>140</v>
      </c>
      <c r="B27" s="1" t="s">
        <v>141</v>
      </c>
      <c r="C27" s="1" t="s">
        <v>674</v>
      </c>
      <c r="D27" s="1" t="s">
        <v>707</v>
      </c>
      <c r="E27" s="7" t="s">
        <v>732</v>
      </c>
      <c r="F27" s="7" t="s">
        <v>724</v>
      </c>
      <c r="G27" s="7" t="s">
        <v>729</v>
      </c>
      <c r="H27" s="13">
        <v>372</v>
      </c>
      <c r="I27" s="13">
        <f>+H27*85%</f>
        <v>316.2</v>
      </c>
      <c r="J27" s="13">
        <v>267</v>
      </c>
      <c r="K27" s="3">
        <v>1</v>
      </c>
      <c r="L27" s="3">
        <v>0.6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3">
        <f t="shared" si="1"/>
        <v>0</v>
      </c>
      <c r="BN27" s="3">
        <v>0</v>
      </c>
      <c r="BO27" s="24">
        <f>Tabla2[[#This Row],[CONSUMO TOTAL VALORES]]/52</f>
        <v>0</v>
      </c>
      <c r="BP27" s="74">
        <f>Tabla2[[#This Row],[CONSUMO PROMEDIO]]*Tabla2[[#This Row],[FRECUENCIA]]*Tabla2[[#This Row],[TIEMPO REPOSICION ]]*1.5*2.4</f>
        <v>0</v>
      </c>
      <c r="BQ27">
        <v>0</v>
      </c>
    </row>
    <row r="28" spans="1:69">
      <c r="A28" s="1" t="s">
        <v>142</v>
      </c>
      <c r="B28" s="1" t="s">
        <v>143</v>
      </c>
      <c r="C28" s="1" t="s">
        <v>2</v>
      </c>
      <c r="D28" s="1" t="s">
        <v>709</v>
      </c>
      <c r="E28" s="7" t="s">
        <v>719</v>
      </c>
      <c r="F28" s="7" t="s">
        <v>724</v>
      </c>
      <c r="G28" s="7" t="s">
        <v>729</v>
      </c>
      <c r="H28" s="13">
        <v>3.2</v>
      </c>
      <c r="I28" s="13">
        <f t="shared" ref="I28:I33" si="2">+H28*75%</f>
        <v>2.4000000000000004</v>
      </c>
      <c r="J28" s="13">
        <v>1.2278500000000001</v>
      </c>
      <c r="K28" s="3">
        <v>1</v>
      </c>
      <c r="L28" s="3">
        <v>0.6</v>
      </c>
      <c r="M28" s="1">
        <v>0</v>
      </c>
      <c r="N28" s="1">
        <v>25</v>
      </c>
      <c r="O28" s="1">
        <v>0</v>
      </c>
      <c r="P28" s="1">
        <v>21</v>
      </c>
      <c r="Q28" s="1">
        <v>0</v>
      </c>
      <c r="R28" s="1">
        <v>0</v>
      </c>
      <c r="S28" s="1">
        <v>0</v>
      </c>
      <c r="T28" s="1">
        <v>86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1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12</v>
      </c>
      <c r="AL28" s="1">
        <v>0</v>
      </c>
      <c r="AM28" s="1">
        <v>21</v>
      </c>
      <c r="AN28" s="1">
        <v>0</v>
      </c>
      <c r="AO28" s="1">
        <v>10</v>
      </c>
      <c r="AP28" s="1">
        <v>20</v>
      </c>
      <c r="AQ28" s="1">
        <v>0</v>
      </c>
      <c r="AR28" s="1">
        <v>0</v>
      </c>
      <c r="AS28" s="1">
        <v>100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5</v>
      </c>
      <c r="BK28" s="1">
        <v>20</v>
      </c>
      <c r="BL28" s="1">
        <v>0</v>
      </c>
      <c r="BM28" s="3">
        <f t="shared" si="1"/>
        <v>321</v>
      </c>
      <c r="BN28" s="3">
        <v>321</v>
      </c>
      <c r="BO28" s="24">
        <f>Tabla2[[#This Row],[CONSUMO TOTAL VALORES]]/52</f>
        <v>6.1730769230769234</v>
      </c>
      <c r="BP28" s="74">
        <f>Tabla2[[#This Row],[CONSUMO PROMEDIO]]*Tabla2[[#This Row],[FRECUENCIA]]*Tabla2[[#This Row],[TIEMPO REPOSICION ]]*1.5*2.4</f>
        <v>13.333846153846155</v>
      </c>
      <c r="BQ28">
        <v>40</v>
      </c>
    </row>
    <row r="29" spans="1:69">
      <c r="A29" s="1" t="s">
        <v>144</v>
      </c>
      <c r="B29" s="1" t="s">
        <v>145</v>
      </c>
      <c r="C29" s="1" t="s">
        <v>679</v>
      </c>
      <c r="D29" s="1" t="s">
        <v>709</v>
      </c>
      <c r="E29" s="7" t="s">
        <v>719</v>
      </c>
      <c r="F29" s="7" t="s">
        <v>724</v>
      </c>
      <c r="G29" s="7" t="s">
        <v>729</v>
      </c>
      <c r="H29" s="13">
        <v>6.69</v>
      </c>
      <c r="I29" s="13">
        <f t="shared" si="2"/>
        <v>5.0175000000000001</v>
      </c>
      <c r="J29" s="13">
        <v>2.9537499999999999</v>
      </c>
      <c r="K29" s="3">
        <v>1</v>
      </c>
      <c r="L29" s="3">
        <v>0.6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64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12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60</v>
      </c>
      <c r="AT29" s="1">
        <v>28</v>
      </c>
      <c r="AU29" s="1">
        <v>0</v>
      </c>
      <c r="AV29" s="1">
        <v>0</v>
      </c>
      <c r="AW29" s="1">
        <v>6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54</v>
      </c>
      <c r="BI29" s="1">
        <v>0</v>
      </c>
      <c r="BJ29" s="1">
        <v>0</v>
      </c>
      <c r="BK29" s="1">
        <v>0</v>
      </c>
      <c r="BL29" s="1">
        <v>0</v>
      </c>
      <c r="BM29" s="3">
        <f t="shared" si="1"/>
        <v>224</v>
      </c>
      <c r="BN29" s="3">
        <v>224</v>
      </c>
      <c r="BO29" s="24">
        <f>Tabla2[[#This Row],[CONSUMO TOTAL VALORES]]/52</f>
        <v>4.3076923076923075</v>
      </c>
      <c r="BP29" s="74">
        <f>Tabla2[[#This Row],[CONSUMO PROMEDIO]]*Tabla2[[#This Row],[FRECUENCIA]]*Tabla2[[#This Row],[TIEMPO REPOSICION ]]*1.5*2.4</f>
        <v>9.3046153846153832</v>
      </c>
      <c r="BQ29">
        <v>40</v>
      </c>
    </row>
    <row r="30" spans="1:69">
      <c r="A30" s="1" t="s">
        <v>146</v>
      </c>
      <c r="B30" s="1" t="s">
        <v>147</v>
      </c>
      <c r="C30" s="1" t="s">
        <v>673</v>
      </c>
      <c r="D30" s="1" t="s">
        <v>709</v>
      </c>
      <c r="E30" s="7" t="s">
        <v>719</v>
      </c>
      <c r="F30" s="7" t="s">
        <v>724</v>
      </c>
      <c r="G30" s="7" t="s">
        <v>729</v>
      </c>
      <c r="H30" s="13">
        <v>12.39</v>
      </c>
      <c r="I30" s="13">
        <f t="shared" si="2"/>
        <v>9.2925000000000004</v>
      </c>
      <c r="J30" s="13">
        <v>4.6379999999999999</v>
      </c>
      <c r="K30" s="3">
        <v>1</v>
      </c>
      <c r="L30" s="3">
        <v>0.6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3">
        <f t="shared" si="1"/>
        <v>0</v>
      </c>
      <c r="BN30" s="3">
        <v>0</v>
      </c>
      <c r="BO30" s="24">
        <f>Tabla2[[#This Row],[CONSUMO TOTAL VALORES]]/52</f>
        <v>0</v>
      </c>
      <c r="BP30" s="74">
        <f>Tabla2[[#This Row],[CONSUMO PROMEDIO]]*Tabla2[[#This Row],[FRECUENCIA]]*Tabla2[[#This Row],[TIEMPO REPOSICION ]]*1.5*2.4</f>
        <v>0</v>
      </c>
      <c r="BQ30">
        <v>20</v>
      </c>
    </row>
    <row r="31" spans="1:69">
      <c r="A31" s="1" t="s">
        <v>148</v>
      </c>
      <c r="B31" s="1" t="s">
        <v>149</v>
      </c>
      <c r="C31" s="1" t="s">
        <v>2</v>
      </c>
      <c r="D31" s="1" t="s">
        <v>709</v>
      </c>
      <c r="E31" s="7" t="s">
        <v>719</v>
      </c>
      <c r="F31" s="7" t="s">
        <v>724</v>
      </c>
      <c r="G31" s="7" t="s">
        <v>729</v>
      </c>
      <c r="H31" s="13">
        <v>23.9</v>
      </c>
      <c r="I31" s="13">
        <f t="shared" si="2"/>
        <v>17.924999999999997</v>
      </c>
      <c r="J31" s="13">
        <v>9.1568299999999994</v>
      </c>
      <c r="K31" s="3">
        <v>1</v>
      </c>
      <c r="L31" s="3">
        <v>0.6</v>
      </c>
      <c r="M31" s="1">
        <v>0</v>
      </c>
      <c r="N31" s="1">
        <v>2</v>
      </c>
      <c r="O31" s="1">
        <v>0</v>
      </c>
      <c r="P31" s="1">
        <v>2</v>
      </c>
      <c r="Q31" s="1">
        <v>0</v>
      </c>
      <c r="R31" s="1">
        <v>4</v>
      </c>
      <c r="S31" s="1">
        <v>5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4</v>
      </c>
      <c r="Z31" s="1">
        <v>0</v>
      </c>
      <c r="AA31" s="1">
        <v>0</v>
      </c>
      <c r="AB31" s="1">
        <v>0</v>
      </c>
      <c r="AC31" s="1">
        <v>1</v>
      </c>
      <c r="AD31" s="1">
        <v>0</v>
      </c>
      <c r="AE31" s="1">
        <v>0</v>
      </c>
      <c r="AF31" s="1">
        <v>0</v>
      </c>
      <c r="AG31" s="1">
        <v>2</v>
      </c>
      <c r="AH31" s="1">
        <v>0</v>
      </c>
      <c r="AI31" s="1">
        <v>0</v>
      </c>
      <c r="AJ31" s="1">
        <v>0</v>
      </c>
      <c r="AK31" s="1">
        <v>0</v>
      </c>
      <c r="AL31" s="1">
        <v>20</v>
      </c>
      <c r="AM31" s="1">
        <v>1</v>
      </c>
      <c r="AN31" s="1">
        <v>0</v>
      </c>
      <c r="AO31" s="1">
        <v>1</v>
      </c>
      <c r="AP31" s="1">
        <v>0</v>
      </c>
      <c r="AQ31" s="1">
        <v>0</v>
      </c>
      <c r="AR31" s="1">
        <v>0</v>
      </c>
      <c r="AS31" s="1">
        <v>43</v>
      </c>
      <c r="AT31" s="1">
        <v>20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20</v>
      </c>
      <c r="BK31" s="1">
        <v>20</v>
      </c>
      <c r="BL31" s="1">
        <v>0</v>
      </c>
      <c r="BM31" s="3">
        <f t="shared" si="1"/>
        <v>145</v>
      </c>
      <c r="BN31" s="3">
        <v>145</v>
      </c>
      <c r="BO31" s="24">
        <f>Tabla2[[#This Row],[CONSUMO TOTAL VALORES]]/52</f>
        <v>2.7884615384615383</v>
      </c>
      <c r="BP31" s="74">
        <f>Tabla2[[#This Row],[CONSUMO PROMEDIO]]*Tabla2[[#This Row],[FRECUENCIA]]*Tabla2[[#This Row],[TIEMPO REPOSICION ]]*1.5*2.4</f>
        <v>6.0230769230769221</v>
      </c>
      <c r="BQ31">
        <v>10</v>
      </c>
    </row>
    <row r="32" spans="1:69">
      <c r="A32" s="1" t="s">
        <v>150</v>
      </c>
      <c r="B32" s="1" t="s">
        <v>151</v>
      </c>
      <c r="C32" s="1" t="s">
        <v>682</v>
      </c>
      <c r="D32" s="1" t="s">
        <v>709</v>
      </c>
      <c r="E32" s="7" t="s">
        <v>719</v>
      </c>
      <c r="F32" s="7" t="s">
        <v>724</v>
      </c>
      <c r="G32" s="7" t="s">
        <v>729</v>
      </c>
      <c r="H32" s="13">
        <v>16.5</v>
      </c>
      <c r="I32" s="13">
        <f t="shared" si="2"/>
        <v>12.375</v>
      </c>
      <c r="J32" s="13">
        <v>10.832000000000001</v>
      </c>
      <c r="K32" s="3">
        <v>1</v>
      </c>
      <c r="L32" s="3">
        <v>0.6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3">
        <f t="shared" si="1"/>
        <v>0</v>
      </c>
      <c r="BN32" s="3">
        <v>0</v>
      </c>
      <c r="BO32" s="24">
        <f>Tabla2[[#This Row],[CONSUMO TOTAL VALORES]]/52</f>
        <v>0</v>
      </c>
      <c r="BP32" s="74">
        <f>Tabla2[[#This Row],[CONSUMO PROMEDIO]]*Tabla2[[#This Row],[FRECUENCIA]]*Tabla2[[#This Row],[TIEMPO REPOSICION ]]*1.5*2.4</f>
        <v>0</v>
      </c>
      <c r="BQ32">
        <v>0</v>
      </c>
    </row>
    <row r="33" spans="1:69">
      <c r="A33" s="1" t="s">
        <v>152</v>
      </c>
      <c r="B33" s="1" t="s">
        <v>153</v>
      </c>
      <c r="C33" s="1" t="s">
        <v>676</v>
      </c>
      <c r="D33" s="1" t="s">
        <v>709</v>
      </c>
      <c r="E33" s="7" t="s">
        <v>719</v>
      </c>
      <c r="F33" s="7" t="s">
        <v>724</v>
      </c>
      <c r="G33" s="7" t="s">
        <v>729</v>
      </c>
      <c r="H33" s="13">
        <v>33</v>
      </c>
      <c r="I33" s="13">
        <f t="shared" si="2"/>
        <v>24.75</v>
      </c>
      <c r="J33" s="13">
        <v>22.288</v>
      </c>
      <c r="K33" s="3">
        <v>1</v>
      </c>
      <c r="L33" s="3">
        <v>0.6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3">
        <f t="shared" si="1"/>
        <v>0</v>
      </c>
      <c r="BN33" s="3">
        <v>0</v>
      </c>
      <c r="BO33" s="24">
        <f>Tabla2[[#This Row],[CONSUMO TOTAL VALORES]]/52</f>
        <v>0</v>
      </c>
      <c r="BP33" s="74">
        <f>Tabla2[[#This Row],[CONSUMO PROMEDIO]]*Tabla2[[#This Row],[FRECUENCIA]]*Tabla2[[#This Row],[TIEMPO REPOSICION ]]*1.5*2.4</f>
        <v>0</v>
      </c>
      <c r="BQ33">
        <v>0</v>
      </c>
    </row>
    <row r="34" spans="1:69">
      <c r="A34" s="7" t="s">
        <v>736</v>
      </c>
      <c r="B34" s="7" t="s">
        <v>739</v>
      </c>
      <c r="C34" s="7" t="s">
        <v>744</v>
      </c>
      <c r="D34" s="7" t="s">
        <v>712</v>
      </c>
      <c r="E34" s="7" t="s">
        <v>732</v>
      </c>
      <c r="F34" s="7" t="s">
        <v>724</v>
      </c>
      <c r="G34" s="7" t="s">
        <v>729</v>
      </c>
      <c r="H34" s="13">
        <v>5.2</v>
      </c>
      <c r="I34" s="13">
        <f>+H34*85%</f>
        <v>4.42</v>
      </c>
      <c r="J34" s="13">
        <v>2.89</v>
      </c>
      <c r="K34" s="3">
        <v>1</v>
      </c>
      <c r="L34" s="3">
        <v>0.6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3">
        <f t="shared" ref="BM34:BM61" si="3">SUM(M34:BL34)</f>
        <v>0</v>
      </c>
      <c r="BN34" s="3">
        <v>0</v>
      </c>
      <c r="BO34" s="24">
        <f>Tabla2[[#This Row],[CONSUMO TOTAL VALORES]]/52</f>
        <v>0</v>
      </c>
      <c r="BP34" s="74">
        <f>Tabla2[[#This Row],[CONSUMO PROMEDIO]]*Tabla2[[#This Row],[FRECUENCIA]]*Tabla2[[#This Row],[TIEMPO REPOSICION ]]*1.5*2.4</f>
        <v>0</v>
      </c>
      <c r="BQ34">
        <v>0</v>
      </c>
    </row>
    <row r="35" spans="1:69">
      <c r="A35" s="7" t="s">
        <v>738</v>
      </c>
      <c r="B35" s="7" t="s">
        <v>741</v>
      </c>
      <c r="C35" s="7" t="s">
        <v>745</v>
      </c>
      <c r="D35" s="7" t="s">
        <v>712</v>
      </c>
      <c r="E35" s="7" t="s">
        <v>732</v>
      </c>
      <c r="F35" s="7" t="s">
        <v>724</v>
      </c>
      <c r="G35" s="7" t="s">
        <v>729</v>
      </c>
      <c r="H35" s="13">
        <v>840</v>
      </c>
      <c r="I35" s="13">
        <f>+H35*85%</f>
        <v>714</v>
      </c>
      <c r="J35" s="13">
        <v>513.13</v>
      </c>
      <c r="K35" s="3">
        <v>1</v>
      </c>
      <c r="L35" s="3">
        <v>0.6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3">
        <f t="shared" si="3"/>
        <v>0</v>
      </c>
      <c r="BN35" s="3">
        <v>0</v>
      </c>
      <c r="BO35" s="24">
        <f>Tabla2[[#This Row],[CONSUMO TOTAL VALORES]]/52</f>
        <v>0</v>
      </c>
      <c r="BP35" s="74">
        <f>Tabla2[[#This Row],[CONSUMO PROMEDIO]]*Tabla2[[#This Row],[FRECUENCIA]]*Tabla2[[#This Row],[TIEMPO REPOSICION ]]*1.5*2.4</f>
        <v>0</v>
      </c>
      <c r="BQ35">
        <v>0</v>
      </c>
    </row>
    <row r="36" spans="1:69">
      <c r="A36" s="7" t="s">
        <v>737</v>
      </c>
      <c r="B36" s="7" t="s">
        <v>740</v>
      </c>
      <c r="C36" s="7" t="s">
        <v>681</v>
      </c>
      <c r="D36" s="7" t="s">
        <v>712</v>
      </c>
      <c r="E36" s="7" t="s">
        <v>732</v>
      </c>
      <c r="F36" s="7" t="s">
        <v>724</v>
      </c>
      <c r="G36" s="7" t="s">
        <v>729</v>
      </c>
      <c r="H36" s="13">
        <v>171</v>
      </c>
      <c r="I36" s="13">
        <f>+H36*85%</f>
        <v>145.35</v>
      </c>
      <c r="J36" s="13">
        <v>99.41</v>
      </c>
      <c r="K36" s="3">
        <v>1</v>
      </c>
      <c r="L36" s="3">
        <v>0.6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3">
        <f t="shared" si="3"/>
        <v>0</v>
      </c>
      <c r="BN36" s="3">
        <v>0</v>
      </c>
      <c r="BO36" s="24">
        <f>Tabla2[[#This Row],[CONSUMO TOTAL VALORES]]/52</f>
        <v>0</v>
      </c>
      <c r="BP36" s="74">
        <f>Tabla2[[#This Row],[CONSUMO PROMEDIO]]*Tabla2[[#This Row],[FRECUENCIA]]*Tabla2[[#This Row],[TIEMPO REPOSICION ]]*1.5*2.4</f>
        <v>0</v>
      </c>
      <c r="BQ36">
        <v>0</v>
      </c>
    </row>
    <row r="37" spans="1:69">
      <c r="A37" s="7" t="s">
        <v>742</v>
      </c>
      <c r="B37" s="7" t="s">
        <v>743</v>
      </c>
      <c r="C37" s="7" t="s">
        <v>676</v>
      </c>
      <c r="D37" s="7" t="s">
        <v>712</v>
      </c>
      <c r="E37" s="7" t="s">
        <v>732</v>
      </c>
      <c r="F37" s="7" t="s">
        <v>724</v>
      </c>
      <c r="G37" s="7" t="s">
        <v>729</v>
      </c>
      <c r="H37" s="13">
        <v>49.8</v>
      </c>
      <c r="I37" s="13">
        <f>+H37*85%</f>
        <v>42.33</v>
      </c>
      <c r="J37" s="13">
        <v>27.4</v>
      </c>
      <c r="K37" s="3">
        <v>1</v>
      </c>
      <c r="L37" s="3">
        <v>0.6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3">
        <f t="shared" si="3"/>
        <v>0</v>
      </c>
      <c r="BN37" s="3">
        <v>0</v>
      </c>
      <c r="BO37" s="24">
        <f>Tabla2[[#This Row],[CONSUMO TOTAL VALORES]]/52</f>
        <v>0</v>
      </c>
      <c r="BP37" s="74">
        <f>Tabla2[[#This Row],[CONSUMO PROMEDIO]]*Tabla2[[#This Row],[FRECUENCIA]]*Tabla2[[#This Row],[TIEMPO REPOSICION ]]*1.5*2.4</f>
        <v>0</v>
      </c>
      <c r="BQ37">
        <v>0</v>
      </c>
    </row>
    <row r="38" spans="1:69">
      <c r="A38" s="1" t="s">
        <v>162</v>
      </c>
      <c r="B38" s="1" t="s">
        <v>163</v>
      </c>
      <c r="C38" s="1" t="s">
        <v>682</v>
      </c>
      <c r="D38" s="1" t="s">
        <v>712</v>
      </c>
      <c r="E38" s="7" t="s">
        <v>715</v>
      </c>
      <c r="F38" s="7" t="s">
        <v>724</v>
      </c>
      <c r="G38" s="7" t="s">
        <v>729</v>
      </c>
      <c r="H38" s="13">
        <v>5.7</v>
      </c>
      <c r="I38" s="13">
        <f t="shared" ref="I38:I44" si="4">+H38*75%</f>
        <v>4.2750000000000004</v>
      </c>
      <c r="J38" s="13">
        <v>1.7667200000000001</v>
      </c>
      <c r="K38" s="3">
        <v>1</v>
      </c>
      <c r="L38" s="3">
        <v>0.6</v>
      </c>
      <c r="M38" s="1">
        <v>0</v>
      </c>
      <c r="N38" s="1">
        <v>0</v>
      </c>
      <c r="O38" s="1">
        <v>0</v>
      </c>
      <c r="P38" s="1">
        <v>34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32</v>
      </c>
      <c r="X38" s="1">
        <v>0</v>
      </c>
      <c r="Y38" s="1">
        <v>16</v>
      </c>
      <c r="Z38" s="1">
        <v>53</v>
      </c>
      <c r="AA38" s="1">
        <v>0</v>
      </c>
      <c r="AB38" s="1">
        <v>10</v>
      </c>
      <c r="AC38" s="1">
        <v>0</v>
      </c>
      <c r="AD38" s="1">
        <v>26</v>
      </c>
      <c r="AE38" s="1">
        <v>0</v>
      </c>
      <c r="AF38" s="1">
        <v>72</v>
      </c>
      <c r="AG38" s="1">
        <v>20</v>
      </c>
      <c r="AH38" s="1">
        <v>10</v>
      </c>
      <c r="AI38" s="1">
        <v>0</v>
      </c>
      <c r="AJ38" s="1">
        <v>0</v>
      </c>
      <c r="AK38" s="1">
        <v>30</v>
      </c>
      <c r="AL38" s="1">
        <v>0</v>
      </c>
      <c r="AM38" s="1">
        <v>39</v>
      </c>
      <c r="AN38" s="1">
        <v>0</v>
      </c>
      <c r="AO38" s="1">
        <v>10</v>
      </c>
      <c r="AP38" s="1">
        <v>20</v>
      </c>
      <c r="AQ38" s="1">
        <v>72</v>
      </c>
      <c r="AR38" s="1">
        <v>24</v>
      </c>
      <c r="AS38" s="1">
        <v>18</v>
      </c>
      <c r="AT38" s="1">
        <v>0</v>
      </c>
      <c r="AU38" s="1">
        <v>0</v>
      </c>
      <c r="AV38" s="1">
        <v>30</v>
      </c>
      <c r="AW38" s="1">
        <v>0</v>
      </c>
      <c r="AX38" s="1">
        <v>0</v>
      </c>
      <c r="AY38" s="1">
        <v>0</v>
      </c>
      <c r="AZ38" s="1">
        <v>58</v>
      </c>
      <c r="BA38" s="1">
        <v>0</v>
      </c>
      <c r="BB38" s="1">
        <v>50</v>
      </c>
      <c r="BC38" s="1">
        <v>0</v>
      </c>
      <c r="BD38" s="1">
        <v>0</v>
      </c>
      <c r="BE38" s="1">
        <v>0</v>
      </c>
      <c r="BF38" s="1">
        <v>0</v>
      </c>
      <c r="BG38" s="1">
        <v>30</v>
      </c>
      <c r="BH38" s="1">
        <v>0</v>
      </c>
      <c r="BI38" s="1">
        <v>0</v>
      </c>
      <c r="BJ38" s="1">
        <v>30</v>
      </c>
      <c r="BK38" s="1">
        <v>32</v>
      </c>
      <c r="BL38" s="1">
        <v>30</v>
      </c>
      <c r="BM38" s="3">
        <f t="shared" si="3"/>
        <v>746</v>
      </c>
      <c r="BN38" s="3">
        <v>746</v>
      </c>
      <c r="BO38" s="24">
        <f>Tabla2[[#This Row],[CONSUMO TOTAL VALORES]]/52</f>
        <v>14.346153846153847</v>
      </c>
      <c r="BP38" s="74">
        <f>Tabla2[[#This Row],[CONSUMO PROMEDIO]]*Tabla2[[#This Row],[FRECUENCIA]]*Tabla2[[#This Row],[TIEMPO REPOSICION ]]*1.5*2.4</f>
        <v>30.987692307692306</v>
      </c>
      <c r="BQ38">
        <v>40</v>
      </c>
    </row>
    <row r="39" spans="1:69">
      <c r="A39" s="1" t="s">
        <v>164</v>
      </c>
      <c r="B39" s="1" t="s">
        <v>165</v>
      </c>
      <c r="C39" s="1" t="s">
        <v>682</v>
      </c>
      <c r="D39" s="1" t="s">
        <v>712</v>
      </c>
      <c r="E39" s="7" t="s">
        <v>715</v>
      </c>
      <c r="F39" s="7" t="s">
        <v>724</v>
      </c>
      <c r="G39" s="7" t="s">
        <v>729</v>
      </c>
      <c r="H39" s="13">
        <v>10.69</v>
      </c>
      <c r="I39" s="13">
        <f t="shared" si="4"/>
        <v>8.0175000000000001</v>
      </c>
      <c r="J39" s="13">
        <v>5.3186400000000003</v>
      </c>
      <c r="K39" s="3">
        <v>1</v>
      </c>
      <c r="L39" s="3">
        <v>0.6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4</v>
      </c>
      <c r="AS39" s="1">
        <v>0</v>
      </c>
      <c r="AT39" s="1">
        <v>0</v>
      </c>
      <c r="AU39" s="1">
        <v>0</v>
      </c>
      <c r="AV39" s="1">
        <v>4</v>
      </c>
      <c r="AW39" s="1">
        <v>0</v>
      </c>
      <c r="AX39" s="1">
        <v>6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4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3">
        <f t="shared" si="3"/>
        <v>18</v>
      </c>
      <c r="BN39" s="3">
        <v>18</v>
      </c>
      <c r="BO39" s="24">
        <f>Tabla2[[#This Row],[CONSUMO TOTAL VALORES]]/52</f>
        <v>0.34615384615384615</v>
      </c>
      <c r="BP39" s="74">
        <f>Tabla2[[#This Row],[CONSUMO PROMEDIO]]*Tabla2[[#This Row],[FRECUENCIA]]*Tabla2[[#This Row],[TIEMPO REPOSICION ]]*1.5*2.4</f>
        <v>0.74769230769230766</v>
      </c>
      <c r="BQ39">
        <v>0</v>
      </c>
    </row>
    <row r="40" spans="1:69">
      <c r="A40" s="1" t="s">
        <v>166</v>
      </c>
      <c r="B40" s="1" t="s">
        <v>167</v>
      </c>
      <c r="C40" s="1" t="s">
        <v>676</v>
      </c>
      <c r="D40" s="1" t="s">
        <v>712</v>
      </c>
      <c r="E40" s="7" t="s">
        <v>715</v>
      </c>
      <c r="F40" s="7" t="s">
        <v>724</v>
      </c>
      <c r="G40" s="7" t="s">
        <v>729</v>
      </c>
      <c r="H40" s="13">
        <v>20.49</v>
      </c>
      <c r="I40" s="13">
        <f t="shared" si="4"/>
        <v>15.3675</v>
      </c>
      <c r="J40" s="13">
        <v>7.0758799999999997</v>
      </c>
      <c r="K40" s="3">
        <v>1</v>
      </c>
      <c r="L40" s="3">
        <v>0.6</v>
      </c>
      <c r="M40" s="1">
        <v>0</v>
      </c>
      <c r="N40" s="1">
        <v>0</v>
      </c>
      <c r="O40" s="1">
        <v>0</v>
      </c>
      <c r="P40" s="1">
        <v>2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9</v>
      </c>
      <c r="X40" s="1">
        <v>0</v>
      </c>
      <c r="Y40" s="1">
        <v>4</v>
      </c>
      <c r="Z40" s="1">
        <v>0</v>
      </c>
      <c r="AA40" s="1">
        <v>0</v>
      </c>
      <c r="AB40" s="1">
        <v>5</v>
      </c>
      <c r="AC40" s="1">
        <v>0</v>
      </c>
      <c r="AD40" s="1">
        <v>0</v>
      </c>
      <c r="AE40" s="1">
        <v>0</v>
      </c>
      <c r="AF40" s="1">
        <v>1</v>
      </c>
      <c r="AG40" s="1">
        <v>0</v>
      </c>
      <c r="AH40" s="1">
        <v>4</v>
      </c>
      <c r="AI40" s="1">
        <v>0</v>
      </c>
      <c r="AJ40" s="1">
        <v>0</v>
      </c>
      <c r="AK40" s="1">
        <v>1</v>
      </c>
      <c r="AL40" s="1">
        <v>0</v>
      </c>
      <c r="AM40" s="1">
        <v>0</v>
      </c>
      <c r="AN40" s="1">
        <v>0</v>
      </c>
      <c r="AO40" s="1">
        <v>2</v>
      </c>
      <c r="AP40" s="1">
        <v>0</v>
      </c>
      <c r="AQ40" s="1">
        <v>2</v>
      </c>
      <c r="AR40" s="1">
        <v>10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40</v>
      </c>
      <c r="BA40" s="1">
        <v>9</v>
      </c>
      <c r="BB40" s="1">
        <v>0</v>
      </c>
      <c r="BC40" s="1">
        <v>20</v>
      </c>
      <c r="BD40" s="1">
        <v>0</v>
      </c>
      <c r="BE40" s="1">
        <v>40</v>
      </c>
      <c r="BF40" s="1">
        <v>20</v>
      </c>
      <c r="BG40" s="1">
        <v>5</v>
      </c>
      <c r="BH40" s="1">
        <v>0</v>
      </c>
      <c r="BI40" s="1">
        <v>0</v>
      </c>
      <c r="BJ40" s="1">
        <v>0</v>
      </c>
      <c r="BK40" s="1">
        <v>0</v>
      </c>
      <c r="BL40" s="1">
        <v>10</v>
      </c>
      <c r="BM40" s="3">
        <f t="shared" si="3"/>
        <v>184</v>
      </c>
      <c r="BN40" s="3">
        <v>184</v>
      </c>
      <c r="BO40" s="24">
        <f>Tabla2[[#This Row],[CONSUMO TOTAL VALORES]]/52</f>
        <v>3.5384615384615383</v>
      </c>
      <c r="BP40" s="74">
        <f>Tabla2[[#This Row],[CONSUMO PROMEDIO]]*Tabla2[[#This Row],[FRECUENCIA]]*Tabla2[[#This Row],[TIEMPO REPOSICION ]]*1.5*2.4</f>
        <v>7.6430769230769231</v>
      </c>
      <c r="BQ40">
        <v>20</v>
      </c>
    </row>
    <row r="41" spans="1:69">
      <c r="A41" s="1" t="s">
        <v>209</v>
      </c>
      <c r="B41" s="1" t="s">
        <v>210</v>
      </c>
      <c r="C41" s="1" t="s">
        <v>694</v>
      </c>
      <c r="D41" s="1" t="s">
        <v>709</v>
      </c>
      <c r="E41" s="7" t="s">
        <v>719</v>
      </c>
      <c r="F41" s="7" t="s">
        <v>724</v>
      </c>
      <c r="G41" s="7" t="s">
        <v>729</v>
      </c>
      <c r="H41" s="13">
        <v>8.9</v>
      </c>
      <c r="I41" s="13">
        <f t="shared" si="4"/>
        <v>6.6750000000000007</v>
      </c>
      <c r="J41" s="13">
        <v>2.68</v>
      </c>
      <c r="K41" s="3">
        <v>1</v>
      </c>
      <c r="L41" s="3">
        <v>0.6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3">
        <f t="shared" si="3"/>
        <v>0</v>
      </c>
      <c r="BN41" s="3">
        <v>0</v>
      </c>
      <c r="BO41" s="24">
        <f>Tabla2[[#This Row],[CONSUMO TOTAL VALORES]]/52</f>
        <v>0</v>
      </c>
      <c r="BP41" s="74">
        <f>Tabla2[[#This Row],[CONSUMO PROMEDIO]]*Tabla2[[#This Row],[FRECUENCIA]]*Tabla2[[#This Row],[TIEMPO REPOSICION ]]*1.5*2.4</f>
        <v>0</v>
      </c>
      <c r="BQ41">
        <v>0</v>
      </c>
    </row>
    <row r="42" spans="1:69">
      <c r="A42" s="1" t="s">
        <v>211</v>
      </c>
      <c r="B42" s="1" t="s">
        <v>212</v>
      </c>
      <c r="C42" s="1" t="s">
        <v>694</v>
      </c>
      <c r="D42" s="1" t="s">
        <v>709</v>
      </c>
      <c r="E42" s="7" t="s">
        <v>719</v>
      </c>
      <c r="F42" s="7" t="s">
        <v>724</v>
      </c>
      <c r="G42" s="7" t="s">
        <v>729</v>
      </c>
      <c r="H42" s="13">
        <v>8.9</v>
      </c>
      <c r="I42" s="13">
        <f t="shared" si="4"/>
        <v>6.6750000000000007</v>
      </c>
      <c r="J42" s="13">
        <v>2.57334</v>
      </c>
      <c r="K42" s="3">
        <v>1</v>
      </c>
      <c r="L42" s="3">
        <v>0.6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200</v>
      </c>
      <c r="AY42" s="1">
        <v>0</v>
      </c>
      <c r="AZ42" s="1">
        <v>0</v>
      </c>
      <c r="BA42" s="1">
        <v>80</v>
      </c>
      <c r="BB42" s="1">
        <v>0</v>
      </c>
      <c r="BC42" s="1">
        <v>0</v>
      </c>
      <c r="BD42" s="1">
        <v>16</v>
      </c>
      <c r="BE42" s="1">
        <v>0</v>
      </c>
      <c r="BF42" s="1">
        <v>0</v>
      </c>
      <c r="BG42" s="1">
        <v>0</v>
      </c>
      <c r="BH42" s="1">
        <v>20</v>
      </c>
      <c r="BI42" s="1">
        <v>0</v>
      </c>
      <c r="BJ42" s="1">
        <v>0</v>
      </c>
      <c r="BK42" s="1">
        <v>0</v>
      </c>
      <c r="BL42" s="1">
        <v>0</v>
      </c>
      <c r="BM42" s="3">
        <f t="shared" si="3"/>
        <v>316</v>
      </c>
      <c r="BN42" s="3">
        <v>316</v>
      </c>
      <c r="BO42" s="24">
        <f>Tabla2[[#This Row],[CONSUMO TOTAL VALORES]]/52</f>
        <v>6.0769230769230766</v>
      </c>
      <c r="BP42" s="74">
        <f>Tabla2[[#This Row],[CONSUMO PROMEDIO]]*Tabla2[[#This Row],[FRECUENCIA]]*Tabla2[[#This Row],[TIEMPO REPOSICION ]]*1.5*2.4</f>
        <v>13.126153846153844</v>
      </c>
      <c r="BQ42">
        <v>100</v>
      </c>
    </row>
    <row r="43" spans="1:69">
      <c r="A43" s="1" t="s">
        <v>215</v>
      </c>
      <c r="B43" s="1" t="s">
        <v>216</v>
      </c>
      <c r="C43" s="1" t="s">
        <v>690</v>
      </c>
      <c r="D43" s="1" t="s">
        <v>709</v>
      </c>
      <c r="E43" s="7" t="s">
        <v>719</v>
      </c>
      <c r="F43" s="7" t="s">
        <v>724</v>
      </c>
      <c r="G43" s="7" t="s">
        <v>729</v>
      </c>
      <c r="H43" s="13">
        <v>42</v>
      </c>
      <c r="I43" s="13">
        <f t="shared" si="4"/>
        <v>31.5</v>
      </c>
      <c r="J43" s="13">
        <v>12.922000000000001</v>
      </c>
      <c r="K43" s="3">
        <v>1</v>
      </c>
      <c r="L43" s="3">
        <v>0.6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3">
        <f t="shared" si="3"/>
        <v>0</v>
      </c>
      <c r="BN43" s="3">
        <v>0</v>
      </c>
      <c r="BO43" s="24">
        <f>Tabla2[[#This Row],[CONSUMO TOTAL VALORES]]/52</f>
        <v>0</v>
      </c>
      <c r="BP43" s="74">
        <f>Tabla2[[#This Row],[CONSUMO PROMEDIO]]*Tabla2[[#This Row],[FRECUENCIA]]*Tabla2[[#This Row],[TIEMPO REPOSICION ]]*1.5*2.4</f>
        <v>0</v>
      </c>
      <c r="BQ43">
        <v>0</v>
      </c>
    </row>
    <row r="44" spans="1:69">
      <c r="A44" s="1" t="s">
        <v>217</v>
      </c>
      <c r="B44" s="1" t="s">
        <v>218</v>
      </c>
      <c r="C44" s="1" t="s">
        <v>694</v>
      </c>
      <c r="D44" s="1" t="s">
        <v>709</v>
      </c>
      <c r="E44" s="7" t="s">
        <v>719</v>
      </c>
      <c r="F44" s="7" t="s">
        <v>724</v>
      </c>
      <c r="G44" s="7" t="s">
        <v>729</v>
      </c>
      <c r="H44" s="13">
        <v>8.9</v>
      </c>
      <c r="I44" s="13">
        <f t="shared" si="4"/>
        <v>6.6750000000000007</v>
      </c>
      <c r="J44" s="13">
        <v>2.56</v>
      </c>
      <c r="K44" s="3">
        <v>1</v>
      </c>
      <c r="L44" s="3">
        <v>0.6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3">
        <f t="shared" si="3"/>
        <v>0</v>
      </c>
      <c r="BN44" s="3">
        <v>0</v>
      </c>
      <c r="BO44" s="24">
        <f>Tabla2[[#This Row],[CONSUMO TOTAL VALORES]]/52</f>
        <v>0</v>
      </c>
      <c r="BP44" s="74">
        <f>Tabla2[[#This Row],[CONSUMO PROMEDIO]]*Tabla2[[#This Row],[FRECUENCIA]]*Tabla2[[#This Row],[TIEMPO REPOSICION ]]*1.5*2.4</f>
        <v>0</v>
      </c>
      <c r="BQ44">
        <v>0</v>
      </c>
    </row>
    <row r="45" spans="1:69">
      <c r="A45" s="1" t="s">
        <v>219</v>
      </c>
      <c r="B45" s="1" t="s">
        <v>220</v>
      </c>
      <c r="C45" s="1" t="s">
        <v>676</v>
      </c>
      <c r="D45" s="1" t="s">
        <v>707</v>
      </c>
      <c r="E45" s="7" t="s">
        <v>732</v>
      </c>
      <c r="F45" s="7" t="s">
        <v>724</v>
      </c>
      <c r="G45" s="7" t="s">
        <v>729</v>
      </c>
      <c r="H45" s="13">
        <v>30.9</v>
      </c>
      <c r="I45" s="13">
        <f>+H45*85%</f>
        <v>26.264999999999997</v>
      </c>
      <c r="J45" s="13">
        <v>20.172999999999998</v>
      </c>
      <c r="K45" s="3">
        <v>1</v>
      </c>
      <c r="L45" s="3">
        <v>0.6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3">
        <f t="shared" si="3"/>
        <v>0</v>
      </c>
      <c r="BN45" s="3">
        <v>0</v>
      </c>
      <c r="BO45" s="24">
        <f>Tabla2[[#This Row],[CONSUMO TOTAL VALORES]]/52</f>
        <v>0</v>
      </c>
      <c r="BP45" s="74">
        <f>Tabla2[[#This Row],[CONSUMO PROMEDIO]]*Tabla2[[#This Row],[FRECUENCIA]]*Tabla2[[#This Row],[TIEMPO REPOSICION ]]*1.5*2.4</f>
        <v>0</v>
      </c>
      <c r="BQ45">
        <v>0</v>
      </c>
    </row>
    <row r="46" spans="1:69">
      <c r="A46" s="1" t="s">
        <v>227</v>
      </c>
      <c r="B46" s="1" t="s">
        <v>228</v>
      </c>
      <c r="C46" s="1" t="s">
        <v>2</v>
      </c>
      <c r="D46" s="1" t="s">
        <v>709</v>
      </c>
      <c r="E46" s="7" t="s">
        <v>719</v>
      </c>
      <c r="F46" s="7" t="s">
        <v>724</v>
      </c>
      <c r="G46" s="7" t="s">
        <v>729</v>
      </c>
      <c r="H46" s="13">
        <v>2.44</v>
      </c>
      <c r="I46" s="13">
        <f>+H46*75%</f>
        <v>1.83</v>
      </c>
      <c r="J46" s="13">
        <v>1.1113999999999999</v>
      </c>
      <c r="K46" s="3">
        <v>1</v>
      </c>
      <c r="L46" s="3">
        <v>0.6</v>
      </c>
      <c r="M46" s="1">
        <v>160</v>
      </c>
      <c r="N46" s="1">
        <v>25</v>
      </c>
      <c r="O46" s="1">
        <v>50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308</v>
      </c>
      <c r="X46" s="1">
        <v>93</v>
      </c>
      <c r="Y46" s="1">
        <v>0</v>
      </c>
      <c r="Z46" s="1">
        <v>17</v>
      </c>
      <c r="AA46" s="1">
        <v>0</v>
      </c>
      <c r="AB46" s="1">
        <v>0</v>
      </c>
      <c r="AC46" s="1">
        <v>0</v>
      </c>
      <c r="AD46" s="1">
        <v>52</v>
      </c>
      <c r="AE46" s="1">
        <v>12</v>
      </c>
      <c r="AF46" s="1">
        <v>100</v>
      </c>
      <c r="AG46" s="1">
        <v>0</v>
      </c>
      <c r="AH46" s="1">
        <v>0</v>
      </c>
      <c r="AI46" s="1">
        <v>0</v>
      </c>
      <c r="AJ46" s="1">
        <v>50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21</v>
      </c>
      <c r="AQ46" s="1">
        <v>100</v>
      </c>
      <c r="AR46" s="1">
        <v>108</v>
      </c>
      <c r="AS46" s="1">
        <v>200</v>
      </c>
      <c r="AT46" s="1">
        <v>200</v>
      </c>
      <c r="AU46" s="1">
        <v>0</v>
      </c>
      <c r="AV46" s="1">
        <v>30</v>
      </c>
      <c r="AW46" s="1">
        <v>6</v>
      </c>
      <c r="AX46" s="1">
        <v>89</v>
      </c>
      <c r="AY46" s="1">
        <v>0</v>
      </c>
      <c r="AZ46" s="1">
        <v>0</v>
      </c>
      <c r="BA46" s="1">
        <v>50</v>
      </c>
      <c r="BB46" s="1">
        <v>100</v>
      </c>
      <c r="BC46" s="1">
        <v>0</v>
      </c>
      <c r="BD46" s="1">
        <v>3</v>
      </c>
      <c r="BE46" s="1">
        <v>21</v>
      </c>
      <c r="BF46" s="1">
        <v>0</v>
      </c>
      <c r="BG46" s="1">
        <v>50</v>
      </c>
      <c r="BH46" s="1">
        <v>0</v>
      </c>
      <c r="BI46" s="1">
        <v>0</v>
      </c>
      <c r="BJ46" s="1">
        <v>78</v>
      </c>
      <c r="BK46" s="1">
        <v>50</v>
      </c>
      <c r="BL46" s="1">
        <v>54</v>
      </c>
      <c r="BM46" s="3">
        <f t="shared" si="3"/>
        <v>2027</v>
      </c>
      <c r="BN46" s="3">
        <v>2027</v>
      </c>
      <c r="BO46" s="24">
        <f>Tabla2[[#This Row],[CONSUMO TOTAL VALORES]]/52</f>
        <v>38.980769230769234</v>
      </c>
      <c r="BP46" s="74">
        <f>Tabla2[[#This Row],[CONSUMO PROMEDIO]]*Tabla2[[#This Row],[FRECUENCIA]]*Tabla2[[#This Row],[TIEMPO REPOSICION ]]*1.5*2.4</f>
        <v>84.19846153846153</v>
      </c>
      <c r="BQ46">
        <v>100</v>
      </c>
    </row>
    <row r="47" spans="1:69">
      <c r="A47" s="1" t="s">
        <v>229</v>
      </c>
      <c r="B47" s="1" t="s">
        <v>230</v>
      </c>
      <c r="C47" s="1" t="s">
        <v>2</v>
      </c>
      <c r="D47" s="1" t="s">
        <v>709</v>
      </c>
      <c r="E47" s="7" t="s">
        <v>719</v>
      </c>
      <c r="F47" s="7" t="s">
        <v>724</v>
      </c>
      <c r="G47" s="7" t="s">
        <v>729</v>
      </c>
      <c r="H47" s="13">
        <v>6.49</v>
      </c>
      <c r="I47" s="13">
        <f>+H47*75%</f>
        <v>4.8674999999999997</v>
      </c>
      <c r="J47" s="13">
        <v>2.9872800000000002</v>
      </c>
      <c r="K47" s="3">
        <v>1</v>
      </c>
      <c r="L47" s="3">
        <v>0.6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31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2</v>
      </c>
      <c r="AP47" s="1">
        <v>1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21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1</v>
      </c>
      <c r="BL47" s="1">
        <v>0</v>
      </c>
      <c r="BM47" s="3">
        <f t="shared" si="3"/>
        <v>56</v>
      </c>
      <c r="BN47" s="3">
        <v>56</v>
      </c>
      <c r="BO47" s="24">
        <f>Tabla2[[#This Row],[CONSUMO TOTAL VALORES]]/52</f>
        <v>1.0769230769230769</v>
      </c>
      <c r="BP47" s="74">
        <f>Tabla2[[#This Row],[CONSUMO PROMEDIO]]*Tabla2[[#This Row],[FRECUENCIA]]*Tabla2[[#This Row],[TIEMPO REPOSICION ]]*1.5*2.4</f>
        <v>2.3261538461538458</v>
      </c>
      <c r="BQ47">
        <v>40</v>
      </c>
    </row>
    <row r="48" spans="1:69">
      <c r="A48" s="20" t="s">
        <v>746</v>
      </c>
      <c r="B48" s="20" t="s">
        <v>747</v>
      </c>
      <c r="C48" s="20" t="s">
        <v>676</v>
      </c>
      <c r="D48" s="20" t="s">
        <v>709</v>
      </c>
      <c r="E48" s="7" t="s">
        <v>732</v>
      </c>
      <c r="F48" s="7" t="s">
        <v>724</v>
      </c>
      <c r="G48" s="7" t="s">
        <v>729</v>
      </c>
      <c r="H48" s="21">
        <v>13.24</v>
      </c>
      <c r="I48" s="13">
        <f>+H48*85%</f>
        <v>11.254</v>
      </c>
      <c r="J48" s="21">
        <v>8.15</v>
      </c>
      <c r="K48" s="3">
        <v>1</v>
      </c>
      <c r="L48" s="3">
        <v>0.6</v>
      </c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3">
        <f t="shared" si="3"/>
        <v>0</v>
      </c>
      <c r="BN48" s="20">
        <v>0</v>
      </c>
      <c r="BO48" s="24">
        <f>Tabla2[[#This Row],[CONSUMO TOTAL VALORES]]/52</f>
        <v>0</v>
      </c>
      <c r="BP48" s="74">
        <f>Tabla2[[#This Row],[CONSUMO PROMEDIO]]*Tabla2[[#This Row],[FRECUENCIA]]*Tabla2[[#This Row],[TIEMPO REPOSICION ]]*1.5*2.4</f>
        <v>0</v>
      </c>
      <c r="BQ48">
        <v>0</v>
      </c>
    </row>
    <row r="49" spans="1:70">
      <c r="A49" s="1" t="s">
        <v>462</v>
      </c>
      <c r="B49" s="1" t="s">
        <v>463</v>
      </c>
      <c r="C49" s="1" t="s">
        <v>682</v>
      </c>
      <c r="D49" s="1" t="s">
        <v>707</v>
      </c>
      <c r="E49" s="7" t="s">
        <v>715</v>
      </c>
      <c r="F49" s="7" t="s">
        <v>724</v>
      </c>
      <c r="G49" s="7" t="s">
        <v>729</v>
      </c>
      <c r="H49" s="13">
        <v>1.48</v>
      </c>
      <c r="I49" s="13">
        <v>1.48</v>
      </c>
      <c r="J49" s="13">
        <v>1.2250000000000001</v>
      </c>
      <c r="K49" s="3">
        <v>1</v>
      </c>
      <c r="L49" s="3">
        <v>0.6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3">
        <f t="shared" si="3"/>
        <v>0</v>
      </c>
      <c r="BN49" s="3">
        <v>0</v>
      </c>
      <c r="BO49" s="24">
        <f>Tabla2[[#This Row],[CONSUMO TOTAL VALORES]]/52</f>
        <v>0</v>
      </c>
      <c r="BP49" s="74">
        <f>Tabla2[[#This Row],[CONSUMO PROMEDIO]]*Tabla2[[#This Row],[FRECUENCIA]]*Tabla2[[#This Row],[TIEMPO REPOSICION ]]*1.5*2.4</f>
        <v>0</v>
      </c>
      <c r="BQ49">
        <v>0</v>
      </c>
    </row>
    <row r="50" spans="1:70">
      <c r="A50" s="1" t="s">
        <v>464</v>
      </c>
      <c r="B50" s="1" t="s">
        <v>465</v>
      </c>
      <c r="C50" s="1" t="s">
        <v>682</v>
      </c>
      <c r="D50" s="1" t="s">
        <v>707</v>
      </c>
      <c r="E50" s="7" t="s">
        <v>715</v>
      </c>
      <c r="F50" s="7" t="s">
        <v>724</v>
      </c>
      <c r="G50" s="7" t="s">
        <v>729</v>
      </c>
      <c r="H50" s="13">
        <v>2.95</v>
      </c>
      <c r="I50" s="13">
        <v>2.95</v>
      </c>
      <c r="J50" s="13">
        <v>2.1850000000000001</v>
      </c>
      <c r="K50" s="3">
        <v>1</v>
      </c>
      <c r="L50" s="3">
        <v>0.6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3">
        <f t="shared" si="3"/>
        <v>0</v>
      </c>
      <c r="BN50" s="3">
        <v>0</v>
      </c>
      <c r="BO50" s="24">
        <f>Tabla2[[#This Row],[CONSUMO TOTAL VALORES]]/52</f>
        <v>0</v>
      </c>
      <c r="BP50" s="74">
        <f>Tabla2[[#This Row],[CONSUMO PROMEDIO]]*Tabla2[[#This Row],[FRECUENCIA]]*Tabla2[[#This Row],[TIEMPO REPOSICION ]]*1.5*2.4</f>
        <v>0</v>
      </c>
      <c r="BQ50">
        <v>0</v>
      </c>
    </row>
    <row r="51" spans="1:70">
      <c r="A51" s="1" t="s">
        <v>466</v>
      </c>
      <c r="B51" s="1" t="s">
        <v>467</v>
      </c>
      <c r="C51" s="1" t="s">
        <v>676</v>
      </c>
      <c r="D51" s="1" t="s">
        <v>707</v>
      </c>
      <c r="E51" s="7" t="s">
        <v>715</v>
      </c>
      <c r="F51" s="7" t="s">
        <v>724</v>
      </c>
      <c r="G51" s="7" t="s">
        <v>729</v>
      </c>
      <c r="H51" s="13">
        <v>5.9</v>
      </c>
      <c r="I51" s="13">
        <v>5.9</v>
      </c>
      <c r="J51" s="13">
        <v>4.2649999999999997</v>
      </c>
      <c r="K51" s="3">
        <v>1</v>
      </c>
      <c r="L51" s="3">
        <v>0.6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3">
        <f t="shared" si="3"/>
        <v>0</v>
      </c>
      <c r="BN51" s="3">
        <v>0</v>
      </c>
      <c r="BO51" s="24">
        <f>Tabla2[[#This Row],[CONSUMO TOTAL VALORES]]/52</f>
        <v>0</v>
      </c>
      <c r="BP51" s="74">
        <f>Tabla2[[#This Row],[CONSUMO PROMEDIO]]*Tabla2[[#This Row],[FRECUENCIA]]*Tabla2[[#This Row],[TIEMPO REPOSICION ]]*1.5*2.4</f>
        <v>0</v>
      </c>
      <c r="BQ51">
        <v>0</v>
      </c>
    </row>
    <row r="52" spans="1:70">
      <c r="A52" s="1" t="s">
        <v>474</v>
      </c>
      <c r="B52" s="1" t="s">
        <v>475</v>
      </c>
      <c r="C52" s="1" t="s">
        <v>700</v>
      </c>
      <c r="D52" s="1" t="s">
        <v>709</v>
      </c>
      <c r="E52" s="7" t="s">
        <v>719</v>
      </c>
      <c r="F52" s="7" t="s">
        <v>724</v>
      </c>
      <c r="G52" s="7" t="s">
        <v>729</v>
      </c>
      <c r="H52" s="13">
        <v>8.9</v>
      </c>
      <c r="I52" s="13">
        <f>+H52*75%</f>
        <v>6.6750000000000007</v>
      </c>
      <c r="J52" s="13">
        <v>3.1481499999999998</v>
      </c>
      <c r="K52" s="3">
        <v>1</v>
      </c>
      <c r="L52" s="3">
        <v>0.6</v>
      </c>
      <c r="M52" s="1">
        <v>0</v>
      </c>
      <c r="N52" s="1">
        <v>0</v>
      </c>
      <c r="O52" s="1">
        <v>0</v>
      </c>
      <c r="P52" s="1">
        <v>10</v>
      </c>
      <c r="Q52" s="1">
        <v>0</v>
      </c>
      <c r="R52" s="1">
        <v>1</v>
      </c>
      <c r="S52" s="1">
        <v>0</v>
      </c>
      <c r="T52" s="1">
        <v>100</v>
      </c>
      <c r="U52" s="1">
        <v>0</v>
      </c>
      <c r="V52" s="1">
        <v>0</v>
      </c>
      <c r="W52" s="1">
        <v>100</v>
      </c>
      <c r="X52" s="1">
        <v>10</v>
      </c>
      <c r="Y52" s="1">
        <v>0</v>
      </c>
      <c r="Z52" s="1">
        <v>200</v>
      </c>
      <c r="AA52" s="1">
        <v>2</v>
      </c>
      <c r="AB52" s="1">
        <v>0</v>
      </c>
      <c r="AC52" s="1">
        <v>0</v>
      </c>
      <c r="AD52" s="1">
        <v>100</v>
      </c>
      <c r="AE52" s="1">
        <v>0</v>
      </c>
      <c r="AF52" s="1">
        <v>0</v>
      </c>
      <c r="AG52" s="1">
        <v>100</v>
      </c>
      <c r="AH52" s="1">
        <v>100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15</v>
      </c>
      <c r="AS52" s="1">
        <v>0</v>
      </c>
      <c r="AT52" s="1">
        <v>0</v>
      </c>
      <c r="AU52" s="1">
        <v>0</v>
      </c>
      <c r="AV52" s="1">
        <v>0</v>
      </c>
      <c r="AW52" s="1">
        <v>5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100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50</v>
      </c>
      <c r="BK52" s="1">
        <v>0</v>
      </c>
      <c r="BL52" s="1">
        <v>175</v>
      </c>
      <c r="BM52" s="3">
        <f t="shared" si="3"/>
        <v>1068</v>
      </c>
      <c r="BN52" s="3">
        <v>1068</v>
      </c>
      <c r="BO52" s="24">
        <f>Tabla2[[#This Row],[CONSUMO TOTAL VALORES]]/52</f>
        <v>20.53846153846154</v>
      </c>
      <c r="BP52" s="74">
        <f>Tabla2[[#This Row],[CONSUMO PROMEDIO]]*Tabla2[[#This Row],[FRECUENCIA]]*Tabla2[[#This Row],[TIEMPO REPOSICION ]]*1.5*2.4</f>
        <v>44.363076923076925</v>
      </c>
      <c r="BQ52">
        <v>44</v>
      </c>
    </row>
    <row r="53" spans="1:70">
      <c r="A53" s="1" t="s">
        <v>495</v>
      </c>
      <c r="B53" s="1" t="s">
        <v>496</v>
      </c>
      <c r="C53" s="1" t="s">
        <v>679</v>
      </c>
      <c r="D53" s="1" t="s">
        <v>707</v>
      </c>
      <c r="E53" s="7" t="s">
        <v>732</v>
      </c>
      <c r="F53" s="7" t="s">
        <v>724</v>
      </c>
      <c r="G53" s="7" t="s">
        <v>729</v>
      </c>
      <c r="H53" s="13">
        <v>9.49</v>
      </c>
      <c r="I53" s="13">
        <f>+H53*85%</f>
        <v>8.0664999999999996</v>
      </c>
      <c r="J53" s="13">
        <v>4.8321800000000001</v>
      </c>
      <c r="K53" s="3">
        <v>1</v>
      </c>
      <c r="L53" s="3">
        <v>0.6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24</v>
      </c>
      <c r="BI53" s="1">
        <v>0</v>
      </c>
      <c r="BJ53" s="1">
        <v>20</v>
      </c>
      <c r="BK53" s="1">
        <v>0</v>
      </c>
      <c r="BL53" s="1">
        <v>0</v>
      </c>
      <c r="BM53" s="3">
        <f t="shared" si="3"/>
        <v>44</v>
      </c>
      <c r="BN53" s="3">
        <v>44</v>
      </c>
      <c r="BO53" s="24">
        <f>Tabla2[[#This Row],[CONSUMO TOTAL VALORES]]/52</f>
        <v>0.84615384615384615</v>
      </c>
      <c r="BP53" s="74">
        <f>Tabla2[[#This Row],[CONSUMO PROMEDIO]]*Tabla2[[#This Row],[FRECUENCIA]]*Tabla2[[#This Row],[TIEMPO REPOSICION ]]*1.5*2.4</f>
        <v>1.8276923076923075</v>
      </c>
      <c r="BQ53">
        <v>4</v>
      </c>
    </row>
    <row r="54" spans="1:70">
      <c r="A54" s="1" t="s">
        <v>497</v>
      </c>
      <c r="B54" s="1" t="s">
        <v>498</v>
      </c>
      <c r="C54" s="1" t="s">
        <v>676</v>
      </c>
      <c r="D54" s="1" t="s">
        <v>707</v>
      </c>
      <c r="E54" s="7" t="s">
        <v>732</v>
      </c>
      <c r="F54" s="7" t="s">
        <v>724</v>
      </c>
      <c r="G54" s="7" t="s">
        <v>729</v>
      </c>
      <c r="H54" s="13">
        <v>28.9</v>
      </c>
      <c r="I54" s="13">
        <f>+H54*85%</f>
        <v>24.564999999999998</v>
      </c>
      <c r="J54" s="13">
        <v>17.377780000000001</v>
      </c>
      <c r="K54" s="3">
        <v>1</v>
      </c>
      <c r="L54" s="3">
        <v>0.6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3">
        <f t="shared" si="3"/>
        <v>0</v>
      </c>
      <c r="BN54" s="3">
        <v>0</v>
      </c>
      <c r="BO54" s="24">
        <f>Tabla2[[#This Row],[CONSUMO TOTAL VALORES]]/52</f>
        <v>0</v>
      </c>
      <c r="BP54" s="74">
        <f>Tabla2[[#This Row],[CONSUMO PROMEDIO]]*Tabla2[[#This Row],[FRECUENCIA]]*Tabla2[[#This Row],[TIEMPO REPOSICION ]]*1.5*2.4</f>
        <v>0</v>
      </c>
      <c r="BQ54">
        <v>0</v>
      </c>
    </row>
    <row r="55" spans="1:70">
      <c r="A55" s="1" t="s">
        <v>499</v>
      </c>
      <c r="B55" s="1" t="s">
        <v>500</v>
      </c>
      <c r="C55" s="1" t="s">
        <v>684</v>
      </c>
      <c r="D55" s="1" t="s">
        <v>708</v>
      </c>
      <c r="E55" s="7" t="s">
        <v>715</v>
      </c>
      <c r="F55" s="7" t="s">
        <v>724</v>
      </c>
      <c r="G55" s="7" t="s">
        <v>729</v>
      </c>
      <c r="H55" s="13">
        <v>127.72</v>
      </c>
      <c r="I55" s="13">
        <f t="shared" ref="I55:I60" si="5">+H55*75%</f>
        <v>95.789999999999992</v>
      </c>
      <c r="J55" s="13">
        <v>64.302109999999999</v>
      </c>
      <c r="K55" s="3">
        <v>1</v>
      </c>
      <c r="L55" s="3">
        <v>0.6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3">
        <f t="shared" si="3"/>
        <v>0</v>
      </c>
      <c r="BN55" s="3">
        <v>0</v>
      </c>
      <c r="BO55" s="24">
        <f>Tabla2[[#This Row],[CONSUMO TOTAL VALORES]]/52</f>
        <v>0</v>
      </c>
      <c r="BP55" s="74">
        <f>Tabla2[[#This Row],[CONSUMO PROMEDIO]]*Tabla2[[#This Row],[FRECUENCIA]]*Tabla2[[#This Row],[TIEMPO REPOSICION ]]*1.5*2.4</f>
        <v>0</v>
      </c>
      <c r="BQ55">
        <v>0</v>
      </c>
    </row>
    <row r="56" spans="1:70">
      <c r="A56" s="1" t="s">
        <v>501</v>
      </c>
      <c r="B56" s="1" t="s">
        <v>502</v>
      </c>
      <c r="C56" s="1" t="s">
        <v>681</v>
      </c>
      <c r="D56" s="1" t="s">
        <v>708</v>
      </c>
      <c r="E56" s="7" t="s">
        <v>715</v>
      </c>
      <c r="F56" s="7" t="s">
        <v>724</v>
      </c>
      <c r="G56" s="7" t="s">
        <v>729</v>
      </c>
      <c r="H56" s="13">
        <v>25.91</v>
      </c>
      <c r="I56" s="13">
        <f t="shared" si="5"/>
        <v>19.432500000000001</v>
      </c>
      <c r="J56" s="13">
        <v>14.05664</v>
      </c>
      <c r="K56" s="3">
        <v>1</v>
      </c>
      <c r="L56" s="3">
        <v>0.6</v>
      </c>
      <c r="M56" s="1">
        <v>0</v>
      </c>
      <c r="N56" s="1">
        <v>0</v>
      </c>
      <c r="O56" s="1">
        <v>6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5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3">
        <f t="shared" si="3"/>
        <v>11</v>
      </c>
      <c r="BN56" s="3">
        <v>11</v>
      </c>
      <c r="BO56" s="24">
        <f>Tabla2[[#This Row],[CONSUMO TOTAL VALORES]]/52</f>
        <v>0.21153846153846154</v>
      </c>
      <c r="BP56" s="74">
        <f>Tabla2[[#This Row],[CONSUMO PROMEDIO]]*Tabla2[[#This Row],[FRECUENCIA]]*Tabla2[[#This Row],[TIEMPO REPOSICION ]]*1.5*2.4</f>
        <v>0.45692307692307688</v>
      </c>
      <c r="BQ56">
        <v>3</v>
      </c>
    </row>
    <row r="57" spans="1:70">
      <c r="A57" s="1" t="s">
        <v>503</v>
      </c>
      <c r="B57" s="1" t="s">
        <v>504</v>
      </c>
      <c r="C57" s="1" t="s">
        <v>676</v>
      </c>
      <c r="D57" s="1" t="s">
        <v>708</v>
      </c>
      <c r="E57" s="7" t="s">
        <v>715</v>
      </c>
      <c r="F57" s="7" t="s">
        <v>724</v>
      </c>
      <c r="G57" s="7" t="s">
        <v>729</v>
      </c>
      <c r="H57" s="13">
        <v>7.22</v>
      </c>
      <c r="I57" s="13">
        <f t="shared" si="5"/>
        <v>5.415</v>
      </c>
      <c r="J57" s="13">
        <v>4.0850299999999997</v>
      </c>
      <c r="K57" s="3">
        <v>1</v>
      </c>
      <c r="L57" s="3">
        <v>0.6</v>
      </c>
      <c r="M57" s="1">
        <v>0</v>
      </c>
      <c r="N57" s="1">
        <v>20</v>
      </c>
      <c r="O57" s="1">
        <v>20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20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4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100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20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20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3">
        <f t="shared" si="3"/>
        <v>204</v>
      </c>
      <c r="BN57" s="3">
        <v>204</v>
      </c>
      <c r="BO57" s="24">
        <f>Tabla2[[#This Row],[CONSUMO TOTAL VALORES]]/52</f>
        <v>3.9230769230769229</v>
      </c>
      <c r="BP57" s="74">
        <f>Tabla2[[#This Row],[CONSUMO PROMEDIO]]*Tabla2[[#This Row],[FRECUENCIA]]*Tabla2[[#This Row],[TIEMPO REPOSICION ]]*1.5*2.4</f>
        <v>8.4738461538461518</v>
      </c>
      <c r="BQ57">
        <v>20</v>
      </c>
    </row>
    <row r="58" spans="1:70">
      <c r="A58" s="1" t="s">
        <v>512</v>
      </c>
      <c r="B58" s="1" t="s">
        <v>513</v>
      </c>
      <c r="C58" s="1" t="s">
        <v>679</v>
      </c>
      <c r="D58" s="1" t="s">
        <v>709</v>
      </c>
      <c r="E58" s="7" t="s">
        <v>719</v>
      </c>
      <c r="F58" s="7" t="s">
        <v>724</v>
      </c>
      <c r="G58" s="7" t="s">
        <v>729</v>
      </c>
      <c r="H58" s="13">
        <v>1.89</v>
      </c>
      <c r="I58" s="13">
        <f t="shared" si="5"/>
        <v>1.4175</v>
      </c>
      <c r="J58" s="13">
        <v>1.1559999999999999</v>
      </c>
      <c r="K58" s="3">
        <v>1</v>
      </c>
      <c r="L58" s="3">
        <v>0.6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3">
        <f t="shared" si="3"/>
        <v>0</v>
      </c>
      <c r="BN58" s="3">
        <v>0</v>
      </c>
      <c r="BO58" s="24">
        <f>Tabla2[[#This Row],[CONSUMO TOTAL VALORES]]/52</f>
        <v>0</v>
      </c>
      <c r="BP58" s="74">
        <f>Tabla2[[#This Row],[CONSUMO PROMEDIO]]*Tabla2[[#This Row],[FRECUENCIA]]*Tabla2[[#This Row],[TIEMPO REPOSICION ]]*1.5*2.4</f>
        <v>0</v>
      </c>
      <c r="BQ58">
        <v>0</v>
      </c>
    </row>
    <row r="59" spans="1:70">
      <c r="A59" s="1" t="s">
        <v>514</v>
      </c>
      <c r="B59" s="1" t="s">
        <v>515</v>
      </c>
      <c r="C59" s="1" t="s">
        <v>673</v>
      </c>
      <c r="D59" s="1" t="s">
        <v>709</v>
      </c>
      <c r="E59" s="7" t="s">
        <v>719</v>
      </c>
      <c r="F59" s="7" t="s">
        <v>724</v>
      </c>
      <c r="G59" s="7" t="s">
        <v>729</v>
      </c>
      <c r="H59" s="13">
        <v>3.37</v>
      </c>
      <c r="I59" s="13">
        <f t="shared" si="5"/>
        <v>2.5274999999999999</v>
      </c>
      <c r="J59" s="13">
        <v>2.137</v>
      </c>
      <c r="K59" s="3">
        <v>1</v>
      </c>
      <c r="L59" s="3">
        <v>0.6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3">
        <f t="shared" si="3"/>
        <v>0</v>
      </c>
      <c r="BN59" s="3">
        <v>0</v>
      </c>
      <c r="BO59" s="24">
        <f>Tabla2[[#This Row],[CONSUMO TOTAL VALORES]]/52</f>
        <v>0</v>
      </c>
      <c r="BP59" s="74">
        <f>Tabla2[[#This Row],[CONSUMO PROMEDIO]]*Tabla2[[#This Row],[FRECUENCIA]]*Tabla2[[#This Row],[TIEMPO REPOSICION ]]*1.5*2.4</f>
        <v>0</v>
      </c>
      <c r="BQ59">
        <v>0</v>
      </c>
    </row>
    <row r="60" spans="1:70">
      <c r="A60" s="1" t="s">
        <v>516</v>
      </c>
      <c r="B60" s="1" t="s">
        <v>517</v>
      </c>
      <c r="C60" s="1" t="s">
        <v>676</v>
      </c>
      <c r="D60" s="1" t="s">
        <v>709</v>
      </c>
      <c r="E60" s="7" t="s">
        <v>719</v>
      </c>
      <c r="F60" s="7" t="s">
        <v>724</v>
      </c>
      <c r="G60" s="7" t="s">
        <v>729</v>
      </c>
      <c r="H60" s="13">
        <v>5.4</v>
      </c>
      <c r="I60" s="13">
        <f t="shared" si="5"/>
        <v>4.0500000000000007</v>
      </c>
      <c r="J60" s="13">
        <v>4.8540000000000001</v>
      </c>
      <c r="K60" s="3">
        <v>1</v>
      </c>
      <c r="L60" s="3">
        <v>0.6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  <c r="BL60" s="1">
        <v>0</v>
      </c>
      <c r="BM60" s="3">
        <f t="shared" si="3"/>
        <v>0</v>
      </c>
      <c r="BN60" s="3">
        <v>0</v>
      </c>
      <c r="BO60" s="24">
        <f>Tabla2[[#This Row],[CONSUMO TOTAL VALORES]]/52</f>
        <v>0</v>
      </c>
      <c r="BP60" s="74">
        <f>Tabla2[[#This Row],[CONSUMO PROMEDIO]]*Tabla2[[#This Row],[FRECUENCIA]]*Tabla2[[#This Row],[TIEMPO REPOSICION ]]*1.5*2.4</f>
        <v>0</v>
      </c>
      <c r="BQ60">
        <v>0</v>
      </c>
    </row>
    <row r="61" spans="1:70">
      <c r="A61" s="7" t="s">
        <v>524</v>
      </c>
      <c r="B61" s="7" t="s">
        <v>525</v>
      </c>
      <c r="C61" s="7" t="s">
        <v>677</v>
      </c>
      <c r="D61" s="7" t="s">
        <v>709</v>
      </c>
      <c r="E61" s="7" t="s">
        <v>719</v>
      </c>
      <c r="F61" s="7" t="s">
        <v>724</v>
      </c>
      <c r="G61" s="7" t="s">
        <v>729</v>
      </c>
      <c r="H61" s="13">
        <v>0.85</v>
      </c>
      <c r="I61" s="13">
        <v>0.63749999999999996</v>
      </c>
      <c r="J61" s="13">
        <v>0.48699999999999999</v>
      </c>
      <c r="K61" s="3">
        <v>1</v>
      </c>
      <c r="L61" s="3">
        <v>0.6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  <c r="AC61" s="3">
        <v>0</v>
      </c>
      <c r="AD61" s="3">
        <v>0</v>
      </c>
      <c r="AE61" s="3">
        <v>0</v>
      </c>
      <c r="AF61" s="3">
        <v>0</v>
      </c>
      <c r="AG61" s="3">
        <v>0</v>
      </c>
      <c r="AH61" s="3">
        <v>0</v>
      </c>
      <c r="AI61" s="3">
        <v>0</v>
      </c>
      <c r="AJ61" s="3">
        <v>0</v>
      </c>
      <c r="AK61" s="3">
        <v>0</v>
      </c>
      <c r="AL61" s="3">
        <v>0</v>
      </c>
      <c r="AM61" s="3">
        <v>0</v>
      </c>
      <c r="AN61" s="3">
        <v>0</v>
      </c>
      <c r="AO61" s="3">
        <v>0</v>
      </c>
      <c r="AP61" s="3">
        <v>0</v>
      </c>
      <c r="AQ61" s="3">
        <v>0</v>
      </c>
      <c r="AR61" s="3">
        <v>0</v>
      </c>
      <c r="AS61" s="3">
        <v>0</v>
      </c>
      <c r="AT61" s="3">
        <v>0</v>
      </c>
      <c r="AU61" s="3">
        <v>0</v>
      </c>
      <c r="AV61" s="3">
        <v>0</v>
      </c>
      <c r="AW61" s="3">
        <v>0</v>
      </c>
      <c r="AX61" s="3">
        <v>0</v>
      </c>
      <c r="AY61" s="3">
        <v>0</v>
      </c>
      <c r="AZ61" s="3">
        <v>0</v>
      </c>
      <c r="BA61" s="3">
        <v>0</v>
      </c>
      <c r="BB61" s="3">
        <v>0</v>
      </c>
      <c r="BC61" s="3">
        <v>0</v>
      </c>
      <c r="BD61" s="3">
        <v>0</v>
      </c>
      <c r="BE61" s="3">
        <v>0</v>
      </c>
      <c r="BF61" s="3">
        <v>0</v>
      </c>
      <c r="BG61" s="3">
        <v>0</v>
      </c>
      <c r="BH61" s="3">
        <v>0</v>
      </c>
      <c r="BI61" s="3">
        <v>0</v>
      </c>
      <c r="BJ61" s="3">
        <v>0</v>
      </c>
      <c r="BK61" s="3">
        <v>0</v>
      </c>
      <c r="BL61" s="3">
        <v>0</v>
      </c>
      <c r="BM61" s="3">
        <f t="shared" si="3"/>
        <v>0</v>
      </c>
      <c r="BN61" s="7">
        <v>0</v>
      </c>
      <c r="BO61" s="24">
        <f>Tabla2[[#This Row],[CONSUMO TOTAL VALORES]]/52</f>
        <v>0</v>
      </c>
      <c r="BP61" s="74">
        <f>Tabla2[[#This Row],[CONSUMO PROMEDIO]]*Tabla2[[#This Row],[FRECUENCIA]]*Tabla2[[#This Row],[TIEMPO REPOSICION ]]*1.5*2.4</f>
        <v>0</v>
      </c>
      <c r="BQ61" s="7">
        <v>0</v>
      </c>
    </row>
    <row r="62" spans="1:70">
      <c r="A62" s="42" t="s">
        <v>526</v>
      </c>
      <c r="B62" s="42" t="s">
        <v>527</v>
      </c>
      <c r="C62" s="42" t="s">
        <v>702</v>
      </c>
      <c r="D62" s="42" t="s">
        <v>712</v>
      </c>
      <c r="E62" s="42" t="s">
        <v>719</v>
      </c>
      <c r="F62" s="42" t="s">
        <v>724</v>
      </c>
      <c r="G62" s="42" t="s">
        <v>729</v>
      </c>
      <c r="H62" s="48">
        <v>3.49</v>
      </c>
      <c r="I62" s="48">
        <f t="shared" ref="I62:I74" si="6">+H62*75%</f>
        <v>2.6175000000000002</v>
      </c>
      <c r="J62" s="48">
        <v>1.4508700000000001</v>
      </c>
      <c r="K62" s="3">
        <v>1</v>
      </c>
      <c r="L62" s="3">
        <v>0.6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3">
        <v>0</v>
      </c>
      <c r="AC62" s="3">
        <v>0</v>
      </c>
      <c r="AD62" s="3">
        <v>0</v>
      </c>
      <c r="AE62" s="3">
        <v>0</v>
      </c>
      <c r="AF62" s="3">
        <v>0</v>
      </c>
      <c r="AG62" s="3">
        <v>0</v>
      </c>
      <c r="AH62" s="3">
        <v>0</v>
      </c>
      <c r="AI62" s="3">
        <v>0</v>
      </c>
      <c r="AJ62" s="3">
        <v>0</v>
      </c>
      <c r="AK62" s="3">
        <v>0</v>
      </c>
      <c r="AL62" s="3">
        <v>0</v>
      </c>
      <c r="AM62" s="3">
        <v>0</v>
      </c>
      <c r="AN62" s="3">
        <v>0</v>
      </c>
      <c r="AO62" s="3">
        <v>0</v>
      </c>
      <c r="AP62" s="3">
        <v>0</v>
      </c>
      <c r="AQ62" s="3">
        <v>0</v>
      </c>
      <c r="AR62" s="3">
        <v>0</v>
      </c>
      <c r="AS62" s="3">
        <v>0</v>
      </c>
      <c r="AT62" s="3">
        <v>0</v>
      </c>
      <c r="AU62" s="3">
        <v>0</v>
      </c>
      <c r="AV62" s="3">
        <v>0</v>
      </c>
      <c r="AW62" s="3">
        <v>0</v>
      </c>
      <c r="AX62" s="3">
        <v>0</v>
      </c>
      <c r="AY62" s="3">
        <v>0</v>
      </c>
      <c r="AZ62" s="3">
        <v>0</v>
      </c>
      <c r="BA62" s="3">
        <v>0</v>
      </c>
      <c r="BB62" s="3">
        <v>0</v>
      </c>
      <c r="BC62" s="3">
        <v>0</v>
      </c>
      <c r="BD62" s="3">
        <v>0</v>
      </c>
      <c r="BE62" s="3">
        <v>0</v>
      </c>
      <c r="BF62" s="3">
        <v>0</v>
      </c>
      <c r="BG62" s="3">
        <v>0</v>
      </c>
      <c r="BH62" s="3">
        <v>0</v>
      </c>
      <c r="BI62" s="3">
        <v>0</v>
      </c>
      <c r="BJ62" s="3">
        <v>0</v>
      </c>
      <c r="BK62" s="3">
        <v>0</v>
      </c>
      <c r="BL62" s="3">
        <v>0</v>
      </c>
      <c r="BM62" s="7">
        <v>3138</v>
      </c>
      <c r="BN62" s="50">
        <v>3138</v>
      </c>
      <c r="BO62" s="24">
        <f>Tabla2[[#This Row],[CONSUMO TOTAL VALORES]]/52</f>
        <v>60.346153846153847</v>
      </c>
      <c r="BP62" s="74">
        <f>Tabla2[[#This Row],[CONSUMO PROMEDIO]]*Tabla2[[#This Row],[FRECUENCIA]]*Tabla2[[#This Row],[TIEMPO REPOSICION ]]*1.5*2.4</f>
        <v>130.34769230769231</v>
      </c>
      <c r="BQ62" s="48">
        <v>40</v>
      </c>
      <c r="BR62" s="48"/>
    </row>
    <row r="63" spans="1:70">
      <c r="A63" s="44" t="s">
        <v>528</v>
      </c>
      <c r="B63" s="44" t="s">
        <v>529</v>
      </c>
      <c r="C63" s="44" t="s">
        <v>2</v>
      </c>
      <c r="D63" s="44" t="s">
        <v>712</v>
      </c>
      <c r="E63" s="44" t="s">
        <v>719</v>
      </c>
      <c r="F63" s="44" t="s">
        <v>724</v>
      </c>
      <c r="G63" s="44" t="s">
        <v>729</v>
      </c>
      <c r="H63" s="50">
        <v>7.59</v>
      </c>
      <c r="I63" s="50">
        <f t="shared" si="6"/>
        <v>5.6924999999999999</v>
      </c>
      <c r="J63" s="50">
        <v>3.3767399999999999</v>
      </c>
      <c r="K63" s="3">
        <v>1</v>
      </c>
      <c r="L63" s="3">
        <v>0.6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  <c r="AC63" s="3">
        <v>0</v>
      </c>
      <c r="AD63" s="3">
        <v>0</v>
      </c>
      <c r="AE63" s="3">
        <v>0</v>
      </c>
      <c r="AF63" s="3">
        <v>0</v>
      </c>
      <c r="AG63" s="3">
        <v>0</v>
      </c>
      <c r="AH63" s="3">
        <v>0</v>
      </c>
      <c r="AI63" s="3">
        <v>0</v>
      </c>
      <c r="AJ63" s="3">
        <v>0</v>
      </c>
      <c r="AK63" s="3">
        <v>0</v>
      </c>
      <c r="AL63" s="3">
        <v>0</v>
      </c>
      <c r="AM63" s="3">
        <v>0</v>
      </c>
      <c r="AN63" s="3">
        <v>0</v>
      </c>
      <c r="AO63" s="3">
        <v>0</v>
      </c>
      <c r="AP63" s="3">
        <v>0</v>
      </c>
      <c r="AQ63" s="3">
        <v>0</v>
      </c>
      <c r="AR63" s="3">
        <v>0</v>
      </c>
      <c r="AS63" s="3">
        <v>0</v>
      </c>
      <c r="AT63" s="3">
        <v>0</v>
      </c>
      <c r="AU63" s="3">
        <v>0</v>
      </c>
      <c r="AV63" s="3">
        <v>0</v>
      </c>
      <c r="AW63" s="3">
        <v>0</v>
      </c>
      <c r="AX63" s="3">
        <v>0</v>
      </c>
      <c r="AY63" s="3">
        <v>0</v>
      </c>
      <c r="AZ63" s="3">
        <v>0</v>
      </c>
      <c r="BA63" s="3">
        <v>0</v>
      </c>
      <c r="BB63" s="3">
        <v>0</v>
      </c>
      <c r="BC63" s="3">
        <v>0</v>
      </c>
      <c r="BD63" s="3">
        <v>0</v>
      </c>
      <c r="BE63" s="3">
        <v>0</v>
      </c>
      <c r="BF63" s="3">
        <v>0</v>
      </c>
      <c r="BG63" s="3">
        <v>0</v>
      </c>
      <c r="BH63" s="3">
        <v>0</v>
      </c>
      <c r="BI63" s="3">
        <v>0</v>
      </c>
      <c r="BJ63" s="3">
        <v>0</v>
      </c>
      <c r="BK63" s="3">
        <v>0</v>
      </c>
      <c r="BL63" s="3">
        <v>0</v>
      </c>
      <c r="BM63" s="7">
        <f>SUM(M63:BL63)</f>
        <v>0</v>
      </c>
      <c r="BN63" s="50">
        <v>0</v>
      </c>
      <c r="BO63" s="24">
        <f>Tabla2[[#This Row],[CONSUMO TOTAL VALORES]]/52</f>
        <v>0</v>
      </c>
      <c r="BP63" s="74">
        <f>Tabla2[[#This Row],[CONSUMO PROMEDIO]]*Tabla2[[#This Row],[FRECUENCIA]]*Tabla2[[#This Row],[TIEMPO REPOSICION ]]*1.5*2.4</f>
        <v>0</v>
      </c>
      <c r="BQ63" s="50">
        <v>100</v>
      </c>
      <c r="BR63" s="50"/>
    </row>
    <row r="64" spans="1:70">
      <c r="A64" s="42" t="s">
        <v>530</v>
      </c>
      <c r="B64" s="42" t="s">
        <v>531</v>
      </c>
      <c r="C64" s="42" t="s">
        <v>2</v>
      </c>
      <c r="D64" s="42" t="s">
        <v>712</v>
      </c>
      <c r="E64" s="42" t="s">
        <v>719</v>
      </c>
      <c r="F64" s="42" t="s">
        <v>724</v>
      </c>
      <c r="G64" s="42" t="s">
        <v>729</v>
      </c>
      <c r="H64" s="48">
        <v>13.99</v>
      </c>
      <c r="I64" s="48">
        <f t="shared" si="6"/>
        <v>10.4925</v>
      </c>
      <c r="J64" s="48">
        <v>6.3399099999999997</v>
      </c>
      <c r="K64" s="3">
        <v>1</v>
      </c>
      <c r="L64" s="3">
        <v>0.6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3">
        <v>0</v>
      </c>
      <c r="AC64" s="3">
        <v>0</v>
      </c>
      <c r="AD64" s="3">
        <v>0</v>
      </c>
      <c r="AE64" s="3">
        <v>0</v>
      </c>
      <c r="AF64" s="3">
        <v>0</v>
      </c>
      <c r="AG64" s="3">
        <v>0</v>
      </c>
      <c r="AH64" s="3">
        <v>0</v>
      </c>
      <c r="AI64" s="3">
        <v>0</v>
      </c>
      <c r="AJ64" s="3">
        <v>0</v>
      </c>
      <c r="AK64" s="3">
        <v>0</v>
      </c>
      <c r="AL64" s="3">
        <v>0</v>
      </c>
      <c r="AM64" s="3">
        <v>0</v>
      </c>
      <c r="AN64" s="3">
        <v>0</v>
      </c>
      <c r="AO64" s="3">
        <v>0</v>
      </c>
      <c r="AP64" s="3">
        <v>0</v>
      </c>
      <c r="AQ64" s="3">
        <v>0</v>
      </c>
      <c r="AR64" s="3">
        <v>0</v>
      </c>
      <c r="AS64" s="3">
        <v>0</v>
      </c>
      <c r="AT64" s="3">
        <v>0</v>
      </c>
      <c r="AU64" s="3">
        <v>0</v>
      </c>
      <c r="AV64" s="3">
        <v>0</v>
      </c>
      <c r="AW64" s="3">
        <v>0</v>
      </c>
      <c r="AX64" s="3">
        <v>0</v>
      </c>
      <c r="AY64" s="3">
        <v>0</v>
      </c>
      <c r="AZ64" s="3">
        <v>0</v>
      </c>
      <c r="BA64" s="3">
        <v>0</v>
      </c>
      <c r="BB64" s="3">
        <v>0</v>
      </c>
      <c r="BC64" s="3">
        <v>0</v>
      </c>
      <c r="BD64" s="3">
        <v>0</v>
      </c>
      <c r="BE64" s="3">
        <v>0</v>
      </c>
      <c r="BF64" s="3">
        <v>0</v>
      </c>
      <c r="BG64" s="3">
        <v>0</v>
      </c>
      <c r="BH64" s="3">
        <v>0</v>
      </c>
      <c r="BI64" s="3">
        <v>0</v>
      </c>
      <c r="BJ64" s="3">
        <v>0</v>
      </c>
      <c r="BK64" s="3">
        <v>0</v>
      </c>
      <c r="BL64" s="3">
        <v>0</v>
      </c>
      <c r="BM64" s="7">
        <v>146</v>
      </c>
      <c r="BN64" s="50">
        <v>146</v>
      </c>
      <c r="BO64" s="24">
        <f>Tabla2[[#This Row],[CONSUMO TOTAL VALORES]]/52</f>
        <v>2.8076923076923075</v>
      </c>
      <c r="BP64" s="74">
        <f>Tabla2[[#This Row],[CONSUMO PROMEDIO]]*Tabla2[[#This Row],[FRECUENCIA]]*Tabla2[[#This Row],[TIEMPO REPOSICION ]]*1.5*2.4</f>
        <v>6.0646153846153839</v>
      </c>
      <c r="BQ64" s="48">
        <v>0</v>
      </c>
      <c r="BR64" s="48"/>
    </row>
    <row r="65" spans="1:69">
      <c r="A65" s="1" t="s">
        <v>538</v>
      </c>
      <c r="B65" s="1" t="s">
        <v>539</v>
      </c>
      <c r="C65" s="1" t="s">
        <v>692</v>
      </c>
      <c r="D65" s="1" t="s">
        <v>709</v>
      </c>
      <c r="E65" s="7" t="s">
        <v>719</v>
      </c>
      <c r="F65" s="7" t="s">
        <v>724</v>
      </c>
      <c r="G65" s="7" t="s">
        <v>729</v>
      </c>
      <c r="H65" s="13">
        <v>4.07</v>
      </c>
      <c r="I65" s="13">
        <f t="shared" si="6"/>
        <v>3.0525000000000002</v>
      </c>
      <c r="J65" s="13">
        <v>1.47461</v>
      </c>
      <c r="K65" s="3">
        <v>1</v>
      </c>
      <c r="L65" s="3">
        <v>0.6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  <c r="AC65" s="3">
        <v>0</v>
      </c>
      <c r="AD65" s="3">
        <v>0</v>
      </c>
      <c r="AE65" s="3">
        <v>0</v>
      </c>
      <c r="AF65" s="3">
        <v>0</v>
      </c>
      <c r="AG65" s="3">
        <v>0</v>
      </c>
      <c r="AH65" s="3">
        <v>0</v>
      </c>
      <c r="AI65" s="3">
        <v>0</v>
      </c>
      <c r="AJ65" s="3">
        <v>0</v>
      </c>
      <c r="AK65" s="3">
        <v>0</v>
      </c>
      <c r="AL65" s="3">
        <v>0</v>
      </c>
      <c r="AM65" s="3">
        <v>0</v>
      </c>
      <c r="AN65" s="3">
        <v>0</v>
      </c>
      <c r="AO65" s="3">
        <v>0</v>
      </c>
      <c r="AP65" s="3">
        <v>0</v>
      </c>
      <c r="AQ65" s="3">
        <v>0</v>
      </c>
      <c r="AR65" s="3">
        <v>0</v>
      </c>
      <c r="AS65" s="3">
        <v>0</v>
      </c>
      <c r="AT65" s="3">
        <v>0</v>
      </c>
      <c r="AU65" s="3">
        <v>0</v>
      </c>
      <c r="AV65" s="3">
        <v>0</v>
      </c>
      <c r="AW65" s="3">
        <v>0</v>
      </c>
      <c r="AX65" s="3">
        <v>0</v>
      </c>
      <c r="AY65" s="3">
        <v>0</v>
      </c>
      <c r="AZ65" s="3">
        <v>0</v>
      </c>
      <c r="BA65" s="3">
        <v>0</v>
      </c>
      <c r="BB65" s="3">
        <v>0</v>
      </c>
      <c r="BC65" s="3">
        <v>0</v>
      </c>
      <c r="BD65" s="3">
        <v>0</v>
      </c>
      <c r="BE65" s="3">
        <v>0</v>
      </c>
      <c r="BF65" s="3">
        <v>0</v>
      </c>
      <c r="BG65" s="3">
        <v>0</v>
      </c>
      <c r="BH65" s="3">
        <v>0</v>
      </c>
      <c r="BI65" s="3">
        <v>0</v>
      </c>
      <c r="BJ65" s="3">
        <v>0</v>
      </c>
      <c r="BK65" s="3">
        <v>0</v>
      </c>
      <c r="BL65" s="3">
        <v>0</v>
      </c>
      <c r="BM65" s="3">
        <f t="shared" ref="BM65:BM96" si="7">SUM(M65:BL65)</f>
        <v>0</v>
      </c>
      <c r="BN65" s="3">
        <v>0</v>
      </c>
      <c r="BO65" s="24">
        <f>Tabla2[[#This Row],[CONSUMO TOTAL VALORES]]/52</f>
        <v>0</v>
      </c>
      <c r="BP65" s="74">
        <f>Tabla2[[#This Row],[CONSUMO PROMEDIO]]*Tabla2[[#This Row],[FRECUENCIA]]*Tabla2[[#This Row],[TIEMPO REPOSICION ]]*1.5*2.4</f>
        <v>0</v>
      </c>
      <c r="BQ65">
        <v>0</v>
      </c>
    </row>
    <row r="66" spans="1:69">
      <c r="A66" s="1" t="s">
        <v>542</v>
      </c>
      <c r="B66" s="1" t="s">
        <v>543</v>
      </c>
      <c r="C66" s="1" t="s">
        <v>2</v>
      </c>
      <c r="D66" s="1" t="s">
        <v>707</v>
      </c>
      <c r="E66" s="7" t="s">
        <v>715</v>
      </c>
      <c r="F66" s="7" t="s">
        <v>724</v>
      </c>
      <c r="G66" s="7" t="s">
        <v>729</v>
      </c>
      <c r="H66" s="13">
        <v>2.99</v>
      </c>
      <c r="I66" s="13">
        <f t="shared" si="6"/>
        <v>2.2425000000000002</v>
      </c>
      <c r="J66" s="13">
        <v>1.1879500000000001</v>
      </c>
      <c r="K66" s="3">
        <v>1</v>
      </c>
      <c r="L66" s="3">
        <v>0.6</v>
      </c>
      <c r="M66" s="1">
        <v>2</v>
      </c>
      <c r="N66" s="1">
        <v>1</v>
      </c>
      <c r="O66" s="1">
        <v>60</v>
      </c>
      <c r="P66" s="1">
        <v>33</v>
      </c>
      <c r="Q66" s="1">
        <v>0</v>
      </c>
      <c r="R66" s="1">
        <v>0</v>
      </c>
      <c r="S66" s="1">
        <v>22</v>
      </c>
      <c r="T66" s="1">
        <v>0</v>
      </c>
      <c r="U66" s="1">
        <v>0</v>
      </c>
      <c r="V66" s="1">
        <v>0</v>
      </c>
      <c r="W66" s="1">
        <v>0</v>
      </c>
      <c r="X66" s="1">
        <v>65</v>
      </c>
      <c r="Y66" s="1">
        <v>0</v>
      </c>
      <c r="Z66" s="1">
        <v>0</v>
      </c>
      <c r="AA66" s="1">
        <v>1</v>
      </c>
      <c r="AB66" s="1">
        <v>0</v>
      </c>
      <c r="AC66" s="1">
        <v>0</v>
      </c>
      <c r="AD66" s="1">
        <v>0</v>
      </c>
      <c r="AE66" s="1">
        <v>0</v>
      </c>
      <c r="AF66" s="1">
        <v>100</v>
      </c>
      <c r="AG66" s="1">
        <v>101</v>
      </c>
      <c r="AH66" s="1">
        <v>3</v>
      </c>
      <c r="AI66" s="1">
        <v>0</v>
      </c>
      <c r="AJ66" s="1">
        <v>0</v>
      </c>
      <c r="AK66" s="1">
        <v>21</v>
      </c>
      <c r="AL66" s="1">
        <v>21</v>
      </c>
      <c r="AM66" s="1">
        <v>0</v>
      </c>
      <c r="AN66" s="1">
        <v>0</v>
      </c>
      <c r="AO66" s="1">
        <v>0</v>
      </c>
      <c r="AP66" s="1">
        <v>39</v>
      </c>
      <c r="AQ66" s="1">
        <v>0</v>
      </c>
      <c r="AR66" s="1">
        <v>42</v>
      </c>
      <c r="AS66" s="1">
        <v>0</v>
      </c>
      <c r="AT66" s="1">
        <v>0</v>
      </c>
      <c r="AU66" s="1">
        <v>0</v>
      </c>
      <c r="AV66" s="1">
        <v>0</v>
      </c>
      <c r="AW66" s="1">
        <v>0</v>
      </c>
      <c r="AX66" s="1">
        <v>0</v>
      </c>
      <c r="AY66" s="1">
        <v>25</v>
      </c>
      <c r="AZ66" s="1">
        <v>0</v>
      </c>
      <c r="BA66" s="1">
        <v>20</v>
      </c>
      <c r="BB66" s="1">
        <v>10</v>
      </c>
      <c r="BC66" s="1">
        <v>0</v>
      </c>
      <c r="BD66" s="1">
        <v>0</v>
      </c>
      <c r="BE66" s="1">
        <v>0</v>
      </c>
      <c r="BF66" s="1">
        <v>21</v>
      </c>
      <c r="BG66" s="1">
        <v>0</v>
      </c>
      <c r="BH66" s="1">
        <v>0</v>
      </c>
      <c r="BI66" s="1">
        <v>0</v>
      </c>
      <c r="BJ66" s="1">
        <v>21</v>
      </c>
      <c r="BK66" s="1">
        <v>20</v>
      </c>
      <c r="BL66" s="1">
        <v>184</v>
      </c>
      <c r="BM66" s="3">
        <f t="shared" si="7"/>
        <v>812</v>
      </c>
      <c r="BN66" s="3">
        <v>812</v>
      </c>
      <c r="BO66" s="24">
        <f>Tabla2[[#This Row],[CONSUMO TOTAL VALORES]]/52</f>
        <v>15.615384615384615</v>
      </c>
      <c r="BP66" s="74">
        <f>Tabla2[[#This Row],[CONSUMO PROMEDIO]]*Tabla2[[#This Row],[FRECUENCIA]]*Tabla2[[#This Row],[TIEMPO REPOSICION ]]*1.5*2.4</f>
        <v>33.72923076923076</v>
      </c>
      <c r="BQ66">
        <v>40</v>
      </c>
    </row>
    <row r="67" spans="1:69">
      <c r="A67" s="1" t="s">
        <v>544</v>
      </c>
      <c r="B67" s="1" t="s">
        <v>545</v>
      </c>
      <c r="C67" s="1" t="s">
        <v>673</v>
      </c>
      <c r="D67" s="1" t="s">
        <v>707</v>
      </c>
      <c r="E67" s="7" t="s">
        <v>715</v>
      </c>
      <c r="F67" s="7" t="s">
        <v>724</v>
      </c>
      <c r="G67" s="7" t="s">
        <v>729</v>
      </c>
      <c r="H67" s="13">
        <v>4.99</v>
      </c>
      <c r="I67" s="13">
        <f t="shared" si="6"/>
        <v>3.7425000000000002</v>
      </c>
      <c r="J67" s="13">
        <v>1.97786</v>
      </c>
      <c r="K67" s="3">
        <v>1</v>
      </c>
      <c r="L67" s="3">
        <v>0.6</v>
      </c>
      <c r="M67" s="1">
        <v>5</v>
      </c>
      <c r="N67" s="1">
        <v>0</v>
      </c>
      <c r="O67" s="1">
        <v>40</v>
      </c>
      <c r="P67" s="1">
        <v>10</v>
      </c>
      <c r="Q67" s="1">
        <v>0</v>
      </c>
      <c r="R67" s="1">
        <v>0</v>
      </c>
      <c r="S67" s="1">
        <v>3</v>
      </c>
      <c r="T67" s="1">
        <v>0</v>
      </c>
      <c r="U67" s="1">
        <v>0</v>
      </c>
      <c r="V67" s="1">
        <v>0</v>
      </c>
      <c r="W67" s="1">
        <v>40</v>
      </c>
      <c r="X67" s="1">
        <v>0</v>
      </c>
      <c r="Y67" s="1">
        <v>0</v>
      </c>
      <c r="Z67" s="1">
        <v>0</v>
      </c>
      <c r="AA67" s="1">
        <v>0</v>
      </c>
      <c r="AB67" s="1">
        <v>41</v>
      </c>
      <c r="AC67" s="1">
        <v>0</v>
      </c>
      <c r="AD67" s="1">
        <v>0</v>
      </c>
      <c r="AE67" s="1">
        <v>0</v>
      </c>
      <c r="AF67" s="1">
        <v>0</v>
      </c>
      <c r="AG67" s="1">
        <v>60</v>
      </c>
      <c r="AH67" s="1">
        <v>0</v>
      </c>
      <c r="AI67" s="1">
        <v>0</v>
      </c>
      <c r="AJ67" s="1">
        <v>0</v>
      </c>
      <c r="AK67" s="1">
        <v>40</v>
      </c>
      <c r="AL67" s="1">
        <v>0</v>
      </c>
      <c r="AM67" s="1">
        <v>21</v>
      </c>
      <c r="AN67" s="1">
        <v>0</v>
      </c>
      <c r="AO67" s="1">
        <v>10</v>
      </c>
      <c r="AP67" s="1">
        <v>0</v>
      </c>
      <c r="AQ67" s="1">
        <v>0</v>
      </c>
      <c r="AR67" s="1">
        <v>0</v>
      </c>
      <c r="AS67" s="1">
        <v>0</v>
      </c>
      <c r="AT67" s="1">
        <v>40</v>
      </c>
      <c r="AU67" s="1">
        <v>0</v>
      </c>
      <c r="AV67" s="1">
        <v>0</v>
      </c>
      <c r="AW67" s="1">
        <v>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6</v>
      </c>
      <c r="BE67" s="1">
        <v>20</v>
      </c>
      <c r="BF67" s="1">
        <v>20</v>
      </c>
      <c r="BG67" s="1">
        <v>80</v>
      </c>
      <c r="BH67" s="1">
        <v>2</v>
      </c>
      <c r="BI67" s="1">
        <v>0</v>
      </c>
      <c r="BJ67" s="1">
        <v>80</v>
      </c>
      <c r="BK67" s="1">
        <v>0</v>
      </c>
      <c r="BL67" s="1">
        <v>100</v>
      </c>
      <c r="BM67" s="3">
        <f t="shared" si="7"/>
        <v>618</v>
      </c>
      <c r="BN67" s="3">
        <v>618</v>
      </c>
      <c r="BO67" s="24">
        <f>Tabla2[[#This Row],[CONSUMO TOTAL VALORES]]/52</f>
        <v>11.884615384615385</v>
      </c>
      <c r="BP67" s="74">
        <f>Tabla2[[#This Row],[CONSUMO PROMEDIO]]*Tabla2[[#This Row],[FRECUENCIA]]*Tabla2[[#This Row],[TIEMPO REPOSICION ]]*1.5*2.4</f>
        <v>25.670769230769231</v>
      </c>
      <c r="BQ67">
        <v>20</v>
      </c>
    </row>
    <row r="68" spans="1:69">
      <c r="A68" s="1" t="s">
        <v>546</v>
      </c>
      <c r="B68" s="1" t="s">
        <v>547</v>
      </c>
      <c r="C68" s="1" t="s">
        <v>2</v>
      </c>
      <c r="D68" s="1" t="s">
        <v>707</v>
      </c>
      <c r="E68" s="7" t="s">
        <v>715</v>
      </c>
      <c r="F68" s="7" t="s">
        <v>724</v>
      </c>
      <c r="G68" s="7" t="s">
        <v>729</v>
      </c>
      <c r="H68" s="13">
        <v>29.9</v>
      </c>
      <c r="I68" s="13">
        <f t="shared" si="6"/>
        <v>22.424999999999997</v>
      </c>
      <c r="J68" s="13">
        <v>16.429510000000001</v>
      </c>
      <c r="K68" s="3">
        <v>1</v>
      </c>
      <c r="L68" s="3">
        <v>0.6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1</v>
      </c>
      <c r="AS68" s="1">
        <v>0</v>
      </c>
      <c r="AT68" s="1">
        <v>0</v>
      </c>
      <c r="AU68" s="1">
        <v>0</v>
      </c>
      <c r="AV68" s="1">
        <v>0</v>
      </c>
      <c r="AW68" s="1">
        <v>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 s="1">
        <v>0</v>
      </c>
      <c r="BM68" s="3">
        <f t="shared" si="7"/>
        <v>1</v>
      </c>
      <c r="BN68" s="3">
        <v>1</v>
      </c>
      <c r="BO68" s="24">
        <f>Tabla2[[#This Row],[CONSUMO TOTAL VALORES]]/52</f>
        <v>1.9230769230769232E-2</v>
      </c>
      <c r="BP68" s="74">
        <f>Tabla2[[#This Row],[CONSUMO PROMEDIO]]*Tabla2[[#This Row],[FRECUENCIA]]*Tabla2[[#This Row],[TIEMPO REPOSICION ]]*1.5*2.4</f>
        <v>4.1538461538461538E-2</v>
      </c>
      <c r="BQ68">
        <v>0</v>
      </c>
    </row>
    <row r="69" spans="1:69">
      <c r="A69" s="1" t="s">
        <v>548</v>
      </c>
      <c r="B69" s="1" t="s">
        <v>549</v>
      </c>
      <c r="C69" s="1" t="s">
        <v>2</v>
      </c>
      <c r="D69" s="1" t="s">
        <v>707</v>
      </c>
      <c r="E69" s="7" t="s">
        <v>715</v>
      </c>
      <c r="F69" s="7" t="s">
        <v>724</v>
      </c>
      <c r="G69" s="7" t="s">
        <v>729</v>
      </c>
      <c r="H69" s="13">
        <v>8.69</v>
      </c>
      <c r="I69" s="13">
        <f t="shared" si="6"/>
        <v>6.5175000000000001</v>
      </c>
      <c r="J69" s="13">
        <v>3.4231600000000002</v>
      </c>
      <c r="K69" s="3">
        <v>1</v>
      </c>
      <c r="L69" s="3">
        <v>0.6</v>
      </c>
      <c r="M69" s="1">
        <v>0</v>
      </c>
      <c r="N69" s="1">
        <v>60</v>
      </c>
      <c r="O69" s="1">
        <v>52</v>
      </c>
      <c r="P69" s="1">
        <v>31</v>
      </c>
      <c r="Q69" s="1">
        <v>0</v>
      </c>
      <c r="R69" s="1">
        <v>0</v>
      </c>
      <c r="S69" s="1">
        <v>91</v>
      </c>
      <c r="T69" s="1">
        <v>0</v>
      </c>
      <c r="U69" s="1">
        <v>0</v>
      </c>
      <c r="V69" s="1">
        <v>0</v>
      </c>
      <c r="W69" s="1">
        <v>0</v>
      </c>
      <c r="X69" s="1">
        <v>5</v>
      </c>
      <c r="Y69" s="1">
        <v>0</v>
      </c>
      <c r="Z69" s="1">
        <v>0</v>
      </c>
      <c r="AA69" s="1">
        <v>40</v>
      </c>
      <c r="AB69" s="1">
        <v>24</v>
      </c>
      <c r="AC69" s="1">
        <v>0</v>
      </c>
      <c r="AD69" s="1">
        <v>56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20</v>
      </c>
      <c r="AK69" s="1">
        <v>20</v>
      </c>
      <c r="AL69" s="1">
        <v>0</v>
      </c>
      <c r="AM69" s="1">
        <v>23</v>
      </c>
      <c r="AN69" s="1">
        <v>0</v>
      </c>
      <c r="AO69" s="1">
        <v>20</v>
      </c>
      <c r="AP69" s="1">
        <v>0</v>
      </c>
      <c r="AQ69" s="1">
        <v>0</v>
      </c>
      <c r="AR69" s="1">
        <v>10</v>
      </c>
      <c r="AS69" s="1">
        <v>0</v>
      </c>
      <c r="AT69" s="1">
        <v>20</v>
      </c>
      <c r="AU69" s="1">
        <v>5</v>
      </c>
      <c r="AV69" s="1">
        <v>0</v>
      </c>
      <c r="AW69" s="1">
        <v>10</v>
      </c>
      <c r="AX69" s="1">
        <v>0</v>
      </c>
      <c r="AY69" s="1">
        <v>0</v>
      </c>
      <c r="AZ69" s="1">
        <v>20</v>
      </c>
      <c r="BA69" s="1">
        <v>0</v>
      </c>
      <c r="BB69" s="1">
        <v>20</v>
      </c>
      <c r="BC69" s="1">
        <v>20</v>
      </c>
      <c r="BD69" s="1">
        <v>10</v>
      </c>
      <c r="BE69" s="1">
        <v>10</v>
      </c>
      <c r="BF69" s="1">
        <v>0</v>
      </c>
      <c r="BG69" s="1">
        <v>40</v>
      </c>
      <c r="BH69" s="1">
        <v>0</v>
      </c>
      <c r="BI69" s="1">
        <v>0</v>
      </c>
      <c r="BJ69" s="1">
        <v>50</v>
      </c>
      <c r="BK69" s="1">
        <v>0</v>
      </c>
      <c r="BL69" s="1">
        <v>20</v>
      </c>
      <c r="BM69" s="3">
        <f t="shared" si="7"/>
        <v>677</v>
      </c>
      <c r="BN69" s="3">
        <v>677</v>
      </c>
      <c r="BO69" s="24">
        <f>Tabla2[[#This Row],[CONSUMO TOTAL VALORES]]/52</f>
        <v>13.01923076923077</v>
      </c>
      <c r="BP69" s="74">
        <f>Tabla2[[#This Row],[CONSUMO PROMEDIO]]*Tabla2[[#This Row],[FRECUENCIA]]*Tabla2[[#This Row],[TIEMPO REPOSICION ]]*1.5*2.4</f>
        <v>28.12153846153846</v>
      </c>
      <c r="BQ69">
        <v>28</v>
      </c>
    </row>
    <row r="70" spans="1:69">
      <c r="A70" s="1" t="s">
        <v>553</v>
      </c>
      <c r="B70" s="1" t="s">
        <v>554</v>
      </c>
      <c r="C70" s="1" t="s">
        <v>683</v>
      </c>
      <c r="D70" s="1" t="s">
        <v>712</v>
      </c>
      <c r="E70" s="7" t="s">
        <v>715</v>
      </c>
      <c r="F70" s="7" t="s">
        <v>724</v>
      </c>
      <c r="G70" s="7" t="s">
        <v>729</v>
      </c>
      <c r="H70" s="13">
        <v>7.59</v>
      </c>
      <c r="I70" s="13">
        <f t="shared" si="6"/>
        <v>5.6924999999999999</v>
      </c>
      <c r="J70" s="13">
        <v>4.9675900000000004</v>
      </c>
      <c r="K70" s="3">
        <v>1</v>
      </c>
      <c r="L70" s="3">
        <v>0.6</v>
      </c>
      <c r="M70" s="1">
        <v>5</v>
      </c>
      <c r="N70" s="1">
        <v>114</v>
      </c>
      <c r="O70" s="1">
        <v>356</v>
      </c>
      <c r="P70" s="1">
        <v>50</v>
      </c>
      <c r="Q70" s="1">
        <v>30</v>
      </c>
      <c r="R70" s="1">
        <v>1</v>
      </c>
      <c r="S70" s="1">
        <v>50</v>
      </c>
      <c r="T70" s="1">
        <v>110</v>
      </c>
      <c r="U70" s="1">
        <v>12</v>
      </c>
      <c r="V70" s="1">
        <v>0</v>
      </c>
      <c r="W70" s="1">
        <v>211</v>
      </c>
      <c r="X70" s="1">
        <v>50</v>
      </c>
      <c r="Y70" s="1">
        <v>0</v>
      </c>
      <c r="Z70" s="1">
        <v>100</v>
      </c>
      <c r="AA70" s="1">
        <v>30</v>
      </c>
      <c r="AB70" s="1">
        <v>55</v>
      </c>
      <c r="AC70" s="1">
        <v>0</v>
      </c>
      <c r="AD70" s="1">
        <v>115</v>
      </c>
      <c r="AE70" s="1">
        <v>0</v>
      </c>
      <c r="AF70" s="1">
        <v>270</v>
      </c>
      <c r="AG70" s="1">
        <v>100</v>
      </c>
      <c r="AH70" s="1">
        <v>100</v>
      </c>
      <c r="AI70" s="1">
        <v>0</v>
      </c>
      <c r="AJ70" s="1">
        <v>0</v>
      </c>
      <c r="AK70" s="1">
        <v>225</v>
      </c>
      <c r="AL70" s="1">
        <v>0</v>
      </c>
      <c r="AM70" s="1">
        <v>25</v>
      </c>
      <c r="AN70" s="1">
        <v>0</v>
      </c>
      <c r="AO70" s="1">
        <v>100</v>
      </c>
      <c r="AP70" s="1">
        <v>50</v>
      </c>
      <c r="AQ70" s="1">
        <v>20</v>
      </c>
      <c r="AR70" s="1">
        <v>100</v>
      </c>
      <c r="AS70" s="1">
        <v>0</v>
      </c>
      <c r="AT70" s="1">
        <v>101</v>
      </c>
      <c r="AU70" s="1">
        <v>0</v>
      </c>
      <c r="AV70" s="1">
        <v>0</v>
      </c>
      <c r="AW70" s="1">
        <v>5</v>
      </c>
      <c r="AX70" s="1">
        <v>0</v>
      </c>
      <c r="AY70" s="1">
        <v>50</v>
      </c>
      <c r="AZ70" s="1">
        <v>25</v>
      </c>
      <c r="BA70" s="1">
        <v>50</v>
      </c>
      <c r="BB70" s="1">
        <v>25</v>
      </c>
      <c r="BC70" s="1">
        <v>0</v>
      </c>
      <c r="BD70" s="1">
        <v>13</v>
      </c>
      <c r="BE70" s="1">
        <v>50</v>
      </c>
      <c r="BF70" s="1">
        <v>0</v>
      </c>
      <c r="BG70" s="1">
        <v>0</v>
      </c>
      <c r="BH70" s="1">
        <v>12</v>
      </c>
      <c r="BI70" s="1">
        <v>0</v>
      </c>
      <c r="BJ70" s="1">
        <v>67</v>
      </c>
      <c r="BK70" s="1">
        <v>140</v>
      </c>
      <c r="BL70" s="1">
        <v>0</v>
      </c>
      <c r="BM70" s="3">
        <f t="shared" si="7"/>
        <v>2817</v>
      </c>
      <c r="BN70" s="3">
        <v>2817</v>
      </c>
      <c r="BO70" s="24">
        <f>Tabla2[[#This Row],[CONSUMO TOTAL VALORES]]/52</f>
        <v>54.17307692307692</v>
      </c>
      <c r="BP70" s="74">
        <f>Tabla2[[#This Row],[CONSUMO PROMEDIO]]*Tabla2[[#This Row],[FRECUENCIA]]*Tabla2[[#This Row],[TIEMPO REPOSICION ]]*1.5*2.4</f>
        <v>117.01384615384612</v>
      </c>
      <c r="BQ70">
        <v>117</v>
      </c>
    </row>
    <row r="71" spans="1:69">
      <c r="A71" s="1" t="s">
        <v>555</v>
      </c>
      <c r="B71" s="1" t="s">
        <v>556</v>
      </c>
      <c r="C71" s="1" t="s">
        <v>690</v>
      </c>
      <c r="D71" s="1" t="s">
        <v>712</v>
      </c>
      <c r="E71" s="7" t="s">
        <v>719</v>
      </c>
      <c r="F71" s="7" t="s">
        <v>724</v>
      </c>
      <c r="G71" s="7" t="s">
        <v>729</v>
      </c>
      <c r="H71" s="13">
        <v>0</v>
      </c>
      <c r="I71" s="13">
        <f t="shared" si="6"/>
        <v>0</v>
      </c>
      <c r="J71" s="13">
        <v>2.37</v>
      </c>
      <c r="K71" s="3">
        <v>1</v>
      </c>
      <c r="L71" s="3">
        <v>0.6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>
        <v>0</v>
      </c>
      <c r="AS71" s="1">
        <v>0</v>
      </c>
      <c r="AT71" s="1">
        <v>0</v>
      </c>
      <c r="AU71" s="1">
        <v>0</v>
      </c>
      <c r="AV71" s="1">
        <v>0</v>
      </c>
      <c r="AW71" s="1">
        <v>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30</v>
      </c>
      <c r="BG71" s="1">
        <v>30</v>
      </c>
      <c r="BH71" s="1">
        <v>0</v>
      </c>
      <c r="BI71" s="1">
        <v>0</v>
      </c>
      <c r="BJ71" s="1">
        <v>0</v>
      </c>
      <c r="BK71" s="1">
        <v>0</v>
      </c>
      <c r="BL71" s="1">
        <v>0</v>
      </c>
      <c r="BM71" s="3">
        <f t="shared" si="7"/>
        <v>60</v>
      </c>
      <c r="BN71" s="3">
        <v>60</v>
      </c>
      <c r="BO71" s="24">
        <f>Tabla2[[#This Row],[CONSUMO TOTAL VALORES]]/52</f>
        <v>1.1538461538461537</v>
      </c>
      <c r="BP71" s="74">
        <f>Tabla2[[#This Row],[CONSUMO PROMEDIO]]*Tabla2[[#This Row],[FRECUENCIA]]*Tabla2[[#This Row],[TIEMPO REPOSICION ]]*1.5*2.4</f>
        <v>2.4923076923076919</v>
      </c>
      <c r="BQ71">
        <v>40</v>
      </c>
    </row>
    <row r="72" spans="1:69">
      <c r="A72" s="1" t="s">
        <v>557</v>
      </c>
      <c r="B72" s="1" t="s">
        <v>558</v>
      </c>
      <c r="C72" s="1" t="s">
        <v>671</v>
      </c>
      <c r="D72" s="1" t="s">
        <v>712</v>
      </c>
      <c r="E72" s="7" t="s">
        <v>719</v>
      </c>
      <c r="F72" s="7" t="s">
        <v>724</v>
      </c>
      <c r="G72" s="7" t="s">
        <v>729</v>
      </c>
      <c r="H72" s="13">
        <v>0</v>
      </c>
      <c r="I72" s="13">
        <f t="shared" si="6"/>
        <v>0</v>
      </c>
      <c r="J72" s="13">
        <v>4.4870000000000001</v>
      </c>
      <c r="K72" s="3">
        <v>1</v>
      </c>
      <c r="L72" s="3">
        <v>0.6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>
        <v>0</v>
      </c>
      <c r="AS72" s="1">
        <v>0</v>
      </c>
      <c r="AT72" s="1">
        <v>0</v>
      </c>
      <c r="AU72" s="1">
        <v>0</v>
      </c>
      <c r="AV72" s="1">
        <v>0</v>
      </c>
      <c r="AW72" s="1">
        <v>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20</v>
      </c>
      <c r="BG72" s="1">
        <v>30</v>
      </c>
      <c r="BH72" s="1">
        <v>0</v>
      </c>
      <c r="BI72" s="1">
        <v>0</v>
      </c>
      <c r="BJ72" s="1">
        <v>48</v>
      </c>
      <c r="BK72" s="1">
        <v>0</v>
      </c>
      <c r="BL72" s="1">
        <v>80</v>
      </c>
      <c r="BM72" s="3">
        <f t="shared" si="7"/>
        <v>178</v>
      </c>
      <c r="BN72" s="3">
        <v>178</v>
      </c>
      <c r="BO72" s="24">
        <f>Tabla2[[#This Row],[CONSUMO TOTAL VALORES]]/52</f>
        <v>3.4230769230769229</v>
      </c>
      <c r="BP72" s="74">
        <f>Tabla2[[#This Row],[CONSUMO PROMEDIO]]*Tabla2[[#This Row],[FRECUENCIA]]*Tabla2[[#This Row],[TIEMPO REPOSICION ]]*1.5*2.4</f>
        <v>7.3938461538461526</v>
      </c>
      <c r="BQ72">
        <v>100</v>
      </c>
    </row>
    <row r="73" spans="1:69">
      <c r="A73" s="1" t="s">
        <v>559</v>
      </c>
      <c r="B73" s="1" t="s">
        <v>560</v>
      </c>
      <c r="C73" s="1" t="s">
        <v>2</v>
      </c>
      <c r="D73" s="1" t="s">
        <v>712</v>
      </c>
      <c r="E73" s="7" t="s">
        <v>719</v>
      </c>
      <c r="F73" s="7" t="s">
        <v>724</v>
      </c>
      <c r="G73" s="7" t="s">
        <v>729</v>
      </c>
      <c r="H73" s="13">
        <v>4.8899999999999997</v>
      </c>
      <c r="I73" s="13">
        <f t="shared" si="6"/>
        <v>3.6674999999999995</v>
      </c>
      <c r="J73" s="13">
        <v>2.6898399999999998</v>
      </c>
      <c r="K73" s="3">
        <v>1</v>
      </c>
      <c r="L73" s="3">
        <v>0.6</v>
      </c>
      <c r="M73" s="1">
        <v>0</v>
      </c>
      <c r="N73" s="1">
        <v>321</v>
      </c>
      <c r="O73" s="1">
        <v>53</v>
      </c>
      <c r="P73" s="1">
        <v>100</v>
      </c>
      <c r="Q73" s="1">
        <v>25</v>
      </c>
      <c r="R73" s="1">
        <v>0</v>
      </c>
      <c r="S73" s="1">
        <v>153</v>
      </c>
      <c r="T73" s="1">
        <v>0</v>
      </c>
      <c r="U73" s="1">
        <v>0</v>
      </c>
      <c r="V73" s="1">
        <v>0</v>
      </c>
      <c r="W73" s="1">
        <v>4</v>
      </c>
      <c r="X73" s="1">
        <v>0</v>
      </c>
      <c r="Y73" s="1">
        <v>21</v>
      </c>
      <c r="Z73" s="1">
        <v>200</v>
      </c>
      <c r="AA73" s="1">
        <v>0</v>
      </c>
      <c r="AB73" s="1">
        <v>150</v>
      </c>
      <c r="AC73" s="1">
        <v>50</v>
      </c>
      <c r="AD73" s="1">
        <v>75</v>
      </c>
      <c r="AE73" s="1">
        <v>11</v>
      </c>
      <c r="AF73" s="1">
        <v>80</v>
      </c>
      <c r="AG73" s="1">
        <v>150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100</v>
      </c>
      <c r="AP73" s="1">
        <v>125</v>
      </c>
      <c r="AQ73" s="1">
        <v>40</v>
      </c>
      <c r="AR73" s="1">
        <v>0</v>
      </c>
      <c r="AS73" s="1">
        <v>50</v>
      </c>
      <c r="AT73" s="1">
        <v>121</v>
      </c>
      <c r="AU73" s="1">
        <v>237</v>
      </c>
      <c r="AV73" s="1">
        <v>113</v>
      </c>
      <c r="AW73" s="1">
        <v>0</v>
      </c>
      <c r="AX73" s="1">
        <v>21</v>
      </c>
      <c r="AY73" s="1">
        <v>0</v>
      </c>
      <c r="AZ73" s="1">
        <v>100</v>
      </c>
      <c r="BA73" s="1">
        <v>0</v>
      </c>
      <c r="BB73" s="1">
        <v>0</v>
      </c>
      <c r="BC73" s="1">
        <v>0</v>
      </c>
      <c r="BD73" s="1">
        <v>145</v>
      </c>
      <c r="BE73" s="1">
        <v>0</v>
      </c>
      <c r="BF73" s="1">
        <v>0</v>
      </c>
      <c r="BG73" s="1">
        <v>80</v>
      </c>
      <c r="BH73" s="1">
        <v>0</v>
      </c>
      <c r="BI73" s="1">
        <v>0</v>
      </c>
      <c r="BJ73" s="1">
        <v>0</v>
      </c>
      <c r="BK73" s="1">
        <v>0</v>
      </c>
      <c r="BL73" s="1">
        <v>0</v>
      </c>
      <c r="BM73" s="3">
        <f t="shared" si="7"/>
        <v>2525</v>
      </c>
      <c r="BN73" s="3">
        <v>2525</v>
      </c>
      <c r="BO73" s="24">
        <f>Tabla2[[#This Row],[CONSUMO TOTAL VALORES]]/52</f>
        <v>48.557692307692307</v>
      </c>
      <c r="BP73" s="74">
        <f>Tabla2[[#This Row],[CONSUMO PROMEDIO]]*Tabla2[[#This Row],[FRECUENCIA]]*Tabla2[[#This Row],[TIEMPO REPOSICION ]]*1.5*2.4</f>
        <v>104.88461538461537</v>
      </c>
      <c r="BQ73">
        <v>40</v>
      </c>
    </row>
    <row r="74" spans="1:69">
      <c r="A74" s="1" t="s">
        <v>561</v>
      </c>
      <c r="B74" s="1" t="s">
        <v>562</v>
      </c>
      <c r="C74" s="1" t="s">
        <v>2</v>
      </c>
      <c r="D74" s="1" t="s">
        <v>712</v>
      </c>
      <c r="E74" s="7" t="s">
        <v>719</v>
      </c>
      <c r="F74" s="7" t="s">
        <v>724</v>
      </c>
      <c r="G74" s="7" t="s">
        <v>729</v>
      </c>
      <c r="H74" s="13">
        <v>9.2899999999999991</v>
      </c>
      <c r="I74" s="13">
        <f t="shared" si="6"/>
        <v>6.9674999999999994</v>
      </c>
      <c r="J74" s="13">
        <v>4.96136</v>
      </c>
      <c r="K74" s="3">
        <v>1</v>
      </c>
      <c r="L74" s="3">
        <v>0.6</v>
      </c>
      <c r="M74" s="1">
        <v>0</v>
      </c>
      <c r="N74" s="1">
        <v>164</v>
      </c>
      <c r="O74" s="1">
        <v>90</v>
      </c>
      <c r="P74" s="1">
        <v>5</v>
      </c>
      <c r="Q74" s="1">
        <v>67</v>
      </c>
      <c r="R74" s="1">
        <v>0</v>
      </c>
      <c r="S74" s="1">
        <v>11</v>
      </c>
      <c r="T74" s="1">
        <v>0</v>
      </c>
      <c r="U74" s="1">
        <v>12</v>
      </c>
      <c r="V74" s="1">
        <v>0</v>
      </c>
      <c r="W74" s="1">
        <v>92</v>
      </c>
      <c r="X74" s="1">
        <v>81</v>
      </c>
      <c r="Y74" s="1">
        <v>60</v>
      </c>
      <c r="Z74" s="1">
        <v>85</v>
      </c>
      <c r="AA74" s="1">
        <v>100</v>
      </c>
      <c r="AB74" s="1">
        <v>60</v>
      </c>
      <c r="AC74" s="1">
        <v>0</v>
      </c>
      <c r="AD74" s="1">
        <v>105</v>
      </c>
      <c r="AE74" s="1">
        <v>0</v>
      </c>
      <c r="AF74" s="1">
        <v>212</v>
      </c>
      <c r="AG74" s="1">
        <v>25</v>
      </c>
      <c r="AH74" s="1">
        <v>100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60</v>
      </c>
      <c r="AP74" s="1">
        <v>121</v>
      </c>
      <c r="AQ74" s="1">
        <v>30</v>
      </c>
      <c r="AR74" s="1">
        <v>5</v>
      </c>
      <c r="AS74" s="1">
        <v>0</v>
      </c>
      <c r="AT74" s="1">
        <v>171</v>
      </c>
      <c r="AU74" s="1">
        <v>90</v>
      </c>
      <c r="AV74" s="1">
        <v>246</v>
      </c>
      <c r="AW74" s="1">
        <v>0</v>
      </c>
      <c r="AX74" s="1">
        <v>0</v>
      </c>
      <c r="AY74" s="1">
        <v>15</v>
      </c>
      <c r="AZ74" s="1">
        <v>191</v>
      </c>
      <c r="BA74" s="1">
        <v>20</v>
      </c>
      <c r="BB74" s="1">
        <v>40</v>
      </c>
      <c r="BC74" s="1">
        <v>0</v>
      </c>
      <c r="BD74" s="1">
        <v>60</v>
      </c>
      <c r="BE74" s="1">
        <v>0</v>
      </c>
      <c r="BF74" s="1">
        <v>0</v>
      </c>
      <c r="BG74" s="1">
        <v>40</v>
      </c>
      <c r="BH74" s="1">
        <v>40</v>
      </c>
      <c r="BI74" s="1">
        <v>0</v>
      </c>
      <c r="BJ74" s="1">
        <v>0</v>
      </c>
      <c r="BK74" s="1">
        <v>0</v>
      </c>
      <c r="BL74" s="1">
        <v>300</v>
      </c>
      <c r="BM74" s="3">
        <f t="shared" si="7"/>
        <v>2698</v>
      </c>
      <c r="BN74" s="3">
        <v>2698</v>
      </c>
      <c r="BO74" s="24">
        <f>Tabla2[[#This Row],[CONSUMO TOTAL VALORES]]/52</f>
        <v>51.884615384615387</v>
      </c>
      <c r="BP74" s="74">
        <f>Tabla2[[#This Row],[CONSUMO PROMEDIO]]*Tabla2[[#This Row],[FRECUENCIA]]*Tabla2[[#This Row],[TIEMPO REPOSICION ]]*1.5*2.4</f>
        <v>112.07076923076923</v>
      </c>
      <c r="BQ74">
        <v>100</v>
      </c>
    </row>
    <row r="75" spans="1:69">
      <c r="A75" s="1" t="s">
        <v>576</v>
      </c>
      <c r="B75" s="1" t="s">
        <v>577</v>
      </c>
      <c r="C75" s="1" t="s">
        <v>682</v>
      </c>
      <c r="D75" s="1" t="s">
        <v>709</v>
      </c>
      <c r="E75" s="7" t="s">
        <v>715</v>
      </c>
      <c r="F75" s="7" t="s">
        <v>724</v>
      </c>
      <c r="G75" s="7" t="s">
        <v>729</v>
      </c>
      <c r="H75" s="13">
        <v>2.4700000000000002</v>
      </c>
      <c r="I75" s="13">
        <v>2.4700000000000002</v>
      </c>
      <c r="J75" s="13">
        <v>0.97</v>
      </c>
      <c r="K75" s="3">
        <v>1</v>
      </c>
      <c r="L75" s="3">
        <v>0.6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0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0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1">
        <v>0</v>
      </c>
      <c r="BM75" s="3">
        <f t="shared" si="7"/>
        <v>0</v>
      </c>
      <c r="BN75" s="3">
        <v>0</v>
      </c>
      <c r="BO75" s="24">
        <f>Tabla2[[#This Row],[CONSUMO TOTAL VALORES]]/52</f>
        <v>0</v>
      </c>
      <c r="BP75" s="74">
        <f>Tabla2[[#This Row],[CONSUMO PROMEDIO]]*Tabla2[[#This Row],[FRECUENCIA]]*Tabla2[[#This Row],[TIEMPO REPOSICION ]]*1.5*2.4</f>
        <v>0</v>
      </c>
      <c r="BQ75">
        <v>0</v>
      </c>
    </row>
    <row r="76" spans="1:69">
      <c r="A76" s="1" t="s">
        <v>578</v>
      </c>
      <c r="B76" s="1" t="s">
        <v>579</v>
      </c>
      <c r="C76" s="1" t="s">
        <v>682</v>
      </c>
      <c r="D76" s="1" t="s">
        <v>709</v>
      </c>
      <c r="E76" s="7" t="s">
        <v>715</v>
      </c>
      <c r="F76" s="7" t="s">
        <v>724</v>
      </c>
      <c r="G76" s="7" t="s">
        <v>729</v>
      </c>
      <c r="H76" s="13">
        <v>4.25</v>
      </c>
      <c r="I76" s="13">
        <v>4.25</v>
      </c>
      <c r="J76" s="13">
        <v>2.3239999999999998</v>
      </c>
      <c r="K76" s="3">
        <v>1</v>
      </c>
      <c r="L76" s="3">
        <v>0.6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W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D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1">
        <v>0</v>
      </c>
      <c r="BM76" s="3">
        <f t="shared" si="7"/>
        <v>0</v>
      </c>
      <c r="BN76" s="3">
        <v>0</v>
      </c>
      <c r="BO76" s="24">
        <f>Tabla2[[#This Row],[CONSUMO TOTAL VALORES]]/52</f>
        <v>0</v>
      </c>
      <c r="BP76" s="74">
        <f>Tabla2[[#This Row],[CONSUMO PROMEDIO]]*Tabla2[[#This Row],[FRECUENCIA]]*Tabla2[[#This Row],[TIEMPO REPOSICION ]]*1.5*2.4</f>
        <v>0</v>
      </c>
      <c r="BQ76">
        <v>0</v>
      </c>
    </row>
    <row r="77" spans="1:69">
      <c r="A77" s="1" t="s">
        <v>580</v>
      </c>
      <c r="B77" s="1" t="s">
        <v>581</v>
      </c>
      <c r="C77" s="1" t="s">
        <v>682</v>
      </c>
      <c r="D77" s="1" t="s">
        <v>709</v>
      </c>
      <c r="E77" s="7" t="s">
        <v>715</v>
      </c>
      <c r="F77" s="7" t="s">
        <v>724</v>
      </c>
      <c r="G77" s="7" t="s">
        <v>729</v>
      </c>
      <c r="H77" s="13">
        <v>8.5</v>
      </c>
      <c r="I77" s="13">
        <v>8.5</v>
      </c>
      <c r="J77" s="13">
        <v>3.9209999999999998</v>
      </c>
      <c r="K77" s="3">
        <v>1</v>
      </c>
      <c r="L77" s="3">
        <v>0.6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>
        <v>0</v>
      </c>
      <c r="AJ77" s="1">
        <v>0</v>
      </c>
      <c r="AK77" s="1">
        <v>0</v>
      </c>
      <c r="AL77" s="1">
        <v>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0</v>
      </c>
      <c r="AW77" s="1">
        <v>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1">
        <v>0</v>
      </c>
      <c r="BM77" s="3">
        <f t="shared" si="7"/>
        <v>0</v>
      </c>
      <c r="BN77" s="3">
        <v>0</v>
      </c>
      <c r="BO77" s="24">
        <f>Tabla2[[#This Row],[CONSUMO TOTAL VALORES]]/52</f>
        <v>0</v>
      </c>
      <c r="BP77" s="74">
        <f>Tabla2[[#This Row],[CONSUMO PROMEDIO]]*Tabla2[[#This Row],[FRECUENCIA]]*Tabla2[[#This Row],[TIEMPO REPOSICION ]]*1.5*2.4</f>
        <v>0</v>
      </c>
      <c r="BQ77">
        <v>0</v>
      </c>
    </row>
    <row r="78" spans="1:69">
      <c r="A78" s="1" t="s">
        <v>582</v>
      </c>
      <c r="B78" s="1" t="s">
        <v>583</v>
      </c>
      <c r="C78" s="1" t="s">
        <v>676</v>
      </c>
      <c r="D78" s="1" t="s">
        <v>709</v>
      </c>
      <c r="E78" s="7" t="s">
        <v>715</v>
      </c>
      <c r="F78" s="7" t="s">
        <v>724</v>
      </c>
      <c r="G78" s="7" t="s">
        <v>729</v>
      </c>
      <c r="H78" s="13">
        <v>17</v>
      </c>
      <c r="I78" s="13">
        <v>17</v>
      </c>
      <c r="J78" s="13">
        <v>9.2989999999999995</v>
      </c>
      <c r="K78" s="3">
        <v>1</v>
      </c>
      <c r="L78" s="3">
        <v>0.6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0</v>
      </c>
      <c r="AT78" s="1">
        <v>0</v>
      </c>
      <c r="AU78" s="1">
        <v>0</v>
      </c>
      <c r="AV78" s="1">
        <v>0</v>
      </c>
      <c r="AW78" s="1">
        <v>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1">
        <v>0</v>
      </c>
      <c r="BM78" s="3">
        <f t="shared" si="7"/>
        <v>0</v>
      </c>
      <c r="BN78" s="3">
        <v>0</v>
      </c>
      <c r="BO78" s="24">
        <f>Tabla2[[#This Row],[CONSUMO TOTAL VALORES]]/52</f>
        <v>0</v>
      </c>
      <c r="BP78" s="74">
        <f>Tabla2[[#This Row],[CONSUMO PROMEDIO]]*Tabla2[[#This Row],[FRECUENCIA]]*Tabla2[[#This Row],[TIEMPO REPOSICION ]]*1.5*2.4</f>
        <v>0</v>
      </c>
      <c r="BQ78">
        <v>0</v>
      </c>
    </row>
    <row r="79" spans="1:69">
      <c r="A79" s="1" t="s">
        <v>584</v>
      </c>
      <c r="B79" s="1" t="s">
        <v>585</v>
      </c>
      <c r="C79" s="1" t="s">
        <v>672</v>
      </c>
      <c r="D79" s="1" t="s">
        <v>707</v>
      </c>
      <c r="E79" s="7" t="s">
        <v>715</v>
      </c>
      <c r="F79" s="7" t="s">
        <v>724</v>
      </c>
      <c r="G79" s="7" t="s">
        <v>729</v>
      </c>
      <c r="H79" s="13">
        <v>19.95</v>
      </c>
      <c r="I79" s="13">
        <f t="shared" ref="I79:I107" si="8">+H79*75%</f>
        <v>14.962499999999999</v>
      </c>
      <c r="J79" s="13">
        <v>12.155939999999999</v>
      </c>
      <c r="K79" s="3">
        <v>1</v>
      </c>
      <c r="L79" s="3">
        <v>0.6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2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 s="1">
        <v>0</v>
      </c>
      <c r="BI79" s="1">
        <v>0</v>
      </c>
      <c r="BJ79" s="1">
        <v>0</v>
      </c>
      <c r="BK79" s="1">
        <v>0</v>
      </c>
      <c r="BL79" s="1">
        <v>0</v>
      </c>
      <c r="BM79" s="3">
        <f t="shared" si="7"/>
        <v>2</v>
      </c>
      <c r="BN79" s="3">
        <v>2</v>
      </c>
      <c r="BO79" s="24">
        <f>Tabla2[[#This Row],[CONSUMO TOTAL VALORES]]/52</f>
        <v>3.8461538461538464E-2</v>
      </c>
      <c r="BP79" s="74">
        <f>Tabla2[[#This Row],[CONSUMO PROMEDIO]]*Tabla2[[#This Row],[FRECUENCIA]]*Tabla2[[#This Row],[TIEMPO REPOSICION ]]*1.5*2.4</f>
        <v>8.3076923076923076E-2</v>
      </c>
      <c r="BQ79">
        <v>0</v>
      </c>
    </row>
    <row r="80" spans="1:69">
      <c r="A80" s="1" t="s">
        <v>586</v>
      </c>
      <c r="B80" s="1" t="s">
        <v>587</v>
      </c>
      <c r="C80" s="1" t="s">
        <v>681</v>
      </c>
      <c r="D80" s="1" t="s">
        <v>707</v>
      </c>
      <c r="E80" s="7" t="s">
        <v>715</v>
      </c>
      <c r="F80" s="7" t="s">
        <v>724</v>
      </c>
      <c r="G80" s="7" t="s">
        <v>729</v>
      </c>
      <c r="H80" s="13">
        <v>19.989999999999998</v>
      </c>
      <c r="I80" s="13">
        <f t="shared" si="8"/>
        <v>14.9925</v>
      </c>
      <c r="J80" s="13">
        <v>11.233000000000001</v>
      </c>
      <c r="K80" s="3">
        <v>1</v>
      </c>
      <c r="L80" s="3">
        <v>0.6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 s="1">
        <v>0</v>
      </c>
      <c r="BI80" s="1">
        <v>0</v>
      </c>
      <c r="BJ80" s="1">
        <v>0</v>
      </c>
      <c r="BK80" s="1">
        <v>0</v>
      </c>
      <c r="BL80" s="1">
        <v>0</v>
      </c>
      <c r="BM80" s="3">
        <f t="shared" si="7"/>
        <v>0</v>
      </c>
      <c r="BN80" s="3">
        <v>0</v>
      </c>
      <c r="BO80" s="24">
        <f>Tabla2[[#This Row],[CONSUMO TOTAL VALORES]]/52</f>
        <v>0</v>
      </c>
      <c r="BP80" s="74">
        <f>Tabla2[[#This Row],[CONSUMO PROMEDIO]]*Tabla2[[#This Row],[FRECUENCIA]]*Tabla2[[#This Row],[TIEMPO REPOSICION ]]*1.5*2.4</f>
        <v>0</v>
      </c>
      <c r="BQ80">
        <v>0</v>
      </c>
    </row>
    <row r="81" spans="1:69">
      <c r="A81" s="1" t="s">
        <v>588</v>
      </c>
      <c r="B81" s="1" t="s">
        <v>589</v>
      </c>
      <c r="C81" s="1" t="s">
        <v>676</v>
      </c>
      <c r="D81" s="1" t="s">
        <v>707</v>
      </c>
      <c r="E81" s="7" t="s">
        <v>715</v>
      </c>
      <c r="F81" s="7" t="s">
        <v>724</v>
      </c>
      <c r="G81" s="7" t="s">
        <v>729</v>
      </c>
      <c r="H81" s="13">
        <v>5.39</v>
      </c>
      <c r="I81" s="13">
        <f t="shared" si="8"/>
        <v>4.0424999999999995</v>
      </c>
      <c r="J81" s="13">
        <v>2.9348399999999999</v>
      </c>
      <c r="K81" s="3">
        <v>1</v>
      </c>
      <c r="L81" s="3">
        <v>0.6</v>
      </c>
      <c r="M81" s="1">
        <v>0</v>
      </c>
      <c r="N81" s="1">
        <v>0</v>
      </c>
      <c r="O81" s="1">
        <v>0</v>
      </c>
      <c r="P81" s="1">
        <v>23</v>
      </c>
      <c r="Q81" s="1">
        <v>0</v>
      </c>
      <c r="R81" s="1">
        <v>30</v>
      </c>
      <c r="S81" s="1">
        <v>0</v>
      </c>
      <c r="T81" s="1">
        <v>0</v>
      </c>
      <c r="U81" s="1">
        <v>0</v>
      </c>
      <c r="V81" s="1">
        <v>3</v>
      </c>
      <c r="W81" s="1">
        <v>0</v>
      </c>
      <c r="X81" s="1">
        <v>3</v>
      </c>
      <c r="Y81" s="1">
        <v>20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61</v>
      </c>
      <c r="AF81" s="1">
        <v>3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61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20</v>
      </c>
      <c r="AV81" s="1">
        <v>0</v>
      </c>
      <c r="AW81" s="1">
        <v>1</v>
      </c>
      <c r="AX81" s="1">
        <v>0</v>
      </c>
      <c r="AY81" s="1">
        <v>0</v>
      </c>
      <c r="AZ81" s="1">
        <v>15</v>
      </c>
      <c r="BA81" s="1">
        <v>20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 s="1">
        <v>60</v>
      </c>
      <c r="BI81" s="1">
        <v>0</v>
      </c>
      <c r="BJ81" s="1">
        <v>0</v>
      </c>
      <c r="BK81" s="1">
        <v>0</v>
      </c>
      <c r="BL81" s="1">
        <v>60</v>
      </c>
      <c r="BM81" s="3">
        <f t="shared" si="7"/>
        <v>380</v>
      </c>
      <c r="BN81" s="3">
        <v>380</v>
      </c>
      <c r="BO81" s="24">
        <f>Tabla2[[#This Row],[CONSUMO TOTAL VALORES]]/52</f>
        <v>7.3076923076923075</v>
      </c>
      <c r="BP81" s="74">
        <f>Tabla2[[#This Row],[CONSUMO PROMEDIO]]*Tabla2[[#This Row],[FRECUENCIA]]*Tabla2[[#This Row],[TIEMPO REPOSICION ]]*1.5*2.4</f>
        <v>15.784615384615384</v>
      </c>
      <c r="BQ81">
        <v>20</v>
      </c>
    </row>
    <row r="82" spans="1:69">
      <c r="A82" s="1" t="s">
        <v>594</v>
      </c>
      <c r="B82" s="1" t="s">
        <v>595</v>
      </c>
      <c r="C82" s="1" t="s">
        <v>676</v>
      </c>
      <c r="D82" s="1" t="s">
        <v>712</v>
      </c>
      <c r="E82" s="7" t="s">
        <v>715</v>
      </c>
      <c r="F82" s="7" t="s">
        <v>724</v>
      </c>
      <c r="G82" s="7" t="s">
        <v>729</v>
      </c>
      <c r="H82" s="13">
        <v>41</v>
      </c>
      <c r="I82" s="13">
        <f t="shared" si="8"/>
        <v>30.75</v>
      </c>
      <c r="J82" s="13">
        <v>20.475470000000001</v>
      </c>
      <c r="K82" s="3">
        <v>1</v>
      </c>
      <c r="L82" s="3">
        <v>0.6</v>
      </c>
      <c r="M82" s="1">
        <v>0</v>
      </c>
      <c r="N82" s="1">
        <v>1</v>
      </c>
      <c r="O82" s="1">
        <v>40</v>
      </c>
      <c r="P82" s="1">
        <v>2</v>
      </c>
      <c r="Q82" s="1">
        <v>40</v>
      </c>
      <c r="R82" s="1">
        <v>0</v>
      </c>
      <c r="S82" s="1">
        <v>21</v>
      </c>
      <c r="T82" s="1">
        <v>0</v>
      </c>
      <c r="U82" s="1">
        <v>0</v>
      </c>
      <c r="V82" s="1">
        <v>0</v>
      </c>
      <c r="W82" s="1">
        <v>23</v>
      </c>
      <c r="X82" s="1">
        <v>0</v>
      </c>
      <c r="Y82" s="1">
        <v>0</v>
      </c>
      <c r="Z82" s="1">
        <v>0</v>
      </c>
      <c r="AA82" s="1">
        <v>0</v>
      </c>
      <c r="AB82" s="1">
        <v>10</v>
      </c>
      <c r="AC82" s="1">
        <v>0</v>
      </c>
      <c r="AD82" s="1">
        <v>0</v>
      </c>
      <c r="AE82" s="1">
        <v>3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1</v>
      </c>
      <c r="AN82" s="1">
        <v>0</v>
      </c>
      <c r="AO82" s="1">
        <v>0</v>
      </c>
      <c r="AP82" s="1">
        <v>0</v>
      </c>
      <c r="AQ82" s="1">
        <v>37</v>
      </c>
      <c r="AR82" s="1">
        <v>3</v>
      </c>
      <c r="AS82" s="1">
        <v>0</v>
      </c>
      <c r="AT82" s="1">
        <v>0</v>
      </c>
      <c r="AU82" s="1">
        <v>55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7</v>
      </c>
      <c r="BD82" s="1">
        <v>3</v>
      </c>
      <c r="BE82" s="1">
        <v>0</v>
      </c>
      <c r="BF82" s="1">
        <v>0</v>
      </c>
      <c r="BG82" s="1">
        <v>6</v>
      </c>
      <c r="BH82" s="1">
        <v>0</v>
      </c>
      <c r="BI82" s="1">
        <v>0</v>
      </c>
      <c r="BJ82" s="1">
        <v>1</v>
      </c>
      <c r="BK82" s="1">
        <v>0</v>
      </c>
      <c r="BL82" s="1">
        <v>0</v>
      </c>
      <c r="BM82" s="3">
        <f t="shared" si="7"/>
        <v>253</v>
      </c>
      <c r="BN82" s="3">
        <v>253</v>
      </c>
      <c r="BO82" s="24">
        <f>Tabla2[[#This Row],[CONSUMO TOTAL VALORES]]/52</f>
        <v>4.865384615384615</v>
      </c>
      <c r="BP82" s="74">
        <f>Tabla2[[#This Row],[CONSUMO PROMEDIO]]*Tabla2[[#This Row],[FRECUENCIA]]*Tabla2[[#This Row],[TIEMPO REPOSICION ]]*1.5*2.4</f>
        <v>10.509230769230768</v>
      </c>
      <c r="BQ82">
        <v>40</v>
      </c>
    </row>
    <row r="83" spans="1:69">
      <c r="A83" s="1" t="s">
        <v>596</v>
      </c>
      <c r="B83" s="1" t="s">
        <v>597</v>
      </c>
      <c r="C83" s="1" t="s">
        <v>702</v>
      </c>
      <c r="D83" s="1" t="s">
        <v>712</v>
      </c>
      <c r="E83" s="7" t="s">
        <v>715</v>
      </c>
      <c r="F83" s="7" t="s">
        <v>724</v>
      </c>
      <c r="G83" s="7" t="s">
        <v>729</v>
      </c>
      <c r="H83" s="13">
        <v>4.99</v>
      </c>
      <c r="I83" s="13">
        <f t="shared" si="8"/>
        <v>3.7425000000000002</v>
      </c>
      <c r="J83" s="13">
        <v>1.91225</v>
      </c>
      <c r="K83" s="3">
        <v>1</v>
      </c>
      <c r="L83" s="3">
        <v>0.6</v>
      </c>
      <c r="M83" s="1">
        <v>23</v>
      </c>
      <c r="N83" s="1">
        <v>50</v>
      </c>
      <c r="O83" s="1">
        <v>31</v>
      </c>
      <c r="P83" s="1">
        <v>61</v>
      </c>
      <c r="Q83" s="1">
        <v>93</v>
      </c>
      <c r="R83" s="1">
        <v>0</v>
      </c>
      <c r="S83" s="1">
        <v>0</v>
      </c>
      <c r="T83" s="1">
        <v>0</v>
      </c>
      <c r="U83" s="1">
        <v>0</v>
      </c>
      <c r="V83" s="1">
        <v>82</v>
      </c>
      <c r="W83" s="1">
        <v>118</v>
      </c>
      <c r="X83" s="1">
        <v>30</v>
      </c>
      <c r="Y83" s="1">
        <v>100</v>
      </c>
      <c r="Z83" s="1">
        <v>0</v>
      </c>
      <c r="AA83" s="1">
        <v>0</v>
      </c>
      <c r="AB83" s="1">
        <v>44</v>
      </c>
      <c r="AC83" s="1">
        <v>0</v>
      </c>
      <c r="AD83" s="1">
        <v>0</v>
      </c>
      <c r="AE83" s="1">
        <v>4</v>
      </c>
      <c r="AF83" s="1">
        <v>270</v>
      </c>
      <c r="AG83" s="1">
        <v>30</v>
      </c>
      <c r="AH83" s="1">
        <v>0</v>
      </c>
      <c r="AI83" s="1">
        <v>0</v>
      </c>
      <c r="AJ83" s="1">
        <v>0</v>
      </c>
      <c r="AK83" s="1">
        <v>190</v>
      </c>
      <c r="AL83" s="1">
        <v>42</v>
      </c>
      <c r="AM83" s="1">
        <v>0</v>
      </c>
      <c r="AN83" s="1">
        <v>0</v>
      </c>
      <c r="AO83" s="1">
        <v>0</v>
      </c>
      <c r="AP83" s="1">
        <v>31</v>
      </c>
      <c r="AQ83" s="1">
        <v>174</v>
      </c>
      <c r="AR83" s="1">
        <v>1</v>
      </c>
      <c r="AS83" s="1">
        <v>53</v>
      </c>
      <c r="AT83" s="1">
        <v>70</v>
      </c>
      <c r="AU83" s="1">
        <v>61</v>
      </c>
      <c r="AV83" s="1">
        <v>250</v>
      </c>
      <c r="AW83" s="1">
        <v>30</v>
      </c>
      <c r="AX83" s="1">
        <v>60</v>
      </c>
      <c r="AY83" s="1">
        <v>5</v>
      </c>
      <c r="AZ83" s="1">
        <v>21</v>
      </c>
      <c r="BA83" s="1">
        <v>221</v>
      </c>
      <c r="BB83" s="1">
        <v>20</v>
      </c>
      <c r="BC83" s="1">
        <v>0</v>
      </c>
      <c r="BD83" s="1">
        <v>36</v>
      </c>
      <c r="BE83" s="1">
        <v>20</v>
      </c>
      <c r="BF83" s="1">
        <v>21</v>
      </c>
      <c r="BG83" s="1">
        <v>500</v>
      </c>
      <c r="BH83" s="1">
        <v>5</v>
      </c>
      <c r="BI83" s="1">
        <v>0</v>
      </c>
      <c r="BJ83" s="1">
        <v>87</v>
      </c>
      <c r="BK83" s="1">
        <v>130</v>
      </c>
      <c r="BL83" s="1">
        <v>342</v>
      </c>
      <c r="BM83" s="3">
        <f t="shared" si="7"/>
        <v>3306</v>
      </c>
      <c r="BN83" s="3">
        <v>3306</v>
      </c>
      <c r="BO83" s="24">
        <f>Tabla2[[#This Row],[CONSUMO TOTAL VALORES]]/52</f>
        <v>63.57692307692308</v>
      </c>
      <c r="BP83" s="74">
        <f>Tabla2[[#This Row],[CONSUMO PROMEDIO]]*Tabla2[[#This Row],[FRECUENCIA]]*Tabla2[[#This Row],[TIEMPO REPOSICION ]]*1.5*2.4</f>
        <v>137.32615384615383</v>
      </c>
      <c r="BQ83">
        <v>200</v>
      </c>
    </row>
    <row r="84" spans="1:69">
      <c r="A84" s="1" t="s">
        <v>598</v>
      </c>
      <c r="B84" s="1" t="s">
        <v>599</v>
      </c>
      <c r="C84" s="1" t="s">
        <v>702</v>
      </c>
      <c r="D84" s="1" t="s">
        <v>712</v>
      </c>
      <c r="E84" s="7" t="s">
        <v>715</v>
      </c>
      <c r="F84" s="7" t="s">
        <v>724</v>
      </c>
      <c r="G84" s="7" t="s">
        <v>729</v>
      </c>
      <c r="H84" s="13">
        <v>11.9</v>
      </c>
      <c r="I84" s="13">
        <f t="shared" si="8"/>
        <v>8.9250000000000007</v>
      </c>
      <c r="J84" s="13">
        <v>4.5557699999999999</v>
      </c>
      <c r="K84" s="3">
        <v>1</v>
      </c>
      <c r="L84" s="3">
        <v>0.6</v>
      </c>
      <c r="M84" s="1">
        <v>0</v>
      </c>
      <c r="N84" s="1">
        <v>0</v>
      </c>
      <c r="O84" s="1">
        <v>92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20</v>
      </c>
      <c r="W84" s="1">
        <v>60</v>
      </c>
      <c r="X84" s="1">
        <v>0</v>
      </c>
      <c r="Y84" s="1">
        <v>180</v>
      </c>
      <c r="Z84" s="1">
        <v>0</v>
      </c>
      <c r="AA84" s="1">
        <v>0</v>
      </c>
      <c r="AB84" s="1">
        <v>86</v>
      </c>
      <c r="AC84" s="1">
        <v>0</v>
      </c>
      <c r="AD84" s="1">
        <v>0</v>
      </c>
      <c r="AE84" s="1">
        <v>0</v>
      </c>
      <c r="AF84" s="1">
        <v>20</v>
      </c>
      <c r="AG84" s="1">
        <v>147</v>
      </c>
      <c r="AH84" s="1">
        <v>81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50</v>
      </c>
      <c r="AP84" s="1">
        <v>0</v>
      </c>
      <c r="AQ84" s="1">
        <v>0</v>
      </c>
      <c r="AR84" s="1">
        <v>8</v>
      </c>
      <c r="AS84" s="1">
        <v>0</v>
      </c>
      <c r="AT84" s="1">
        <v>20</v>
      </c>
      <c r="AU84" s="1">
        <v>0</v>
      </c>
      <c r="AV84" s="1">
        <v>72</v>
      </c>
      <c r="AW84" s="1">
        <v>66</v>
      </c>
      <c r="AX84" s="1">
        <v>30</v>
      </c>
      <c r="AY84" s="1">
        <v>0</v>
      </c>
      <c r="AZ84" s="1">
        <v>21</v>
      </c>
      <c r="BA84" s="1">
        <v>120</v>
      </c>
      <c r="BB84" s="1">
        <v>108</v>
      </c>
      <c r="BC84" s="1">
        <v>0</v>
      </c>
      <c r="BD84" s="1">
        <v>18</v>
      </c>
      <c r="BE84" s="1">
        <v>20</v>
      </c>
      <c r="BF84" s="1">
        <v>0</v>
      </c>
      <c r="BG84" s="1">
        <v>251</v>
      </c>
      <c r="BH84" s="1">
        <v>351</v>
      </c>
      <c r="BI84" s="1">
        <v>0</v>
      </c>
      <c r="BJ84" s="1">
        <v>0</v>
      </c>
      <c r="BK84" s="1">
        <v>35</v>
      </c>
      <c r="BL84" s="1">
        <v>40</v>
      </c>
      <c r="BM84" s="3">
        <f t="shared" si="7"/>
        <v>1896</v>
      </c>
      <c r="BN84" s="3">
        <v>1896</v>
      </c>
      <c r="BO84" s="24">
        <f>Tabla2[[#This Row],[CONSUMO TOTAL VALORES]]/52</f>
        <v>36.46153846153846</v>
      </c>
      <c r="BP84" s="74">
        <f>Tabla2[[#This Row],[CONSUMO PROMEDIO]]*Tabla2[[#This Row],[FRECUENCIA]]*Tabla2[[#This Row],[TIEMPO REPOSICION ]]*1.5*2.4</f>
        <v>78.756923076923059</v>
      </c>
      <c r="BQ84">
        <v>100</v>
      </c>
    </row>
    <row r="85" spans="1:69">
      <c r="A85" s="1" t="s">
        <v>601</v>
      </c>
      <c r="B85" s="1" t="s">
        <v>602</v>
      </c>
      <c r="C85" s="1" t="s">
        <v>684</v>
      </c>
      <c r="D85" s="1" t="s">
        <v>712</v>
      </c>
      <c r="E85" s="7" t="s">
        <v>715</v>
      </c>
      <c r="F85" s="7" t="s">
        <v>724</v>
      </c>
      <c r="G85" s="7" t="s">
        <v>729</v>
      </c>
      <c r="H85" s="13">
        <v>729</v>
      </c>
      <c r="I85" s="13">
        <f t="shared" si="8"/>
        <v>546.75</v>
      </c>
      <c r="J85" s="13">
        <v>349.85</v>
      </c>
      <c r="K85" s="3">
        <v>1</v>
      </c>
      <c r="L85" s="3">
        <v>0.6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K85" s="1">
        <v>0</v>
      </c>
      <c r="BL85" s="1">
        <v>0</v>
      </c>
      <c r="BM85" s="3">
        <f t="shared" si="7"/>
        <v>0</v>
      </c>
      <c r="BN85" s="3">
        <v>0</v>
      </c>
      <c r="BO85" s="24">
        <f>Tabla2[[#This Row],[CONSUMO TOTAL VALORES]]/52</f>
        <v>0</v>
      </c>
      <c r="BP85" s="74">
        <f>Tabla2[[#This Row],[CONSUMO PROMEDIO]]*Tabla2[[#This Row],[FRECUENCIA]]*Tabla2[[#This Row],[TIEMPO REPOSICION ]]*1.5*2.4</f>
        <v>0</v>
      </c>
      <c r="BQ85">
        <v>0</v>
      </c>
    </row>
    <row r="86" spans="1:69">
      <c r="A86" s="1" t="s">
        <v>603</v>
      </c>
      <c r="B86" s="1" t="s">
        <v>604</v>
      </c>
      <c r="C86" s="1" t="s">
        <v>676</v>
      </c>
      <c r="D86" s="1" t="s">
        <v>712</v>
      </c>
      <c r="E86" s="7" t="s">
        <v>715</v>
      </c>
      <c r="F86" s="7" t="s">
        <v>724</v>
      </c>
      <c r="G86" s="7" t="s">
        <v>729</v>
      </c>
      <c r="H86" s="13">
        <v>41</v>
      </c>
      <c r="I86" s="13">
        <f t="shared" si="8"/>
        <v>30.75</v>
      </c>
      <c r="J86" s="13">
        <v>18.74315</v>
      </c>
      <c r="K86" s="3">
        <v>1</v>
      </c>
      <c r="L86" s="3">
        <v>0.6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60</v>
      </c>
      <c r="AZ86" s="1">
        <v>26</v>
      </c>
      <c r="BA86" s="1">
        <v>4</v>
      </c>
      <c r="BB86" s="1">
        <v>0</v>
      </c>
      <c r="BC86" s="1">
        <v>53</v>
      </c>
      <c r="BD86" s="1">
        <v>0</v>
      </c>
      <c r="BE86" s="1">
        <v>0</v>
      </c>
      <c r="BF86" s="1">
        <v>0</v>
      </c>
      <c r="BG86" s="1">
        <v>0</v>
      </c>
      <c r="BH86" s="1">
        <v>240</v>
      </c>
      <c r="BI86" s="1">
        <v>0</v>
      </c>
      <c r="BJ86" s="1">
        <v>0</v>
      </c>
      <c r="BK86" s="1">
        <v>45</v>
      </c>
      <c r="BL86" s="1">
        <v>20</v>
      </c>
      <c r="BM86" s="3">
        <f t="shared" si="7"/>
        <v>448</v>
      </c>
      <c r="BN86" s="3">
        <v>448</v>
      </c>
      <c r="BO86" s="24">
        <f>Tabla2[[#This Row],[CONSUMO TOTAL VALORES]]/52</f>
        <v>8.615384615384615</v>
      </c>
      <c r="BP86" s="74">
        <f>Tabla2[[#This Row],[CONSUMO PROMEDIO]]*Tabla2[[#This Row],[FRECUENCIA]]*Tabla2[[#This Row],[TIEMPO REPOSICION ]]*1.5*2.4</f>
        <v>18.609230769230766</v>
      </c>
      <c r="BQ86">
        <v>0</v>
      </c>
    </row>
    <row r="87" spans="1:69">
      <c r="A87" s="1" t="s">
        <v>605</v>
      </c>
      <c r="B87" s="1" t="s">
        <v>606</v>
      </c>
      <c r="C87" s="1" t="s">
        <v>696</v>
      </c>
      <c r="D87" s="1" t="s">
        <v>709</v>
      </c>
      <c r="E87" s="7" t="s">
        <v>719</v>
      </c>
      <c r="F87" s="7" t="s">
        <v>724</v>
      </c>
      <c r="G87" s="7" t="s">
        <v>729</v>
      </c>
      <c r="H87" s="13">
        <v>8.69</v>
      </c>
      <c r="I87" s="13">
        <f t="shared" si="8"/>
        <v>6.5175000000000001</v>
      </c>
      <c r="J87" s="13">
        <v>1.44598</v>
      </c>
      <c r="K87" s="3">
        <v>1</v>
      </c>
      <c r="L87" s="3">
        <v>0.6</v>
      </c>
      <c r="M87" s="1">
        <v>1</v>
      </c>
      <c r="N87" s="1">
        <v>6</v>
      </c>
      <c r="O87" s="1">
        <v>53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6</v>
      </c>
      <c r="X87" s="1">
        <v>160</v>
      </c>
      <c r="Y87" s="1">
        <v>10</v>
      </c>
      <c r="Z87" s="1">
        <v>130</v>
      </c>
      <c r="AA87" s="1">
        <v>0</v>
      </c>
      <c r="AB87" s="1">
        <v>0</v>
      </c>
      <c r="AC87" s="1">
        <v>0</v>
      </c>
      <c r="AD87" s="1">
        <v>0</v>
      </c>
      <c r="AE87" s="1">
        <v>102</v>
      </c>
      <c r="AF87" s="1">
        <v>45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30</v>
      </c>
      <c r="AP87" s="1">
        <v>0</v>
      </c>
      <c r="AQ87" s="1">
        <v>120</v>
      </c>
      <c r="AR87" s="1">
        <v>18</v>
      </c>
      <c r="AS87" s="1">
        <v>0</v>
      </c>
      <c r="AT87" s="1">
        <v>31</v>
      </c>
      <c r="AU87" s="1">
        <v>0</v>
      </c>
      <c r="AV87" s="1">
        <v>34</v>
      </c>
      <c r="AW87" s="1">
        <v>0</v>
      </c>
      <c r="AX87" s="1">
        <v>0</v>
      </c>
      <c r="AY87" s="1">
        <v>0</v>
      </c>
      <c r="AZ87" s="1">
        <v>10</v>
      </c>
      <c r="BA87" s="1">
        <v>153</v>
      </c>
      <c r="BB87" s="1">
        <v>0</v>
      </c>
      <c r="BC87" s="1">
        <v>0</v>
      </c>
      <c r="BD87" s="1">
        <v>3</v>
      </c>
      <c r="BE87" s="1">
        <v>30</v>
      </c>
      <c r="BF87" s="1">
        <v>40</v>
      </c>
      <c r="BG87" s="1">
        <v>30</v>
      </c>
      <c r="BH87" s="1">
        <v>2</v>
      </c>
      <c r="BI87" s="1">
        <v>0</v>
      </c>
      <c r="BJ87" s="1">
        <v>21</v>
      </c>
      <c r="BK87" s="1">
        <v>5</v>
      </c>
      <c r="BL87" s="1">
        <v>22</v>
      </c>
      <c r="BM87" s="3">
        <f t="shared" si="7"/>
        <v>1062</v>
      </c>
      <c r="BN87" s="3">
        <v>1062</v>
      </c>
      <c r="BO87" s="24">
        <f>Tabla2[[#This Row],[CONSUMO TOTAL VALORES]]/52</f>
        <v>20.423076923076923</v>
      </c>
      <c r="BP87" s="74">
        <f>Tabla2[[#This Row],[CONSUMO PROMEDIO]]*Tabla2[[#This Row],[FRECUENCIA]]*Tabla2[[#This Row],[TIEMPO REPOSICION ]]*1.5*2.4</f>
        <v>44.113846153846147</v>
      </c>
      <c r="BQ87">
        <v>44</v>
      </c>
    </row>
    <row r="88" spans="1:69">
      <c r="A88" s="1" t="s">
        <v>607</v>
      </c>
      <c r="B88" s="1" t="s">
        <v>608</v>
      </c>
      <c r="C88" s="1" t="s">
        <v>683</v>
      </c>
      <c r="D88" s="1" t="s">
        <v>709</v>
      </c>
      <c r="E88" s="7" t="s">
        <v>719</v>
      </c>
      <c r="F88" s="7" t="s">
        <v>724</v>
      </c>
      <c r="G88" s="7" t="s">
        <v>729</v>
      </c>
      <c r="H88" s="13">
        <v>4.8899999999999997</v>
      </c>
      <c r="I88" s="13">
        <f t="shared" si="8"/>
        <v>3.6674999999999995</v>
      </c>
      <c r="J88" s="13">
        <v>0.99360000000000004</v>
      </c>
      <c r="K88" s="3">
        <v>1</v>
      </c>
      <c r="L88" s="3">
        <v>0.6</v>
      </c>
      <c r="M88" s="1">
        <v>0</v>
      </c>
      <c r="N88" s="1">
        <v>0</v>
      </c>
      <c r="O88" s="1">
        <v>21</v>
      </c>
      <c r="P88" s="1">
        <v>5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2</v>
      </c>
      <c r="AB88" s="1">
        <v>0</v>
      </c>
      <c r="AC88" s="1">
        <v>0</v>
      </c>
      <c r="AD88" s="1">
        <v>0</v>
      </c>
      <c r="AE88" s="1">
        <v>0</v>
      </c>
      <c r="AF88" s="1">
        <v>56</v>
      </c>
      <c r="AG88" s="1">
        <v>2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52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26</v>
      </c>
      <c r="BH88" s="1">
        <v>24</v>
      </c>
      <c r="BI88" s="1">
        <v>0</v>
      </c>
      <c r="BJ88" s="1">
        <v>0</v>
      </c>
      <c r="BK88" s="1">
        <v>0</v>
      </c>
      <c r="BL88" s="1">
        <v>0</v>
      </c>
      <c r="BM88" s="3">
        <f t="shared" si="7"/>
        <v>188</v>
      </c>
      <c r="BN88" s="3">
        <v>188</v>
      </c>
      <c r="BO88" s="24">
        <f>Tabla2[[#This Row],[CONSUMO TOTAL VALORES]]/52</f>
        <v>3.6153846153846154</v>
      </c>
      <c r="BP88" s="74">
        <f>Tabla2[[#This Row],[CONSUMO PROMEDIO]]*Tabla2[[#This Row],[FRECUENCIA]]*Tabla2[[#This Row],[TIEMPO REPOSICION ]]*1.5*2.4</f>
        <v>7.8092307692307692</v>
      </c>
      <c r="BQ88">
        <v>8</v>
      </c>
    </row>
    <row r="89" spans="1:69">
      <c r="A89" s="1" t="s">
        <v>609</v>
      </c>
      <c r="B89" s="1" t="s">
        <v>610</v>
      </c>
      <c r="C89" s="1" t="s">
        <v>2</v>
      </c>
      <c r="D89" s="1" t="s">
        <v>709</v>
      </c>
      <c r="E89" s="7" t="s">
        <v>719</v>
      </c>
      <c r="F89" s="7" t="s">
        <v>724</v>
      </c>
      <c r="G89" s="7" t="s">
        <v>729</v>
      </c>
      <c r="H89" s="13">
        <v>34.9</v>
      </c>
      <c r="I89" s="13">
        <f t="shared" si="8"/>
        <v>26.174999999999997</v>
      </c>
      <c r="J89" s="13">
        <v>7.2575599999999998</v>
      </c>
      <c r="K89" s="3">
        <v>1</v>
      </c>
      <c r="L89" s="3">
        <v>0.6</v>
      </c>
      <c r="M89" s="1">
        <v>0</v>
      </c>
      <c r="N89" s="1">
        <v>0</v>
      </c>
      <c r="O89" s="1">
        <v>4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2</v>
      </c>
      <c r="X89" s="1">
        <v>0</v>
      </c>
      <c r="Y89" s="1">
        <v>20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2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1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K89" s="1">
        <v>0</v>
      </c>
      <c r="BL89" s="1">
        <v>0</v>
      </c>
      <c r="BM89" s="3">
        <f t="shared" si="7"/>
        <v>29</v>
      </c>
      <c r="BN89" s="3">
        <v>29</v>
      </c>
      <c r="BO89" s="24">
        <f>Tabla2[[#This Row],[CONSUMO TOTAL VALORES]]/52</f>
        <v>0.55769230769230771</v>
      </c>
      <c r="BP89" s="74">
        <f>Tabla2[[#This Row],[CONSUMO PROMEDIO]]*Tabla2[[#This Row],[FRECUENCIA]]*Tabla2[[#This Row],[TIEMPO REPOSICION ]]*1.5*2.4</f>
        <v>1.2046153846153846</v>
      </c>
      <c r="BQ89">
        <v>0</v>
      </c>
    </row>
    <row r="90" spans="1:69">
      <c r="A90" s="1" t="s">
        <v>611</v>
      </c>
      <c r="B90" s="1" t="s">
        <v>612</v>
      </c>
      <c r="C90" s="1" t="s">
        <v>692</v>
      </c>
      <c r="D90" s="1" t="s">
        <v>712</v>
      </c>
      <c r="E90" s="7" t="s">
        <v>719</v>
      </c>
      <c r="F90" s="7" t="s">
        <v>724</v>
      </c>
      <c r="G90" s="7" t="s">
        <v>729</v>
      </c>
      <c r="H90" s="13">
        <v>2.29</v>
      </c>
      <c r="I90" s="13">
        <f t="shared" si="8"/>
        <v>1.7175</v>
      </c>
      <c r="J90" s="13">
        <v>0.90961999999999998</v>
      </c>
      <c r="K90" s="3">
        <v>1</v>
      </c>
      <c r="L90" s="3">
        <v>0.6</v>
      </c>
      <c r="M90" s="1">
        <v>11</v>
      </c>
      <c r="N90" s="1">
        <v>0</v>
      </c>
      <c r="O90" s="1">
        <v>53</v>
      </c>
      <c r="P90" s="1">
        <v>100</v>
      </c>
      <c r="Q90" s="1">
        <v>0</v>
      </c>
      <c r="R90" s="1">
        <v>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50</v>
      </c>
      <c r="AB90" s="1">
        <v>150</v>
      </c>
      <c r="AC90" s="1">
        <v>50</v>
      </c>
      <c r="AD90" s="1">
        <v>0</v>
      </c>
      <c r="AE90" s="1">
        <v>0</v>
      </c>
      <c r="AF90" s="1">
        <v>144</v>
      </c>
      <c r="AG90" s="1">
        <v>20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50</v>
      </c>
      <c r="AP90" s="1">
        <v>0</v>
      </c>
      <c r="AQ90" s="1">
        <v>30</v>
      </c>
      <c r="AR90" s="1">
        <v>0</v>
      </c>
      <c r="AS90" s="1">
        <v>0</v>
      </c>
      <c r="AT90" s="1">
        <v>0</v>
      </c>
      <c r="AU90" s="1">
        <v>200</v>
      </c>
      <c r="AV90" s="1">
        <v>0</v>
      </c>
      <c r="AW90" s="1">
        <v>0</v>
      </c>
      <c r="AX90" s="1">
        <v>221</v>
      </c>
      <c r="AY90" s="1">
        <v>50</v>
      </c>
      <c r="AZ90" s="1">
        <v>105</v>
      </c>
      <c r="BA90" s="1">
        <v>20</v>
      </c>
      <c r="BB90" s="1">
        <v>54</v>
      </c>
      <c r="BC90" s="1">
        <v>0</v>
      </c>
      <c r="BD90" s="1">
        <v>0</v>
      </c>
      <c r="BE90" s="1">
        <v>20</v>
      </c>
      <c r="BF90" s="1">
        <v>0</v>
      </c>
      <c r="BG90" s="1">
        <v>100</v>
      </c>
      <c r="BH90" s="1">
        <v>0</v>
      </c>
      <c r="BI90" s="1">
        <v>0</v>
      </c>
      <c r="BJ90" s="1">
        <v>10</v>
      </c>
      <c r="BK90" s="1">
        <v>20</v>
      </c>
      <c r="BL90" s="1">
        <v>100</v>
      </c>
      <c r="BM90" s="3">
        <f t="shared" si="7"/>
        <v>1563</v>
      </c>
      <c r="BN90" s="3">
        <v>1563</v>
      </c>
      <c r="BO90" s="24">
        <f>Tabla2[[#This Row],[CONSUMO TOTAL VALORES]]/52</f>
        <v>30.057692307692307</v>
      </c>
      <c r="BP90" s="74">
        <f>Tabla2[[#This Row],[CONSUMO PROMEDIO]]*Tabla2[[#This Row],[FRECUENCIA]]*Tabla2[[#This Row],[TIEMPO REPOSICION ]]*1.5*2.4</f>
        <v>64.924615384615379</v>
      </c>
      <c r="BQ90">
        <v>100</v>
      </c>
    </row>
    <row r="91" spans="1:69">
      <c r="A91" s="1" t="s">
        <v>613</v>
      </c>
      <c r="B91" s="1" t="s">
        <v>614</v>
      </c>
      <c r="C91" s="1" t="s">
        <v>671</v>
      </c>
      <c r="D91" s="1" t="s">
        <v>712</v>
      </c>
      <c r="E91" s="7" t="s">
        <v>719</v>
      </c>
      <c r="F91" s="7" t="s">
        <v>724</v>
      </c>
      <c r="G91" s="7" t="s">
        <v>729</v>
      </c>
      <c r="H91" s="13">
        <v>7.84</v>
      </c>
      <c r="I91" s="13">
        <f t="shared" si="8"/>
        <v>5.88</v>
      </c>
      <c r="J91" s="13">
        <v>3.92259</v>
      </c>
      <c r="K91" s="3">
        <v>1</v>
      </c>
      <c r="L91" s="3">
        <v>0.6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40</v>
      </c>
      <c r="S91" s="1">
        <v>30</v>
      </c>
      <c r="T91" s="1">
        <v>0</v>
      </c>
      <c r="U91" s="1">
        <v>0</v>
      </c>
      <c r="V91" s="1">
        <v>0</v>
      </c>
      <c r="W91" s="1">
        <v>100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74</v>
      </c>
      <c r="AG91" s="1">
        <v>20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6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30</v>
      </c>
      <c r="AZ91" s="1">
        <v>12</v>
      </c>
      <c r="BA91" s="1">
        <v>8</v>
      </c>
      <c r="BB91" s="1">
        <v>0</v>
      </c>
      <c r="BC91" s="1">
        <v>100</v>
      </c>
      <c r="BD91" s="1">
        <v>12</v>
      </c>
      <c r="BE91" s="1">
        <v>21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12</v>
      </c>
      <c r="BL91" s="1">
        <v>19</v>
      </c>
      <c r="BM91" s="3">
        <f t="shared" si="7"/>
        <v>484</v>
      </c>
      <c r="BN91" s="3">
        <v>484</v>
      </c>
      <c r="BO91" s="24">
        <f>Tabla2[[#This Row],[CONSUMO TOTAL VALORES]]/52</f>
        <v>9.3076923076923084</v>
      </c>
      <c r="BP91" s="74">
        <f>Tabla2[[#This Row],[CONSUMO PROMEDIO]]*Tabla2[[#This Row],[FRECUENCIA]]*Tabla2[[#This Row],[TIEMPO REPOSICION ]]*1.5*2.4</f>
        <v>20.104615384615386</v>
      </c>
      <c r="BQ91">
        <v>50</v>
      </c>
    </row>
    <row r="92" spans="1:69">
      <c r="A92" s="1" t="s">
        <v>615</v>
      </c>
      <c r="B92" s="1" t="s">
        <v>616</v>
      </c>
      <c r="C92" s="1" t="s">
        <v>672</v>
      </c>
      <c r="D92" s="1" t="s">
        <v>712</v>
      </c>
      <c r="E92" s="7" t="s">
        <v>719</v>
      </c>
      <c r="F92" s="7" t="s">
        <v>724</v>
      </c>
      <c r="G92" s="7" t="s">
        <v>729</v>
      </c>
      <c r="H92" s="13">
        <v>14.39</v>
      </c>
      <c r="I92" s="13">
        <f t="shared" si="8"/>
        <v>10.7925</v>
      </c>
      <c r="J92" s="13">
        <v>7.23766</v>
      </c>
      <c r="K92" s="3">
        <v>1</v>
      </c>
      <c r="L92" s="3">
        <v>0.6</v>
      </c>
      <c r="M92" s="1">
        <v>0</v>
      </c>
      <c r="N92" s="1">
        <v>26</v>
      </c>
      <c r="O92" s="1">
        <v>0</v>
      </c>
      <c r="P92" s="1">
        <v>24</v>
      </c>
      <c r="Q92" s="1">
        <v>0</v>
      </c>
      <c r="R92" s="1">
        <v>30</v>
      </c>
      <c r="S92" s="1">
        <v>10</v>
      </c>
      <c r="T92" s="1">
        <v>0</v>
      </c>
      <c r="U92" s="1">
        <v>0</v>
      </c>
      <c r="V92" s="1">
        <v>0</v>
      </c>
      <c r="W92" s="1">
        <v>10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20</v>
      </c>
      <c r="AG92" s="1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1">
        <v>0</v>
      </c>
      <c r="AW92" s="1">
        <v>0</v>
      </c>
      <c r="AX92" s="1">
        <v>0</v>
      </c>
      <c r="AY92" s="1">
        <v>8</v>
      </c>
      <c r="AZ92" s="1">
        <v>0</v>
      </c>
      <c r="BA92" s="1">
        <v>0</v>
      </c>
      <c r="BB92" s="1">
        <v>0</v>
      </c>
      <c r="BC92" s="1">
        <v>0</v>
      </c>
      <c r="BD92" s="1">
        <v>0</v>
      </c>
      <c r="BE92" s="1">
        <v>0</v>
      </c>
      <c r="BF92" s="1">
        <v>0</v>
      </c>
      <c r="BG92" s="1">
        <v>0</v>
      </c>
      <c r="BH92" s="1">
        <v>0</v>
      </c>
      <c r="BI92" s="1">
        <v>0</v>
      </c>
      <c r="BJ92" s="1">
        <v>0</v>
      </c>
      <c r="BK92" s="1">
        <v>0</v>
      </c>
      <c r="BL92" s="1">
        <v>0</v>
      </c>
      <c r="BM92" s="3">
        <f t="shared" si="7"/>
        <v>128</v>
      </c>
      <c r="BN92" s="3">
        <v>128</v>
      </c>
      <c r="BO92" s="24">
        <f>Tabla2[[#This Row],[CONSUMO TOTAL VALORES]]/52</f>
        <v>2.4615384615384617</v>
      </c>
      <c r="BP92" s="74">
        <f>Tabla2[[#This Row],[CONSUMO PROMEDIO]]*Tabla2[[#This Row],[FRECUENCIA]]*Tabla2[[#This Row],[TIEMPO REPOSICION ]]*1.5*2.4</f>
        <v>5.3169230769230769</v>
      </c>
      <c r="BQ92">
        <v>25</v>
      </c>
    </row>
    <row r="93" spans="1:69">
      <c r="A93" s="1" t="s">
        <v>617</v>
      </c>
      <c r="B93" s="1" t="s">
        <v>618</v>
      </c>
      <c r="C93" s="1" t="s">
        <v>2</v>
      </c>
      <c r="D93" s="1" t="s">
        <v>709</v>
      </c>
      <c r="E93" s="7" t="s">
        <v>719</v>
      </c>
      <c r="F93" s="7" t="s">
        <v>724</v>
      </c>
      <c r="G93" s="7" t="s">
        <v>729</v>
      </c>
      <c r="H93" s="13">
        <v>6.3</v>
      </c>
      <c r="I93" s="13">
        <f t="shared" si="8"/>
        <v>4.7249999999999996</v>
      </c>
      <c r="J93" s="13">
        <v>2.4914499999999999</v>
      </c>
      <c r="K93" s="3">
        <v>1</v>
      </c>
      <c r="L93" s="3">
        <v>0.6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250</v>
      </c>
      <c r="U93" s="1">
        <v>0</v>
      </c>
      <c r="V93" s="1">
        <v>0</v>
      </c>
      <c r="W93" s="1">
        <v>21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21</v>
      </c>
      <c r="AH93" s="1">
        <v>0</v>
      </c>
      <c r="AI93" s="1">
        <v>0</v>
      </c>
      <c r="AJ93" s="1">
        <v>0</v>
      </c>
      <c r="AK93" s="1">
        <v>10</v>
      </c>
      <c r="AL93" s="1">
        <v>0</v>
      </c>
      <c r="AM93" s="1">
        <v>0</v>
      </c>
      <c r="AN93" s="1">
        <v>0</v>
      </c>
      <c r="AO93" s="1">
        <v>20</v>
      </c>
      <c r="AP93" s="1">
        <v>0</v>
      </c>
      <c r="AQ93" s="1">
        <v>0</v>
      </c>
      <c r="AR93" s="1">
        <v>5</v>
      </c>
      <c r="AS93" s="1">
        <v>0</v>
      </c>
      <c r="AT93" s="1">
        <v>0</v>
      </c>
      <c r="AU93" s="1">
        <v>0</v>
      </c>
      <c r="AV93" s="1">
        <v>0</v>
      </c>
      <c r="AW93" s="1">
        <v>0</v>
      </c>
      <c r="AX93" s="1">
        <v>0</v>
      </c>
      <c r="AY93" s="1">
        <v>0</v>
      </c>
      <c r="AZ93" s="1">
        <v>0</v>
      </c>
      <c r="BA93" s="1">
        <v>0</v>
      </c>
      <c r="BB93" s="1">
        <v>0</v>
      </c>
      <c r="BC93" s="1">
        <v>0</v>
      </c>
      <c r="BD93" s="1">
        <v>0</v>
      </c>
      <c r="BE93" s="1">
        <v>52</v>
      </c>
      <c r="BF93" s="1">
        <v>0</v>
      </c>
      <c r="BG93" s="1">
        <v>0</v>
      </c>
      <c r="BH93" s="1">
        <v>60</v>
      </c>
      <c r="BI93" s="1">
        <v>0</v>
      </c>
      <c r="BJ93" s="1">
        <v>21</v>
      </c>
      <c r="BK93" s="1">
        <v>50</v>
      </c>
      <c r="BL93" s="1">
        <v>174</v>
      </c>
      <c r="BM93" s="3">
        <f t="shared" si="7"/>
        <v>684</v>
      </c>
      <c r="BN93" s="3">
        <v>684</v>
      </c>
      <c r="BO93" s="24">
        <f>Tabla2[[#This Row],[CONSUMO TOTAL VALORES]]/52</f>
        <v>13.153846153846153</v>
      </c>
      <c r="BP93" s="74">
        <f>Tabla2[[#This Row],[CONSUMO PROMEDIO]]*Tabla2[[#This Row],[FRECUENCIA]]*Tabla2[[#This Row],[TIEMPO REPOSICION ]]*1.5*2.4</f>
        <v>28.412307692307689</v>
      </c>
      <c r="BQ93">
        <v>40</v>
      </c>
    </row>
    <row r="94" spans="1:69">
      <c r="A94" s="1" t="s">
        <v>619</v>
      </c>
      <c r="B94" s="1" t="s">
        <v>620</v>
      </c>
      <c r="C94" s="1" t="s">
        <v>2</v>
      </c>
      <c r="D94" s="1" t="s">
        <v>709</v>
      </c>
      <c r="E94" s="7" t="s">
        <v>719</v>
      </c>
      <c r="F94" s="7" t="s">
        <v>724</v>
      </c>
      <c r="G94" s="7" t="s">
        <v>729</v>
      </c>
      <c r="H94" s="13">
        <v>29</v>
      </c>
      <c r="I94" s="13">
        <f t="shared" si="8"/>
        <v>21.75</v>
      </c>
      <c r="J94" s="13">
        <v>11.689489999999999</v>
      </c>
      <c r="K94" s="3">
        <v>1</v>
      </c>
      <c r="L94" s="3">
        <v>0.6</v>
      </c>
      <c r="M94" s="1">
        <v>0</v>
      </c>
      <c r="N94" s="1">
        <v>0</v>
      </c>
      <c r="O94" s="1">
        <v>0</v>
      </c>
      <c r="P94" s="1">
        <v>24</v>
      </c>
      <c r="Q94" s="1">
        <v>2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6</v>
      </c>
      <c r="X94" s="1">
        <v>0</v>
      </c>
      <c r="Y94" s="1">
        <v>0</v>
      </c>
      <c r="Z94" s="1">
        <v>0</v>
      </c>
      <c r="AA94" s="1">
        <v>1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1">
        <v>0</v>
      </c>
      <c r="AN94" s="1">
        <v>0</v>
      </c>
      <c r="AO94" s="1">
        <v>0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1">
        <v>0</v>
      </c>
      <c r="AW94" s="1">
        <v>0</v>
      </c>
      <c r="AX94" s="1">
        <v>0</v>
      </c>
      <c r="AY94" s="1">
        <v>0</v>
      </c>
      <c r="AZ94" s="1">
        <v>0</v>
      </c>
      <c r="BA94" s="1">
        <v>0</v>
      </c>
      <c r="BB94" s="1">
        <v>0</v>
      </c>
      <c r="BC94" s="1">
        <v>0</v>
      </c>
      <c r="BD94" s="1">
        <v>0</v>
      </c>
      <c r="BE94" s="1">
        <v>0</v>
      </c>
      <c r="BF94" s="1">
        <v>0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1">
        <v>0</v>
      </c>
      <c r="BM94" s="3">
        <f t="shared" si="7"/>
        <v>33</v>
      </c>
      <c r="BN94" s="3">
        <v>33</v>
      </c>
      <c r="BO94" s="24">
        <f>Tabla2[[#This Row],[CONSUMO TOTAL VALORES]]/52</f>
        <v>0.63461538461538458</v>
      </c>
      <c r="BP94" s="74">
        <f>Tabla2[[#This Row],[CONSUMO PROMEDIO]]*Tabla2[[#This Row],[FRECUENCIA]]*Tabla2[[#This Row],[TIEMPO REPOSICION ]]*1.5*2.4</f>
        <v>1.3707692307692307</v>
      </c>
      <c r="BQ94">
        <v>2</v>
      </c>
    </row>
    <row r="95" spans="1:69">
      <c r="A95" s="1" t="s">
        <v>621</v>
      </c>
      <c r="B95" s="1" t="s">
        <v>622</v>
      </c>
      <c r="C95" s="1" t="s">
        <v>2</v>
      </c>
      <c r="D95" s="1" t="s">
        <v>712</v>
      </c>
      <c r="E95" s="7" t="s">
        <v>719</v>
      </c>
      <c r="F95" s="7" t="s">
        <v>724</v>
      </c>
      <c r="G95" s="7" t="s">
        <v>729</v>
      </c>
      <c r="H95" s="13">
        <v>1.99</v>
      </c>
      <c r="I95" s="13">
        <f t="shared" si="8"/>
        <v>1.4924999999999999</v>
      </c>
      <c r="J95" s="13">
        <v>0.89849999999999997</v>
      </c>
      <c r="K95" s="3">
        <v>1</v>
      </c>
      <c r="L95" s="3">
        <v>0.6</v>
      </c>
      <c r="M95" s="1">
        <v>0</v>
      </c>
      <c r="N95" s="1">
        <v>0</v>
      </c>
      <c r="O95" s="1">
        <v>540</v>
      </c>
      <c r="P95" s="1">
        <v>50</v>
      </c>
      <c r="Q95" s="1">
        <v>160</v>
      </c>
      <c r="R95" s="1">
        <v>600</v>
      </c>
      <c r="S95" s="1">
        <v>50</v>
      </c>
      <c r="T95" s="1">
        <v>0</v>
      </c>
      <c r="U95" s="1">
        <v>0</v>
      </c>
      <c r="V95" s="1">
        <v>0</v>
      </c>
      <c r="W95" s="1">
        <v>32</v>
      </c>
      <c r="X95" s="1">
        <v>0</v>
      </c>
      <c r="Y95" s="1">
        <v>0</v>
      </c>
      <c r="Z95" s="1">
        <v>188</v>
      </c>
      <c r="AA95" s="1">
        <v>0</v>
      </c>
      <c r="AB95" s="1">
        <v>21</v>
      </c>
      <c r="AC95" s="1">
        <v>0</v>
      </c>
      <c r="AD95" s="1">
        <v>130</v>
      </c>
      <c r="AE95" s="1">
        <v>0</v>
      </c>
      <c r="AF95" s="1">
        <v>110</v>
      </c>
      <c r="AG95" s="1">
        <v>200</v>
      </c>
      <c r="AH95" s="1">
        <v>100</v>
      </c>
      <c r="AI95" s="1">
        <v>0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157</v>
      </c>
      <c r="AP95" s="1">
        <v>0</v>
      </c>
      <c r="AQ95" s="1">
        <v>0</v>
      </c>
      <c r="AR95" s="1">
        <v>0</v>
      </c>
      <c r="AS95" s="1">
        <v>160</v>
      </c>
      <c r="AT95" s="1">
        <v>100</v>
      </c>
      <c r="AU95" s="1">
        <v>20</v>
      </c>
      <c r="AV95" s="1">
        <v>350</v>
      </c>
      <c r="AW95" s="1">
        <v>0</v>
      </c>
      <c r="AX95" s="1">
        <v>0</v>
      </c>
      <c r="AY95" s="1">
        <v>0</v>
      </c>
      <c r="AZ95" s="1">
        <v>120</v>
      </c>
      <c r="BA95" s="1">
        <v>20</v>
      </c>
      <c r="BB95" s="1">
        <v>100</v>
      </c>
      <c r="BC95" s="1">
        <v>100</v>
      </c>
      <c r="BD95" s="1">
        <v>0</v>
      </c>
      <c r="BE95" s="1">
        <v>21</v>
      </c>
      <c r="BF95" s="1">
        <v>21</v>
      </c>
      <c r="BG95" s="1">
        <v>0</v>
      </c>
      <c r="BH95" s="1">
        <v>0</v>
      </c>
      <c r="BI95" s="1">
        <v>0</v>
      </c>
      <c r="BJ95" s="1">
        <v>20</v>
      </c>
      <c r="BK95" s="1">
        <v>0</v>
      </c>
      <c r="BL95" s="1">
        <v>0</v>
      </c>
      <c r="BM95" s="3">
        <f t="shared" si="7"/>
        <v>3370</v>
      </c>
      <c r="BN95" s="3">
        <v>3370</v>
      </c>
      <c r="BO95" s="24">
        <f>Tabla2[[#This Row],[CONSUMO TOTAL VALORES]]/52</f>
        <v>64.807692307692307</v>
      </c>
      <c r="BP95" s="74">
        <f>Tabla2[[#This Row],[CONSUMO PROMEDIO]]*Tabla2[[#This Row],[FRECUENCIA]]*Tabla2[[#This Row],[TIEMPO REPOSICION ]]*1.5*2.4</f>
        <v>139.98461538461535</v>
      </c>
      <c r="BQ95">
        <v>200</v>
      </c>
    </row>
    <row r="96" spans="1:69">
      <c r="A96" s="1" t="s">
        <v>623</v>
      </c>
      <c r="B96" s="1" t="s">
        <v>624</v>
      </c>
      <c r="C96" s="1" t="s">
        <v>686</v>
      </c>
      <c r="D96" s="1" t="s">
        <v>712</v>
      </c>
      <c r="E96" s="7" t="s">
        <v>719</v>
      </c>
      <c r="F96" s="7" t="s">
        <v>724</v>
      </c>
      <c r="G96" s="7" t="s">
        <v>729</v>
      </c>
      <c r="H96" s="13">
        <v>2.99</v>
      </c>
      <c r="I96" s="13">
        <f t="shared" si="8"/>
        <v>2.2425000000000002</v>
      </c>
      <c r="J96" s="13">
        <v>1.29596</v>
      </c>
      <c r="K96" s="3">
        <v>1</v>
      </c>
      <c r="L96" s="3">
        <v>0.6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65</v>
      </c>
      <c r="X96" s="1">
        <v>0</v>
      </c>
      <c r="Y96" s="1">
        <v>0</v>
      </c>
      <c r="Z96" s="1">
        <v>0</v>
      </c>
      <c r="AA96" s="1">
        <v>0</v>
      </c>
      <c r="AB96" s="1">
        <v>21</v>
      </c>
      <c r="AC96" s="1">
        <v>0</v>
      </c>
      <c r="AD96" s="1">
        <v>71</v>
      </c>
      <c r="AE96" s="1">
        <v>131</v>
      </c>
      <c r="AF96" s="1">
        <v>0</v>
      </c>
      <c r="AG96" s="1">
        <v>0</v>
      </c>
      <c r="AH96" s="1">
        <v>0</v>
      </c>
      <c r="AI96" s="1">
        <v>0</v>
      </c>
      <c r="AJ96" s="1">
        <v>20</v>
      </c>
      <c r="AK96" s="1">
        <v>0</v>
      </c>
      <c r="AL96" s="1">
        <v>0</v>
      </c>
      <c r="AM96" s="1">
        <v>0</v>
      </c>
      <c r="AN96" s="1">
        <v>0</v>
      </c>
      <c r="AO96" s="1">
        <v>10</v>
      </c>
      <c r="AP96" s="1">
        <v>81</v>
      </c>
      <c r="AQ96" s="1">
        <v>0</v>
      </c>
      <c r="AR96" s="1">
        <v>58</v>
      </c>
      <c r="AS96" s="1">
        <v>335</v>
      </c>
      <c r="AT96" s="1">
        <v>0</v>
      </c>
      <c r="AU96" s="1">
        <v>320</v>
      </c>
      <c r="AV96" s="1">
        <v>50</v>
      </c>
      <c r="AW96" s="1">
        <v>306</v>
      </c>
      <c r="AX96" s="1">
        <v>194</v>
      </c>
      <c r="AY96" s="1">
        <v>0</v>
      </c>
      <c r="AZ96" s="1">
        <v>200</v>
      </c>
      <c r="BA96" s="1">
        <v>107</v>
      </c>
      <c r="BB96" s="1">
        <v>0</v>
      </c>
      <c r="BC96" s="1">
        <v>0</v>
      </c>
      <c r="BD96" s="1">
        <v>0</v>
      </c>
      <c r="BE96" s="1">
        <v>0</v>
      </c>
      <c r="BF96" s="1">
        <v>142</v>
      </c>
      <c r="BG96" s="1">
        <v>100</v>
      </c>
      <c r="BH96" s="1">
        <v>33</v>
      </c>
      <c r="BI96" s="1">
        <v>0</v>
      </c>
      <c r="BJ96" s="1">
        <v>100</v>
      </c>
      <c r="BK96" s="1">
        <v>90</v>
      </c>
      <c r="BL96" s="1">
        <v>130</v>
      </c>
      <c r="BM96" s="3">
        <f t="shared" si="7"/>
        <v>2564</v>
      </c>
      <c r="BN96" s="3">
        <v>2564</v>
      </c>
      <c r="BO96" s="24">
        <f>Tabla2[[#This Row],[CONSUMO TOTAL VALORES]]/52</f>
        <v>49.307692307692307</v>
      </c>
      <c r="BP96" s="74">
        <f>Tabla2[[#This Row],[CONSUMO PROMEDIO]]*Tabla2[[#This Row],[FRECUENCIA]]*Tabla2[[#This Row],[TIEMPO REPOSICION ]]*1.5*2.4</f>
        <v>106.50461538461538</v>
      </c>
      <c r="BQ96">
        <v>100</v>
      </c>
    </row>
    <row r="97" spans="1:70">
      <c r="A97" s="1" t="s">
        <v>625</v>
      </c>
      <c r="B97" s="1" t="s">
        <v>626</v>
      </c>
      <c r="C97" s="1" t="s">
        <v>2</v>
      </c>
      <c r="D97" s="1" t="s">
        <v>712</v>
      </c>
      <c r="E97" s="7" t="s">
        <v>719</v>
      </c>
      <c r="F97" s="7" t="s">
        <v>724</v>
      </c>
      <c r="G97" s="7" t="s">
        <v>729</v>
      </c>
      <c r="H97" s="13">
        <v>12.99</v>
      </c>
      <c r="I97" s="13">
        <f t="shared" si="8"/>
        <v>9.7424999999999997</v>
      </c>
      <c r="J97" s="13">
        <v>5.7310499999999998</v>
      </c>
      <c r="K97" s="3">
        <v>1</v>
      </c>
      <c r="L97" s="3">
        <v>0.6</v>
      </c>
      <c r="M97" s="1">
        <v>0</v>
      </c>
      <c r="N97" s="1">
        <v>17</v>
      </c>
      <c r="O97" s="1">
        <v>0</v>
      </c>
      <c r="P97" s="1">
        <v>0</v>
      </c>
      <c r="Q97" s="1">
        <v>0</v>
      </c>
      <c r="R97" s="1">
        <v>8</v>
      </c>
      <c r="S97" s="1">
        <v>0</v>
      </c>
      <c r="T97" s="1">
        <v>0</v>
      </c>
      <c r="U97" s="1">
        <v>0</v>
      </c>
      <c r="V97" s="1">
        <v>30</v>
      </c>
      <c r="W97" s="1">
        <v>70</v>
      </c>
      <c r="X97" s="1">
        <v>0</v>
      </c>
      <c r="Y97" s="1">
        <v>90</v>
      </c>
      <c r="Z97" s="1">
        <v>0</v>
      </c>
      <c r="AA97" s="1">
        <v>70</v>
      </c>
      <c r="AB97" s="1">
        <v>55</v>
      </c>
      <c r="AC97" s="1">
        <v>0</v>
      </c>
      <c r="AD97" s="1">
        <v>0</v>
      </c>
      <c r="AE97" s="1">
        <v>0</v>
      </c>
      <c r="AF97" s="1">
        <v>60</v>
      </c>
      <c r="AG97" s="1">
        <v>58</v>
      </c>
      <c r="AH97" s="1">
        <v>0</v>
      </c>
      <c r="AI97" s="1">
        <v>0</v>
      </c>
      <c r="AJ97" s="1">
        <v>0</v>
      </c>
      <c r="AK97" s="1">
        <v>0</v>
      </c>
      <c r="AL97" s="1">
        <v>0</v>
      </c>
      <c r="AM97" s="1">
        <v>0</v>
      </c>
      <c r="AN97" s="1">
        <v>0</v>
      </c>
      <c r="AO97" s="1">
        <v>0</v>
      </c>
      <c r="AP97" s="1">
        <v>0</v>
      </c>
      <c r="AQ97" s="1">
        <v>0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>
        <v>0</v>
      </c>
      <c r="AX97" s="1">
        <v>0</v>
      </c>
      <c r="AY97" s="1">
        <v>0</v>
      </c>
      <c r="AZ97" s="1">
        <v>0</v>
      </c>
      <c r="BA97" s="1">
        <v>220</v>
      </c>
      <c r="BB97" s="1">
        <v>20</v>
      </c>
      <c r="BC97" s="1">
        <v>0</v>
      </c>
      <c r="BD97" s="1">
        <v>0</v>
      </c>
      <c r="BE97" s="1">
        <v>0</v>
      </c>
      <c r="BF97" s="1">
        <v>0</v>
      </c>
      <c r="BG97" s="1">
        <v>0</v>
      </c>
      <c r="BH97" s="1">
        <v>0</v>
      </c>
      <c r="BI97" s="1">
        <v>0</v>
      </c>
      <c r="BJ97" s="1">
        <v>30</v>
      </c>
      <c r="BK97" s="1">
        <v>0</v>
      </c>
      <c r="BL97" s="1">
        <v>65</v>
      </c>
      <c r="BM97" s="3">
        <f t="shared" ref="BM97:BM115" si="9">SUM(M97:BL97)</f>
        <v>793</v>
      </c>
      <c r="BN97" s="3">
        <v>793</v>
      </c>
      <c r="BO97" s="24">
        <f>Tabla2[[#This Row],[CONSUMO TOTAL VALORES]]/52</f>
        <v>15.25</v>
      </c>
      <c r="BP97" s="74">
        <f>Tabla2[[#This Row],[CONSUMO PROMEDIO]]*Tabla2[[#This Row],[FRECUENCIA]]*Tabla2[[#This Row],[TIEMPO REPOSICION ]]*1.5*2.4</f>
        <v>32.940000000000005</v>
      </c>
      <c r="BQ97">
        <v>50</v>
      </c>
    </row>
    <row r="98" spans="1:70">
      <c r="A98" s="1" t="s">
        <v>627</v>
      </c>
      <c r="B98" s="1" t="s">
        <v>628</v>
      </c>
      <c r="C98" s="1" t="s">
        <v>677</v>
      </c>
      <c r="D98" s="1" t="s">
        <v>712</v>
      </c>
      <c r="E98" s="7" t="s">
        <v>715</v>
      </c>
      <c r="F98" s="7" t="s">
        <v>724</v>
      </c>
      <c r="G98" s="7" t="s">
        <v>729</v>
      </c>
      <c r="H98" s="13">
        <v>2.59</v>
      </c>
      <c r="I98" s="13">
        <f t="shared" si="8"/>
        <v>1.9424999999999999</v>
      </c>
      <c r="J98" s="13">
        <v>1.1613199999999999</v>
      </c>
      <c r="K98" s="3">
        <v>1</v>
      </c>
      <c r="L98" s="3">
        <v>0.6</v>
      </c>
      <c r="M98" s="1">
        <v>0</v>
      </c>
      <c r="N98" s="1">
        <v>1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10</v>
      </c>
      <c r="AE98" s="1">
        <v>0</v>
      </c>
      <c r="AF98" s="1">
        <v>30</v>
      </c>
      <c r="AG98" s="1">
        <v>50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1">
        <v>0</v>
      </c>
      <c r="AW98" s="1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  <c r="BF98" s="1">
        <v>0</v>
      </c>
      <c r="BG98" s="1">
        <v>50</v>
      </c>
      <c r="BH98" s="1">
        <v>0</v>
      </c>
      <c r="BI98" s="1">
        <v>0</v>
      </c>
      <c r="BJ98" s="1">
        <v>0</v>
      </c>
      <c r="BK98" s="1">
        <v>0</v>
      </c>
      <c r="BL98" s="1">
        <v>0</v>
      </c>
      <c r="BM98" s="3">
        <f t="shared" si="9"/>
        <v>141</v>
      </c>
      <c r="BN98" s="3">
        <v>141</v>
      </c>
      <c r="BO98" s="24">
        <f>Tabla2[[#This Row],[CONSUMO TOTAL VALORES]]/52</f>
        <v>2.7115384615384617</v>
      </c>
      <c r="BP98" s="74">
        <f>Tabla2[[#This Row],[CONSUMO PROMEDIO]]*Tabla2[[#This Row],[FRECUENCIA]]*Tabla2[[#This Row],[TIEMPO REPOSICION ]]*1.5*2.4</f>
        <v>5.856923076923076</v>
      </c>
      <c r="BQ98">
        <v>10</v>
      </c>
    </row>
    <row r="99" spans="1:70">
      <c r="A99" s="1" t="s">
        <v>629</v>
      </c>
      <c r="B99" s="1" t="s">
        <v>630</v>
      </c>
      <c r="C99" s="1" t="s">
        <v>702</v>
      </c>
      <c r="D99" s="1" t="s">
        <v>712</v>
      </c>
      <c r="E99" s="7" t="s">
        <v>715</v>
      </c>
      <c r="F99" s="7" t="s">
        <v>724</v>
      </c>
      <c r="G99" s="7" t="s">
        <v>729</v>
      </c>
      <c r="H99" s="13">
        <v>5.49</v>
      </c>
      <c r="I99" s="13">
        <f t="shared" si="8"/>
        <v>4.1174999999999997</v>
      </c>
      <c r="J99" s="13">
        <v>3.1145999999999998</v>
      </c>
      <c r="K99" s="3">
        <v>1</v>
      </c>
      <c r="L99" s="3">
        <v>0.6</v>
      </c>
      <c r="M99" s="1">
        <v>0</v>
      </c>
      <c r="N99" s="1">
        <v>0</v>
      </c>
      <c r="O99" s="1">
        <v>0</v>
      </c>
      <c r="P99" s="1">
        <v>2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60</v>
      </c>
      <c r="X99" s="1">
        <v>0</v>
      </c>
      <c r="Y99" s="1">
        <v>0</v>
      </c>
      <c r="Z99" s="1">
        <v>0</v>
      </c>
      <c r="AA99" s="1">
        <v>0</v>
      </c>
      <c r="AB99" s="1">
        <v>40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20</v>
      </c>
      <c r="AK99" s="1">
        <v>0</v>
      </c>
      <c r="AL99" s="1">
        <v>0</v>
      </c>
      <c r="AM99" s="1">
        <v>0</v>
      </c>
      <c r="AN99" s="1">
        <v>0</v>
      </c>
      <c r="AO99" s="1">
        <v>6</v>
      </c>
      <c r="AP99" s="1">
        <v>0</v>
      </c>
      <c r="AQ99" s="1">
        <v>120</v>
      </c>
      <c r="AR99" s="1">
        <v>0</v>
      </c>
      <c r="AS99" s="1">
        <v>0</v>
      </c>
      <c r="AT99" s="1">
        <v>20</v>
      </c>
      <c r="AU99" s="1">
        <v>0</v>
      </c>
      <c r="AV99" s="1">
        <v>21</v>
      </c>
      <c r="AW99" s="1">
        <v>0</v>
      </c>
      <c r="AX99" s="1">
        <v>0</v>
      </c>
      <c r="AY99" s="1">
        <v>0</v>
      </c>
      <c r="AZ99" s="1">
        <v>42</v>
      </c>
      <c r="BA99" s="1">
        <v>0</v>
      </c>
      <c r="BB99" s="1">
        <v>60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30</v>
      </c>
      <c r="BI99" s="1">
        <v>0</v>
      </c>
      <c r="BJ99" s="1">
        <v>0</v>
      </c>
      <c r="BK99" s="1">
        <v>30</v>
      </c>
      <c r="BL99" s="1">
        <v>0</v>
      </c>
      <c r="BM99" s="3">
        <f t="shared" si="9"/>
        <v>451</v>
      </c>
      <c r="BN99" s="3">
        <v>451</v>
      </c>
      <c r="BO99" s="24">
        <f>Tabla2[[#This Row],[CONSUMO TOTAL VALORES]]/52</f>
        <v>8.6730769230769234</v>
      </c>
      <c r="BP99" s="74">
        <f>Tabla2[[#This Row],[CONSUMO PROMEDIO]]*Tabla2[[#This Row],[FRECUENCIA]]*Tabla2[[#This Row],[TIEMPO REPOSICION ]]*1.5*2.4</f>
        <v>18.733846153846155</v>
      </c>
      <c r="BQ99">
        <v>20</v>
      </c>
    </row>
    <row r="100" spans="1:70">
      <c r="A100" s="1" t="s">
        <v>631</v>
      </c>
      <c r="B100" s="1" t="s">
        <v>632</v>
      </c>
      <c r="C100" s="1" t="s">
        <v>2</v>
      </c>
      <c r="D100" s="1" t="s">
        <v>712</v>
      </c>
      <c r="E100" s="7" t="s">
        <v>715</v>
      </c>
      <c r="F100" s="7" t="s">
        <v>724</v>
      </c>
      <c r="G100" s="7" t="s">
        <v>729</v>
      </c>
      <c r="H100" s="13">
        <v>9.99</v>
      </c>
      <c r="I100" s="13">
        <f t="shared" si="8"/>
        <v>7.4924999999999997</v>
      </c>
      <c r="J100" s="13">
        <v>5.7749499999999996</v>
      </c>
      <c r="K100" s="3">
        <v>1</v>
      </c>
      <c r="L100" s="3">
        <v>0.6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0</v>
      </c>
      <c r="AP100" s="1">
        <v>0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1">
        <v>0</v>
      </c>
      <c r="AW100" s="1">
        <v>0</v>
      </c>
      <c r="AX100" s="1">
        <v>0</v>
      </c>
      <c r="AY100" s="1">
        <v>0</v>
      </c>
      <c r="AZ100" s="1">
        <v>0</v>
      </c>
      <c r="BA100" s="1">
        <v>0</v>
      </c>
      <c r="BB100" s="1">
        <v>0</v>
      </c>
      <c r="BC100" s="1">
        <v>0</v>
      </c>
      <c r="BD100" s="1">
        <v>0</v>
      </c>
      <c r="BE100" s="1">
        <v>0</v>
      </c>
      <c r="BF100" s="1">
        <v>0</v>
      </c>
      <c r="BG100" s="1">
        <v>0</v>
      </c>
      <c r="BH100" s="1">
        <v>0</v>
      </c>
      <c r="BI100" s="1">
        <v>0</v>
      </c>
      <c r="BJ100" s="1">
        <v>0</v>
      </c>
      <c r="BK100" s="1">
        <v>0</v>
      </c>
      <c r="BL100" s="1">
        <v>0</v>
      </c>
      <c r="BM100" s="3">
        <f t="shared" si="9"/>
        <v>0</v>
      </c>
      <c r="BN100" s="3">
        <v>0</v>
      </c>
      <c r="BO100" s="24">
        <f>Tabla2[[#This Row],[CONSUMO TOTAL VALORES]]/52</f>
        <v>0</v>
      </c>
      <c r="BP100" s="74">
        <f>Tabla2[[#This Row],[CONSUMO PROMEDIO]]*Tabla2[[#This Row],[FRECUENCIA]]*Tabla2[[#This Row],[TIEMPO REPOSICION ]]*1.5*2.4</f>
        <v>0</v>
      </c>
      <c r="BQ100">
        <v>0</v>
      </c>
    </row>
    <row r="101" spans="1:70">
      <c r="A101" s="3" t="s">
        <v>633</v>
      </c>
      <c r="B101" s="3" t="s">
        <v>634</v>
      </c>
      <c r="C101" s="3" t="s">
        <v>702</v>
      </c>
      <c r="D101" s="3" t="s">
        <v>712</v>
      </c>
      <c r="E101" s="7" t="s">
        <v>715</v>
      </c>
      <c r="F101" s="7" t="s">
        <v>724</v>
      </c>
      <c r="G101" s="7" t="s">
        <v>729</v>
      </c>
      <c r="H101" s="13">
        <v>18.989999999999998</v>
      </c>
      <c r="I101" s="13">
        <f t="shared" si="8"/>
        <v>14.2425</v>
      </c>
      <c r="J101" s="13">
        <v>7.9442899999999996</v>
      </c>
      <c r="K101" s="3">
        <v>1</v>
      </c>
      <c r="L101" s="3">
        <v>0.6</v>
      </c>
      <c r="M101" s="3">
        <v>0</v>
      </c>
      <c r="N101" s="3">
        <v>0</v>
      </c>
      <c r="O101" s="3">
        <v>28</v>
      </c>
      <c r="P101" s="3">
        <v>86</v>
      </c>
      <c r="Q101" s="3">
        <v>100</v>
      </c>
      <c r="R101" s="3">
        <v>0</v>
      </c>
      <c r="S101" s="3">
        <v>0</v>
      </c>
      <c r="T101" s="3">
        <v>0</v>
      </c>
      <c r="U101" s="3">
        <v>0</v>
      </c>
      <c r="V101" s="3">
        <v>0</v>
      </c>
      <c r="W101" s="3">
        <v>117</v>
      </c>
      <c r="X101" s="3">
        <v>0</v>
      </c>
      <c r="Y101" s="3">
        <v>100</v>
      </c>
      <c r="Z101" s="3">
        <v>0</v>
      </c>
      <c r="AA101" s="3">
        <v>0</v>
      </c>
      <c r="AB101" s="3">
        <v>0</v>
      </c>
      <c r="AC101" s="3">
        <v>0</v>
      </c>
      <c r="AD101" s="3">
        <v>0</v>
      </c>
      <c r="AE101" s="3">
        <v>0</v>
      </c>
      <c r="AF101" s="3">
        <v>0</v>
      </c>
      <c r="AG101" s="3">
        <v>40</v>
      </c>
      <c r="AH101" s="3">
        <v>0</v>
      </c>
      <c r="AI101" s="3">
        <v>0</v>
      </c>
      <c r="AJ101" s="3">
        <v>10</v>
      </c>
      <c r="AK101" s="3">
        <v>0</v>
      </c>
      <c r="AL101" s="3">
        <v>0</v>
      </c>
      <c r="AM101" s="3">
        <v>0</v>
      </c>
      <c r="AN101" s="3">
        <v>0</v>
      </c>
      <c r="AO101" s="3">
        <v>14</v>
      </c>
      <c r="AP101" s="3">
        <v>0</v>
      </c>
      <c r="AQ101" s="3">
        <v>20</v>
      </c>
      <c r="AR101" s="3">
        <v>0</v>
      </c>
      <c r="AS101" s="3">
        <v>20</v>
      </c>
      <c r="AT101" s="3">
        <v>0</v>
      </c>
      <c r="AU101" s="3">
        <v>10</v>
      </c>
      <c r="AV101" s="3">
        <v>40</v>
      </c>
      <c r="AW101" s="3">
        <v>0</v>
      </c>
      <c r="AX101" s="3">
        <v>0</v>
      </c>
      <c r="AY101" s="3">
        <v>20</v>
      </c>
      <c r="AZ101" s="3">
        <v>0</v>
      </c>
      <c r="BA101" s="3">
        <v>0</v>
      </c>
      <c r="BB101" s="3">
        <v>20</v>
      </c>
      <c r="BC101" s="3">
        <v>0</v>
      </c>
      <c r="BD101" s="3">
        <v>45</v>
      </c>
      <c r="BE101" s="3">
        <v>0</v>
      </c>
      <c r="BF101" s="3">
        <v>0</v>
      </c>
      <c r="BG101" s="3">
        <v>60</v>
      </c>
      <c r="BH101" s="3">
        <v>0</v>
      </c>
      <c r="BI101" s="3">
        <v>0</v>
      </c>
      <c r="BJ101" s="3">
        <v>100</v>
      </c>
      <c r="BK101" s="3">
        <v>100</v>
      </c>
      <c r="BL101" s="3">
        <v>10</v>
      </c>
      <c r="BM101" s="3">
        <f t="shared" si="9"/>
        <v>940</v>
      </c>
      <c r="BN101" s="3">
        <v>940</v>
      </c>
      <c r="BO101" s="24">
        <f>Tabla2[[#This Row],[CONSUMO TOTAL VALORES]]/52</f>
        <v>18.076923076923077</v>
      </c>
      <c r="BP101" s="74">
        <f>Tabla2[[#This Row],[CONSUMO PROMEDIO]]*Tabla2[[#This Row],[FRECUENCIA]]*Tabla2[[#This Row],[TIEMPO REPOSICION ]]*1.5*2.4</f>
        <v>39.046153846153835</v>
      </c>
      <c r="BQ101">
        <v>40</v>
      </c>
    </row>
    <row r="102" spans="1:70">
      <c r="A102" s="3" t="s">
        <v>635</v>
      </c>
      <c r="B102" s="3" t="s">
        <v>636</v>
      </c>
      <c r="C102" s="3" t="s">
        <v>2</v>
      </c>
      <c r="D102" s="3" t="s">
        <v>709</v>
      </c>
      <c r="E102" s="7" t="s">
        <v>719</v>
      </c>
      <c r="F102" s="7" t="s">
        <v>724</v>
      </c>
      <c r="G102" s="7" t="s">
        <v>729</v>
      </c>
      <c r="H102" s="13">
        <v>1.99</v>
      </c>
      <c r="I102" s="13">
        <f t="shared" si="8"/>
        <v>1.4924999999999999</v>
      </c>
      <c r="J102" s="13">
        <v>0.81947000000000003</v>
      </c>
      <c r="K102" s="3">
        <v>1</v>
      </c>
      <c r="L102" s="3">
        <v>0.6</v>
      </c>
      <c r="M102" s="3">
        <v>0</v>
      </c>
      <c r="N102" s="3">
        <v>38</v>
      </c>
      <c r="O102" s="3">
        <v>0</v>
      </c>
      <c r="P102" s="3">
        <v>0</v>
      </c>
      <c r="Q102" s="3">
        <v>12</v>
      </c>
      <c r="R102" s="3">
        <v>0</v>
      </c>
      <c r="S102" s="3">
        <v>44</v>
      </c>
      <c r="T102" s="3">
        <v>0</v>
      </c>
      <c r="U102" s="3">
        <v>0</v>
      </c>
      <c r="V102" s="3">
        <v>0</v>
      </c>
      <c r="W102" s="3">
        <v>0</v>
      </c>
      <c r="X102" s="3">
        <v>0</v>
      </c>
      <c r="Y102" s="3">
        <v>0</v>
      </c>
      <c r="Z102" s="3">
        <v>53</v>
      </c>
      <c r="AA102" s="3">
        <v>2</v>
      </c>
      <c r="AB102" s="3">
        <v>0</v>
      </c>
      <c r="AC102" s="3">
        <v>0</v>
      </c>
      <c r="AD102" s="3">
        <v>0</v>
      </c>
      <c r="AE102" s="3">
        <v>0</v>
      </c>
      <c r="AF102" s="3">
        <v>30</v>
      </c>
      <c r="AG102" s="3">
        <v>2</v>
      </c>
      <c r="AH102" s="3">
        <v>0</v>
      </c>
      <c r="AI102" s="3">
        <v>0</v>
      </c>
      <c r="AJ102" s="3">
        <v>0</v>
      </c>
      <c r="AK102" s="3">
        <v>21</v>
      </c>
      <c r="AL102" s="3">
        <v>0</v>
      </c>
      <c r="AM102" s="3">
        <v>100</v>
      </c>
      <c r="AN102" s="3">
        <v>0</v>
      </c>
      <c r="AO102" s="3">
        <v>0</v>
      </c>
      <c r="AP102" s="3">
        <v>52</v>
      </c>
      <c r="AQ102" s="3">
        <v>50</v>
      </c>
      <c r="AR102" s="3">
        <v>0</v>
      </c>
      <c r="AS102" s="3">
        <v>0</v>
      </c>
      <c r="AT102" s="3">
        <v>0</v>
      </c>
      <c r="AU102" s="3">
        <v>0</v>
      </c>
      <c r="AV102" s="3">
        <v>0</v>
      </c>
      <c r="AW102" s="3">
        <v>0</v>
      </c>
      <c r="AX102" s="3">
        <v>0</v>
      </c>
      <c r="AY102" s="3">
        <v>0</v>
      </c>
      <c r="AZ102" s="3">
        <v>151</v>
      </c>
      <c r="BA102" s="3">
        <v>0</v>
      </c>
      <c r="BB102" s="3">
        <v>0</v>
      </c>
      <c r="BC102" s="3">
        <v>0</v>
      </c>
      <c r="BD102" s="3">
        <v>50</v>
      </c>
      <c r="BE102" s="3">
        <v>0</v>
      </c>
      <c r="BF102" s="3">
        <v>0</v>
      </c>
      <c r="BG102" s="3">
        <v>0</v>
      </c>
      <c r="BH102" s="3">
        <v>0</v>
      </c>
      <c r="BI102" s="3">
        <v>0</v>
      </c>
      <c r="BJ102" s="3">
        <v>10</v>
      </c>
      <c r="BK102" s="3">
        <v>0</v>
      </c>
      <c r="BL102" s="3">
        <v>0</v>
      </c>
      <c r="BM102" s="3">
        <f t="shared" si="9"/>
        <v>615</v>
      </c>
      <c r="BN102" s="3">
        <v>615</v>
      </c>
      <c r="BO102" s="24">
        <f>Tabla2[[#This Row],[CONSUMO TOTAL VALORES]]/52</f>
        <v>11.826923076923077</v>
      </c>
      <c r="BP102" s="74">
        <f>Tabla2[[#This Row],[CONSUMO PROMEDIO]]*Tabla2[[#This Row],[FRECUENCIA]]*Tabla2[[#This Row],[TIEMPO REPOSICION ]]*1.5*2.4</f>
        <v>25.546153846153842</v>
      </c>
      <c r="BQ102">
        <v>26</v>
      </c>
    </row>
    <row r="103" spans="1:70">
      <c r="A103" s="3" t="s">
        <v>637</v>
      </c>
      <c r="B103" s="3" t="s">
        <v>638</v>
      </c>
      <c r="C103" s="3" t="s">
        <v>2</v>
      </c>
      <c r="D103" s="3" t="s">
        <v>709</v>
      </c>
      <c r="E103" s="7" t="s">
        <v>719</v>
      </c>
      <c r="F103" s="7" t="s">
        <v>724</v>
      </c>
      <c r="G103" s="7" t="s">
        <v>729</v>
      </c>
      <c r="H103" s="13">
        <v>3.59</v>
      </c>
      <c r="I103" s="13">
        <f t="shared" si="8"/>
        <v>2.6924999999999999</v>
      </c>
      <c r="J103" s="13">
        <v>1.23912</v>
      </c>
      <c r="K103" s="3">
        <v>1</v>
      </c>
      <c r="L103" s="3">
        <v>0.6</v>
      </c>
      <c r="M103" s="3">
        <v>0</v>
      </c>
      <c r="N103" s="3">
        <v>0</v>
      </c>
      <c r="O103" s="3">
        <v>30</v>
      </c>
      <c r="P103" s="3">
        <v>50</v>
      </c>
      <c r="Q103" s="3">
        <v>63</v>
      </c>
      <c r="R103" s="3">
        <v>0</v>
      </c>
      <c r="S103" s="3">
        <v>0</v>
      </c>
      <c r="T103" s="3">
        <v>32</v>
      </c>
      <c r="U103" s="3">
        <v>0</v>
      </c>
      <c r="V103" s="3">
        <v>0</v>
      </c>
      <c r="W103" s="3">
        <v>0</v>
      </c>
      <c r="X103" s="3">
        <v>0</v>
      </c>
      <c r="Y103" s="3">
        <v>30</v>
      </c>
      <c r="Z103" s="3">
        <v>0</v>
      </c>
      <c r="AA103" s="3">
        <v>0</v>
      </c>
      <c r="AB103" s="3">
        <v>0</v>
      </c>
      <c r="AC103" s="3">
        <v>0</v>
      </c>
      <c r="AD103" s="3">
        <v>74</v>
      </c>
      <c r="AE103" s="3">
        <v>0</v>
      </c>
      <c r="AF103" s="3">
        <v>140</v>
      </c>
      <c r="AG103" s="3">
        <v>100</v>
      </c>
      <c r="AH103" s="3">
        <v>200</v>
      </c>
      <c r="AI103" s="3">
        <v>20</v>
      </c>
      <c r="AJ103" s="3">
        <v>0</v>
      </c>
      <c r="AK103" s="3">
        <v>0</v>
      </c>
      <c r="AL103" s="3">
        <v>0</v>
      </c>
      <c r="AM103" s="3">
        <v>0</v>
      </c>
      <c r="AN103" s="3">
        <v>0</v>
      </c>
      <c r="AO103" s="3">
        <v>0</v>
      </c>
      <c r="AP103" s="3">
        <v>96</v>
      </c>
      <c r="AQ103" s="3">
        <v>0</v>
      </c>
      <c r="AR103" s="3">
        <v>36</v>
      </c>
      <c r="AS103" s="3">
        <v>5</v>
      </c>
      <c r="AT103" s="3">
        <v>0</v>
      </c>
      <c r="AU103" s="3">
        <v>0</v>
      </c>
      <c r="AV103" s="3">
        <v>60</v>
      </c>
      <c r="AW103" s="3">
        <v>6</v>
      </c>
      <c r="AX103" s="3">
        <v>34</v>
      </c>
      <c r="AY103" s="3">
        <v>0</v>
      </c>
      <c r="AZ103" s="3">
        <v>98</v>
      </c>
      <c r="BA103" s="3">
        <v>249</v>
      </c>
      <c r="BB103" s="3">
        <v>119</v>
      </c>
      <c r="BC103" s="3">
        <v>30</v>
      </c>
      <c r="BD103" s="3">
        <v>3</v>
      </c>
      <c r="BE103" s="3">
        <v>80</v>
      </c>
      <c r="BF103" s="3">
        <v>0</v>
      </c>
      <c r="BG103" s="3">
        <v>0</v>
      </c>
      <c r="BH103" s="3">
        <v>0</v>
      </c>
      <c r="BI103" s="3">
        <v>0</v>
      </c>
      <c r="BJ103" s="3">
        <v>180</v>
      </c>
      <c r="BK103" s="3">
        <v>60</v>
      </c>
      <c r="BL103" s="3">
        <v>60</v>
      </c>
      <c r="BM103" s="3">
        <f t="shared" si="9"/>
        <v>1855</v>
      </c>
      <c r="BN103" s="3">
        <v>1855</v>
      </c>
      <c r="BO103" s="24">
        <f>Tabla2[[#This Row],[CONSUMO TOTAL VALORES]]/52</f>
        <v>35.67307692307692</v>
      </c>
      <c r="BP103" s="74">
        <f>Tabla2[[#This Row],[CONSUMO PROMEDIO]]*Tabla2[[#This Row],[FRECUENCIA]]*Tabla2[[#This Row],[TIEMPO REPOSICION ]]*1.5*2.4</f>
        <v>77.053846153846138</v>
      </c>
      <c r="BQ103">
        <v>100</v>
      </c>
    </row>
    <row r="104" spans="1:70">
      <c r="A104" s="3" t="s">
        <v>639</v>
      </c>
      <c r="B104" s="3" t="s">
        <v>640</v>
      </c>
      <c r="C104" s="3" t="s">
        <v>2</v>
      </c>
      <c r="D104" s="3" t="s">
        <v>709</v>
      </c>
      <c r="E104" s="7" t="s">
        <v>719</v>
      </c>
      <c r="F104" s="7" t="s">
        <v>724</v>
      </c>
      <c r="G104" s="7" t="s">
        <v>729</v>
      </c>
      <c r="H104" s="13">
        <v>5.79</v>
      </c>
      <c r="I104" s="13">
        <f t="shared" si="8"/>
        <v>4.3425000000000002</v>
      </c>
      <c r="J104" s="13">
        <v>2.3605499999999999</v>
      </c>
      <c r="K104" s="3">
        <v>1</v>
      </c>
      <c r="L104" s="3">
        <v>0.6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>
        <v>0</v>
      </c>
      <c r="X104" s="3">
        <v>0</v>
      </c>
      <c r="Y104" s="3">
        <v>0</v>
      </c>
      <c r="Z104" s="3">
        <v>0</v>
      </c>
      <c r="AA104" s="3">
        <v>0</v>
      </c>
      <c r="AB104" s="3">
        <v>0</v>
      </c>
      <c r="AC104" s="3">
        <v>0</v>
      </c>
      <c r="AD104" s="3">
        <v>20</v>
      </c>
      <c r="AE104" s="3">
        <v>0</v>
      </c>
      <c r="AF104" s="3">
        <v>60</v>
      </c>
      <c r="AG104" s="3">
        <v>0</v>
      </c>
      <c r="AH104" s="3">
        <v>0</v>
      </c>
      <c r="AI104" s="3">
        <v>0</v>
      </c>
      <c r="AJ104" s="3">
        <v>0</v>
      </c>
      <c r="AK104" s="3">
        <v>0</v>
      </c>
      <c r="AL104" s="3">
        <v>0</v>
      </c>
      <c r="AM104" s="3">
        <v>0</v>
      </c>
      <c r="AN104" s="3">
        <v>0</v>
      </c>
      <c r="AO104" s="3">
        <v>0</v>
      </c>
      <c r="AP104" s="3">
        <v>0</v>
      </c>
      <c r="AQ104" s="3">
        <v>0</v>
      </c>
      <c r="AR104" s="3">
        <v>0</v>
      </c>
      <c r="AS104" s="3">
        <v>0</v>
      </c>
      <c r="AT104" s="3">
        <v>0</v>
      </c>
      <c r="AU104" s="3">
        <v>40</v>
      </c>
      <c r="AV104" s="3">
        <v>0</v>
      </c>
      <c r="AW104" s="3">
        <v>0</v>
      </c>
      <c r="AX104" s="3">
        <v>0</v>
      </c>
      <c r="AY104" s="3">
        <v>0</v>
      </c>
      <c r="AZ104" s="3">
        <v>0</v>
      </c>
      <c r="BA104" s="3">
        <v>0</v>
      </c>
      <c r="BB104" s="3">
        <v>0</v>
      </c>
      <c r="BC104" s="3">
        <v>0</v>
      </c>
      <c r="BD104" s="3">
        <v>0</v>
      </c>
      <c r="BE104" s="3">
        <v>0</v>
      </c>
      <c r="BF104" s="3">
        <v>0</v>
      </c>
      <c r="BG104" s="3">
        <v>0</v>
      </c>
      <c r="BH104" s="3">
        <v>0</v>
      </c>
      <c r="BI104" s="3">
        <v>0</v>
      </c>
      <c r="BJ104" s="3">
        <v>0</v>
      </c>
      <c r="BK104" s="3">
        <v>0</v>
      </c>
      <c r="BL104" s="3">
        <v>0</v>
      </c>
      <c r="BM104" s="3">
        <f t="shared" si="9"/>
        <v>120</v>
      </c>
      <c r="BN104" s="3">
        <v>120</v>
      </c>
      <c r="BO104" s="24">
        <f>Tabla2[[#This Row],[CONSUMO TOTAL VALORES]]/52</f>
        <v>2.3076923076923075</v>
      </c>
      <c r="BP104" s="74">
        <f>Tabla2[[#This Row],[CONSUMO PROMEDIO]]*Tabla2[[#This Row],[FRECUENCIA]]*Tabla2[[#This Row],[TIEMPO REPOSICION ]]*1.5*2.4</f>
        <v>4.9846153846153838</v>
      </c>
      <c r="BQ104">
        <v>5</v>
      </c>
    </row>
    <row r="105" spans="1:70">
      <c r="A105" s="1" t="s">
        <v>641</v>
      </c>
      <c r="B105" s="1" t="s">
        <v>642</v>
      </c>
      <c r="C105" s="1" t="s">
        <v>2</v>
      </c>
      <c r="D105" s="1" t="s">
        <v>709</v>
      </c>
      <c r="E105" s="7" t="s">
        <v>719</v>
      </c>
      <c r="F105" s="7" t="s">
        <v>724</v>
      </c>
      <c r="G105" s="7" t="s">
        <v>729</v>
      </c>
      <c r="H105" s="13">
        <v>11.5</v>
      </c>
      <c r="I105" s="13">
        <f t="shared" si="8"/>
        <v>8.625</v>
      </c>
      <c r="J105" s="13">
        <v>4.3064900000000002</v>
      </c>
      <c r="K105" s="3">
        <v>1</v>
      </c>
      <c r="L105" s="3">
        <v>0.6</v>
      </c>
      <c r="M105" s="1">
        <v>0</v>
      </c>
      <c r="N105" s="1">
        <v>0</v>
      </c>
      <c r="O105" s="1">
        <v>20</v>
      </c>
      <c r="P105" s="1">
        <v>0</v>
      </c>
      <c r="Q105" s="1">
        <v>0</v>
      </c>
      <c r="R105" s="1">
        <v>40</v>
      </c>
      <c r="S105" s="1">
        <v>0</v>
      </c>
      <c r="T105" s="1">
        <v>20</v>
      </c>
      <c r="U105" s="1">
        <v>0</v>
      </c>
      <c r="V105" s="1">
        <v>0</v>
      </c>
      <c r="W105" s="1">
        <v>32</v>
      </c>
      <c r="X105" s="1">
        <v>6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20</v>
      </c>
      <c r="AE105" s="1">
        <v>80</v>
      </c>
      <c r="AF105" s="1">
        <v>60</v>
      </c>
      <c r="AG105" s="1">
        <v>0</v>
      </c>
      <c r="AH105" s="1">
        <v>0</v>
      </c>
      <c r="AI105" s="1">
        <v>0</v>
      </c>
      <c r="AJ105" s="1">
        <v>10</v>
      </c>
      <c r="AK105" s="1">
        <v>40</v>
      </c>
      <c r="AL105" s="1">
        <v>0</v>
      </c>
      <c r="AM105" s="1">
        <v>0</v>
      </c>
      <c r="AN105" s="1">
        <v>0</v>
      </c>
      <c r="AO105" s="1">
        <v>15</v>
      </c>
      <c r="AP105" s="1">
        <v>5</v>
      </c>
      <c r="AQ105" s="1">
        <v>26</v>
      </c>
      <c r="AR105" s="1">
        <v>0</v>
      </c>
      <c r="AS105" s="1">
        <v>18</v>
      </c>
      <c r="AT105" s="1">
        <v>0</v>
      </c>
      <c r="AU105" s="1">
        <v>0</v>
      </c>
      <c r="AV105" s="1">
        <v>0</v>
      </c>
      <c r="AW105" s="1">
        <v>0</v>
      </c>
      <c r="AX105" s="1">
        <v>0</v>
      </c>
      <c r="AY105" s="1">
        <v>0</v>
      </c>
      <c r="AZ105" s="1">
        <v>98</v>
      </c>
      <c r="BA105" s="1">
        <v>40</v>
      </c>
      <c r="BB105" s="1">
        <v>90</v>
      </c>
      <c r="BC105" s="1">
        <v>0</v>
      </c>
      <c r="BD105" s="1">
        <v>0</v>
      </c>
      <c r="BE105" s="1">
        <v>0</v>
      </c>
      <c r="BF105" s="1">
        <v>0</v>
      </c>
      <c r="BG105" s="1">
        <v>40</v>
      </c>
      <c r="BH105" s="1">
        <v>0</v>
      </c>
      <c r="BI105" s="1">
        <v>0</v>
      </c>
      <c r="BJ105" s="1">
        <v>0</v>
      </c>
      <c r="BK105" s="1">
        <v>20</v>
      </c>
      <c r="BL105" s="1">
        <v>40</v>
      </c>
      <c r="BM105" s="3">
        <f t="shared" si="9"/>
        <v>720</v>
      </c>
      <c r="BN105" s="3">
        <v>720</v>
      </c>
      <c r="BO105" s="24">
        <f>Tabla2[[#This Row],[CONSUMO TOTAL VALORES]]/52</f>
        <v>13.846153846153847</v>
      </c>
      <c r="BP105" s="74">
        <f>Tabla2[[#This Row],[CONSUMO PROMEDIO]]*Tabla2[[#This Row],[FRECUENCIA]]*Tabla2[[#This Row],[TIEMPO REPOSICION ]]*1.5*2.4</f>
        <v>29.907692307692312</v>
      </c>
      <c r="BQ105">
        <v>40</v>
      </c>
    </row>
    <row r="106" spans="1:70">
      <c r="A106" s="3" t="s">
        <v>647</v>
      </c>
      <c r="B106" s="3" t="s">
        <v>648</v>
      </c>
      <c r="C106" s="3" t="s">
        <v>677</v>
      </c>
      <c r="D106" s="3" t="s">
        <v>708</v>
      </c>
      <c r="E106" s="7" t="s">
        <v>715</v>
      </c>
      <c r="F106" s="7" t="s">
        <v>724</v>
      </c>
      <c r="G106" s="7" t="s">
        <v>729</v>
      </c>
      <c r="H106" s="13">
        <v>24.9</v>
      </c>
      <c r="I106" s="13">
        <f t="shared" si="8"/>
        <v>18.674999999999997</v>
      </c>
      <c r="J106" s="13">
        <v>10.53856</v>
      </c>
      <c r="K106" s="3">
        <v>1</v>
      </c>
      <c r="L106" s="3">
        <v>0.6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3">
        <v>0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0</v>
      </c>
      <c r="AL106" s="3">
        <v>0</v>
      </c>
      <c r="AM106" s="3">
        <v>0</v>
      </c>
      <c r="AN106" s="3">
        <v>0</v>
      </c>
      <c r="AO106" s="3">
        <v>0</v>
      </c>
      <c r="AP106" s="3">
        <v>0</v>
      </c>
      <c r="AQ106" s="3">
        <v>0</v>
      </c>
      <c r="AR106" s="3">
        <v>0</v>
      </c>
      <c r="AS106" s="3">
        <v>0</v>
      </c>
      <c r="AT106" s="3">
        <v>0</v>
      </c>
      <c r="AU106" s="3">
        <v>0</v>
      </c>
      <c r="AV106" s="3">
        <v>0</v>
      </c>
      <c r="AW106" s="3">
        <v>0</v>
      </c>
      <c r="AX106" s="3">
        <v>0</v>
      </c>
      <c r="AY106" s="3">
        <v>0</v>
      </c>
      <c r="AZ106" s="3">
        <v>0</v>
      </c>
      <c r="BA106" s="3">
        <v>0</v>
      </c>
      <c r="BB106" s="3">
        <v>0</v>
      </c>
      <c r="BC106" s="3">
        <v>0</v>
      </c>
      <c r="BD106" s="3">
        <v>0</v>
      </c>
      <c r="BE106" s="3">
        <v>0</v>
      </c>
      <c r="BF106" s="3">
        <v>0</v>
      </c>
      <c r="BG106" s="3">
        <v>0</v>
      </c>
      <c r="BH106" s="3">
        <v>0</v>
      </c>
      <c r="BI106" s="3">
        <v>0</v>
      </c>
      <c r="BJ106" s="3">
        <v>0</v>
      </c>
      <c r="BK106" s="3">
        <v>0</v>
      </c>
      <c r="BL106" s="3">
        <v>0</v>
      </c>
      <c r="BM106" s="3">
        <f t="shared" si="9"/>
        <v>0</v>
      </c>
      <c r="BN106" s="3">
        <v>0</v>
      </c>
      <c r="BO106" s="24">
        <f>Tabla2[[#This Row],[CONSUMO TOTAL VALORES]]/52</f>
        <v>0</v>
      </c>
      <c r="BP106" s="74">
        <f>Tabla2[[#This Row],[CONSUMO PROMEDIO]]*Tabla2[[#This Row],[FRECUENCIA]]*Tabla2[[#This Row],[TIEMPO REPOSICION ]]*1.5*2.4</f>
        <v>0</v>
      </c>
      <c r="BQ106">
        <v>0</v>
      </c>
    </row>
    <row r="107" spans="1:70">
      <c r="A107" s="3" t="s">
        <v>649</v>
      </c>
      <c r="B107" s="3" t="s">
        <v>650</v>
      </c>
      <c r="C107" s="3" t="s">
        <v>673</v>
      </c>
      <c r="D107" s="3" t="s">
        <v>708</v>
      </c>
      <c r="E107" s="7" t="s">
        <v>715</v>
      </c>
      <c r="F107" s="7" t="s">
        <v>724</v>
      </c>
      <c r="G107" s="7" t="s">
        <v>729</v>
      </c>
      <c r="H107" s="13">
        <v>109.81</v>
      </c>
      <c r="I107" s="13">
        <f t="shared" si="8"/>
        <v>82.357500000000002</v>
      </c>
      <c r="J107" s="13">
        <v>55.988999999999997</v>
      </c>
      <c r="K107" s="3">
        <v>1</v>
      </c>
      <c r="L107" s="3">
        <v>0.6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3">
        <v>0</v>
      </c>
      <c r="Y107" s="3">
        <v>0</v>
      </c>
      <c r="Z107" s="3">
        <v>0</v>
      </c>
      <c r="AA107" s="3">
        <v>0</v>
      </c>
      <c r="AB107" s="3">
        <v>0</v>
      </c>
      <c r="AC107" s="3">
        <v>0</v>
      </c>
      <c r="AD107" s="3">
        <v>0</v>
      </c>
      <c r="AE107" s="3">
        <v>0</v>
      </c>
      <c r="AF107" s="3">
        <v>0</v>
      </c>
      <c r="AG107" s="3">
        <v>0</v>
      </c>
      <c r="AH107" s="3">
        <v>0</v>
      </c>
      <c r="AI107" s="3">
        <v>0</v>
      </c>
      <c r="AJ107" s="3">
        <v>0</v>
      </c>
      <c r="AK107" s="3">
        <v>0</v>
      </c>
      <c r="AL107" s="3">
        <v>0</v>
      </c>
      <c r="AM107" s="3">
        <v>0</v>
      </c>
      <c r="AN107" s="3">
        <v>0</v>
      </c>
      <c r="AO107" s="3">
        <v>0</v>
      </c>
      <c r="AP107" s="3">
        <v>0</v>
      </c>
      <c r="AQ107" s="3">
        <v>0</v>
      </c>
      <c r="AR107" s="3">
        <v>0</v>
      </c>
      <c r="AS107" s="3">
        <v>0</v>
      </c>
      <c r="AT107" s="3">
        <v>0</v>
      </c>
      <c r="AU107" s="3">
        <v>0</v>
      </c>
      <c r="AV107" s="3">
        <v>0</v>
      </c>
      <c r="AW107" s="3">
        <v>0</v>
      </c>
      <c r="AX107" s="3">
        <v>0</v>
      </c>
      <c r="AY107" s="3">
        <v>0</v>
      </c>
      <c r="AZ107" s="3">
        <v>0</v>
      </c>
      <c r="BA107" s="3">
        <v>0</v>
      </c>
      <c r="BB107" s="3">
        <v>0</v>
      </c>
      <c r="BC107" s="3">
        <v>0</v>
      </c>
      <c r="BD107" s="3">
        <v>0</v>
      </c>
      <c r="BE107" s="3">
        <v>0</v>
      </c>
      <c r="BF107" s="3">
        <v>0</v>
      </c>
      <c r="BG107" s="3">
        <v>0</v>
      </c>
      <c r="BH107" s="3">
        <v>0</v>
      </c>
      <c r="BI107" s="3">
        <v>0</v>
      </c>
      <c r="BJ107" s="3">
        <v>0</v>
      </c>
      <c r="BK107" s="3">
        <v>0</v>
      </c>
      <c r="BL107" s="3">
        <v>0</v>
      </c>
      <c r="BM107" s="3">
        <f t="shared" si="9"/>
        <v>0</v>
      </c>
      <c r="BN107" s="3">
        <v>0</v>
      </c>
      <c r="BO107" s="24">
        <f>Tabla2[[#This Row],[CONSUMO TOTAL VALORES]]/52</f>
        <v>0</v>
      </c>
      <c r="BP107" s="74">
        <f>Tabla2[[#This Row],[CONSUMO PROMEDIO]]*Tabla2[[#This Row],[FRECUENCIA]]*Tabla2[[#This Row],[TIEMPO REPOSICION ]]*1.5*2.4</f>
        <v>0</v>
      </c>
      <c r="BQ107">
        <v>0</v>
      </c>
    </row>
    <row r="108" spans="1:70">
      <c r="A108" s="1" t="s">
        <v>659</v>
      </c>
      <c r="B108" s="1" t="s">
        <v>660</v>
      </c>
      <c r="C108" s="1" t="s">
        <v>688</v>
      </c>
      <c r="D108" s="1" t="s">
        <v>707</v>
      </c>
      <c r="E108" s="7" t="s">
        <v>732</v>
      </c>
      <c r="F108" s="7" t="s">
        <v>724</v>
      </c>
      <c r="G108" s="7" t="s">
        <v>729</v>
      </c>
      <c r="H108" s="13">
        <v>189</v>
      </c>
      <c r="I108" s="13">
        <f>+H108*85%</f>
        <v>160.65</v>
      </c>
      <c r="J108" s="13">
        <v>133.21</v>
      </c>
      <c r="K108" s="3">
        <v>1</v>
      </c>
      <c r="L108" s="3">
        <v>0.6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0</v>
      </c>
      <c r="AK108" s="1">
        <v>0</v>
      </c>
      <c r="AL108" s="1">
        <v>0</v>
      </c>
      <c r="AM108" s="1">
        <v>0</v>
      </c>
      <c r="AN108" s="1">
        <v>0</v>
      </c>
      <c r="AO108" s="1">
        <v>0</v>
      </c>
      <c r="AP108" s="1">
        <v>0</v>
      </c>
      <c r="AQ108" s="1">
        <v>0</v>
      </c>
      <c r="AR108" s="1">
        <v>0</v>
      </c>
      <c r="AS108" s="1">
        <v>0</v>
      </c>
      <c r="AT108" s="1">
        <v>0</v>
      </c>
      <c r="AU108" s="1">
        <v>0</v>
      </c>
      <c r="AV108" s="1">
        <v>0</v>
      </c>
      <c r="AW108" s="1">
        <v>0</v>
      </c>
      <c r="AX108" s="1">
        <v>0</v>
      </c>
      <c r="AY108" s="1">
        <v>0</v>
      </c>
      <c r="AZ108" s="1">
        <v>0</v>
      </c>
      <c r="BA108" s="1">
        <v>0</v>
      </c>
      <c r="BB108" s="1">
        <v>0</v>
      </c>
      <c r="BC108" s="1">
        <v>0</v>
      </c>
      <c r="BD108" s="1">
        <v>0</v>
      </c>
      <c r="BE108" s="1">
        <v>0</v>
      </c>
      <c r="BF108" s="1">
        <v>0</v>
      </c>
      <c r="BG108" s="1">
        <v>0</v>
      </c>
      <c r="BH108" s="1">
        <v>0</v>
      </c>
      <c r="BI108" s="1">
        <v>0</v>
      </c>
      <c r="BJ108" s="1">
        <v>0</v>
      </c>
      <c r="BK108" s="1">
        <v>0</v>
      </c>
      <c r="BL108" s="1">
        <v>0</v>
      </c>
      <c r="BM108" s="3">
        <f t="shared" si="9"/>
        <v>0</v>
      </c>
      <c r="BN108" s="3">
        <v>0</v>
      </c>
      <c r="BO108" s="24">
        <f>Tabla2[[#This Row],[CONSUMO TOTAL VALORES]]/52</f>
        <v>0</v>
      </c>
      <c r="BP108" s="74">
        <f>Tabla2[[#This Row],[CONSUMO PROMEDIO]]*Tabla2[[#This Row],[FRECUENCIA]]*Tabla2[[#This Row],[TIEMPO REPOSICION ]]*1.5*2.4</f>
        <v>0</v>
      </c>
      <c r="BQ108">
        <v>0</v>
      </c>
    </row>
    <row r="109" spans="1:70">
      <c r="A109" s="1" t="s">
        <v>661</v>
      </c>
      <c r="B109" s="1" t="s">
        <v>662</v>
      </c>
      <c r="C109" s="1" t="s">
        <v>681</v>
      </c>
      <c r="D109" s="1" t="s">
        <v>707</v>
      </c>
      <c r="E109" s="7" t="s">
        <v>732</v>
      </c>
      <c r="F109" s="7" t="s">
        <v>724</v>
      </c>
      <c r="G109" s="7" t="s">
        <v>729</v>
      </c>
      <c r="H109" s="13">
        <v>38.4</v>
      </c>
      <c r="I109" s="13">
        <f>+H109*85%</f>
        <v>32.64</v>
      </c>
      <c r="J109" s="13">
        <v>27.594000000000001</v>
      </c>
      <c r="K109" s="3">
        <v>1</v>
      </c>
      <c r="L109" s="3">
        <v>0.6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0</v>
      </c>
      <c r="AJ109" s="1">
        <v>0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P109" s="1">
        <v>0</v>
      </c>
      <c r="AQ109" s="1">
        <v>0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W109" s="1">
        <v>0</v>
      </c>
      <c r="AX109" s="1">
        <v>0</v>
      </c>
      <c r="AY109" s="1">
        <v>0</v>
      </c>
      <c r="AZ109" s="1">
        <v>0</v>
      </c>
      <c r="BA109" s="1">
        <v>0</v>
      </c>
      <c r="BB109" s="1">
        <v>0</v>
      </c>
      <c r="BC109" s="1">
        <v>0</v>
      </c>
      <c r="BD109" s="1">
        <v>0</v>
      </c>
      <c r="BE109" s="1">
        <v>0</v>
      </c>
      <c r="BF109" s="1">
        <v>0</v>
      </c>
      <c r="BG109" s="1">
        <v>0</v>
      </c>
      <c r="BH109" s="1">
        <v>0</v>
      </c>
      <c r="BI109" s="1">
        <v>0</v>
      </c>
      <c r="BJ109" s="1">
        <v>0</v>
      </c>
      <c r="BK109" s="1">
        <v>0</v>
      </c>
      <c r="BL109" s="1">
        <v>0</v>
      </c>
      <c r="BM109" s="3">
        <f t="shared" si="9"/>
        <v>0</v>
      </c>
      <c r="BN109" s="3">
        <v>0</v>
      </c>
      <c r="BO109" s="24">
        <f>Tabla2[[#This Row],[CONSUMO TOTAL VALORES]]/52</f>
        <v>0</v>
      </c>
      <c r="BP109" s="74">
        <f>Tabla2[[#This Row],[CONSUMO PROMEDIO]]*Tabla2[[#This Row],[FRECUENCIA]]*Tabla2[[#This Row],[TIEMPO REPOSICION ]]*1.5*2.4</f>
        <v>0</v>
      </c>
      <c r="BQ109">
        <v>0</v>
      </c>
    </row>
    <row r="110" spans="1:70">
      <c r="A110" s="3" t="s">
        <v>663</v>
      </c>
      <c r="B110" s="3" t="s">
        <v>664</v>
      </c>
      <c r="C110" s="3" t="s">
        <v>676</v>
      </c>
      <c r="D110" s="3" t="s">
        <v>707</v>
      </c>
      <c r="E110" s="7" t="s">
        <v>732</v>
      </c>
      <c r="F110" s="7" t="s">
        <v>724</v>
      </c>
      <c r="G110" s="7" t="s">
        <v>729</v>
      </c>
      <c r="H110" s="13">
        <v>10.5</v>
      </c>
      <c r="I110" s="13">
        <f>+H110*85%</f>
        <v>8.9249999999999989</v>
      </c>
      <c r="J110" s="13">
        <v>6.9065300000000001</v>
      </c>
      <c r="K110" s="3">
        <v>1</v>
      </c>
      <c r="L110" s="3">
        <v>0.6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>
        <v>0</v>
      </c>
      <c r="X110" s="3">
        <v>0</v>
      </c>
      <c r="Y110" s="3">
        <v>0</v>
      </c>
      <c r="Z110" s="3">
        <v>0</v>
      </c>
      <c r="AA110" s="3">
        <v>0</v>
      </c>
      <c r="AB110" s="3">
        <v>0</v>
      </c>
      <c r="AC110" s="3">
        <v>0</v>
      </c>
      <c r="AD110" s="3">
        <v>0</v>
      </c>
      <c r="AE110" s="3">
        <v>0</v>
      </c>
      <c r="AF110" s="3">
        <v>0</v>
      </c>
      <c r="AG110" s="3">
        <v>0</v>
      </c>
      <c r="AH110" s="3">
        <v>0</v>
      </c>
      <c r="AI110" s="3">
        <v>0</v>
      </c>
      <c r="AJ110" s="3">
        <v>0</v>
      </c>
      <c r="AK110" s="3">
        <v>0</v>
      </c>
      <c r="AL110" s="3">
        <v>0</v>
      </c>
      <c r="AM110" s="3">
        <v>0</v>
      </c>
      <c r="AN110" s="3">
        <v>0</v>
      </c>
      <c r="AO110" s="3">
        <v>0</v>
      </c>
      <c r="AP110" s="3">
        <v>0</v>
      </c>
      <c r="AQ110" s="3">
        <v>0</v>
      </c>
      <c r="AR110" s="3">
        <v>0</v>
      </c>
      <c r="AS110" s="3">
        <v>0</v>
      </c>
      <c r="AT110" s="3">
        <v>0</v>
      </c>
      <c r="AU110" s="3">
        <v>0</v>
      </c>
      <c r="AV110" s="3">
        <v>0</v>
      </c>
      <c r="AW110" s="3">
        <v>0</v>
      </c>
      <c r="AX110" s="3">
        <v>0</v>
      </c>
      <c r="AY110" s="3">
        <v>0</v>
      </c>
      <c r="AZ110" s="3">
        <v>0</v>
      </c>
      <c r="BA110" s="3">
        <v>0</v>
      </c>
      <c r="BB110" s="3">
        <v>0</v>
      </c>
      <c r="BC110" s="3">
        <v>0</v>
      </c>
      <c r="BD110" s="3">
        <v>0</v>
      </c>
      <c r="BE110" s="3">
        <v>0</v>
      </c>
      <c r="BF110" s="3">
        <v>0</v>
      </c>
      <c r="BG110" s="3">
        <v>0</v>
      </c>
      <c r="BH110" s="3">
        <v>0</v>
      </c>
      <c r="BI110" s="3">
        <v>0</v>
      </c>
      <c r="BJ110" s="3">
        <v>0</v>
      </c>
      <c r="BK110" s="3">
        <v>0</v>
      </c>
      <c r="BL110" s="3">
        <v>0</v>
      </c>
      <c r="BM110" s="3">
        <f t="shared" si="9"/>
        <v>0</v>
      </c>
      <c r="BN110" s="3">
        <v>0</v>
      </c>
      <c r="BO110" s="24">
        <f>Tabla2[[#This Row],[CONSUMO TOTAL VALORES]]/52</f>
        <v>0</v>
      </c>
      <c r="BP110" s="74">
        <f>Tabla2[[#This Row],[CONSUMO PROMEDIO]]*Tabla2[[#This Row],[FRECUENCIA]]*Tabla2[[#This Row],[TIEMPO REPOSICION ]]*1.5*2.4</f>
        <v>0</v>
      </c>
      <c r="BQ110">
        <v>0</v>
      </c>
    </row>
    <row r="111" spans="1:70">
      <c r="A111" s="43" t="s">
        <v>733</v>
      </c>
      <c r="B111" s="46" t="s">
        <v>734</v>
      </c>
      <c r="C111" s="46" t="s">
        <v>735</v>
      </c>
      <c r="D111" s="46" t="s">
        <v>709</v>
      </c>
      <c r="E111" s="46" t="s">
        <v>732</v>
      </c>
      <c r="F111" s="46" t="s">
        <v>724</v>
      </c>
      <c r="G111" s="46" t="s">
        <v>729</v>
      </c>
      <c r="H111" s="49">
        <v>30.15</v>
      </c>
      <c r="I111" s="49">
        <f>+H111*85%</f>
        <v>25.627499999999998</v>
      </c>
      <c r="J111" s="49">
        <v>16.13</v>
      </c>
      <c r="K111" s="3">
        <v>1</v>
      </c>
      <c r="L111" s="3">
        <v>0.6</v>
      </c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  <c r="BC111" s="46"/>
      <c r="BD111" s="46"/>
      <c r="BE111" s="46"/>
      <c r="BF111" s="46"/>
      <c r="BG111" s="46"/>
      <c r="BH111" s="46"/>
      <c r="BI111" s="46"/>
      <c r="BJ111" s="46"/>
      <c r="BK111" s="46"/>
      <c r="BL111" s="46"/>
      <c r="BM111" s="3">
        <f t="shared" si="9"/>
        <v>0</v>
      </c>
      <c r="BN111" s="46">
        <v>0</v>
      </c>
      <c r="BO111" s="24">
        <f>Tabla2[[#This Row],[CONSUMO TOTAL VALORES]]/52</f>
        <v>0</v>
      </c>
      <c r="BP111" s="74">
        <f>Tabla2[[#This Row],[CONSUMO PROMEDIO]]*Tabla2[[#This Row],[FRECUENCIA]]*Tabla2[[#This Row],[TIEMPO REPOSICION ]]*1.5*2.4</f>
        <v>0</v>
      </c>
      <c r="BQ111" s="58">
        <v>0</v>
      </c>
      <c r="BR111" s="46"/>
    </row>
    <row r="112" spans="1:70">
      <c r="A112" s="41" t="s">
        <v>730</v>
      </c>
      <c r="B112" s="45" t="s">
        <v>731</v>
      </c>
      <c r="C112" s="45" t="s">
        <v>676</v>
      </c>
      <c r="D112" s="45" t="s">
        <v>709</v>
      </c>
      <c r="E112" s="45" t="s">
        <v>732</v>
      </c>
      <c r="F112" s="45" t="s">
        <v>724</v>
      </c>
      <c r="G112" s="45" t="s">
        <v>729</v>
      </c>
      <c r="H112" s="47">
        <v>108</v>
      </c>
      <c r="I112" s="47">
        <f>+H112*85%</f>
        <v>91.8</v>
      </c>
      <c r="J112" s="47">
        <v>62.6</v>
      </c>
      <c r="K112" s="3">
        <v>1</v>
      </c>
      <c r="L112" s="3">
        <v>0.6</v>
      </c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/>
      <c r="AQ112" s="45"/>
      <c r="AR112" s="45"/>
      <c r="AS112" s="45"/>
      <c r="AT112" s="45"/>
      <c r="AU112" s="45"/>
      <c r="AV112" s="45"/>
      <c r="AW112" s="45"/>
      <c r="AX112" s="45"/>
      <c r="AY112" s="45"/>
      <c r="AZ112" s="45"/>
      <c r="BA112" s="45"/>
      <c r="BB112" s="45"/>
      <c r="BC112" s="45"/>
      <c r="BD112" s="45"/>
      <c r="BE112" s="45"/>
      <c r="BF112" s="45"/>
      <c r="BG112" s="45"/>
      <c r="BH112" s="45"/>
      <c r="BI112" s="45"/>
      <c r="BJ112" s="45"/>
      <c r="BK112" s="45"/>
      <c r="BL112" s="45"/>
      <c r="BM112" s="3">
        <f t="shared" si="9"/>
        <v>0</v>
      </c>
      <c r="BN112" s="45">
        <v>0</v>
      </c>
      <c r="BO112" s="24">
        <f>Tabla2[[#This Row],[CONSUMO TOTAL VALORES]]/52</f>
        <v>0</v>
      </c>
      <c r="BP112" s="74">
        <f>Tabla2[[#This Row],[CONSUMO PROMEDIO]]*Tabla2[[#This Row],[FRECUENCIA]]*Tabla2[[#This Row],[TIEMPO REPOSICION ]]*1.5*2.4</f>
        <v>0</v>
      </c>
      <c r="BQ112" s="57">
        <v>0</v>
      </c>
      <c r="BR112" s="45"/>
    </row>
    <row r="113" spans="1:70">
      <c r="A113" s="3" t="s">
        <v>665</v>
      </c>
      <c r="B113" s="3" t="s">
        <v>666</v>
      </c>
      <c r="C113" s="3" t="s">
        <v>677</v>
      </c>
      <c r="D113" s="3" t="s">
        <v>709</v>
      </c>
      <c r="E113" s="7" t="s">
        <v>715</v>
      </c>
      <c r="F113" s="7" t="s">
        <v>724</v>
      </c>
      <c r="G113" s="7" t="s">
        <v>729</v>
      </c>
      <c r="H113" s="13">
        <v>6.5</v>
      </c>
      <c r="I113" s="13">
        <f>+H113*75%</f>
        <v>4.875</v>
      </c>
      <c r="J113" s="13">
        <v>1.3393999999999999</v>
      </c>
      <c r="K113" s="3">
        <v>1</v>
      </c>
      <c r="L113" s="3">
        <v>0.6</v>
      </c>
      <c r="M113" s="3">
        <v>2</v>
      </c>
      <c r="N113" s="3">
        <v>27</v>
      </c>
      <c r="O113" s="3">
        <v>46</v>
      </c>
      <c r="P113" s="3">
        <v>1</v>
      </c>
      <c r="Q113" s="3">
        <v>0</v>
      </c>
      <c r="R113" s="3">
        <v>0</v>
      </c>
      <c r="S113" s="3">
        <v>22</v>
      </c>
      <c r="T113" s="3">
        <v>0</v>
      </c>
      <c r="U113" s="3">
        <v>0</v>
      </c>
      <c r="V113" s="3">
        <v>0</v>
      </c>
      <c r="W113" s="3">
        <v>45</v>
      </c>
      <c r="X113" s="3">
        <v>0</v>
      </c>
      <c r="Y113" s="3">
        <v>0</v>
      </c>
      <c r="Z113" s="3">
        <v>71</v>
      </c>
      <c r="AA113" s="3">
        <v>1</v>
      </c>
      <c r="AB113" s="3">
        <v>0</v>
      </c>
      <c r="AC113" s="3">
        <v>0</v>
      </c>
      <c r="AD113" s="3">
        <v>0</v>
      </c>
      <c r="AE113" s="3">
        <v>0</v>
      </c>
      <c r="AF113" s="3">
        <v>51</v>
      </c>
      <c r="AG113" s="3">
        <v>1</v>
      </c>
      <c r="AH113" s="3">
        <v>0</v>
      </c>
      <c r="AI113" s="3">
        <v>0</v>
      </c>
      <c r="AJ113" s="3">
        <v>0</v>
      </c>
      <c r="AK113" s="3">
        <v>10</v>
      </c>
      <c r="AL113" s="3">
        <v>0</v>
      </c>
      <c r="AM113" s="3">
        <v>0</v>
      </c>
      <c r="AN113" s="3">
        <v>0</v>
      </c>
      <c r="AO113" s="3">
        <v>50</v>
      </c>
      <c r="AP113" s="3">
        <v>0</v>
      </c>
      <c r="AQ113" s="3">
        <v>60</v>
      </c>
      <c r="AR113" s="3">
        <v>8</v>
      </c>
      <c r="AS113" s="3">
        <v>20</v>
      </c>
      <c r="AT113" s="3">
        <v>50</v>
      </c>
      <c r="AU113" s="3">
        <v>0</v>
      </c>
      <c r="AV113" s="3">
        <v>0</v>
      </c>
      <c r="AW113" s="3">
        <v>6</v>
      </c>
      <c r="AX113" s="3">
        <v>71</v>
      </c>
      <c r="AY113" s="3">
        <v>0</v>
      </c>
      <c r="AZ113" s="3">
        <v>71</v>
      </c>
      <c r="BA113" s="3">
        <v>0</v>
      </c>
      <c r="BB113" s="3">
        <v>0</v>
      </c>
      <c r="BC113" s="3">
        <v>72</v>
      </c>
      <c r="BD113" s="3">
        <v>3</v>
      </c>
      <c r="BE113" s="3">
        <v>100</v>
      </c>
      <c r="BF113" s="3">
        <v>0</v>
      </c>
      <c r="BG113" s="3">
        <v>0</v>
      </c>
      <c r="BH113" s="3">
        <v>160</v>
      </c>
      <c r="BI113" s="3">
        <v>0</v>
      </c>
      <c r="BJ113" s="3">
        <v>61</v>
      </c>
      <c r="BK113" s="3">
        <v>0</v>
      </c>
      <c r="BL113" s="3">
        <v>333</v>
      </c>
      <c r="BM113" s="3">
        <f t="shared" si="9"/>
        <v>1342</v>
      </c>
      <c r="BN113" s="3">
        <v>1342</v>
      </c>
      <c r="BO113" s="24">
        <f>Tabla2[[#This Row],[CONSUMO TOTAL VALORES]]/52</f>
        <v>25.807692307692307</v>
      </c>
      <c r="BP113" s="74">
        <f>Tabla2[[#This Row],[CONSUMO PROMEDIO]]*Tabla2[[#This Row],[FRECUENCIA]]*Tabla2[[#This Row],[TIEMPO REPOSICION ]]*1.5*2.4</f>
        <v>55.744615384615379</v>
      </c>
      <c r="BQ113" s="3">
        <v>100</v>
      </c>
    </row>
    <row r="114" spans="1:70">
      <c r="A114" s="56" t="s">
        <v>667</v>
      </c>
      <c r="B114" s="57" t="s">
        <v>668</v>
      </c>
      <c r="C114" s="57" t="s">
        <v>676</v>
      </c>
      <c r="D114" s="57" t="s">
        <v>709</v>
      </c>
      <c r="E114" s="45" t="s">
        <v>715</v>
      </c>
      <c r="F114" s="45" t="s">
        <v>724</v>
      </c>
      <c r="G114" s="45" t="s">
        <v>729</v>
      </c>
      <c r="H114" s="47">
        <v>59</v>
      </c>
      <c r="I114" s="47">
        <f>+H114*75%</f>
        <v>44.25</v>
      </c>
      <c r="J114" s="47">
        <v>11.42244</v>
      </c>
      <c r="K114" s="3">
        <v>1</v>
      </c>
      <c r="L114" s="3">
        <v>0.6</v>
      </c>
      <c r="M114" s="57">
        <v>0</v>
      </c>
      <c r="N114" s="57">
        <v>0</v>
      </c>
      <c r="O114" s="57">
        <v>1</v>
      </c>
      <c r="P114" s="57">
        <v>5</v>
      </c>
      <c r="Q114" s="57">
        <v>0</v>
      </c>
      <c r="R114" s="57">
        <v>1</v>
      </c>
      <c r="S114" s="57">
        <v>5</v>
      </c>
      <c r="T114" s="57">
        <v>0</v>
      </c>
      <c r="U114" s="57">
        <v>0</v>
      </c>
      <c r="V114" s="57">
        <v>0</v>
      </c>
      <c r="W114" s="57">
        <v>0</v>
      </c>
      <c r="X114" s="57">
        <v>0</v>
      </c>
      <c r="Y114" s="57">
        <v>0</v>
      </c>
      <c r="Z114" s="57">
        <v>0</v>
      </c>
      <c r="AA114" s="57">
        <v>0</v>
      </c>
      <c r="AB114" s="57">
        <v>0</v>
      </c>
      <c r="AC114" s="57">
        <v>0</v>
      </c>
      <c r="AD114" s="57">
        <v>5</v>
      </c>
      <c r="AE114" s="57">
        <v>0</v>
      </c>
      <c r="AF114" s="57">
        <v>3</v>
      </c>
      <c r="AG114" s="57">
        <v>0</v>
      </c>
      <c r="AH114" s="57">
        <v>0</v>
      </c>
      <c r="AI114" s="57">
        <v>0</v>
      </c>
      <c r="AJ114" s="57">
        <v>0</v>
      </c>
      <c r="AK114" s="57">
        <v>0</v>
      </c>
      <c r="AL114" s="57">
        <v>0</v>
      </c>
      <c r="AM114" s="57">
        <v>0</v>
      </c>
      <c r="AN114" s="57">
        <v>0</v>
      </c>
      <c r="AO114" s="57">
        <v>1</v>
      </c>
      <c r="AP114" s="57">
        <v>0</v>
      </c>
      <c r="AQ114" s="57">
        <v>0</v>
      </c>
      <c r="AR114" s="57">
        <v>0</v>
      </c>
      <c r="AS114" s="57">
        <v>5</v>
      </c>
      <c r="AT114" s="57">
        <v>3</v>
      </c>
      <c r="AU114" s="57">
        <v>0</v>
      </c>
      <c r="AV114" s="57">
        <v>0</v>
      </c>
      <c r="AW114" s="57">
        <v>0</v>
      </c>
      <c r="AX114" s="57">
        <v>35</v>
      </c>
      <c r="AY114" s="57">
        <v>0</v>
      </c>
      <c r="AZ114" s="57">
        <v>0</v>
      </c>
      <c r="BA114" s="57">
        <v>0</v>
      </c>
      <c r="BB114" s="57">
        <v>0</v>
      </c>
      <c r="BC114" s="57">
        <v>0</v>
      </c>
      <c r="BD114" s="57">
        <v>0</v>
      </c>
      <c r="BE114" s="57">
        <v>0</v>
      </c>
      <c r="BF114" s="57">
        <v>0</v>
      </c>
      <c r="BG114" s="57">
        <v>12</v>
      </c>
      <c r="BH114" s="57">
        <v>8</v>
      </c>
      <c r="BI114" s="57">
        <v>0</v>
      </c>
      <c r="BJ114" s="57">
        <v>0</v>
      </c>
      <c r="BK114" s="57">
        <v>0</v>
      </c>
      <c r="BL114" s="57">
        <v>0</v>
      </c>
      <c r="BM114" s="3">
        <f t="shared" si="9"/>
        <v>84</v>
      </c>
      <c r="BN114" s="57">
        <v>84</v>
      </c>
      <c r="BO114" s="24">
        <f>Tabla2[[#This Row],[CONSUMO TOTAL VALORES]]/52</f>
        <v>1.6153846153846154</v>
      </c>
      <c r="BP114" s="74">
        <f>Tabla2[[#This Row],[CONSUMO PROMEDIO]]*Tabla2[[#This Row],[FRECUENCIA]]*Tabla2[[#This Row],[TIEMPO REPOSICION ]]*1.5*2.4</f>
        <v>3.4892307692307689</v>
      </c>
      <c r="BQ114" s="57">
        <v>40</v>
      </c>
      <c r="BR114" s="45"/>
    </row>
    <row r="115" spans="1:70">
      <c r="A115" s="56" t="s">
        <v>669</v>
      </c>
      <c r="B115" s="57" t="s">
        <v>670</v>
      </c>
      <c r="C115" s="57" t="s">
        <v>703</v>
      </c>
      <c r="D115" s="57" t="s">
        <v>708</v>
      </c>
      <c r="E115" s="45" t="s">
        <v>715</v>
      </c>
      <c r="F115" s="45" t="s">
        <v>724</v>
      </c>
      <c r="G115" s="45" t="s">
        <v>729</v>
      </c>
      <c r="H115" s="47">
        <v>7.32</v>
      </c>
      <c r="I115" s="47">
        <f>+H115*75%</f>
        <v>5.49</v>
      </c>
      <c r="J115" s="47">
        <v>1.46333</v>
      </c>
      <c r="K115" s="3">
        <v>1</v>
      </c>
      <c r="L115" s="3">
        <v>0.6</v>
      </c>
      <c r="M115" s="57">
        <v>0</v>
      </c>
      <c r="N115" s="57">
        <v>0</v>
      </c>
      <c r="O115" s="57">
        <v>0</v>
      </c>
      <c r="P115" s="57">
        <v>0</v>
      </c>
      <c r="Q115" s="57">
        <v>0</v>
      </c>
      <c r="R115" s="57">
        <v>0</v>
      </c>
      <c r="S115" s="57">
        <v>0</v>
      </c>
      <c r="T115" s="57">
        <v>0</v>
      </c>
      <c r="U115" s="57">
        <v>0</v>
      </c>
      <c r="V115" s="57">
        <v>0</v>
      </c>
      <c r="W115" s="57">
        <v>0</v>
      </c>
      <c r="X115" s="57">
        <v>0</v>
      </c>
      <c r="Y115" s="57">
        <v>0</v>
      </c>
      <c r="Z115" s="57">
        <v>0</v>
      </c>
      <c r="AA115" s="57">
        <v>0</v>
      </c>
      <c r="AB115" s="57">
        <v>0</v>
      </c>
      <c r="AC115" s="57">
        <v>0</v>
      </c>
      <c r="AD115" s="57">
        <v>0</v>
      </c>
      <c r="AE115" s="57">
        <v>0</v>
      </c>
      <c r="AF115" s="57">
        <v>0</v>
      </c>
      <c r="AG115" s="57">
        <v>0</v>
      </c>
      <c r="AH115" s="57">
        <v>0</v>
      </c>
      <c r="AI115" s="57">
        <v>0</v>
      </c>
      <c r="AJ115" s="57">
        <v>0</v>
      </c>
      <c r="AK115" s="57">
        <v>0</v>
      </c>
      <c r="AL115" s="57">
        <v>0</v>
      </c>
      <c r="AM115" s="57">
        <v>0</v>
      </c>
      <c r="AN115" s="57">
        <v>0</v>
      </c>
      <c r="AO115" s="57">
        <v>0</v>
      </c>
      <c r="AP115" s="57">
        <v>0</v>
      </c>
      <c r="AQ115" s="57">
        <v>0</v>
      </c>
      <c r="AR115" s="57">
        <v>0</v>
      </c>
      <c r="AS115" s="57">
        <v>0</v>
      </c>
      <c r="AT115" s="57">
        <v>0</v>
      </c>
      <c r="AU115" s="57">
        <v>0</v>
      </c>
      <c r="AV115" s="57">
        <v>0</v>
      </c>
      <c r="AW115" s="57">
        <v>0</v>
      </c>
      <c r="AX115" s="57">
        <v>0</v>
      </c>
      <c r="AY115" s="57">
        <v>0</v>
      </c>
      <c r="AZ115" s="57">
        <v>0</v>
      </c>
      <c r="BA115" s="57">
        <v>0</v>
      </c>
      <c r="BB115" s="57">
        <v>0</v>
      </c>
      <c r="BC115" s="57">
        <v>0</v>
      </c>
      <c r="BD115" s="57">
        <v>0</v>
      </c>
      <c r="BE115" s="57">
        <v>0</v>
      </c>
      <c r="BF115" s="57">
        <v>0</v>
      </c>
      <c r="BG115" s="57">
        <v>0</v>
      </c>
      <c r="BH115" s="57">
        <v>20</v>
      </c>
      <c r="BI115" s="57">
        <v>0</v>
      </c>
      <c r="BJ115" s="57">
        <v>0</v>
      </c>
      <c r="BK115" s="57">
        <v>0</v>
      </c>
      <c r="BL115" s="57">
        <v>0</v>
      </c>
      <c r="BM115" s="3">
        <f t="shared" si="9"/>
        <v>20</v>
      </c>
      <c r="BN115" s="57">
        <v>20</v>
      </c>
      <c r="BO115" s="24">
        <f>Tabla2[[#This Row],[CONSUMO TOTAL VALORES]]/52</f>
        <v>0.38461538461538464</v>
      </c>
      <c r="BP115" s="74">
        <f>Tabla2[[#This Row],[CONSUMO PROMEDIO]]*Tabla2[[#This Row],[FRECUENCIA]]*Tabla2[[#This Row],[TIEMPO REPOSICION ]]*1.5*2.4</f>
        <v>0.8307692307692307</v>
      </c>
      <c r="BQ115" s="57">
        <v>0</v>
      </c>
      <c r="BR115" s="45"/>
    </row>
    <row r="116" spans="1:70">
      <c r="A116" s="3" t="s">
        <v>480</v>
      </c>
      <c r="B116" s="3" t="s">
        <v>832</v>
      </c>
      <c r="C116" s="3" t="s">
        <v>2</v>
      </c>
      <c r="D116" s="3" t="s">
        <v>708</v>
      </c>
      <c r="E116" s="3" t="s">
        <v>715</v>
      </c>
      <c r="F116" s="20"/>
      <c r="G116" s="20"/>
      <c r="H116" s="21"/>
      <c r="I116" s="21"/>
      <c r="J116" s="21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>
        <v>10</v>
      </c>
      <c r="BN116" s="10">
        <v>10</v>
      </c>
      <c r="BO116" s="21">
        <f>Tabla2[[#This Row],[CONSUMO TOTAL VALORES]]/52</f>
        <v>0.19230769230769232</v>
      </c>
      <c r="BP116" s="115">
        <f>Tabla2[[#This Row],[CONSUMO PROMEDIO]]*Tabla2[[#This Row],[FRECUENCIA]]*Tabla2[[#This Row],[TIEMPO REPOSICION ]]*1.5*2.4</f>
        <v>0</v>
      </c>
      <c r="BQ116" s="10">
        <v>1</v>
      </c>
      <c r="BR116" s="20"/>
    </row>
    <row r="117" spans="1:70">
      <c r="A117" s="3" t="s">
        <v>481</v>
      </c>
      <c r="B117" s="3" t="s">
        <v>482</v>
      </c>
      <c r="C117" s="3" t="s">
        <v>2</v>
      </c>
      <c r="D117" s="3" t="s">
        <v>708</v>
      </c>
      <c r="E117" s="3" t="s">
        <v>715</v>
      </c>
      <c r="F117" s="7"/>
      <c r="G117" s="7"/>
      <c r="H117" s="13"/>
      <c r="I117" s="13"/>
      <c r="J117" s="13"/>
      <c r="BM117">
        <f>SUM(M117:BL117)</f>
        <v>0</v>
      </c>
      <c r="BN117" s="3">
        <v>0</v>
      </c>
      <c r="BO117" s="13">
        <f>Tabla2[[#This Row],[CONSUMO TOTAL VALORES]]/52</f>
        <v>0</v>
      </c>
      <c r="BP117" s="36">
        <f>Tabla2[[#This Row],[CONSUMO PROMEDIO]]*Tabla2[[#This Row],[FRECUENCIA]]*Tabla2[[#This Row],[TIEMPO REPOSICION ]]*1.5*2.4</f>
        <v>0</v>
      </c>
      <c r="BQ117">
        <v>0</v>
      </c>
    </row>
    <row r="118" spans="1:70">
      <c r="A118" s="3" t="s">
        <v>483</v>
      </c>
      <c r="B118" s="3" t="s">
        <v>484</v>
      </c>
      <c r="C118" s="3" t="s">
        <v>2</v>
      </c>
      <c r="D118" s="3" t="s">
        <v>708</v>
      </c>
      <c r="E118" s="3" t="s">
        <v>715</v>
      </c>
      <c r="F118" s="7"/>
      <c r="G118" s="7"/>
      <c r="H118" s="13"/>
      <c r="I118" s="13"/>
      <c r="J118" s="13"/>
      <c r="BM118">
        <f>SUM(M118:BL118)</f>
        <v>0</v>
      </c>
      <c r="BN118" s="3">
        <v>0</v>
      </c>
      <c r="BO118" s="13">
        <f>Tabla2[[#This Row],[CONSUMO TOTAL VALORES]]/52</f>
        <v>0</v>
      </c>
      <c r="BP118" s="36">
        <f>Tabla2[[#This Row],[CONSUMO PROMEDIO]]*Tabla2[[#This Row],[FRECUENCIA]]*Tabla2[[#This Row],[TIEMPO REPOSICION ]]*1.5*2.4</f>
        <v>0</v>
      </c>
      <c r="BQ118">
        <v>12</v>
      </c>
    </row>
    <row r="119" spans="1:70">
      <c r="A119" s="3" t="s">
        <v>485</v>
      </c>
      <c r="B119" s="3" t="s">
        <v>486</v>
      </c>
      <c r="C119" s="3" t="s">
        <v>2</v>
      </c>
      <c r="D119" s="3" t="s">
        <v>708</v>
      </c>
      <c r="E119" s="3" t="s">
        <v>715</v>
      </c>
      <c r="F119" s="7"/>
      <c r="G119" s="7"/>
      <c r="H119" s="13"/>
      <c r="I119" s="13"/>
      <c r="J119" s="13"/>
      <c r="BM119">
        <v>6</v>
      </c>
      <c r="BN119" s="3">
        <v>6</v>
      </c>
      <c r="BO119" s="13">
        <f>Tabla2[[#This Row],[CONSUMO TOTAL VALORES]]/52</f>
        <v>0.11538461538461539</v>
      </c>
      <c r="BP119" s="36">
        <f>Tabla2[[#This Row],[CONSUMO PROMEDIO]]*Tabla2[[#This Row],[FRECUENCIA]]*Tabla2[[#This Row],[TIEMPO REPOSICION ]]*1.5*2.4</f>
        <v>0</v>
      </c>
      <c r="BQ119">
        <v>20</v>
      </c>
    </row>
  </sheetData>
  <pageMargins left="0.7" right="0.7" top="0.75" bottom="0.75" header="0.3" footer="0.3"/>
  <pageSetup paperSize="9" orientation="portrait" horizontalDpi="120" verticalDpi="72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1"/>
  <dimension ref="A1:H80"/>
  <sheetViews>
    <sheetView workbookViewId="0">
      <selection activeCell="E71" sqref="E71"/>
    </sheetView>
  </sheetViews>
  <sheetFormatPr baseColWidth="10" defaultColWidth="11.42578125" defaultRowHeight="15"/>
  <cols>
    <col min="2" max="2" width="26" bestFit="1" customWidth="1"/>
    <col min="4" max="4" width="35.7109375" style="3" customWidth="1"/>
    <col min="5" max="5" width="14.28515625" customWidth="1"/>
    <col min="6" max="6" width="21.85546875" customWidth="1"/>
    <col min="7" max="7" width="31.28515625" customWidth="1"/>
    <col min="8" max="8" width="37.140625" customWidth="1"/>
  </cols>
  <sheetData>
    <row r="1" spans="1:8">
      <c r="A1" s="93" t="s">
        <v>0</v>
      </c>
      <c r="B1" s="94" t="s">
        <v>1</v>
      </c>
      <c r="C1" s="94" t="s">
        <v>2</v>
      </c>
      <c r="D1" s="94" t="s">
        <v>820</v>
      </c>
      <c r="E1" s="94" t="s">
        <v>8</v>
      </c>
      <c r="F1" s="94" t="s">
        <v>9</v>
      </c>
      <c r="G1" s="95" t="s">
        <v>824</v>
      </c>
      <c r="H1" s="96" t="s">
        <v>825</v>
      </c>
    </row>
    <row r="2" spans="1:8">
      <c r="A2" s="3" t="s">
        <v>132</v>
      </c>
      <c r="B2" s="3" t="s">
        <v>133</v>
      </c>
      <c r="C2" s="3" t="s">
        <v>681</v>
      </c>
      <c r="D2" s="3" t="s">
        <v>823</v>
      </c>
      <c r="E2" s="97">
        <v>4</v>
      </c>
      <c r="F2" s="97">
        <v>2</v>
      </c>
      <c r="G2" s="7">
        <v>40</v>
      </c>
      <c r="H2" s="3">
        <v>40</v>
      </c>
    </row>
    <row r="3" spans="1:8">
      <c r="A3" s="3" t="s">
        <v>134</v>
      </c>
      <c r="B3" s="3" t="s">
        <v>135</v>
      </c>
      <c r="C3" s="3" t="s">
        <v>676</v>
      </c>
      <c r="D3" s="10" t="s">
        <v>823</v>
      </c>
      <c r="E3" s="98">
        <v>1</v>
      </c>
      <c r="F3" s="97">
        <v>2</v>
      </c>
      <c r="G3" s="7">
        <v>100</v>
      </c>
      <c r="H3" s="3">
        <v>100</v>
      </c>
    </row>
    <row r="4" spans="1:8" s="103" customFormat="1">
      <c r="A4" s="103" t="s">
        <v>821</v>
      </c>
      <c r="B4" s="103" t="s">
        <v>822</v>
      </c>
      <c r="C4" s="103" t="s">
        <v>676</v>
      </c>
      <c r="D4" s="104" t="s">
        <v>823</v>
      </c>
      <c r="E4" s="105">
        <v>1</v>
      </c>
      <c r="F4" s="106">
        <v>2</v>
      </c>
      <c r="G4" s="103">
        <v>23</v>
      </c>
      <c r="H4" s="103">
        <v>23</v>
      </c>
    </row>
    <row r="5" spans="1:8">
      <c r="A5" s="3" t="s">
        <v>528</v>
      </c>
      <c r="B5" s="3" t="s">
        <v>529</v>
      </c>
      <c r="C5" s="3" t="s">
        <v>2</v>
      </c>
      <c r="D5" s="10" t="s">
        <v>823</v>
      </c>
      <c r="E5" s="98">
        <v>1</v>
      </c>
      <c r="F5" s="97">
        <v>2</v>
      </c>
      <c r="G5" s="7">
        <v>108</v>
      </c>
      <c r="H5" s="3">
        <v>108</v>
      </c>
    </row>
    <row r="6" spans="1:8" s="103" customFormat="1">
      <c r="A6" s="103" t="s">
        <v>592</v>
      </c>
      <c r="B6" s="103" t="s">
        <v>593</v>
      </c>
      <c r="C6" s="103" t="s">
        <v>2</v>
      </c>
      <c r="D6" s="104" t="s">
        <v>823</v>
      </c>
      <c r="E6" s="105">
        <v>1</v>
      </c>
      <c r="F6" s="106">
        <v>2</v>
      </c>
      <c r="G6" s="103">
        <v>60</v>
      </c>
      <c r="H6" s="103">
        <v>60</v>
      </c>
    </row>
    <row r="7" spans="1:8">
      <c r="A7" s="3" t="s">
        <v>598</v>
      </c>
      <c r="B7" s="3" t="s">
        <v>599</v>
      </c>
      <c r="C7" s="3" t="s">
        <v>702</v>
      </c>
      <c r="D7" s="10" t="s">
        <v>823</v>
      </c>
      <c r="E7" s="98">
        <v>1</v>
      </c>
      <c r="F7" s="97">
        <v>2</v>
      </c>
      <c r="G7" s="7">
        <v>293</v>
      </c>
      <c r="H7" s="3">
        <v>293</v>
      </c>
    </row>
    <row r="8" spans="1:8">
      <c r="A8" s="3" t="s">
        <v>603</v>
      </c>
      <c r="B8" s="3" t="s">
        <v>604</v>
      </c>
      <c r="C8" s="3" t="s">
        <v>676</v>
      </c>
      <c r="D8" s="10" t="s">
        <v>823</v>
      </c>
      <c r="E8" s="98">
        <v>1</v>
      </c>
      <c r="F8" s="97">
        <v>2</v>
      </c>
      <c r="G8" s="7">
        <v>100</v>
      </c>
      <c r="H8" s="3">
        <v>100</v>
      </c>
    </row>
    <row r="9" spans="1:8">
      <c r="A9" s="3" t="s">
        <v>623</v>
      </c>
      <c r="B9" s="3" t="s">
        <v>624</v>
      </c>
      <c r="C9" s="3" t="s">
        <v>686</v>
      </c>
      <c r="D9" s="10" t="s">
        <v>823</v>
      </c>
      <c r="E9" s="98">
        <v>1</v>
      </c>
      <c r="F9" s="97">
        <v>2</v>
      </c>
      <c r="G9" s="7">
        <v>300</v>
      </c>
      <c r="H9" s="3">
        <v>300</v>
      </c>
    </row>
    <row r="10" spans="1:8">
      <c r="A10" s="3" t="s">
        <v>625</v>
      </c>
      <c r="B10" s="3" t="s">
        <v>626</v>
      </c>
      <c r="C10" s="3" t="s">
        <v>2</v>
      </c>
      <c r="D10" s="10" t="s">
        <v>823</v>
      </c>
      <c r="E10" s="98">
        <v>1</v>
      </c>
      <c r="F10" s="97">
        <v>2</v>
      </c>
      <c r="G10" s="7">
        <v>80</v>
      </c>
      <c r="H10" s="3">
        <v>80</v>
      </c>
    </row>
    <row r="11" spans="1:8">
      <c r="A11" s="3" t="s">
        <v>637</v>
      </c>
      <c r="B11" s="3" t="s">
        <v>638</v>
      </c>
      <c r="C11" s="3" t="s">
        <v>2</v>
      </c>
      <c r="D11" s="10" t="s">
        <v>823</v>
      </c>
      <c r="E11" s="98">
        <v>1</v>
      </c>
      <c r="F11" s="97">
        <v>2</v>
      </c>
      <c r="G11" s="7">
        <v>297</v>
      </c>
      <c r="H11" s="3">
        <v>297</v>
      </c>
    </row>
    <row r="12" spans="1:8">
      <c r="A12" s="3" t="s">
        <v>641</v>
      </c>
      <c r="B12" s="3" t="s">
        <v>642</v>
      </c>
      <c r="C12" s="3" t="s">
        <v>2</v>
      </c>
      <c r="D12" s="10" t="s">
        <v>823</v>
      </c>
      <c r="E12" s="98">
        <v>1</v>
      </c>
      <c r="F12" s="97">
        <v>2</v>
      </c>
      <c r="G12" s="7">
        <v>86</v>
      </c>
      <c r="H12" s="3">
        <v>86</v>
      </c>
    </row>
    <row r="13" spans="1:8">
      <c r="A13" s="3" t="s">
        <v>667</v>
      </c>
      <c r="B13" s="3" t="s">
        <v>668</v>
      </c>
      <c r="C13" s="3" t="s">
        <v>676</v>
      </c>
      <c r="D13" s="10" t="s">
        <v>823</v>
      </c>
      <c r="E13" s="98">
        <v>1</v>
      </c>
      <c r="F13" s="97">
        <v>2</v>
      </c>
      <c r="G13" s="7">
        <v>40</v>
      </c>
      <c r="H13" s="3">
        <v>40</v>
      </c>
    </row>
    <row r="14" spans="1:8">
      <c r="A14" s="3" t="s">
        <v>85</v>
      </c>
      <c r="B14" s="3" t="s">
        <v>86</v>
      </c>
      <c r="C14" s="3" t="s">
        <v>682</v>
      </c>
      <c r="D14" s="3" t="s">
        <v>853</v>
      </c>
      <c r="E14" s="98">
        <v>1</v>
      </c>
      <c r="F14" s="97">
        <v>2</v>
      </c>
      <c r="G14" s="3">
        <v>15</v>
      </c>
      <c r="H14" s="3">
        <v>15</v>
      </c>
    </row>
    <row r="15" spans="1:8">
      <c r="A15" s="3" t="s">
        <v>87</v>
      </c>
      <c r="B15" s="3" t="s">
        <v>88</v>
      </c>
      <c r="C15" s="3" t="s">
        <v>682</v>
      </c>
      <c r="D15" s="3" t="s">
        <v>853</v>
      </c>
      <c r="E15" s="98">
        <v>1</v>
      </c>
      <c r="F15" s="97">
        <v>2</v>
      </c>
      <c r="G15" s="3">
        <v>100</v>
      </c>
      <c r="H15" s="3">
        <v>100</v>
      </c>
    </row>
    <row r="16" spans="1:8">
      <c r="A16" s="3" t="s">
        <v>93</v>
      </c>
      <c r="B16" s="3" t="s">
        <v>94</v>
      </c>
      <c r="C16" s="3" t="s">
        <v>672</v>
      </c>
      <c r="D16" s="3" t="s">
        <v>853</v>
      </c>
      <c r="E16" s="98">
        <v>1</v>
      </c>
      <c r="F16" s="97">
        <v>2</v>
      </c>
      <c r="G16" s="3">
        <v>50</v>
      </c>
      <c r="H16" s="3">
        <v>50</v>
      </c>
    </row>
    <row r="17" spans="1:8">
      <c r="A17" s="3" t="s">
        <v>97</v>
      </c>
      <c r="B17" s="3" t="s">
        <v>98</v>
      </c>
      <c r="C17" s="3" t="s">
        <v>672</v>
      </c>
      <c r="D17" s="3" t="s">
        <v>853</v>
      </c>
      <c r="E17" s="98">
        <v>1</v>
      </c>
      <c r="F17" s="97">
        <v>2</v>
      </c>
      <c r="G17" s="3">
        <v>48</v>
      </c>
      <c r="H17" s="3">
        <v>48</v>
      </c>
    </row>
    <row r="18" spans="1:8">
      <c r="A18" s="3" t="s">
        <v>107</v>
      </c>
      <c r="B18" s="3" t="s">
        <v>108</v>
      </c>
      <c r="C18" s="3" t="s">
        <v>2</v>
      </c>
      <c r="D18" s="3" t="s">
        <v>853</v>
      </c>
      <c r="E18" s="98">
        <v>1</v>
      </c>
      <c r="F18" s="97">
        <v>2</v>
      </c>
      <c r="G18" s="3">
        <v>20</v>
      </c>
      <c r="H18" s="3">
        <v>20</v>
      </c>
    </row>
    <row r="19" spans="1:8">
      <c r="A19" s="3" t="s">
        <v>109</v>
      </c>
      <c r="B19" s="3" t="s">
        <v>110</v>
      </c>
      <c r="C19" s="3" t="s">
        <v>686</v>
      </c>
      <c r="D19" s="3" t="s">
        <v>853</v>
      </c>
      <c r="E19" s="98">
        <v>1</v>
      </c>
      <c r="F19" s="97">
        <v>2</v>
      </c>
      <c r="G19" s="3">
        <v>60</v>
      </c>
      <c r="H19" s="3">
        <v>60</v>
      </c>
    </row>
    <row r="20" spans="1:8">
      <c r="A20" s="3" t="s">
        <v>111</v>
      </c>
      <c r="B20" s="3" t="s">
        <v>112</v>
      </c>
      <c r="C20" s="3" t="s">
        <v>682</v>
      </c>
      <c r="D20" s="3" t="s">
        <v>853</v>
      </c>
      <c r="E20" s="98">
        <v>1</v>
      </c>
      <c r="F20" s="97">
        <v>2</v>
      </c>
      <c r="G20" s="3">
        <v>18</v>
      </c>
      <c r="H20" s="3">
        <v>18</v>
      </c>
    </row>
    <row r="21" spans="1:8">
      <c r="A21" s="3" t="s">
        <v>113</v>
      </c>
      <c r="B21" s="3" t="s">
        <v>114</v>
      </c>
      <c r="C21" s="3" t="s">
        <v>2</v>
      </c>
      <c r="D21" s="3" t="s">
        <v>853</v>
      </c>
      <c r="E21" s="98">
        <v>1</v>
      </c>
      <c r="F21" s="97">
        <v>2</v>
      </c>
      <c r="G21" s="3">
        <v>36</v>
      </c>
      <c r="H21" s="3">
        <v>36</v>
      </c>
    </row>
    <row r="22" spans="1:8">
      <c r="A22" s="3" t="s">
        <v>119</v>
      </c>
      <c r="B22" s="3" t="s">
        <v>120</v>
      </c>
      <c r="C22" s="3" t="s">
        <v>672</v>
      </c>
      <c r="D22" s="3" t="s">
        <v>853</v>
      </c>
      <c r="E22" s="98">
        <v>1</v>
      </c>
      <c r="F22" s="97">
        <v>2</v>
      </c>
      <c r="G22" s="3">
        <v>28</v>
      </c>
      <c r="H22" s="3">
        <v>28</v>
      </c>
    </row>
    <row r="23" spans="1:8">
      <c r="A23" s="3" t="s">
        <v>125</v>
      </c>
      <c r="B23" s="3" t="s">
        <v>126</v>
      </c>
      <c r="C23" s="3" t="s">
        <v>676</v>
      </c>
      <c r="D23" s="3" t="s">
        <v>853</v>
      </c>
      <c r="E23" s="98">
        <v>1</v>
      </c>
      <c r="F23" s="97">
        <v>2</v>
      </c>
      <c r="G23" s="3">
        <v>30</v>
      </c>
      <c r="H23" s="3">
        <v>30</v>
      </c>
    </row>
    <row r="24" spans="1:8" s="99" customFormat="1">
      <c r="A24" s="99" t="s">
        <v>128</v>
      </c>
      <c r="B24" s="99" t="s">
        <v>129</v>
      </c>
      <c r="C24" s="99" t="s">
        <v>676</v>
      </c>
      <c r="D24" s="3" t="s">
        <v>853</v>
      </c>
      <c r="E24" s="101">
        <v>1</v>
      </c>
      <c r="F24" s="102">
        <v>2</v>
      </c>
      <c r="G24" s="99">
        <v>25</v>
      </c>
      <c r="H24" s="99">
        <v>25</v>
      </c>
    </row>
    <row r="25" spans="1:8">
      <c r="A25" s="3" t="s">
        <v>130</v>
      </c>
      <c r="B25" s="3" t="s">
        <v>131</v>
      </c>
      <c r="C25" s="3" t="s">
        <v>673</v>
      </c>
      <c r="D25" s="3" t="s">
        <v>853</v>
      </c>
      <c r="E25" s="98">
        <v>1</v>
      </c>
      <c r="F25" s="97">
        <v>2</v>
      </c>
      <c r="G25" s="3">
        <v>66</v>
      </c>
      <c r="H25" s="3">
        <v>66</v>
      </c>
    </row>
    <row r="26" spans="1:8">
      <c r="A26" s="3" t="s">
        <v>134</v>
      </c>
      <c r="B26" s="3" t="s">
        <v>135</v>
      </c>
      <c r="C26" s="3" t="s">
        <v>676</v>
      </c>
      <c r="D26" s="3" t="s">
        <v>853</v>
      </c>
      <c r="E26" s="98">
        <v>1</v>
      </c>
      <c r="F26" s="97">
        <v>2</v>
      </c>
      <c r="G26" s="3">
        <v>89</v>
      </c>
      <c r="H26" s="3">
        <v>89</v>
      </c>
    </row>
    <row r="27" spans="1:8">
      <c r="A27" s="3" t="s">
        <v>166</v>
      </c>
      <c r="B27" s="3" t="s">
        <v>167</v>
      </c>
      <c r="C27" s="3" t="s">
        <v>676</v>
      </c>
      <c r="D27" s="3" t="s">
        <v>853</v>
      </c>
      <c r="E27" s="98">
        <v>1</v>
      </c>
      <c r="F27" s="97">
        <v>2</v>
      </c>
      <c r="G27" s="3">
        <v>3</v>
      </c>
      <c r="H27" s="3">
        <v>3</v>
      </c>
    </row>
    <row r="28" spans="1:8">
      <c r="A28" s="3" t="s">
        <v>211</v>
      </c>
      <c r="B28" s="3" t="s">
        <v>212</v>
      </c>
      <c r="C28" s="3" t="s">
        <v>694</v>
      </c>
      <c r="D28" s="3" t="s">
        <v>853</v>
      </c>
      <c r="E28" s="98">
        <v>1</v>
      </c>
      <c r="F28" s="97">
        <v>2</v>
      </c>
      <c r="G28" s="3">
        <v>71</v>
      </c>
      <c r="H28" s="3">
        <v>71</v>
      </c>
    </row>
    <row r="29" spans="1:8">
      <c r="A29" s="3" t="s">
        <v>503</v>
      </c>
      <c r="B29" s="3" t="s">
        <v>504</v>
      </c>
      <c r="C29" s="3" t="s">
        <v>676</v>
      </c>
      <c r="D29" s="3" t="s">
        <v>853</v>
      </c>
      <c r="E29" s="98">
        <v>1</v>
      </c>
      <c r="F29" s="97">
        <v>2</v>
      </c>
      <c r="G29" s="3">
        <v>12</v>
      </c>
      <c r="H29" s="3">
        <v>12</v>
      </c>
    </row>
    <row r="30" spans="1:8">
      <c r="A30" s="99" t="s">
        <v>508</v>
      </c>
      <c r="B30" s="99" t="s">
        <v>509</v>
      </c>
      <c r="C30" s="99" t="s">
        <v>676</v>
      </c>
      <c r="D30" s="3" t="s">
        <v>853</v>
      </c>
      <c r="E30" s="101">
        <v>1</v>
      </c>
      <c r="F30" s="102">
        <v>2</v>
      </c>
      <c r="G30" s="99">
        <v>18</v>
      </c>
      <c r="H30" s="99">
        <v>18</v>
      </c>
    </row>
    <row r="31" spans="1:8">
      <c r="A31" s="99" t="s">
        <v>574</v>
      </c>
      <c r="B31" s="99" t="s">
        <v>575</v>
      </c>
      <c r="C31" s="99" t="s">
        <v>681</v>
      </c>
      <c r="D31" s="3" t="s">
        <v>853</v>
      </c>
      <c r="E31" s="101">
        <v>1</v>
      </c>
      <c r="F31" s="102">
        <v>2</v>
      </c>
      <c r="G31" s="99">
        <v>10</v>
      </c>
      <c r="H31" s="99">
        <v>10</v>
      </c>
    </row>
    <row r="32" spans="1:8">
      <c r="A32" s="3" t="s">
        <v>588</v>
      </c>
      <c r="B32" s="3" t="s">
        <v>589</v>
      </c>
      <c r="C32" s="3" t="s">
        <v>676</v>
      </c>
      <c r="D32" s="3" t="s">
        <v>853</v>
      </c>
      <c r="E32" s="98">
        <v>1</v>
      </c>
      <c r="F32" s="97">
        <v>2</v>
      </c>
      <c r="G32" s="3">
        <v>36</v>
      </c>
      <c r="H32" s="3">
        <v>36</v>
      </c>
    </row>
    <row r="33" spans="1:8" s="99" customFormat="1">
      <c r="A33" s="99" t="s">
        <v>592</v>
      </c>
      <c r="B33" s="99" t="s">
        <v>593</v>
      </c>
      <c r="C33" s="99" t="s">
        <v>2</v>
      </c>
      <c r="D33" s="3" t="s">
        <v>853</v>
      </c>
      <c r="E33" s="101">
        <v>1</v>
      </c>
      <c r="F33" s="102">
        <v>2</v>
      </c>
      <c r="G33" s="99">
        <v>20</v>
      </c>
      <c r="H33" s="99">
        <v>20</v>
      </c>
    </row>
    <row r="34" spans="1:8">
      <c r="A34" s="3" t="s">
        <v>594</v>
      </c>
      <c r="B34" s="3" t="s">
        <v>595</v>
      </c>
      <c r="C34" s="3" t="s">
        <v>676</v>
      </c>
      <c r="D34" s="3" t="s">
        <v>853</v>
      </c>
      <c r="E34" s="98">
        <v>1</v>
      </c>
      <c r="F34" s="97">
        <v>2</v>
      </c>
      <c r="G34" s="3">
        <v>101</v>
      </c>
      <c r="H34" s="3">
        <v>101</v>
      </c>
    </row>
    <row r="35" spans="1:8">
      <c r="A35" s="3" t="s">
        <v>605</v>
      </c>
      <c r="B35" s="3" t="s">
        <v>606</v>
      </c>
      <c r="C35" s="3" t="s">
        <v>696</v>
      </c>
      <c r="D35" s="3" t="s">
        <v>853</v>
      </c>
      <c r="E35" s="98">
        <v>1</v>
      </c>
      <c r="F35" s="97">
        <v>2</v>
      </c>
      <c r="G35" s="3">
        <v>100</v>
      </c>
      <c r="H35" s="3">
        <v>100</v>
      </c>
    </row>
    <row r="36" spans="1:8">
      <c r="A36" s="3" t="s">
        <v>615</v>
      </c>
      <c r="B36" s="3" t="s">
        <v>616</v>
      </c>
      <c r="C36" s="3" t="s">
        <v>672</v>
      </c>
      <c r="D36" s="3" t="s">
        <v>853</v>
      </c>
      <c r="E36" s="98">
        <v>1</v>
      </c>
      <c r="F36" s="97">
        <v>2</v>
      </c>
      <c r="G36" s="3">
        <v>30</v>
      </c>
      <c r="H36" s="3">
        <v>30</v>
      </c>
    </row>
    <row r="37" spans="1:8">
      <c r="A37" s="3" t="s">
        <v>623</v>
      </c>
      <c r="B37" s="3" t="s">
        <v>624</v>
      </c>
      <c r="C37" s="3" t="s">
        <v>686</v>
      </c>
      <c r="D37" s="3" t="s">
        <v>853</v>
      </c>
      <c r="E37" s="98">
        <v>1</v>
      </c>
      <c r="F37" s="97">
        <v>2</v>
      </c>
      <c r="G37" s="3">
        <v>48</v>
      </c>
      <c r="H37" s="3">
        <v>48</v>
      </c>
    </row>
    <row r="38" spans="1:8">
      <c r="A38" s="3" t="s">
        <v>633</v>
      </c>
      <c r="B38" s="3" t="s">
        <v>634</v>
      </c>
      <c r="C38" s="3" t="s">
        <v>702</v>
      </c>
      <c r="D38" s="3" t="s">
        <v>853</v>
      </c>
      <c r="E38" s="98">
        <v>1</v>
      </c>
      <c r="F38" s="97">
        <v>2</v>
      </c>
      <c r="G38" s="3">
        <v>60</v>
      </c>
      <c r="H38" s="3">
        <v>60</v>
      </c>
    </row>
    <row r="39" spans="1:8">
      <c r="A39" s="3" t="s">
        <v>637</v>
      </c>
      <c r="B39" s="3" t="s">
        <v>638</v>
      </c>
      <c r="C39" s="3" t="s">
        <v>2</v>
      </c>
      <c r="D39" s="3" t="s">
        <v>853</v>
      </c>
      <c r="E39" s="98">
        <v>1</v>
      </c>
      <c r="F39" s="97">
        <v>2</v>
      </c>
      <c r="G39" s="3">
        <v>64</v>
      </c>
      <c r="H39" s="3">
        <v>64</v>
      </c>
    </row>
    <row r="40" spans="1:8">
      <c r="A40" s="3" t="s">
        <v>641</v>
      </c>
      <c r="B40" s="3" t="s">
        <v>642</v>
      </c>
      <c r="C40" s="3" t="s">
        <v>2</v>
      </c>
      <c r="D40" s="3" t="s">
        <v>853</v>
      </c>
      <c r="E40" s="98">
        <v>1</v>
      </c>
      <c r="F40" s="97">
        <v>2</v>
      </c>
      <c r="G40" s="3">
        <v>49</v>
      </c>
      <c r="H40" s="3">
        <v>49</v>
      </c>
    </row>
    <row r="41" spans="1:8">
      <c r="A41" s="3" t="s">
        <v>647</v>
      </c>
      <c r="B41" s="3" t="s">
        <v>648</v>
      </c>
      <c r="C41" s="3" t="s">
        <v>677</v>
      </c>
      <c r="D41" s="3" t="s">
        <v>853</v>
      </c>
      <c r="E41" s="98">
        <v>1</v>
      </c>
      <c r="F41" s="97">
        <v>2</v>
      </c>
      <c r="G41" s="3">
        <v>58</v>
      </c>
      <c r="H41" s="3">
        <v>58</v>
      </c>
    </row>
    <row r="42" spans="1:8" s="99" customFormat="1">
      <c r="A42" s="99" t="s">
        <v>651</v>
      </c>
      <c r="B42" s="99" t="s">
        <v>652</v>
      </c>
      <c r="C42" s="99" t="s">
        <v>671</v>
      </c>
      <c r="D42" s="3" t="s">
        <v>853</v>
      </c>
      <c r="E42" s="101">
        <v>1</v>
      </c>
      <c r="F42" s="102">
        <v>2</v>
      </c>
      <c r="G42" s="99">
        <v>6</v>
      </c>
      <c r="H42" s="99">
        <v>6</v>
      </c>
    </row>
    <row r="43" spans="1:8">
      <c r="A43" s="3" t="s">
        <v>665</v>
      </c>
      <c r="B43" s="3" t="s">
        <v>666</v>
      </c>
      <c r="C43" s="3" t="s">
        <v>677</v>
      </c>
      <c r="D43" s="3" t="s">
        <v>853</v>
      </c>
      <c r="E43" s="98">
        <v>1</v>
      </c>
      <c r="F43" s="97">
        <v>2</v>
      </c>
      <c r="G43" s="3">
        <v>30</v>
      </c>
      <c r="H43" s="3">
        <v>30</v>
      </c>
    </row>
    <row r="44" spans="1:8">
      <c r="A44" s="3" t="s">
        <v>667</v>
      </c>
      <c r="B44" s="3" t="s">
        <v>668</v>
      </c>
      <c r="C44" s="3" t="s">
        <v>676</v>
      </c>
      <c r="D44" s="3" t="s">
        <v>853</v>
      </c>
      <c r="E44" s="98">
        <v>1</v>
      </c>
      <c r="F44" s="97">
        <v>2</v>
      </c>
      <c r="G44" s="3">
        <v>5</v>
      </c>
      <c r="H44" s="3">
        <v>5</v>
      </c>
    </row>
    <row r="45" spans="1:8">
      <c r="A45" s="3" t="s">
        <v>669</v>
      </c>
      <c r="B45" s="3" t="s">
        <v>670</v>
      </c>
      <c r="C45" s="3" t="s">
        <v>703</v>
      </c>
      <c r="D45" s="3" t="s">
        <v>853</v>
      </c>
      <c r="E45" s="98">
        <v>1</v>
      </c>
      <c r="F45" s="97">
        <v>2</v>
      </c>
      <c r="G45" s="3">
        <v>45</v>
      </c>
      <c r="H45" s="3">
        <v>45</v>
      </c>
    </row>
    <row r="46" spans="1:8">
      <c r="A46" s="98" t="s">
        <v>637</v>
      </c>
      <c r="B46" s="98" t="s">
        <v>638</v>
      </c>
      <c r="C46" s="98" t="s">
        <v>2</v>
      </c>
      <c r="D46" s="3" t="s">
        <v>835</v>
      </c>
      <c r="E46" s="98">
        <v>1</v>
      </c>
      <c r="F46" s="97">
        <v>2</v>
      </c>
      <c r="G46">
        <v>84</v>
      </c>
    </row>
    <row r="47" spans="1:8">
      <c r="A47" s="98" t="s">
        <v>639</v>
      </c>
      <c r="B47" s="98" t="s">
        <v>640</v>
      </c>
      <c r="C47" s="98" t="s">
        <v>2</v>
      </c>
      <c r="D47" s="3" t="s">
        <v>835</v>
      </c>
      <c r="E47" s="98">
        <v>1</v>
      </c>
      <c r="F47" s="97">
        <v>2</v>
      </c>
      <c r="G47">
        <v>48</v>
      </c>
    </row>
    <row r="48" spans="1:8">
      <c r="A48" s="98" t="s">
        <v>641</v>
      </c>
      <c r="B48" s="98" t="s">
        <v>642</v>
      </c>
      <c r="C48" s="98" t="s">
        <v>2</v>
      </c>
      <c r="D48" s="3" t="s">
        <v>835</v>
      </c>
      <c r="E48" s="98">
        <v>1</v>
      </c>
      <c r="F48" s="97">
        <v>2</v>
      </c>
      <c r="G48">
        <v>20</v>
      </c>
    </row>
    <row r="49" spans="1:8">
      <c r="A49" s="98" t="s">
        <v>162</v>
      </c>
      <c r="B49" s="98" t="s">
        <v>163</v>
      </c>
      <c r="C49" s="98" t="s">
        <v>682</v>
      </c>
      <c r="D49" s="3" t="s">
        <v>835</v>
      </c>
      <c r="E49" s="98">
        <v>1</v>
      </c>
      <c r="F49" s="97">
        <v>2</v>
      </c>
      <c r="G49">
        <v>84</v>
      </c>
    </row>
    <row r="50" spans="1:8">
      <c r="A50" s="98" t="s">
        <v>166</v>
      </c>
      <c r="B50" s="98" t="s">
        <v>167</v>
      </c>
      <c r="C50" s="98" t="s">
        <v>676</v>
      </c>
      <c r="D50" s="3" t="s">
        <v>835</v>
      </c>
      <c r="E50" s="98">
        <v>1</v>
      </c>
      <c r="F50" s="97">
        <v>2</v>
      </c>
      <c r="G50">
        <v>20</v>
      </c>
    </row>
    <row r="51" spans="1:8">
      <c r="A51" s="98" t="s">
        <v>647</v>
      </c>
      <c r="B51" s="98" t="s">
        <v>648</v>
      </c>
      <c r="C51" s="98" t="s">
        <v>677</v>
      </c>
      <c r="D51" s="3" t="s">
        <v>835</v>
      </c>
      <c r="E51" s="98">
        <v>1</v>
      </c>
      <c r="F51" s="97">
        <v>2</v>
      </c>
      <c r="G51">
        <v>50</v>
      </c>
    </row>
    <row r="52" spans="1:8">
      <c r="A52" s="44" t="s">
        <v>101</v>
      </c>
      <c r="B52" s="44" t="s">
        <v>102</v>
      </c>
      <c r="C52" s="44" t="s">
        <v>2</v>
      </c>
      <c r="D52" s="3" t="s">
        <v>826</v>
      </c>
      <c r="E52" s="98">
        <v>1</v>
      </c>
      <c r="F52" s="97">
        <v>2</v>
      </c>
      <c r="G52" s="3">
        <v>10</v>
      </c>
    </row>
    <row r="53" spans="1:8">
      <c r="A53" s="98" t="s">
        <v>103</v>
      </c>
      <c r="B53" s="98" t="s">
        <v>104</v>
      </c>
      <c r="C53" s="98" t="s">
        <v>682</v>
      </c>
      <c r="D53" s="3" t="s">
        <v>826</v>
      </c>
      <c r="E53" s="98">
        <v>1</v>
      </c>
      <c r="F53" s="97">
        <v>2</v>
      </c>
      <c r="G53" s="3">
        <v>8</v>
      </c>
      <c r="H53" s="10"/>
    </row>
    <row r="54" spans="1:8">
      <c r="A54" s="98" t="s">
        <v>107</v>
      </c>
      <c r="B54" s="98" t="s">
        <v>108</v>
      </c>
      <c r="C54" s="98" t="s">
        <v>2</v>
      </c>
      <c r="D54" s="3" t="s">
        <v>826</v>
      </c>
      <c r="E54" s="98">
        <v>1</v>
      </c>
      <c r="F54" s="97">
        <v>2</v>
      </c>
      <c r="G54" s="3">
        <v>10</v>
      </c>
      <c r="H54" s="10"/>
    </row>
    <row r="55" spans="1:8">
      <c r="A55" s="98" t="s">
        <v>109</v>
      </c>
      <c r="B55" s="98" t="s">
        <v>110</v>
      </c>
      <c r="C55" s="98" t="s">
        <v>686</v>
      </c>
      <c r="D55" s="3" t="s">
        <v>826</v>
      </c>
      <c r="E55" s="98">
        <v>1</v>
      </c>
      <c r="F55" s="97">
        <v>2</v>
      </c>
      <c r="G55" s="3">
        <v>20</v>
      </c>
      <c r="H55" s="10"/>
    </row>
    <row r="56" spans="1:8">
      <c r="A56" s="98" t="s">
        <v>115</v>
      </c>
      <c r="B56" s="98" t="s">
        <v>116</v>
      </c>
      <c r="C56" s="98" t="s">
        <v>682</v>
      </c>
      <c r="D56" s="3" t="s">
        <v>826</v>
      </c>
      <c r="E56" s="98">
        <v>1</v>
      </c>
      <c r="F56" s="97">
        <v>2</v>
      </c>
      <c r="G56" s="3">
        <v>10</v>
      </c>
      <c r="H56" s="10"/>
    </row>
    <row r="57" spans="1:8">
      <c r="A57" s="98" t="s">
        <v>119</v>
      </c>
      <c r="B57" s="98" t="s">
        <v>120</v>
      </c>
      <c r="C57" s="98" t="s">
        <v>672</v>
      </c>
      <c r="D57" s="3" t="s">
        <v>826</v>
      </c>
      <c r="E57" s="98">
        <v>1</v>
      </c>
      <c r="F57" s="97">
        <v>2</v>
      </c>
      <c r="G57" s="3">
        <v>40</v>
      </c>
      <c r="H57" s="10"/>
    </row>
    <row r="58" spans="1:8">
      <c r="A58" s="98" t="s">
        <v>130</v>
      </c>
      <c r="B58" s="98" t="s">
        <v>131</v>
      </c>
      <c r="C58" s="98" t="s">
        <v>673</v>
      </c>
      <c r="D58" s="3" t="s">
        <v>826</v>
      </c>
      <c r="E58" s="98">
        <v>1</v>
      </c>
      <c r="F58" s="97">
        <v>2</v>
      </c>
      <c r="G58" s="3">
        <v>10</v>
      </c>
      <c r="H58" s="10"/>
    </row>
    <row r="59" spans="1:8">
      <c r="A59" s="98" t="s">
        <v>134</v>
      </c>
      <c r="B59" s="98" t="s">
        <v>135</v>
      </c>
      <c r="C59" s="98" t="s">
        <v>676</v>
      </c>
      <c r="D59" s="3" t="s">
        <v>826</v>
      </c>
      <c r="E59" s="98">
        <v>1</v>
      </c>
      <c r="F59" s="97">
        <v>2</v>
      </c>
      <c r="G59" s="3">
        <v>5</v>
      </c>
      <c r="H59" s="10"/>
    </row>
    <row r="60" spans="1:8">
      <c r="A60" s="98" t="s">
        <v>162</v>
      </c>
      <c r="B60" s="98" t="s">
        <v>163</v>
      </c>
      <c r="C60" s="98" t="s">
        <v>682</v>
      </c>
      <c r="D60" s="3" t="s">
        <v>826</v>
      </c>
      <c r="E60" s="98">
        <v>1</v>
      </c>
      <c r="F60" s="97">
        <v>2</v>
      </c>
      <c r="G60" s="3">
        <v>10</v>
      </c>
      <c r="H60" s="10"/>
    </row>
    <row r="61" spans="1:8">
      <c r="A61" s="98" t="s">
        <v>474</v>
      </c>
      <c r="B61" s="98" t="s">
        <v>475</v>
      </c>
      <c r="C61" s="98" t="s">
        <v>700</v>
      </c>
      <c r="D61" s="3" t="s">
        <v>826</v>
      </c>
      <c r="E61" s="98">
        <v>1</v>
      </c>
      <c r="F61" s="97">
        <v>2</v>
      </c>
      <c r="G61" s="3">
        <v>10</v>
      </c>
      <c r="H61" s="10"/>
    </row>
    <row r="62" spans="1:8">
      <c r="A62" s="98" t="s">
        <v>542</v>
      </c>
      <c r="B62" s="98" t="s">
        <v>543</v>
      </c>
      <c r="C62" s="98" t="s">
        <v>2</v>
      </c>
      <c r="D62" s="3" t="s">
        <v>826</v>
      </c>
      <c r="E62" s="98">
        <v>1</v>
      </c>
      <c r="F62" s="97">
        <v>2</v>
      </c>
      <c r="G62" s="3">
        <v>9</v>
      </c>
      <c r="H62" s="10"/>
    </row>
    <row r="63" spans="1:8">
      <c r="A63" s="98" t="s">
        <v>548</v>
      </c>
      <c r="B63" s="98" t="s">
        <v>549</v>
      </c>
      <c r="C63" s="98" t="s">
        <v>2</v>
      </c>
      <c r="D63" s="3" t="s">
        <v>826</v>
      </c>
      <c r="E63" s="98">
        <v>1</v>
      </c>
      <c r="F63" s="97">
        <v>2</v>
      </c>
      <c r="G63" s="3">
        <v>8</v>
      </c>
      <c r="H63" s="10"/>
    </row>
    <row r="64" spans="1:8">
      <c r="A64" s="98" t="s">
        <v>561</v>
      </c>
      <c r="B64" s="98" t="s">
        <v>562</v>
      </c>
      <c r="C64" s="98" t="s">
        <v>2</v>
      </c>
      <c r="D64" s="3" t="s">
        <v>826</v>
      </c>
      <c r="E64" s="98">
        <v>1</v>
      </c>
      <c r="F64" s="97">
        <v>2</v>
      </c>
      <c r="G64" s="3">
        <v>10</v>
      </c>
      <c r="H64" s="10"/>
    </row>
    <row r="65" spans="1:8">
      <c r="A65" s="44" t="s">
        <v>588</v>
      </c>
      <c r="B65" s="44" t="s">
        <v>589</v>
      </c>
      <c r="C65" s="44" t="s">
        <v>676</v>
      </c>
      <c r="D65" s="3" t="s">
        <v>826</v>
      </c>
      <c r="E65" s="98">
        <v>1</v>
      </c>
      <c r="F65" s="97">
        <v>2</v>
      </c>
      <c r="G65" s="3">
        <v>20</v>
      </c>
    </row>
    <row r="66" spans="1:8" s="99" customFormat="1">
      <c r="A66" s="101" t="s">
        <v>590</v>
      </c>
      <c r="B66" s="101" t="s">
        <v>591</v>
      </c>
      <c r="C66" s="101" t="s">
        <v>2</v>
      </c>
      <c r="D66" s="99" t="s">
        <v>826</v>
      </c>
      <c r="E66" s="101">
        <v>1</v>
      </c>
      <c r="F66" s="102">
        <v>2</v>
      </c>
      <c r="G66" s="99">
        <v>10</v>
      </c>
      <c r="H66" s="100"/>
    </row>
    <row r="67" spans="1:8">
      <c r="A67" s="98" t="s">
        <v>596</v>
      </c>
      <c r="B67" s="98" t="s">
        <v>597</v>
      </c>
      <c r="C67" s="98" t="s">
        <v>702</v>
      </c>
      <c r="D67" s="3" t="s">
        <v>826</v>
      </c>
      <c r="E67" s="98">
        <v>1</v>
      </c>
      <c r="F67" s="97">
        <v>2</v>
      </c>
      <c r="G67" s="3">
        <v>10</v>
      </c>
      <c r="H67" s="10"/>
    </row>
    <row r="68" spans="1:8">
      <c r="A68" s="98" t="s">
        <v>598</v>
      </c>
      <c r="B68" s="98" t="s">
        <v>599</v>
      </c>
      <c r="C68" s="98" t="s">
        <v>702</v>
      </c>
      <c r="D68" s="3" t="s">
        <v>826</v>
      </c>
      <c r="E68" s="98">
        <v>1</v>
      </c>
      <c r="F68" s="97">
        <v>2</v>
      </c>
      <c r="G68" s="3">
        <v>8</v>
      </c>
      <c r="H68" s="10"/>
    </row>
    <row r="69" spans="1:8">
      <c r="A69" s="98" t="s">
        <v>603</v>
      </c>
      <c r="B69" s="98" t="s">
        <v>604</v>
      </c>
      <c r="C69" s="98" t="s">
        <v>676</v>
      </c>
      <c r="D69" s="3" t="s">
        <v>826</v>
      </c>
      <c r="E69" s="98">
        <v>1</v>
      </c>
      <c r="F69" s="97">
        <v>2</v>
      </c>
      <c r="G69" s="3">
        <v>4</v>
      </c>
      <c r="H69" s="10"/>
    </row>
    <row r="70" spans="1:8">
      <c r="A70" s="98" t="s">
        <v>605</v>
      </c>
      <c r="B70" s="98" t="s">
        <v>606</v>
      </c>
      <c r="C70" s="98" t="s">
        <v>696</v>
      </c>
      <c r="D70" s="3" t="s">
        <v>826</v>
      </c>
      <c r="E70" s="98">
        <v>1</v>
      </c>
      <c r="F70" s="97">
        <v>2</v>
      </c>
      <c r="G70" s="3">
        <v>2</v>
      </c>
      <c r="H70" s="10"/>
    </row>
    <row r="71" spans="1:8">
      <c r="A71" s="98" t="s">
        <v>613</v>
      </c>
      <c r="B71" s="98" t="s">
        <v>614</v>
      </c>
      <c r="C71" s="98" t="s">
        <v>671</v>
      </c>
      <c r="D71" s="3" t="s">
        <v>826</v>
      </c>
      <c r="E71" s="98">
        <v>1</v>
      </c>
      <c r="F71" s="97">
        <v>2</v>
      </c>
      <c r="G71" s="3">
        <v>6</v>
      </c>
      <c r="H71" s="10"/>
    </row>
    <row r="72" spans="1:8">
      <c r="A72" s="98" t="s">
        <v>623</v>
      </c>
      <c r="B72" s="98" t="s">
        <v>624</v>
      </c>
      <c r="C72" s="98" t="s">
        <v>686</v>
      </c>
      <c r="D72" s="3" t="s">
        <v>826</v>
      </c>
      <c r="E72" s="98">
        <v>1</v>
      </c>
      <c r="F72" s="97">
        <v>2</v>
      </c>
      <c r="G72" s="3">
        <v>19</v>
      </c>
      <c r="H72" s="10"/>
    </row>
    <row r="73" spans="1:8">
      <c r="A73" s="44" t="s">
        <v>625</v>
      </c>
      <c r="B73" s="44" t="s">
        <v>626</v>
      </c>
      <c r="C73" s="44" t="s">
        <v>2</v>
      </c>
      <c r="D73" s="3" t="s">
        <v>826</v>
      </c>
      <c r="E73" s="98">
        <v>1</v>
      </c>
      <c r="F73" s="97">
        <v>2</v>
      </c>
      <c r="G73" s="3">
        <v>2</v>
      </c>
    </row>
    <row r="74" spans="1:8">
      <c r="A74" s="98" t="s">
        <v>629</v>
      </c>
      <c r="B74" s="98" t="s">
        <v>630</v>
      </c>
      <c r="C74" s="98" t="s">
        <v>702</v>
      </c>
      <c r="D74" s="3" t="s">
        <v>826</v>
      </c>
      <c r="E74" s="98">
        <v>1</v>
      </c>
      <c r="F74" s="97">
        <v>2</v>
      </c>
      <c r="G74" s="3">
        <v>7</v>
      </c>
      <c r="H74" s="10"/>
    </row>
    <row r="75" spans="1:8">
      <c r="A75" s="98" t="s">
        <v>635</v>
      </c>
      <c r="B75" s="98" t="s">
        <v>636</v>
      </c>
      <c r="C75" s="98" t="s">
        <v>2</v>
      </c>
      <c r="D75" s="3" t="s">
        <v>826</v>
      </c>
      <c r="E75" s="98">
        <v>1</v>
      </c>
      <c r="F75" s="97">
        <v>2</v>
      </c>
      <c r="G75" s="3">
        <v>20</v>
      </c>
      <c r="H75" s="10"/>
    </row>
    <row r="76" spans="1:8">
      <c r="A76" s="98" t="s">
        <v>637</v>
      </c>
      <c r="B76" s="98" t="s">
        <v>638</v>
      </c>
      <c r="C76" s="98" t="s">
        <v>2</v>
      </c>
      <c r="D76" s="3" t="s">
        <v>826</v>
      </c>
      <c r="E76" s="98">
        <v>1</v>
      </c>
      <c r="F76" s="97">
        <v>2</v>
      </c>
      <c r="G76" s="3">
        <v>20</v>
      </c>
      <c r="H76" s="10"/>
    </row>
    <row r="77" spans="1:8">
      <c r="A77" s="98" t="s">
        <v>639</v>
      </c>
      <c r="B77" s="98" t="s">
        <v>640</v>
      </c>
      <c r="C77" s="98" t="s">
        <v>2</v>
      </c>
      <c r="D77" s="3" t="s">
        <v>826</v>
      </c>
      <c r="E77" s="98">
        <v>1</v>
      </c>
      <c r="F77" s="97">
        <v>2</v>
      </c>
      <c r="G77" s="3">
        <v>10</v>
      </c>
      <c r="H77" s="10"/>
    </row>
    <row r="78" spans="1:8">
      <c r="A78" s="98" t="s">
        <v>641</v>
      </c>
      <c r="B78" s="98" t="s">
        <v>642</v>
      </c>
      <c r="C78" s="98" t="s">
        <v>2</v>
      </c>
      <c r="D78" s="3" t="s">
        <v>826</v>
      </c>
      <c r="E78" s="98">
        <v>1</v>
      </c>
      <c r="F78" s="97">
        <v>2</v>
      </c>
      <c r="G78" s="3">
        <v>10</v>
      </c>
      <c r="H78" s="10"/>
    </row>
    <row r="79" spans="1:8">
      <c r="A79" s="98" t="s">
        <v>663</v>
      </c>
      <c r="B79" s="98" t="s">
        <v>664</v>
      </c>
      <c r="C79" s="98" t="s">
        <v>676</v>
      </c>
      <c r="D79" s="3" t="s">
        <v>826</v>
      </c>
      <c r="E79" s="98">
        <v>1</v>
      </c>
      <c r="F79" s="97">
        <v>2</v>
      </c>
      <c r="G79" s="3">
        <v>8</v>
      </c>
      <c r="H79" s="10"/>
    </row>
    <row r="80" spans="1:8">
      <c r="A80" s="98" t="s">
        <v>669</v>
      </c>
      <c r="B80" s="98" t="s">
        <v>670</v>
      </c>
      <c r="C80" s="98" t="s">
        <v>703</v>
      </c>
      <c r="D80" s="3" t="s">
        <v>826</v>
      </c>
      <c r="E80" s="98">
        <v>1</v>
      </c>
      <c r="F80" s="97">
        <v>2</v>
      </c>
      <c r="G80" s="3">
        <v>20</v>
      </c>
      <c r="H80" s="10"/>
    </row>
  </sheetData>
  <pageMargins left="0.7" right="0.7" top="0.75" bottom="0.75" header="0.3" footer="0.3"/>
  <pageSetup orientation="portrait" horizontalDpi="120" verticalDpi="72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5"/>
  <dimension ref="A1:E13"/>
  <sheetViews>
    <sheetView workbookViewId="0">
      <selection activeCell="C6" sqref="C1:C6"/>
    </sheetView>
  </sheetViews>
  <sheetFormatPr baseColWidth="10" defaultRowHeight="15"/>
  <cols>
    <col min="3" max="3" width="20.140625" customWidth="1"/>
  </cols>
  <sheetData>
    <row r="1" spans="1:5" ht="15.75" thickBot="1">
      <c r="A1" s="136" t="s">
        <v>828</v>
      </c>
      <c r="B1" s="137" t="s">
        <v>855</v>
      </c>
      <c r="C1" s="137" t="s">
        <v>856</v>
      </c>
      <c r="D1" s="137" t="s">
        <v>857</v>
      </c>
      <c r="E1" s="137" t="s">
        <v>858</v>
      </c>
    </row>
    <row r="2" spans="1:5" ht="15.75" thickBot="1">
      <c r="A2" s="138" t="s">
        <v>505</v>
      </c>
      <c r="B2" s="139" t="s">
        <v>715</v>
      </c>
      <c r="C2" s="139" t="s">
        <v>859</v>
      </c>
      <c r="D2" s="139" t="s">
        <v>679</v>
      </c>
      <c r="E2" s="140">
        <v>80</v>
      </c>
    </row>
    <row r="3" spans="1:5" ht="15.75" thickBot="1">
      <c r="A3" s="138" t="s">
        <v>506</v>
      </c>
      <c r="B3" s="139" t="s">
        <v>715</v>
      </c>
      <c r="C3" s="139" t="s">
        <v>859</v>
      </c>
      <c r="D3" s="139" t="s">
        <v>673</v>
      </c>
      <c r="E3" s="140">
        <v>80</v>
      </c>
    </row>
    <row r="4" spans="1:5" ht="15.75" thickBot="1">
      <c r="A4" s="138" t="s">
        <v>508</v>
      </c>
      <c r="B4" s="139" t="s">
        <v>715</v>
      </c>
      <c r="C4" s="139" t="s">
        <v>859</v>
      </c>
      <c r="D4" s="139" t="s">
        <v>676</v>
      </c>
      <c r="E4" s="140">
        <v>100</v>
      </c>
    </row>
    <row r="5" spans="1:5" ht="15.75" thickBot="1">
      <c r="A5" s="138" t="s">
        <v>223</v>
      </c>
      <c r="B5" s="139" t="s">
        <v>860</v>
      </c>
      <c r="C5" s="139" t="s">
        <v>861</v>
      </c>
      <c r="D5" s="139" t="s">
        <v>706</v>
      </c>
      <c r="E5" s="140">
        <v>0.5</v>
      </c>
    </row>
    <row r="6" spans="1:5" ht="15.75" thickBot="1">
      <c r="A6" s="138" t="s">
        <v>375</v>
      </c>
      <c r="B6" s="139" t="s">
        <v>862</v>
      </c>
      <c r="C6" s="139" t="s">
        <v>376</v>
      </c>
      <c r="D6" s="139" t="s">
        <v>689</v>
      </c>
      <c r="E6" s="140">
        <v>500</v>
      </c>
    </row>
    <row r="7" spans="1:5" ht="15.75" thickBot="1">
      <c r="A7" s="138" t="s">
        <v>377</v>
      </c>
      <c r="B7" s="139" t="s">
        <v>863</v>
      </c>
      <c r="C7" s="139" t="s">
        <v>378</v>
      </c>
      <c r="D7" s="139" t="s">
        <v>689</v>
      </c>
      <c r="E7" s="140">
        <v>500</v>
      </c>
    </row>
    <row r="8" spans="1:5" ht="15.75" thickBot="1">
      <c r="A8" s="138" t="s">
        <v>379</v>
      </c>
      <c r="B8" s="139" t="s">
        <v>863</v>
      </c>
      <c r="C8" s="139" t="s">
        <v>380</v>
      </c>
      <c r="D8" s="139" t="s">
        <v>689</v>
      </c>
      <c r="E8" s="140">
        <v>500</v>
      </c>
    </row>
    <row r="9" spans="1:5" ht="15.75" thickBot="1">
      <c r="A9" s="138" t="s">
        <v>127</v>
      </c>
      <c r="B9" s="139" t="s">
        <v>715</v>
      </c>
      <c r="C9" s="139" t="s">
        <v>864</v>
      </c>
      <c r="D9" s="139" t="s">
        <v>677</v>
      </c>
      <c r="E9" s="140">
        <v>100</v>
      </c>
    </row>
    <row r="10" spans="1:5" ht="15.75" thickBot="1">
      <c r="A10" s="138" t="s">
        <v>128</v>
      </c>
      <c r="B10" s="139" t="s">
        <v>715</v>
      </c>
      <c r="C10" s="139" t="s">
        <v>864</v>
      </c>
      <c r="D10" s="139" t="s">
        <v>676</v>
      </c>
      <c r="E10" s="140">
        <v>60</v>
      </c>
    </row>
    <row r="11" spans="1:5" ht="15.75" thickBot="1">
      <c r="A11" s="138" t="s">
        <v>569</v>
      </c>
      <c r="B11" s="139" t="s">
        <v>860</v>
      </c>
      <c r="C11" s="139" t="s">
        <v>865</v>
      </c>
      <c r="D11" s="139" t="s">
        <v>706</v>
      </c>
      <c r="E11" s="140">
        <v>0.5</v>
      </c>
    </row>
    <row r="12" spans="1:5" ht="15.75" thickBot="1">
      <c r="A12" s="138" t="s">
        <v>309</v>
      </c>
      <c r="B12" s="139" t="s">
        <v>862</v>
      </c>
      <c r="C12" s="139" t="s">
        <v>866</v>
      </c>
      <c r="D12" s="139" t="s">
        <v>689</v>
      </c>
      <c r="E12" s="140">
        <v>500</v>
      </c>
    </row>
    <row r="13" spans="1:5" ht="15.75" thickBot="1">
      <c r="A13" s="138" t="s">
        <v>310</v>
      </c>
      <c r="B13" s="139" t="s">
        <v>863</v>
      </c>
      <c r="C13" s="139" t="s">
        <v>311</v>
      </c>
      <c r="D13" s="139" t="s">
        <v>689</v>
      </c>
      <c r="E13" s="140">
        <v>500</v>
      </c>
    </row>
  </sheetData>
  <pageMargins left="0.7" right="0.7" top="0.75" bottom="0.75" header="0.3" footer="0.3"/>
  <pageSetup orientation="portrait" horizontalDpi="120" verticalDpi="144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A3"/>
  <sheetViews>
    <sheetView workbookViewId="0">
      <selection activeCell="A4" sqref="A4"/>
    </sheetView>
  </sheetViews>
  <sheetFormatPr baseColWidth="10" defaultRowHeight="15"/>
  <sheetData>
    <row r="1" spans="1:1">
      <c r="A1" s="133" t="s">
        <v>802</v>
      </c>
    </row>
    <row r="2" spans="1:1">
      <c r="A2" s="133" t="s">
        <v>873</v>
      </c>
    </row>
    <row r="3" spans="1:1">
      <c r="A3" s="133" t="s">
        <v>1377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FALTANTES Y SOBRANTES</vt:lpstr>
      <vt:lpstr>DATOS</vt:lpstr>
      <vt:lpstr>BODEGA MATERIA PRIMA</vt:lpstr>
      <vt:lpstr>BODEGA CENTRAL</vt:lpstr>
      <vt:lpstr>STO DOMINGO </vt:lpstr>
      <vt:lpstr>QUITO</vt:lpstr>
      <vt:lpstr>CONSIGNACIONES</vt:lpstr>
      <vt:lpstr>NUEVOS ITEMS</vt:lpstr>
      <vt:lpstr>TipoCompra</vt:lpstr>
      <vt:lpstr>RANGOTIPOCOMPRA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maradelcarmen</dc:creator>
  <cp:lastModifiedBy>Usuario</cp:lastModifiedBy>
  <dcterms:created xsi:type="dcterms:W3CDTF">2009-12-07T14:59:17Z</dcterms:created>
  <dcterms:modified xsi:type="dcterms:W3CDTF">2012-04-30T14:57:38Z</dcterms:modified>
</cp:coreProperties>
</file>